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0CC58F95-281C-144D-BC0D-D19824F00CFF}" xr6:coauthVersionLast="47" xr6:coauthVersionMax="47" xr10:uidLastSave="{00000000-0000-0000-0000-000000000000}"/>
  <bookViews>
    <workbookView xWindow="23380" yWindow="820" windowWidth="21420" windowHeight="24380" activeTab="2" xr2:uid="{834EDAA3-D05C-5B48-B7D6-13D13D56A97E}"/>
  </bookViews>
  <sheets>
    <sheet name="Main" sheetId="1" r:id="rId1"/>
    <sheet name="Products" sheetId="3" r:id="rId2"/>
    <sheet name="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2" l="1"/>
  <c r="I74" i="2"/>
  <c r="H74" i="2"/>
  <c r="K74" i="2"/>
  <c r="K73" i="2"/>
  <c r="J73" i="2"/>
  <c r="I73" i="2"/>
  <c r="H73" i="2"/>
  <c r="G73" i="2"/>
  <c r="F73" i="2"/>
  <c r="E73" i="2"/>
  <c r="D73" i="2"/>
  <c r="C73" i="2"/>
  <c r="F22" i="2"/>
  <c r="J22" i="2"/>
  <c r="K72" i="2"/>
  <c r="J72" i="2"/>
  <c r="I72" i="2"/>
  <c r="H72" i="2"/>
  <c r="G72" i="2"/>
  <c r="F72" i="2"/>
  <c r="E72" i="2"/>
  <c r="D72" i="2"/>
  <c r="C72" i="2"/>
  <c r="K71" i="2"/>
  <c r="J71" i="2"/>
  <c r="I71" i="2"/>
  <c r="H71" i="2"/>
  <c r="G71" i="2"/>
  <c r="F71" i="2"/>
  <c r="E71" i="2"/>
  <c r="D71" i="2"/>
  <c r="K70" i="2"/>
  <c r="J70" i="2"/>
  <c r="I70" i="2"/>
  <c r="H70" i="2"/>
  <c r="G70" i="2"/>
  <c r="F70" i="2"/>
  <c r="E70" i="2"/>
  <c r="D70" i="2"/>
  <c r="C71" i="2"/>
  <c r="C70" i="2"/>
  <c r="J107" i="2"/>
  <c r="I107" i="2"/>
  <c r="J99" i="2"/>
  <c r="J88" i="2"/>
  <c r="J109" i="2" s="1"/>
  <c r="H107" i="2"/>
  <c r="H99" i="2"/>
  <c r="H88" i="2"/>
  <c r="H111" i="2" s="1"/>
  <c r="I99" i="2"/>
  <c r="I88" i="2"/>
  <c r="I111" i="2" s="1"/>
  <c r="G12" i="1"/>
  <c r="G11" i="1"/>
  <c r="AB13" i="2"/>
  <c r="AB12" i="2"/>
  <c r="P12" i="2"/>
  <c r="L22" i="2"/>
  <c r="AB22" i="2" s="1"/>
  <c r="L11" i="2"/>
  <c r="L12" i="2" s="1"/>
  <c r="G107" i="2"/>
  <c r="G99" i="2"/>
  <c r="G88" i="2"/>
  <c r="G111" i="2" s="1"/>
  <c r="K107" i="2"/>
  <c r="K99" i="2"/>
  <c r="K88" i="2"/>
  <c r="K111" i="2" s="1"/>
  <c r="C68" i="2"/>
  <c r="C59" i="2"/>
  <c r="D68" i="2"/>
  <c r="D59" i="2"/>
  <c r="E68" i="2"/>
  <c r="E59" i="2"/>
  <c r="G68" i="2"/>
  <c r="G59" i="2"/>
  <c r="H68" i="2"/>
  <c r="H59" i="2"/>
  <c r="F68" i="2"/>
  <c r="F59" i="2"/>
  <c r="J68" i="2"/>
  <c r="I68" i="2"/>
  <c r="I59" i="2"/>
  <c r="J111" i="2" l="1"/>
  <c r="G109" i="2"/>
  <c r="H109" i="2"/>
  <c r="I109" i="2"/>
  <c r="K109" i="2"/>
  <c r="AB15" i="2"/>
  <c r="AB19" i="2" s="1"/>
  <c r="AB20" i="2" s="1"/>
  <c r="AB21" i="2" s="1"/>
  <c r="AB23" i="2" s="1"/>
  <c r="L44" i="2"/>
  <c r="L15" i="2"/>
  <c r="L45" i="2" l="1"/>
  <c r="L19" i="2"/>
  <c r="L20" i="2" s="1"/>
  <c r="L21" i="2" s="1"/>
  <c r="L23" i="2" s="1"/>
  <c r="J59" i="2"/>
  <c r="K68" i="2"/>
  <c r="K59" i="2"/>
  <c r="V32" i="2"/>
  <c r="V31" i="2"/>
  <c r="V30" i="2"/>
  <c r="V29" i="2"/>
  <c r="V28" i="2"/>
  <c r="W32" i="2"/>
  <c r="W31" i="2"/>
  <c r="W30" i="2"/>
  <c r="W29" i="2"/>
  <c r="W28" i="2"/>
  <c r="U11" i="2"/>
  <c r="U15" i="2" s="1"/>
  <c r="U19" i="2" s="1"/>
  <c r="U21" i="2" s="1"/>
  <c r="U23" i="2" s="1"/>
  <c r="V11" i="2"/>
  <c r="V15" i="2" s="1"/>
  <c r="V19" i="2" s="1"/>
  <c r="V21" i="2" s="1"/>
  <c r="V23" i="2" s="1"/>
  <c r="X32" i="2"/>
  <c r="X31" i="2"/>
  <c r="X30" i="2"/>
  <c r="X29" i="2"/>
  <c r="X28" i="2"/>
  <c r="Y32" i="2"/>
  <c r="Y31" i="2"/>
  <c r="Y30" i="2"/>
  <c r="Y29" i="2"/>
  <c r="W11" i="2"/>
  <c r="W15" i="2" s="1"/>
  <c r="W19" i="2" s="1"/>
  <c r="W21" i="2" s="1"/>
  <c r="W23" i="2" s="1"/>
  <c r="X11" i="2"/>
  <c r="X15" i="2" s="1"/>
  <c r="X19" i="2" s="1"/>
  <c r="X21" i="2" s="1"/>
  <c r="X23" i="2" s="1"/>
  <c r="F20" i="2"/>
  <c r="F18" i="2"/>
  <c r="F17" i="2"/>
  <c r="F16" i="2"/>
  <c r="F14" i="2"/>
  <c r="F13" i="2"/>
  <c r="F12" i="2"/>
  <c r="F10" i="2"/>
  <c r="F9" i="2"/>
  <c r="F8" i="2"/>
  <c r="F7" i="2"/>
  <c r="F5" i="2"/>
  <c r="F4" i="2"/>
  <c r="J20" i="2"/>
  <c r="J18" i="2"/>
  <c r="J17" i="2"/>
  <c r="J16" i="2"/>
  <c r="J14" i="2"/>
  <c r="J13" i="2"/>
  <c r="J12" i="2"/>
  <c r="J10" i="2"/>
  <c r="J9" i="2"/>
  <c r="J8" i="2"/>
  <c r="J7" i="2"/>
  <c r="J5" i="2"/>
  <c r="J4" i="2"/>
  <c r="Z32" i="2"/>
  <c r="Z31" i="2"/>
  <c r="Z30" i="2"/>
  <c r="Z29" i="2"/>
  <c r="Z27" i="2"/>
  <c r="Z26" i="2"/>
  <c r="AA32" i="2"/>
  <c r="AA31" i="2"/>
  <c r="AA30" i="2"/>
  <c r="AA29" i="2"/>
  <c r="AA27" i="2"/>
  <c r="AA26" i="2"/>
  <c r="H32" i="2"/>
  <c r="H31" i="2"/>
  <c r="H30" i="2"/>
  <c r="H29" i="2"/>
  <c r="H27" i="2"/>
  <c r="H26" i="2"/>
  <c r="H6" i="2"/>
  <c r="H11" i="2" s="1"/>
  <c r="H44" i="2" s="1"/>
  <c r="I32" i="2"/>
  <c r="I31" i="2"/>
  <c r="I30" i="2"/>
  <c r="I29" i="2"/>
  <c r="I27" i="2"/>
  <c r="I26" i="2"/>
  <c r="C6" i="2"/>
  <c r="C11" i="2" s="1"/>
  <c r="C15" i="2" s="1"/>
  <c r="D6" i="2"/>
  <c r="D11" i="2" s="1"/>
  <c r="D44" i="2" s="1"/>
  <c r="E6" i="2"/>
  <c r="I6" i="2"/>
  <c r="I11" i="2" s="1"/>
  <c r="K32" i="2"/>
  <c r="K31" i="2"/>
  <c r="K30" i="2"/>
  <c r="K29" i="2"/>
  <c r="K27" i="2"/>
  <c r="K26" i="2"/>
  <c r="G6" i="2"/>
  <c r="K6" i="2"/>
  <c r="K11" i="2" s="1"/>
  <c r="AA6" i="2"/>
  <c r="AA11" i="2" s="1"/>
  <c r="AA15" i="2" s="1"/>
  <c r="AA19" i="2" s="1"/>
  <c r="AA21" i="2" s="1"/>
  <c r="AA23" i="2" s="1"/>
  <c r="Z6" i="2"/>
  <c r="Z11" i="2" s="1"/>
  <c r="Z15" i="2" s="1"/>
  <c r="Z19" i="2" s="1"/>
  <c r="Z21" i="2" s="1"/>
  <c r="Z23" i="2" s="1"/>
  <c r="Y6" i="2"/>
  <c r="Y11" i="2" s="1"/>
  <c r="Y15" i="2" s="1"/>
  <c r="Y19" i="2" s="1"/>
  <c r="Y21" i="2" s="1"/>
  <c r="Y23" i="2" s="1"/>
  <c r="R3" i="2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G4" i="1"/>
  <c r="G5" i="1" s="1"/>
  <c r="G8" i="1" s="1"/>
  <c r="G6" i="1"/>
  <c r="V33" i="2" l="1"/>
  <c r="F41" i="2"/>
  <c r="J30" i="2"/>
  <c r="I38" i="2"/>
  <c r="K15" i="2"/>
  <c r="K44" i="2"/>
  <c r="J36" i="2"/>
  <c r="X33" i="2"/>
  <c r="E38" i="2"/>
  <c r="D37" i="2"/>
  <c r="J40" i="2"/>
  <c r="D38" i="2"/>
  <c r="F36" i="2"/>
  <c r="G40" i="2"/>
  <c r="H15" i="2"/>
  <c r="D39" i="2"/>
  <c r="F6" i="2"/>
  <c r="F38" i="2" s="1"/>
  <c r="D15" i="2"/>
  <c r="D40" i="2"/>
  <c r="K42" i="2"/>
  <c r="I36" i="2"/>
  <c r="E36" i="2"/>
  <c r="D41" i="2"/>
  <c r="J37" i="2"/>
  <c r="F40" i="2"/>
  <c r="K39" i="2"/>
  <c r="K40" i="2"/>
  <c r="H38" i="2"/>
  <c r="K28" i="2"/>
  <c r="H39" i="2"/>
  <c r="F39" i="2"/>
  <c r="G42" i="2"/>
  <c r="I37" i="2"/>
  <c r="E37" i="2"/>
  <c r="F42" i="2"/>
  <c r="J11" i="2"/>
  <c r="J44" i="2" s="1"/>
  <c r="I42" i="2"/>
  <c r="E40" i="2"/>
  <c r="J41" i="2"/>
  <c r="J39" i="2"/>
  <c r="G38" i="2"/>
  <c r="K38" i="2"/>
  <c r="H36" i="2"/>
  <c r="J42" i="2"/>
  <c r="H37" i="2"/>
  <c r="G41" i="2"/>
  <c r="K41" i="2"/>
  <c r="H33" i="2"/>
  <c r="Z33" i="2"/>
  <c r="G11" i="2"/>
  <c r="E39" i="2"/>
  <c r="C44" i="2"/>
  <c r="C19" i="2"/>
  <c r="C21" i="2" s="1"/>
  <c r="C23" i="2" s="1"/>
  <c r="C45" i="2"/>
  <c r="I28" i="2"/>
  <c r="J29" i="2"/>
  <c r="I44" i="2"/>
  <c r="AA33" i="2"/>
  <c r="J32" i="2"/>
  <c r="H28" i="2"/>
  <c r="I39" i="2"/>
  <c r="H40" i="2"/>
  <c r="E41" i="2"/>
  <c r="D42" i="2"/>
  <c r="J26" i="2"/>
  <c r="G37" i="2"/>
  <c r="J31" i="2"/>
  <c r="I15" i="2"/>
  <c r="F37" i="2"/>
  <c r="W33" i="2"/>
  <c r="K36" i="2"/>
  <c r="E11" i="2"/>
  <c r="I33" i="2" s="1"/>
  <c r="I40" i="2"/>
  <c r="H41" i="2"/>
  <c r="E42" i="2"/>
  <c r="AA28" i="2"/>
  <c r="Z28" i="2"/>
  <c r="J6" i="2"/>
  <c r="J27" i="2"/>
  <c r="G36" i="2"/>
  <c r="Y33" i="2"/>
  <c r="K37" i="2"/>
  <c r="I41" i="2"/>
  <c r="H42" i="2"/>
  <c r="D36" i="2"/>
  <c r="G39" i="2"/>
  <c r="Y28" i="2"/>
  <c r="F11" i="2" l="1"/>
  <c r="F44" i="2" s="1"/>
  <c r="G44" i="2"/>
  <c r="G15" i="2"/>
  <c r="D45" i="2"/>
  <c r="D19" i="2"/>
  <c r="D21" i="2" s="1"/>
  <c r="D23" i="2" s="1"/>
  <c r="H19" i="2"/>
  <c r="H21" i="2" s="1"/>
  <c r="H45" i="2"/>
  <c r="J15" i="2"/>
  <c r="J45" i="2" s="1"/>
  <c r="K33" i="2"/>
  <c r="K19" i="2"/>
  <c r="K21" i="2" s="1"/>
  <c r="K45" i="2"/>
  <c r="E44" i="2"/>
  <c r="E15" i="2"/>
  <c r="J33" i="2"/>
  <c r="I19" i="2"/>
  <c r="I45" i="2"/>
  <c r="J38" i="2"/>
  <c r="J28" i="2"/>
  <c r="H23" i="2" l="1"/>
  <c r="H112" i="2"/>
  <c r="G19" i="2"/>
  <c r="G21" i="2" s="1"/>
  <c r="G45" i="2"/>
  <c r="K23" i="2"/>
  <c r="K112" i="2"/>
  <c r="I21" i="2"/>
  <c r="I112" i="2" s="1"/>
  <c r="E19" i="2"/>
  <c r="E21" i="2" s="1"/>
  <c r="E23" i="2" s="1"/>
  <c r="F23" i="2" s="1"/>
  <c r="E45" i="2"/>
  <c r="F15" i="2"/>
  <c r="J19" i="2" l="1"/>
  <c r="G23" i="2"/>
  <c r="G112" i="2"/>
  <c r="F45" i="2"/>
  <c r="F19" i="2"/>
  <c r="F21" i="2" s="1"/>
  <c r="I23" i="2"/>
  <c r="J21" i="2"/>
  <c r="J112" i="2" s="1"/>
  <c r="J23" i="2" l="1"/>
</calcChain>
</file>

<file path=xl/sharedStrings.xml><?xml version="1.0" encoding="utf-8"?>
<sst xmlns="http://schemas.openxmlformats.org/spreadsheetml/2006/main" count="222" uniqueCount="196">
  <si>
    <t>P</t>
  </si>
  <si>
    <t>S</t>
  </si>
  <si>
    <t>MC</t>
  </si>
  <si>
    <t>C</t>
  </si>
  <si>
    <t>D</t>
  </si>
  <si>
    <t>EV</t>
  </si>
  <si>
    <t>Q125</t>
  </si>
  <si>
    <t xml:space="preserve">CEO </t>
  </si>
  <si>
    <t xml:space="preserve">CFO </t>
  </si>
  <si>
    <t>Q123</t>
  </si>
  <si>
    <t>Q224</t>
  </si>
  <si>
    <t>Q324</t>
  </si>
  <si>
    <t>Q424</t>
  </si>
  <si>
    <t>Q225</t>
  </si>
  <si>
    <t>Q325</t>
  </si>
  <si>
    <t>Q425</t>
  </si>
  <si>
    <t xml:space="preserve">Events </t>
  </si>
  <si>
    <t>Q126</t>
  </si>
  <si>
    <t>Q226</t>
  </si>
  <si>
    <t>Q326</t>
  </si>
  <si>
    <t>Q426</t>
  </si>
  <si>
    <t xml:space="preserve">Total Revenue </t>
  </si>
  <si>
    <t>Segments</t>
  </si>
  <si>
    <t>Data center</t>
  </si>
  <si>
    <t>Other</t>
  </si>
  <si>
    <t>CoR</t>
  </si>
  <si>
    <t>R&amp;D</t>
  </si>
  <si>
    <t>Sg&amp;a</t>
  </si>
  <si>
    <t>Operating Income</t>
  </si>
  <si>
    <t>Interest income</t>
  </si>
  <si>
    <t>Interest Expense</t>
  </si>
  <si>
    <t>Other Income</t>
  </si>
  <si>
    <t xml:space="preserve">EBT </t>
  </si>
  <si>
    <t>Taxes</t>
  </si>
  <si>
    <t>Net Income</t>
  </si>
  <si>
    <t>Shares</t>
  </si>
  <si>
    <t>Eps</t>
  </si>
  <si>
    <t>Compute</t>
  </si>
  <si>
    <t>Networking</t>
  </si>
  <si>
    <t>Data Center</t>
  </si>
  <si>
    <t>Gaming</t>
  </si>
  <si>
    <t>Professional Visualization</t>
  </si>
  <si>
    <t>Automotive</t>
  </si>
  <si>
    <t>OEM &amp; Other</t>
  </si>
  <si>
    <t xml:space="preserve">Growth Analysis </t>
  </si>
  <si>
    <t xml:space="preserve">Rev Segment % Total </t>
  </si>
  <si>
    <t>GM%</t>
  </si>
  <si>
    <t>OM%</t>
  </si>
  <si>
    <t>Equity</t>
  </si>
  <si>
    <t>TL + E</t>
  </si>
  <si>
    <t>A/P</t>
  </si>
  <si>
    <t>Accrued &amp; OCL</t>
  </si>
  <si>
    <t>LTD</t>
  </si>
  <si>
    <t>LT Op Lease</t>
  </si>
  <si>
    <t>OLTL</t>
  </si>
  <si>
    <t xml:space="preserve">Total Assets </t>
  </si>
  <si>
    <t xml:space="preserve">Cash </t>
  </si>
  <si>
    <t>A/R</t>
  </si>
  <si>
    <t>Inventories</t>
  </si>
  <si>
    <t>Prepaid Exp</t>
  </si>
  <si>
    <t>PPE</t>
  </si>
  <si>
    <t>Op Lease assets</t>
  </si>
  <si>
    <t>Goodwill</t>
  </si>
  <si>
    <t>Intangible assets</t>
  </si>
  <si>
    <t>Deferred i/t</t>
  </si>
  <si>
    <t>OA</t>
  </si>
  <si>
    <t/>
  </si>
  <si>
    <t xml:space="preserve">Short Term Debt </t>
  </si>
  <si>
    <t>SBC</t>
  </si>
  <si>
    <t>D&amp;A</t>
  </si>
  <si>
    <t>Securities</t>
  </si>
  <si>
    <t>Prepaid Expenses/Other</t>
  </si>
  <si>
    <t>Accrued/OCL</t>
  </si>
  <si>
    <t xml:space="preserve">CFFO </t>
  </si>
  <si>
    <t>Acquisitions, net of cash acquired</t>
  </si>
  <si>
    <t>CFFI</t>
  </si>
  <si>
    <t>Payments related to employee stock plan taxes</t>
  </si>
  <si>
    <t>Dividends Paid</t>
  </si>
  <si>
    <t>CFFF</t>
  </si>
  <si>
    <t>Free Cash Flow</t>
  </si>
  <si>
    <t xml:space="preserve">NI </t>
  </si>
  <si>
    <t>Press Release</t>
  </si>
  <si>
    <t>Jensen Huang</t>
  </si>
  <si>
    <t xml:space="preserve">Nvidia Dynamo </t>
  </si>
  <si>
    <t>Oct 27-29 GTC Washington DC</t>
  </si>
  <si>
    <t>Readings</t>
  </si>
  <si>
    <t>Cloudera Data Platform</t>
  </si>
  <si>
    <t xml:space="preserve">GPU Management &amp; Deployment </t>
  </si>
  <si>
    <t xml:space="preserve">Nvidia NeMo Curator on DGX Cloud </t>
  </si>
  <si>
    <t xml:space="preserve">Nvidia Intelligence Toolkit </t>
  </si>
  <si>
    <t xml:space="preserve">Nvidia AI Aerial </t>
  </si>
  <si>
    <t xml:space="preserve">Nvidia AI Enterprise </t>
  </si>
  <si>
    <t xml:space="preserve">Nvidia Air </t>
  </si>
  <si>
    <t xml:space="preserve">Blackwell Gpu Architecture </t>
  </si>
  <si>
    <t xml:space="preserve">Grace Cpu Architecture </t>
  </si>
  <si>
    <t>Bluefield DPU Architecture</t>
  </si>
  <si>
    <t>Nvidia Spectrum X Networking Platform</t>
  </si>
  <si>
    <t>Cloud &amp; Data Center</t>
  </si>
  <si>
    <t>Data center GPUs</t>
  </si>
  <si>
    <t>GB300 NVL72</t>
  </si>
  <si>
    <t>GB200 NVL72</t>
  </si>
  <si>
    <t>HGX</t>
  </si>
  <si>
    <t>H200</t>
  </si>
  <si>
    <t>L4</t>
  </si>
  <si>
    <t>RTX Pro 6000 Server</t>
  </si>
  <si>
    <t>Data Sheet</t>
  </si>
  <si>
    <t>H100</t>
  </si>
  <si>
    <t>Dats Sheet</t>
  </si>
  <si>
    <t>Notes</t>
  </si>
  <si>
    <t>fabless semiconductor co. --&gt; designs chips, but doesn't manufacture units [ tsmc provides most supply)</t>
  </si>
  <si>
    <t>primary focus: grahpics processing units (gpus) + software for ai, data centers, gaming, automotive, and prof visualization</t>
  </si>
  <si>
    <t>flagship data center gpus: h100, h200, gh200 grace hopper, blackwell gpus (b100, b200 launching late 2025)</t>
  </si>
  <si>
    <t>function of gpu: accelerate ai model training &amp; inference</t>
  </si>
  <si>
    <t>gpu customers: hyperscalers (amazon aws, google cloud, microsoft azure, meta) enterprise ai companies (openai, anthropic, tesla), government labs</t>
  </si>
  <si>
    <t>sales channel: direct large contracts to hyperscalers through server OEMs (dell, supermicro, etc)</t>
  </si>
  <si>
    <t xml:space="preserve">demand driver fo data center business: </t>
  </si>
  <si>
    <t>generative ai workloads</t>
  </si>
  <si>
    <t xml:space="preserve"> every qtr data centers add capacity to train larger models to serve more users</t>
  </si>
  <si>
    <t xml:space="preserve">gpus are scarce, customers buy as soon a snew supply is available </t>
  </si>
  <si>
    <t>why people may keep buying gpus every qtr?</t>
  </si>
  <si>
    <t>performance leapfrog: new architectures (hopper --&gt; blackwell) deliver huge performance/watt improvements.  Faster = saves millions in op costs</t>
  </si>
  <si>
    <t xml:space="preserve">capacity expansion: data centers don't just replace old gpus, they add racks to scale ai model serving capacity </t>
  </si>
  <si>
    <t>software evolution: nvda CUDA, cuDNN, tensorRT frameworks are updated to unlock more performance from new hardware</t>
  </si>
  <si>
    <t>competitive pressure: ai race --&gt; whoever has the most gpus win?</t>
  </si>
  <si>
    <t xml:space="preserve">hardware obsolscence: in gaming/pro viz, software/game complexity eventually outpaces old gou capability </t>
  </si>
  <si>
    <t>software stack (key, likely overlooked)</t>
  </si>
  <si>
    <t xml:space="preserve">CUDA: parallel computing platform, lets developers write gpu accelerated code </t>
  </si>
  <si>
    <t xml:space="preserve">cuDNN: gpu accelerated deep nueral network library </t>
  </si>
  <si>
    <t xml:space="preserve">TensorRT: optimizes trained ai models for fast inference </t>
  </si>
  <si>
    <t xml:space="preserve">Omniverse: 3D collaboration &amp; simulation platform </t>
  </si>
  <si>
    <t xml:space="preserve">nvda ai enterprise: paid software suite for ai development &amp; deployment </t>
  </si>
  <si>
    <t xml:space="preserve">drivers &amp; sdks: continuous updates that improve performance &amp; stability </t>
  </si>
  <si>
    <t>CUDA is properietary, once your ai workload is written for cuda, switching to amd or intel gpus requires extensive rewrites</t>
  </si>
  <si>
    <t>software updates make newer hardware much more attractive, creates built in upgrade cycles</t>
  </si>
  <si>
    <t xml:space="preserve">if ai capex from msft, goog, amazn, meta is accelerating, new prod launch cycle, cuda ecosystem expanding </t>
  </si>
  <si>
    <t xml:space="preserve">nvda weakness hurts mrvl, avgo, could boost amd if competitive issues </t>
  </si>
  <si>
    <t xml:space="preserve">if export restrictions hit data center gpu sales hard, hyperscale capex slows or next gen prod slips </t>
  </si>
  <si>
    <t xml:space="preserve">investing insight </t>
  </si>
  <si>
    <t>why do hyperscalers need new gpus/hardware frequently?</t>
  </si>
  <si>
    <t>ai models gettng bigger fast (billions to trillions parameters)</t>
  </si>
  <si>
    <t xml:space="preserve">more parameters = memore memory + more compute per training job </t>
  </si>
  <si>
    <t xml:space="preserve">each gpu has a fixed amount of compute (FLOPs) and memory bandwidth </t>
  </si>
  <si>
    <t xml:space="preserve">if you want to train in a reasonable time, you need more gpus working in parallel </t>
  </si>
  <si>
    <t xml:space="preserve">ai workloads expanding in size </t>
  </si>
  <si>
    <t xml:space="preserve">performance per watt leapfrogs each generation </t>
  </si>
  <si>
    <t xml:space="preserve">new nvda gpu can deiver 2-4x performance per unit of power vs last gen </t>
  </si>
  <si>
    <t>in the data center world, faster = cheaper over the life of the hardware (less energy cost per unit fo work)</t>
  </si>
  <si>
    <t>physical capacity limits</t>
  </si>
  <si>
    <t>data centers have physical racks where each rack holds a certain number of servers</t>
  </si>
  <si>
    <t xml:space="preserve">when racks fill, they either: add more racks (requires space, power, cooling) or replace old servers with newer, denser, more powerful ones </t>
  </si>
  <si>
    <t xml:space="preserve">Meaning of capacity in AI terms </t>
  </si>
  <si>
    <t xml:space="preserve">classical ml (small models): fit easily oon cpus or one consumer grade gpu, demand is minimal </t>
  </si>
  <si>
    <t xml:space="preserve">modern ai (large models): training gpt-4-level models requires thousands of top tier gpus in parallel </t>
  </si>
  <si>
    <t xml:space="preserve">capacity = total compute available for jobs at any given time </t>
  </si>
  <si>
    <t xml:space="preserve">its measures in PFLOPs (petaflops) or gpu hours </t>
  </si>
  <si>
    <t xml:space="preserve">each job consumers some portion of that capacity for as long as it runs </t>
  </si>
  <si>
    <t>example</t>
  </si>
  <si>
    <t>you have a cluster with 1,000 gpus</t>
  </si>
  <si>
    <t xml:space="preserve">a training job needs 256gpus for 3 weeks, those gpus are occupied (capacity tied up) until it finishes </t>
  </si>
  <si>
    <t>if new customers/jobs arrive, you either wait in a queue or buy/install more gpus</t>
  </si>
  <si>
    <t xml:space="preserve">The CAPEX process </t>
  </si>
  <si>
    <t>1. hyperscaler places. Amulti-million/billion dolar order with nvda or an oem (dell/supermicro,etc) for gpu servers</t>
  </si>
  <si>
    <t>2. nvda designs the cpu, tsmc fabs the chip, nvda sells gpu boards to svr manufacturers (oems), oems assemble the gpu into full svrs with cpus, memory, storage, networking</t>
  </si>
  <si>
    <t xml:space="preserve">3. units are crated and shipped toa. Data center facility </t>
  </si>
  <si>
    <t xml:space="preserve">4. data center team signs off on delivery at the dock </t>
  </si>
  <si>
    <t>5. servers are installed into racks, power and networking cables connected, gpus configured and linkedin via nvlink/infiniBand</t>
  </si>
  <si>
    <t>6. servers are added into the hyperscalers cluster management system, gpu resources are now online and schedulable for jobs</t>
  </si>
  <si>
    <t>7. once insalled: hyperscaler teams (or external customers) submit AI training or inference jobs</t>
  </si>
  <si>
    <t>training jobs use huge batches of data, run for days/weeks, keep gpus at 90-100% utilization</t>
  </si>
  <si>
    <t xml:space="preserve">inference jobs serve ai models to milions of users, gpus must stay available 24/7 for low latency responses </t>
  </si>
  <si>
    <t>as jobs pile up, utilization hits limits --&gt; more gpus are ordered</t>
  </si>
  <si>
    <t xml:space="preserve">8. why this may mean recurring sales for nvidia </t>
  </si>
  <si>
    <t xml:space="preserve">ai demand isn't 1 and done, once. Hyperscaler has a big cluster, they still need: </t>
  </si>
  <si>
    <t>more gpus as demand grows</t>
  </si>
  <si>
    <t>new gpus to lower cost per job</t>
  </si>
  <si>
    <t>replacement gpus whe old ones age out (3-5yr refresh cycle)</t>
  </si>
  <si>
    <t xml:space="preserve">hyperscalers also expand to new data centers globally to reduce latency --&gt; each site needs it own hardware build out </t>
  </si>
  <si>
    <t xml:space="preserve">AI server = recangle containing 2 CPUs, 4-8 GPUs, big ram + gpu vram, SSd storage, high speed NICs, power &amp; cooling, mounted rack slot in data center </t>
  </si>
  <si>
    <t xml:space="preserve">Proceeds from maturities of marketable securities </t>
  </si>
  <si>
    <t xml:space="preserve">Proceeds from sales of marketable securities </t>
  </si>
  <si>
    <t xml:space="preserve">Proceeds from sales of non-mark equity securities </t>
  </si>
  <si>
    <t xml:space="preserve">Purchases of marketable securities </t>
  </si>
  <si>
    <t>Purchase related to PPE and intangible assets</t>
  </si>
  <si>
    <t>Purchases of Non-Marketable Security Buys</t>
  </si>
  <si>
    <t>Proceeds from sales of investments in non-affiliated</t>
  </si>
  <si>
    <t>Purchases of investments in non affiliated entities</t>
  </si>
  <si>
    <t>Proceeds related to employee stock plans</t>
  </si>
  <si>
    <t>Payments related to repurchases of common</t>
  </si>
  <si>
    <t>Principal payments on PPE/intangible assets</t>
  </si>
  <si>
    <t xml:space="preserve">Repayment of Debt </t>
  </si>
  <si>
    <t>Cash Increase</t>
  </si>
  <si>
    <t>Total Debt</t>
  </si>
  <si>
    <t xml:space="preserve">Total Cash </t>
  </si>
  <si>
    <t>Net Cash</t>
  </si>
  <si>
    <t xml:space="preserve">Tangible Book Value </t>
  </si>
  <si>
    <t>Colette Kress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</si>
</sst>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m/d;@"/>
    <numFmt numFmtId="166" formatCode="0.0"/>
    <numFmt numFmtId="167" formatCode="0.0%"/>
  </numFmts>
  <fonts count="7" x14ac:knownFonts="1">
    <font>
      <sz val="12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u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u/>
      <sz val="12"/>
      <color theme="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3" fontId="0" fillId="0" borderId="1" xfId="0" applyNumberFormat="1" applyBorder="1"/>
    <xf numFmtId="3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0" xfId="0" applyNumberFormat="1" applyAlignment="1">
      <alignment horizontal="left" indent="1"/>
    </xf>
    <xf numFmtId="9" fontId="0" fillId="0" borderId="0" xfId="0" applyNumberFormat="1" applyAlignment="1">
      <alignment horizontal="left" indent="1"/>
    </xf>
    <xf numFmtId="9" fontId="0" fillId="0" borderId="0" xfId="0" applyNumberFormat="1"/>
    <xf numFmtId="166" fontId="0" fillId="0" borderId="0" xfId="0" applyNumberFormat="1"/>
    <xf numFmtId="3" fontId="0" fillId="0" borderId="0" xfId="0" quotePrefix="1" applyNumberFormat="1"/>
    <xf numFmtId="3" fontId="2" fillId="0" borderId="0" xfId="0" applyNumberFormat="1" applyFont="1"/>
    <xf numFmtId="3" fontId="3" fillId="0" borderId="0" xfId="1" applyNumberFormat="1"/>
    <xf numFmtId="167" fontId="0" fillId="0" borderId="0" xfId="0" applyNumberFormat="1"/>
    <xf numFmtId="14" fontId="0" fillId="0" borderId="0" xfId="0" applyNumberFormat="1"/>
    <xf numFmtId="0" fontId="3" fillId="0" borderId="0" xfId="1"/>
    <xf numFmtId="14" fontId="0" fillId="0" borderId="0" xfId="0" applyNumberFormat="1" applyAlignment="1">
      <alignment horizontal="left"/>
    </xf>
    <xf numFmtId="14" fontId="3" fillId="0" borderId="0" xfId="1" applyNumberFormat="1" applyAlignment="1">
      <alignment horizontal="left"/>
    </xf>
    <xf numFmtId="3" fontId="4" fillId="0" borderId="0" xfId="0" applyNumberFormat="1" applyFont="1"/>
    <xf numFmtId="3" fontId="5" fillId="0" borderId="0" xfId="0" applyNumberFormat="1" applyFont="1"/>
    <xf numFmtId="3" fontId="0" fillId="0" borderId="0" xfId="0" applyNumberFormat="1" applyAlignment="1">
      <alignment horizontal="left" indent="1"/>
    </xf>
    <xf numFmtId="3" fontId="2" fillId="0" borderId="0" xfId="0" applyNumberFormat="1" applyFont="1" applyAlignment="1">
      <alignment horizontal="left"/>
    </xf>
    <xf numFmtId="3" fontId="6" fillId="2" borderId="0" xfId="0" applyNumberFormat="1" applyFont="1" applyFill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583081</xdr:colOff>
      <xdr:row>0</xdr:row>
      <xdr:rowOff>88900</xdr:rowOff>
    </xdr:from>
    <xdr:to>
      <xdr:col>11</xdr:col>
      <xdr:colOff>15975</xdr:colOff>
      <xdr:row>125</xdr:row>
      <xdr:rowOff>135786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6EF0234-C2F9-B1FD-5D54-62C4E9C6D2CA}"/>
            </a:ext>
          </a:extLst>
        </xdr:cNvPr>
        <xdr:cNvCxnSpPr/>
      </xdr:nvCxnSpPr>
      <xdr:spPr>
        <a:xfrm>
          <a:off x="6757358" y="88900"/>
          <a:ext cx="15975" cy="2341009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38100</xdr:colOff>
      <xdr:row>0</xdr:row>
      <xdr:rowOff>0</xdr:rowOff>
    </xdr:from>
    <xdr:to>
      <xdr:col>27</xdr:col>
      <xdr:colOff>63500</xdr:colOff>
      <xdr:row>57</xdr:row>
      <xdr:rowOff>101600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CA28FA0-8349-E947-9583-8685F1487E44}"/>
            </a:ext>
          </a:extLst>
        </xdr:cNvPr>
        <xdr:cNvCxnSpPr/>
      </xdr:nvCxnSpPr>
      <xdr:spPr>
        <a:xfrm>
          <a:off x="14490700" y="0"/>
          <a:ext cx="25400" cy="11684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vidia.com/en-us/events/siggraph/" TargetMode="External"/><Relationship Id="rId2" Type="http://schemas.openxmlformats.org/officeDocument/2006/relationships/hyperlink" Target="https://blogs.nvidia.com/blog/openai-gpt-oss/" TargetMode="External"/><Relationship Id="rId1" Type="http://schemas.openxmlformats.org/officeDocument/2006/relationships/hyperlink" Target="https://nvidianews.nvidia.com/news/nvidia-announces-financial-results-for-first-quarter-fiscal-2026" TargetMode="External"/><Relationship Id="rId6" Type="http://schemas.openxmlformats.org/officeDocument/2006/relationships/hyperlink" Target="https://developer.nvidia.com/blog/nvidia-dynamo-adds-support-for-aws-services-to-deliver-cost-efficient-inference-at-scale/" TargetMode="External"/><Relationship Id="rId5" Type="http://schemas.openxmlformats.org/officeDocument/2006/relationships/hyperlink" Target="https://blogs.nvidia.com/blog/rtx-ai-garage-openai-oss/" TargetMode="External"/><Relationship Id="rId4" Type="http://schemas.openxmlformats.org/officeDocument/2006/relationships/hyperlink" Target="https://developer.nvidia.com/blog/delivering-1-5-m-tps-inference-on-nvidia-gb200-nvl72-nvidia-accelerates-openai-gpt-oss-models-from-cloud-to-edg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nvidia.com/networking-ethernet-software/nvidia-air/" TargetMode="External"/><Relationship Id="rId13" Type="http://schemas.openxmlformats.org/officeDocument/2006/relationships/hyperlink" Target="https://www.nvidia.com/en-us/data-center/gb300-nvl72/" TargetMode="External"/><Relationship Id="rId18" Type="http://schemas.openxmlformats.org/officeDocument/2006/relationships/hyperlink" Target="https://www.nvidia.com/en-us/data-center/rtx-pro-6000-blackwell-server-edition/" TargetMode="External"/><Relationship Id="rId3" Type="http://schemas.openxmlformats.org/officeDocument/2006/relationships/hyperlink" Target="https://docs.nvidia.com/deploy/index.html" TargetMode="External"/><Relationship Id="rId21" Type="http://schemas.openxmlformats.org/officeDocument/2006/relationships/hyperlink" Target="https://www.nvidia.com/en-us/data-center/h100/" TargetMode="External"/><Relationship Id="rId7" Type="http://schemas.openxmlformats.org/officeDocument/2006/relationships/hyperlink" Target="https://docs.nvidia.com/ai-enterprise/index.html" TargetMode="External"/><Relationship Id="rId12" Type="http://schemas.openxmlformats.org/officeDocument/2006/relationships/hyperlink" Target="https://www.nvidia.com/en-us/networking/spectrumx/" TargetMode="External"/><Relationship Id="rId17" Type="http://schemas.openxmlformats.org/officeDocument/2006/relationships/hyperlink" Target="https://www.nvidia.com/en-us/data-center/l4/" TargetMode="External"/><Relationship Id="rId2" Type="http://schemas.openxmlformats.org/officeDocument/2006/relationships/hyperlink" Target="https://docs.nvidia.com/cloudera/reference-architecture-nvidia-cloudera-components.html" TargetMode="External"/><Relationship Id="rId16" Type="http://schemas.openxmlformats.org/officeDocument/2006/relationships/hyperlink" Target="https://www.nvidia.com/en-us/data-center/h200/" TargetMode="External"/><Relationship Id="rId20" Type="http://schemas.openxmlformats.org/officeDocument/2006/relationships/hyperlink" Target="https://resources.nvidia.com/en-us-gpu-resources/h100-datasheet-24306?lx=CPwSfP" TargetMode="External"/><Relationship Id="rId1" Type="http://schemas.openxmlformats.org/officeDocument/2006/relationships/hyperlink" Target="https://github.com/ai-dynamo" TargetMode="External"/><Relationship Id="rId6" Type="http://schemas.openxmlformats.org/officeDocument/2006/relationships/hyperlink" Target="https://docs.nvidia.com/aerial/index.html" TargetMode="External"/><Relationship Id="rId11" Type="http://schemas.openxmlformats.org/officeDocument/2006/relationships/hyperlink" Target="https://www.nvidia.com/en-us/networking/products/data-processing-unit/" TargetMode="External"/><Relationship Id="rId5" Type="http://schemas.openxmlformats.org/officeDocument/2006/relationships/hyperlink" Target="https://docs.nvidia.com/aiqtoolkit/index.html" TargetMode="External"/><Relationship Id="rId15" Type="http://schemas.openxmlformats.org/officeDocument/2006/relationships/hyperlink" Target="https://www.nvidia.com/en-us/data-center/hgx/" TargetMode="External"/><Relationship Id="rId10" Type="http://schemas.openxmlformats.org/officeDocument/2006/relationships/hyperlink" Target="https://www.nvidia.com/en-us/data-center/grace-cpu/" TargetMode="External"/><Relationship Id="rId19" Type="http://schemas.openxmlformats.org/officeDocument/2006/relationships/hyperlink" Target="https://resources.nvidia.com/en-us-gpu-resources/hpc-datasheet-sc23?lx=CPwSfP" TargetMode="External"/><Relationship Id="rId4" Type="http://schemas.openxmlformats.org/officeDocument/2006/relationships/hyperlink" Target="https://docs.nvidia.com/dgx-cloud/nemo-dgx-cloud/current/" TargetMode="External"/><Relationship Id="rId9" Type="http://schemas.openxmlformats.org/officeDocument/2006/relationships/hyperlink" Target="https://resources.nvidia.com/en-us-blackwell-architecture" TargetMode="External"/><Relationship Id="rId14" Type="http://schemas.openxmlformats.org/officeDocument/2006/relationships/hyperlink" Target="https://www.nvidia.com/en-us/data-center/gb200-nvl72/" TargetMode="External"/><Relationship Id="rId22" Type="http://schemas.openxmlformats.org/officeDocument/2006/relationships/hyperlink" Target="https://resources.nvidia.com/en-us-gpu-resources/l4-tensor-datasheet?lx=CPwSf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6837-64DD-214C-8CDA-FD021329E3C2}">
  <dimension ref="B3:L87"/>
  <sheetViews>
    <sheetView zoomScale="119" workbookViewId="0">
      <selection activeCell="C12" sqref="C12"/>
    </sheetView>
  </sheetViews>
  <sheetFormatPr baseColWidth="10" defaultRowHeight="16" x14ac:dyDescent="0.2"/>
  <cols>
    <col min="1" max="1" width="1.83203125" style="2" customWidth="1"/>
    <col min="2" max="2" width="13" style="2" customWidth="1"/>
    <col min="3" max="3" width="12.1640625" style="2" bestFit="1" customWidth="1"/>
    <col min="4" max="5" width="10.83203125" style="2"/>
    <col min="6" max="6" width="4" style="2" bestFit="1" customWidth="1"/>
    <col min="7" max="7" width="14.6640625" style="2" bestFit="1" customWidth="1"/>
    <col min="8" max="8" width="5.5" style="2" bestFit="1" customWidth="1"/>
    <col min="9" max="9" width="10.83203125" style="16"/>
    <col min="10" max="11" width="10.83203125" style="2"/>
    <col min="12" max="12" width="122.5" style="2" bestFit="1" customWidth="1"/>
    <col min="13" max="16384" width="10.83203125" style="2"/>
  </cols>
  <sheetData>
    <row r="3" spans="2:12" x14ac:dyDescent="0.2">
      <c r="F3" s="2" t="s">
        <v>0</v>
      </c>
      <c r="G3" s="2">
        <v>182</v>
      </c>
    </row>
    <row r="4" spans="2:12" x14ac:dyDescent="0.2">
      <c r="B4" s="2" t="s">
        <v>7</v>
      </c>
      <c r="C4" s="2" t="s">
        <v>82</v>
      </c>
      <c r="F4" s="2" t="s">
        <v>1</v>
      </c>
      <c r="G4" s="2">
        <f>24.4*1000</f>
        <v>24400</v>
      </c>
      <c r="H4" s="2" t="s">
        <v>6</v>
      </c>
    </row>
    <row r="5" spans="2:12" x14ac:dyDescent="0.2">
      <c r="B5" s="2" t="s">
        <v>8</v>
      </c>
      <c r="C5" s="2" t="s">
        <v>195</v>
      </c>
      <c r="F5" s="5" t="s">
        <v>2</v>
      </c>
      <c r="G5" s="5">
        <f>+G3*G4</f>
        <v>4440800</v>
      </c>
      <c r="L5" s="2" t="s">
        <v>108</v>
      </c>
    </row>
    <row r="6" spans="2:12" x14ac:dyDescent="0.2">
      <c r="F6" s="2" t="s">
        <v>3</v>
      </c>
      <c r="G6" s="2">
        <f>15234+38457</f>
        <v>53691</v>
      </c>
      <c r="H6" s="2" t="s">
        <v>6</v>
      </c>
      <c r="L6" s="2" t="s">
        <v>109</v>
      </c>
    </row>
    <row r="7" spans="2:12" x14ac:dyDescent="0.2">
      <c r="B7" s="2" t="s">
        <v>22</v>
      </c>
      <c r="F7" s="2" t="s">
        <v>4</v>
      </c>
      <c r="G7" s="2">
        <v>8464</v>
      </c>
      <c r="H7" s="2" t="s">
        <v>6</v>
      </c>
      <c r="L7" s="2" t="s">
        <v>110</v>
      </c>
    </row>
    <row r="8" spans="2:12" x14ac:dyDescent="0.2">
      <c r="B8" s="6" t="s">
        <v>23</v>
      </c>
      <c r="F8" s="5" t="s">
        <v>5</v>
      </c>
      <c r="G8" s="5">
        <f>+G5-G6+G7</f>
        <v>4395573</v>
      </c>
      <c r="L8" s="2" t="s">
        <v>111</v>
      </c>
    </row>
    <row r="9" spans="2:12" x14ac:dyDescent="0.2">
      <c r="L9" s="2" t="s">
        <v>112</v>
      </c>
    </row>
    <row r="10" spans="2:12" x14ac:dyDescent="0.2">
      <c r="L10" s="2" t="s">
        <v>113</v>
      </c>
    </row>
    <row r="11" spans="2:12" x14ac:dyDescent="0.2">
      <c r="G11" s="2">
        <f>+G5+175000000</f>
        <v>179440800</v>
      </c>
      <c r="L11" s="2" t="s">
        <v>114</v>
      </c>
    </row>
    <row r="12" spans="2:12" x14ac:dyDescent="0.2">
      <c r="G12" s="2">
        <f>+G11/G4</f>
        <v>7354.1311475409839</v>
      </c>
      <c r="L12" s="2" t="s">
        <v>115</v>
      </c>
    </row>
    <row r="13" spans="2:12" x14ac:dyDescent="0.2">
      <c r="L13" s="22" t="s">
        <v>116</v>
      </c>
    </row>
    <row r="14" spans="2:12" x14ac:dyDescent="0.2">
      <c r="L14" s="22" t="s">
        <v>117</v>
      </c>
    </row>
    <row r="15" spans="2:12" x14ac:dyDescent="0.2">
      <c r="I15" s="18"/>
      <c r="L15" s="22" t="s">
        <v>118</v>
      </c>
    </row>
    <row r="16" spans="2:12" x14ac:dyDescent="0.2">
      <c r="B16" s="4" t="s">
        <v>81</v>
      </c>
      <c r="D16" s="2" t="s">
        <v>16</v>
      </c>
      <c r="I16" s="18" t="s">
        <v>85</v>
      </c>
    </row>
    <row r="17" spans="2:12" x14ac:dyDescent="0.2">
      <c r="B17" s="14" t="s">
        <v>17</v>
      </c>
      <c r="D17" s="2" t="s">
        <v>84</v>
      </c>
      <c r="I17" s="19">
        <v>45874</v>
      </c>
      <c r="L17" s="20" t="s">
        <v>119</v>
      </c>
    </row>
    <row r="18" spans="2:12" x14ac:dyDescent="0.2">
      <c r="I18" s="19">
        <v>40400</v>
      </c>
      <c r="L18" s="2" t="s">
        <v>120</v>
      </c>
    </row>
    <row r="19" spans="2:12" x14ac:dyDescent="0.2">
      <c r="I19" s="19">
        <v>45874</v>
      </c>
      <c r="L19" s="2" t="s">
        <v>121</v>
      </c>
    </row>
    <row r="20" spans="2:12" x14ac:dyDescent="0.2">
      <c r="I20" s="19">
        <v>45874</v>
      </c>
      <c r="L20" s="2" t="s">
        <v>122</v>
      </c>
    </row>
    <row r="21" spans="2:12" x14ac:dyDescent="0.2">
      <c r="I21" s="19">
        <v>45853</v>
      </c>
      <c r="L21" s="2" t="s">
        <v>123</v>
      </c>
    </row>
    <row r="22" spans="2:12" x14ac:dyDescent="0.2">
      <c r="I22" s="18"/>
      <c r="L22" s="2" t="s">
        <v>124</v>
      </c>
    </row>
    <row r="23" spans="2:12" x14ac:dyDescent="0.2">
      <c r="I23" s="18"/>
    </row>
    <row r="25" spans="2:12" x14ac:dyDescent="0.2">
      <c r="L25" s="13" t="s">
        <v>125</v>
      </c>
    </row>
    <row r="26" spans="2:12" x14ac:dyDescent="0.2">
      <c r="L26" s="2" t="s">
        <v>126</v>
      </c>
    </row>
    <row r="27" spans="2:12" x14ac:dyDescent="0.2">
      <c r="L27" s="2" t="s">
        <v>127</v>
      </c>
    </row>
    <row r="28" spans="2:12" x14ac:dyDescent="0.2">
      <c r="L28" s="2" t="s">
        <v>128</v>
      </c>
    </row>
    <row r="29" spans="2:12" x14ac:dyDescent="0.2">
      <c r="L29" s="2" t="s">
        <v>129</v>
      </c>
    </row>
    <row r="30" spans="2:12" x14ac:dyDescent="0.2">
      <c r="L30" s="2" t="s">
        <v>130</v>
      </c>
    </row>
    <row r="31" spans="2:12" x14ac:dyDescent="0.2">
      <c r="L31" s="2" t="s">
        <v>131</v>
      </c>
    </row>
    <row r="33" spans="12:12" x14ac:dyDescent="0.2">
      <c r="L33" s="2" t="s">
        <v>132</v>
      </c>
    </row>
    <row r="34" spans="12:12" x14ac:dyDescent="0.2">
      <c r="L34" s="2" t="s">
        <v>133</v>
      </c>
    </row>
    <row r="36" spans="12:12" x14ac:dyDescent="0.2">
      <c r="L36" s="13" t="s">
        <v>137</v>
      </c>
    </row>
    <row r="37" spans="12:12" x14ac:dyDescent="0.2">
      <c r="L37" s="2" t="s">
        <v>134</v>
      </c>
    </row>
    <row r="38" spans="12:12" x14ac:dyDescent="0.2">
      <c r="L38" s="21" t="s">
        <v>136</v>
      </c>
    </row>
    <row r="39" spans="12:12" x14ac:dyDescent="0.2">
      <c r="L39" s="2" t="s">
        <v>135</v>
      </c>
    </row>
    <row r="42" spans="12:12" x14ac:dyDescent="0.2">
      <c r="L42" s="24" t="s">
        <v>138</v>
      </c>
    </row>
    <row r="43" spans="12:12" x14ac:dyDescent="0.2">
      <c r="L43" s="13" t="s">
        <v>143</v>
      </c>
    </row>
    <row r="44" spans="12:12" x14ac:dyDescent="0.2">
      <c r="L44" s="22" t="s">
        <v>139</v>
      </c>
    </row>
    <row r="45" spans="12:12" x14ac:dyDescent="0.2">
      <c r="L45" s="22" t="s">
        <v>140</v>
      </c>
    </row>
    <row r="46" spans="12:12" x14ac:dyDescent="0.2">
      <c r="L46" s="22" t="s">
        <v>141</v>
      </c>
    </row>
    <row r="47" spans="12:12" x14ac:dyDescent="0.2">
      <c r="L47" s="22" t="s">
        <v>142</v>
      </c>
    </row>
    <row r="48" spans="12:12" x14ac:dyDescent="0.2">
      <c r="L48" s="23" t="s">
        <v>144</v>
      </c>
    </row>
    <row r="49" spans="12:12" x14ac:dyDescent="0.2">
      <c r="L49" s="22" t="s">
        <v>145</v>
      </c>
    </row>
    <row r="50" spans="12:12" x14ac:dyDescent="0.2">
      <c r="L50" s="22" t="s">
        <v>146</v>
      </c>
    </row>
    <row r="51" spans="12:12" x14ac:dyDescent="0.2">
      <c r="L51" s="23" t="s">
        <v>147</v>
      </c>
    </row>
    <row r="52" spans="12:12" x14ac:dyDescent="0.2">
      <c r="L52" s="2" t="s">
        <v>148</v>
      </c>
    </row>
    <row r="53" spans="12:12" x14ac:dyDescent="0.2">
      <c r="L53" s="2" t="s">
        <v>149</v>
      </c>
    </row>
    <row r="56" spans="12:12" x14ac:dyDescent="0.2">
      <c r="L56" s="13" t="s">
        <v>150</v>
      </c>
    </row>
    <row r="57" spans="12:12" x14ac:dyDescent="0.2">
      <c r="L57" s="2" t="s">
        <v>151</v>
      </c>
    </row>
    <row r="58" spans="12:12" x14ac:dyDescent="0.2">
      <c r="L58" s="2" t="s">
        <v>152</v>
      </c>
    </row>
    <row r="59" spans="12:12" x14ac:dyDescent="0.2">
      <c r="L59" s="13" t="s">
        <v>153</v>
      </c>
    </row>
    <row r="60" spans="12:12" x14ac:dyDescent="0.2">
      <c r="L60" s="22" t="s">
        <v>154</v>
      </c>
    </row>
    <row r="61" spans="12:12" x14ac:dyDescent="0.2">
      <c r="L61" s="22" t="s">
        <v>155</v>
      </c>
    </row>
    <row r="62" spans="12:12" x14ac:dyDescent="0.2">
      <c r="L62" s="2" t="s">
        <v>156</v>
      </c>
    </row>
    <row r="63" spans="12:12" x14ac:dyDescent="0.2">
      <c r="L63" s="2" t="s">
        <v>157</v>
      </c>
    </row>
    <row r="64" spans="12:12" x14ac:dyDescent="0.2">
      <c r="L64" s="2" t="s">
        <v>158</v>
      </c>
    </row>
    <row r="65" spans="12:12" x14ac:dyDescent="0.2">
      <c r="L65" s="2" t="s">
        <v>159</v>
      </c>
    </row>
    <row r="68" spans="12:12" x14ac:dyDescent="0.2">
      <c r="L68" s="13" t="s">
        <v>160</v>
      </c>
    </row>
    <row r="69" spans="12:12" x14ac:dyDescent="0.2">
      <c r="L69" s="2" t="s">
        <v>161</v>
      </c>
    </row>
    <row r="70" spans="12:12" x14ac:dyDescent="0.2">
      <c r="L70" s="2" t="s">
        <v>162</v>
      </c>
    </row>
    <row r="71" spans="12:12" x14ac:dyDescent="0.2">
      <c r="L71" s="2" t="s">
        <v>163</v>
      </c>
    </row>
    <row r="72" spans="12:12" x14ac:dyDescent="0.2">
      <c r="L72" s="2" t="s">
        <v>164</v>
      </c>
    </row>
    <row r="73" spans="12:12" x14ac:dyDescent="0.2">
      <c r="L73" s="2" t="s">
        <v>165</v>
      </c>
    </row>
    <row r="74" spans="12:12" x14ac:dyDescent="0.2">
      <c r="L74" s="2" t="s">
        <v>166</v>
      </c>
    </row>
    <row r="75" spans="12:12" x14ac:dyDescent="0.2">
      <c r="L75" s="2" t="s">
        <v>167</v>
      </c>
    </row>
    <row r="76" spans="12:12" x14ac:dyDescent="0.2">
      <c r="L76" s="22" t="s">
        <v>168</v>
      </c>
    </row>
    <row r="77" spans="12:12" x14ac:dyDescent="0.2">
      <c r="L77" s="22" t="s">
        <v>169</v>
      </c>
    </row>
    <row r="78" spans="12:12" x14ac:dyDescent="0.2">
      <c r="L78" s="22" t="s">
        <v>170</v>
      </c>
    </row>
    <row r="79" spans="12:12" x14ac:dyDescent="0.2">
      <c r="L79" s="13" t="s">
        <v>171</v>
      </c>
    </row>
    <row r="80" spans="12:12" x14ac:dyDescent="0.2">
      <c r="L80" s="2" t="s">
        <v>172</v>
      </c>
    </row>
    <row r="81" spans="12:12" x14ac:dyDescent="0.2">
      <c r="L81" s="2" t="s">
        <v>173</v>
      </c>
    </row>
    <row r="82" spans="12:12" x14ac:dyDescent="0.2">
      <c r="L82" s="2" t="s">
        <v>174</v>
      </c>
    </row>
    <row r="83" spans="12:12" x14ac:dyDescent="0.2">
      <c r="L83" s="2" t="s">
        <v>175</v>
      </c>
    </row>
    <row r="84" spans="12:12" x14ac:dyDescent="0.2">
      <c r="L84" s="2" t="s">
        <v>176</v>
      </c>
    </row>
    <row r="87" spans="12:12" x14ac:dyDescent="0.2">
      <c r="L87" s="2" t="s">
        <v>177</v>
      </c>
    </row>
  </sheetData>
  <hyperlinks>
    <hyperlink ref="B17" r:id="rId1" xr:uid="{D599C2A1-6349-DA43-ACC4-139BBA0DAB95}"/>
    <hyperlink ref="I17" r:id="rId2" display="https://blogs.nvidia.com/blog/openai-gpt-oss/" xr:uid="{9948A281-48FC-0D49-8B43-FF6C740A8763}"/>
    <hyperlink ref="I18" r:id="rId3" display="https://www.nvidia.com/en-us/events/siggraph/" xr:uid="{D4867767-68A3-C846-9F6D-EB508A31F353}"/>
    <hyperlink ref="I19" r:id="rId4" display="https://developer.nvidia.com/blog/delivering-1-5-m-tps-inference-on-nvidia-gb200-nvl72-nvidia-accelerates-openai-gpt-oss-models-from-cloud-to-edge/" xr:uid="{7DF63F61-9824-614D-8257-9934C43EE91F}"/>
    <hyperlink ref="I20" r:id="rId5" display="https://blogs.nvidia.com/blog/rtx-ai-garage-openai-oss/" xr:uid="{58A5A6EE-1B63-9C4C-A974-88CF565B74FD}"/>
    <hyperlink ref="I21" r:id="rId6" display="https://developer.nvidia.com/blog/nvidia-dynamo-adds-support-for-aws-services-to-deliver-cost-efficient-inference-at-scale/" xr:uid="{BE28B631-AD3C-EA47-99CD-DFFE81CA40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2FAB-55E1-3A45-AB8A-2C8F647D30B0}">
  <dimension ref="B3:C26"/>
  <sheetViews>
    <sheetView topLeftCell="A2" zoomScale="137" workbookViewId="0">
      <selection activeCell="D11" sqref="D11"/>
    </sheetView>
  </sheetViews>
  <sheetFormatPr baseColWidth="10" defaultRowHeight="16" x14ac:dyDescent="0.2"/>
  <cols>
    <col min="1" max="1" width="3.1640625" customWidth="1"/>
    <col min="2" max="2" width="27.83203125" customWidth="1"/>
  </cols>
  <sheetData>
    <row r="3" spans="2:2" x14ac:dyDescent="0.2">
      <c r="B3" s="17" t="s">
        <v>83</v>
      </c>
    </row>
    <row r="5" spans="2:2" x14ac:dyDescent="0.2">
      <c r="B5" s="17" t="s">
        <v>86</v>
      </c>
    </row>
    <row r="6" spans="2:2" x14ac:dyDescent="0.2">
      <c r="B6" s="17" t="s">
        <v>87</v>
      </c>
    </row>
    <row r="7" spans="2:2" x14ac:dyDescent="0.2">
      <c r="B7" s="17" t="s">
        <v>88</v>
      </c>
    </row>
    <row r="8" spans="2:2" x14ac:dyDescent="0.2">
      <c r="B8" s="17" t="s">
        <v>89</v>
      </c>
    </row>
    <row r="9" spans="2:2" x14ac:dyDescent="0.2">
      <c r="B9" s="17" t="s">
        <v>90</v>
      </c>
    </row>
    <row r="10" spans="2:2" x14ac:dyDescent="0.2">
      <c r="B10" s="17" t="s">
        <v>91</v>
      </c>
    </row>
    <row r="11" spans="2:2" x14ac:dyDescent="0.2">
      <c r="B11" s="17" t="s">
        <v>92</v>
      </c>
    </row>
    <row r="12" spans="2:2" x14ac:dyDescent="0.2">
      <c r="B12" s="17"/>
    </row>
    <row r="13" spans="2:2" x14ac:dyDescent="0.2">
      <c r="B13" t="s">
        <v>97</v>
      </c>
    </row>
    <row r="14" spans="2:2" x14ac:dyDescent="0.2">
      <c r="B14" s="17" t="s">
        <v>93</v>
      </c>
    </row>
    <row r="15" spans="2:2" x14ac:dyDescent="0.2">
      <c r="B15" s="17" t="s">
        <v>94</v>
      </c>
    </row>
    <row r="16" spans="2:2" x14ac:dyDescent="0.2">
      <c r="B16" s="17" t="s">
        <v>95</v>
      </c>
    </row>
    <row r="17" spans="2:3" x14ac:dyDescent="0.2">
      <c r="B17" s="17" t="s">
        <v>96</v>
      </c>
    </row>
    <row r="19" spans="2:3" x14ac:dyDescent="0.2">
      <c r="B19" t="s">
        <v>98</v>
      </c>
    </row>
    <row r="20" spans="2:3" x14ac:dyDescent="0.2">
      <c r="B20" s="17" t="s">
        <v>99</v>
      </c>
    </row>
    <row r="21" spans="2:3" x14ac:dyDescent="0.2">
      <c r="B21" s="17" t="s">
        <v>100</v>
      </c>
    </row>
    <row r="22" spans="2:3" x14ac:dyDescent="0.2">
      <c r="B22" s="17" t="s">
        <v>101</v>
      </c>
    </row>
    <row r="23" spans="2:3" x14ac:dyDescent="0.2">
      <c r="B23" s="17" t="s">
        <v>102</v>
      </c>
      <c r="C23" s="17" t="s">
        <v>105</v>
      </c>
    </row>
    <row r="24" spans="2:3" x14ac:dyDescent="0.2">
      <c r="B24" s="17" t="s">
        <v>103</v>
      </c>
      <c r="C24" s="17" t="s">
        <v>107</v>
      </c>
    </row>
    <row r="25" spans="2:3" x14ac:dyDescent="0.2">
      <c r="B25" s="17" t="s">
        <v>104</v>
      </c>
    </row>
    <row r="26" spans="2:3" x14ac:dyDescent="0.2">
      <c r="B26" s="17" t="s">
        <v>106</v>
      </c>
      <c r="C26" s="17" t="s">
        <v>105</v>
      </c>
    </row>
  </sheetData>
  <hyperlinks>
    <hyperlink ref="B3" r:id="rId1" xr:uid="{F56A57E7-FF79-2E47-AA9B-50EECFD4AFD4}"/>
    <hyperlink ref="B5" r:id="rId2" xr:uid="{F87905B8-1311-7448-BF5D-9DCB7D0CBC08}"/>
    <hyperlink ref="B6" r:id="rId3" xr:uid="{42D6687F-5F22-064C-8D5D-57D418F4E229}"/>
    <hyperlink ref="B7" r:id="rId4" xr:uid="{75DC926B-290A-6B4C-A9E1-D4BBF38BDBCD}"/>
    <hyperlink ref="B8" r:id="rId5" xr:uid="{F465373C-018D-7245-91A9-0E401ED9A7EE}"/>
    <hyperlink ref="B9" r:id="rId6" xr:uid="{7EFE3D20-645C-164E-9085-25B39825B404}"/>
    <hyperlink ref="B10" r:id="rId7" xr:uid="{97E4ACA9-AAD8-EE45-811C-452743489202}"/>
    <hyperlink ref="B11" r:id="rId8" xr:uid="{B890F6A0-E632-7948-BCC1-02847D35E753}"/>
    <hyperlink ref="B14" r:id="rId9" xr:uid="{98C45658-1E3C-EF4B-8A88-DEA5B8054DE3}"/>
    <hyperlink ref="B15" r:id="rId10" xr:uid="{90A3B80E-47EA-7B41-80AE-AFDE06D61E37}"/>
    <hyperlink ref="B16" r:id="rId11" xr:uid="{12FB09E5-1F5D-BF4F-BDFD-CFA7D1DC7189}"/>
    <hyperlink ref="B17" r:id="rId12" xr:uid="{E9949617-863D-B048-A6BA-366F7EC68B98}"/>
    <hyperlink ref="B20" r:id="rId13" xr:uid="{D64855B9-39CF-4D4A-9694-65E4C761901F}"/>
    <hyperlink ref="B21" r:id="rId14" xr:uid="{266163FF-A675-5A4E-AC48-BE8AA666F963}"/>
    <hyperlink ref="B22" r:id="rId15" xr:uid="{96C6D409-250B-264B-94AB-0C15922EB2B3}"/>
    <hyperlink ref="B23" r:id="rId16" xr:uid="{E082D8A1-4437-8542-885C-B8F772493E64}"/>
    <hyperlink ref="B24" r:id="rId17" xr:uid="{5CBDAE61-40E3-0545-87D1-3B5A54B82919}"/>
    <hyperlink ref="B25" r:id="rId18" xr:uid="{3E350532-F4FF-804E-B233-D914D6394A68}"/>
    <hyperlink ref="C23" r:id="rId19" xr:uid="{4445D7A0-7D0A-6D48-8F45-C4651513DFF1}"/>
    <hyperlink ref="C26" r:id="rId20" xr:uid="{D231C3A1-1E4E-FD43-A2B4-ADB152870F10}"/>
    <hyperlink ref="B26" r:id="rId21" xr:uid="{0990CC36-750D-BA4D-A4A8-7C067088C080}"/>
    <hyperlink ref="C24" r:id="rId22" xr:uid="{FC77C457-9E47-BA4F-9103-5B8C519B6C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D012-FEF5-4D43-9CF5-2CE00AF5A8E7}">
  <dimension ref="B2:AY112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F23" sqref="F23"/>
    </sheetView>
  </sheetViews>
  <sheetFormatPr baseColWidth="10" defaultRowHeight="16" x14ac:dyDescent="0.2"/>
  <cols>
    <col min="1" max="1" width="2.33203125" style="2" customWidth="1"/>
    <col min="2" max="2" width="39.33203125" style="2" bestFit="1" customWidth="1"/>
    <col min="3" max="3" width="6.83203125" style="2" bestFit="1" customWidth="1"/>
    <col min="4" max="4" width="6.6640625" style="2" bestFit="1" customWidth="1"/>
    <col min="5" max="5" width="7.83203125" style="2" bestFit="1" customWidth="1"/>
    <col min="6" max="6" width="7.33203125" style="2" bestFit="1" customWidth="1"/>
    <col min="7" max="7" width="6.6640625" style="2" bestFit="1" customWidth="1"/>
    <col min="8" max="9" width="7.33203125" style="2" bestFit="1" customWidth="1"/>
    <col min="10" max="10" width="7.83203125" style="2" bestFit="1" customWidth="1"/>
    <col min="11" max="11" width="7.6640625" style="2" bestFit="1" customWidth="1"/>
    <col min="12" max="12" width="6.83203125" style="2" bestFit="1" customWidth="1"/>
    <col min="13" max="14" width="5.5" style="2" customWidth="1"/>
    <col min="15" max="16" width="10.83203125" style="2"/>
    <col min="17" max="20" width="5.1640625" style="2" bestFit="1" customWidth="1"/>
    <col min="21" max="26" width="6.6640625" style="2" bestFit="1" customWidth="1"/>
    <col min="27" max="27" width="7.6640625" style="2" bestFit="1" customWidth="1"/>
    <col min="28" max="28" width="7.83203125" style="2" bestFit="1" customWidth="1"/>
    <col min="29" max="51" width="5.1640625" style="2" bestFit="1" customWidth="1"/>
    <col min="52" max="16384" width="10.83203125" style="2"/>
  </cols>
  <sheetData>
    <row r="2" spans="2:51" s="7" customFormat="1" x14ac:dyDescent="0.2">
      <c r="D2" s="7">
        <v>45137</v>
      </c>
      <c r="E2" s="7">
        <v>45228</v>
      </c>
      <c r="G2" s="7">
        <v>45410</v>
      </c>
      <c r="H2" s="7">
        <v>45501</v>
      </c>
      <c r="I2" s="7">
        <v>45592</v>
      </c>
      <c r="J2" s="7">
        <v>45683</v>
      </c>
      <c r="K2" s="7">
        <v>45774</v>
      </c>
      <c r="L2" s="7">
        <v>45896</v>
      </c>
      <c r="W2" s="7">
        <v>44227</v>
      </c>
      <c r="Y2" s="7">
        <v>44955</v>
      </c>
      <c r="Z2" s="7">
        <v>45319</v>
      </c>
      <c r="AA2" s="7">
        <v>45683</v>
      </c>
    </row>
    <row r="3" spans="2:51" s="3" customFormat="1" x14ac:dyDescent="0.2">
      <c r="C3" s="3" t="s">
        <v>9</v>
      </c>
      <c r="D3" s="3" t="s">
        <v>10</v>
      </c>
      <c r="E3" s="3" t="s">
        <v>11</v>
      </c>
      <c r="F3" s="3" t="s">
        <v>12</v>
      </c>
      <c r="G3" s="3" t="s">
        <v>6</v>
      </c>
      <c r="H3" s="3" t="s">
        <v>13</v>
      </c>
      <c r="I3" s="3" t="s">
        <v>14</v>
      </c>
      <c r="J3" s="3" t="s">
        <v>15</v>
      </c>
      <c r="K3" s="3" t="s">
        <v>17</v>
      </c>
      <c r="L3" s="3" t="s">
        <v>18</v>
      </c>
      <c r="M3" s="3" t="s">
        <v>19</v>
      </c>
      <c r="N3" s="3" t="s">
        <v>20</v>
      </c>
      <c r="Q3" s="3">
        <v>2015</v>
      </c>
      <c r="R3" s="3">
        <f>+Q3+1</f>
        <v>2016</v>
      </c>
      <c r="S3" s="3">
        <f t="shared" ref="S3:AY3" si="0">+R3+1</f>
        <v>2017</v>
      </c>
      <c r="T3" s="3">
        <f t="shared" si="0"/>
        <v>2018</v>
      </c>
      <c r="U3" s="3">
        <f t="shared" si="0"/>
        <v>2019</v>
      </c>
      <c r="V3" s="3">
        <f t="shared" si="0"/>
        <v>2020</v>
      </c>
      <c r="W3" s="3">
        <f t="shared" si="0"/>
        <v>2021</v>
      </c>
      <c r="X3" s="3">
        <f t="shared" si="0"/>
        <v>2022</v>
      </c>
      <c r="Y3" s="3">
        <f t="shared" si="0"/>
        <v>2023</v>
      </c>
      <c r="Z3" s="3">
        <f t="shared" si="0"/>
        <v>2024</v>
      </c>
      <c r="AA3" s="3">
        <f t="shared" si="0"/>
        <v>2025</v>
      </c>
      <c r="AB3" s="3">
        <f t="shared" si="0"/>
        <v>2026</v>
      </c>
      <c r="AC3" s="3">
        <f t="shared" si="0"/>
        <v>2027</v>
      </c>
      <c r="AD3" s="3">
        <f t="shared" si="0"/>
        <v>2028</v>
      </c>
      <c r="AE3" s="3">
        <f t="shared" si="0"/>
        <v>2029</v>
      </c>
      <c r="AF3" s="3">
        <f t="shared" si="0"/>
        <v>2030</v>
      </c>
      <c r="AG3" s="3">
        <f t="shared" si="0"/>
        <v>2031</v>
      </c>
      <c r="AH3" s="3">
        <f t="shared" si="0"/>
        <v>2032</v>
      </c>
      <c r="AI3" s="3">
        <f t="shared" si="0"/>
        <v>2033</v>
      </c>
      <c r="AJ3" s="3">
        <f t="shared" si="0"/>
        <v>2034</v>
      </c>
      <c r="AK3" s="3">
        <f t="shared" si="0"/>
        <v>2035</v>
      </c>
      <c r="AL3" s="3">
        <f t="shared" si="0"/>
        <v>2036</v>
      </c>
      <c r="AM3" s="3">
        <f t="shared" si="0"/>
        <v>2037</v>
      </c>
      <c r="AN3" s="3">
        <f t="shared" si="0"/>
        <v>2038</v>
      </c>
      <c r="AO3" s="3">
        <f t="shared" si="0"/>
        <v>2039</v>
      </c>
      <c r="AP3" s="3">
        <f t="shared" si="0"/>
        <v>2040</v>
      </c>
      <c r="AQ3" s="3">
        <f t="shared" si="0"/>
        <v>2041</v>
      </c>
      <c r="AR3" s="3">
        <f t="shared" si="0"/>
        <v>2042</v>
      </c>
      <c r="AS3" s="3">
        <f t="shared" si="0"/>
        <v>2043</v>
      </c>
      <c r="AT3" s="3">
        <f t="shared" si="0"/>
        <v>2044</v>
      </c>
      <c r="AU3" s="3">
        <f t="shared" si="0"/>
        <v>2045</v>
      </c>
      <c r="AV3" s="3">
        <f t="shared" si="0"/>
        <v>2046</v>
      </c>
      <c r="AW3" s="3">
        <f t="shared" si="0"/>
        <v>2047</v>
      </c>
      <c r="AX3" s="3">
        <f t="shared" si="0"/>
        <v>2048</v>
      </c>
      <c r="AY3" s="3">
        <f t="shared" si="0"/>
        <v>2049</v>
      </c>
    </row>
    <row r="4" spans="2:51" s="3" customFormat="1" x14ac:dyDescent="0.2">
      <c r="B4" s="8" t="s">
        <v>37</v>
      </c>
      <c r="C4" s="3">
        <v>3357</v>
      </c>
      <c r="D4" s="3">
        <v>8612</v>
      </c>
      <c r="E4" s="3">
        <v>11908</v>
      </c>
      <c r="F4" s="3">
        <f>+Z4-SUM(C4:E4)</f>
        <v>15073</v>
      </c>
      <c r="G4" s="2">
        <v>19392</v>
      </c>
      <c r="H4" s="3">
        <v>22604</v>
      </c>
      <c r="I4" s="3">
        <v>24644</v>
      </c>
      <c r="J4" s="2">
        <f>+AA4-SUM(G4:I4)</f>
        <v>35556</v>
      </c>
      <c r="K4" s="2">
        <v>34155</v>
      </c>
      <c r="Y4" s="2">
        <v>11317</v>
      </c>
      <c r="Z4" s="2">
        <v>38950</v>
      </c>
      <c r="AA4" s="2">
        <v>102196</v>
      </c>
    </row>
    <row r="5" spans="2:51" s="3" customFormat="1" x14ac:dyDescent="0.2">
      <c r="B5" s="8" t="s">
        <v>38</v>
      </c>
      <c r="C5" s="3">
        <v>927</v>
      </c>
      <c r="D5" s="3">
        <v>1711</v>
      </c>
      <c r="E5" s="3">
        <v>2606</v>
      </c>
      <c r="F5" s="3">
        <f>+Z5-SUM(C5:E5)</f>
        <v>3331</v>
      </c>
      <c r="G5" s="2">
        <v>3171</v>
      </c>
      <c r="H5" s="3">
        <v>3668</v>
      </c>
      <c r="I5" s="3">
        <v>3127</v>
      </c>
      <c r="J5" s="2">
        <f t="shared" ref="J5:J23" si="1">+AA5-SUM(G5:I5)</f>
        <v>3024</v>
      </c>
      <c r="K5" s="2">
        <v>4957</v>
      </c>
      <c r="Y5" s="2">
        <v>3688</v>
      </c>
      <c r="Z5" s="2">
        <v>8575</v>
      </c>
      <c r="AA5" s="2">
        <v>12990</v>
      </c>
    </row>
    <row r="6" spans="2:51" x14ac:dyDescent="0.2">
      <c r="B6" s="2" t="s">
        <v>39</v>
      </c>
      <c r="C6" s="2">
        <f t="shared" ref="C6:I6" si="2">SUM(C4:C5)</f>
        <v>4284</v>
      </c>
      <c r="D6" s="2">
        <f t="shared" si="2"/>
        <v>10323</v>
      </c>
      <c r="E6" s="2">
        <f t="shared" si="2"/>
        <v>14514</v>
      </c>
      <c r="F6" s="2">
        <f t="shared" si="2"/>
        <v>18404</v>
      </c>
      <c r="G6" s="2">
        <f t="shared" si="2"/>
        <v>22563</v>
      </c>
      <c r="H6" s="2">
        <f t="shared" si="2"/>
        <v>26272</v>
      </c>
      <c r="I6" s="2">
        <f t="shared" si="2"/>
        <v>27771</v>
      </c>
      <c r="J6" s="2">
        <f t="shared" si="1"/>
        <v>38580</v>
      </c>
      <c r="K6" s="2">
        <f>SUM(K4:K5)</f>
        <v>39112</v>
      </c>
      <c r="U6" s="2">
        <v>2932</v>
      </c>
      <c r="V6" s="2">
        <v>2983</v>
      </c>
      <c r="W6" s="2">
        <v>6696</v>
      </c>
      <c r="X6" s="2">
        <v>10613</v>
      </c>
      <c r="Y6" s="2">
        <f>SUM(Y4:Y5)</f>
        <v>15005</v>
      </c>
      <c r="Z6" s="2">
        <f>SUM(Z4:Z5)</f>
        <v>47525</v>
      </c>
      <c r="AA6" s="2">
        <f>SUM(AA4:AA5)</f>
        <v>115186</v>
      </c>
    </row>
    <row r="7" spans="2:51" x14ac:dyDescent="0.2">
      <c r="B7" s="2" t="s">
        <v>40</v>
      </c>
      <c r="C7" s="2">
        <v>2240</v>
      </c>
      <c r="D7" s="2">
        <v>2486</v>
      </c>
      <c r="E7" s="2">
        <v>2856</v>
      </c>
      <c r="F7" s="3">
        <f>+Z7-SUM(C7:E7)</f>
        <v>2865</v>
      </c>
      <c r="G7" s="2">
        <v>2647</v>
      </c>
      <c r="H7" s="2">
        <v>2880</v>
      </c>
      <c r="I7" s="2">
        <v>3279</v>
      </c>
      <c r="J7" s="2">
        <f t="shared" si="1"/>
        <v>2544</v>
      </c>
      <c r="K7" s="2">
        <v>3763</v>
      </c>
      <c r="U7" s="2">
        <v>6246</v>
      </c>
      <c r="V7" s="2">
        <v>5518</v>
      </c>
      <c r="W7" s="2">
        <v>7759</v>
      </c>
      <c r="X7" s="2">
        <v>12462</v>
      </c>
      <c r="Y7" s="2">
        <v>9067</v>
      </c>
      <c r="Z7" s="2">
        <v>10447</v>
      </c>
      <c r="AA7" s="2">
        <v>11350</v>
      </c>
    </row>
    <row r="8" spans="2:51" x14ac:dyDescent="0.2">
      <c r="B8" s="2" t="s">
        <v>41</v>
      </c>
      <c r="C8" s="2">
        <v>295</v>
      </c>
      <c r="D8" s="2">
        <v>379</v>
      </c>
      <c r="E8" s="2">
        <v>416</v>
      </c>
      <c r="F8" s="3">
        <f>+Z8-SUM(C8:E8)</f>
        <v>463</v>
      </c>
      <c r="G8" s="2">
        <v>427</v>
      </c>
      <c r="H8" s="2">
        <v>454</v>
      </c>
      <c r="I8" s="2">
        <v>486</v>
      </c>
      <c r="J8" s="2">
        <f t="shared" si="1"/>
        <v>511</v>
      </c>
      <c r="K8" s="2">
        <v>509</v>
      </c>
      <c r="U8" s="2">
        <v>1130</v>
      </c>
      <c r="V8" s="2">
        <v>1212</v>
      </c>
      <c r="W8" s="2">
        <v>1053</v>
      </c>
      <c r="X8" s="2">
        <v>2111</v>
      </c>
      <c r="Y8" s="2">
        <v>1544</v>
      </c>
      <c r="Z8" s="2">
        <v>1553</v>
      </c>
      <c r="AA8" s="2">
        <v>1878</v>
      </c>
    </row>
    <row r="9" spans="2:51" x14ac:dyDescent="0.2">
      <c r="B9" s="2" t="s">
        <v>42</v>
      </c>
      <c r="C9" s="2">
        <v>296</v>
      </c>
      <c r="D9" s="2">
        <v>253</v>
      </c>
      <c r="E9" s="2">
        <v>261</v>
      </c>
      <c r="F9" s="3">
        <f>+Z9-SUM(C9:E9)</f>
        <v>281</v>
      </c>
      <c r="G9" s="2">
        <v>329</v>
      </c>
      <c r="H9" s="2">
        <v>346</v>
      </c>
      <c r="I9" s="2">
        <v>449</v>
      </c>
      <c r="J9" s="2">
        <f t="shared" si="1"/>
        <v>570</v>
      </c>
      <c r="K9" s="2">
        <v>567</v>
      </c>
      <c r="U9" s="2">
        <v>641</v>
      </c>
      <c r="V9" s="2">
        <v>700</v>
      </c>
      <c r="W9" s="2">
        <v>536</v>
      </c>
      <c r="X9" s="2">
        <v>566</v>
      </c>
      <c r="Y9" s="2">
        <v>903</v>
      </c>
      <c r="Z9" s="2">
        <v>1091</v>
      </c>
      <c r="AA9" s="2">
        <v>1694</v>
      </c>
    </row>
    <row r="10" spans="2:51" x14ac:dyDescent="0.2">
      <c r="B10" s="2" t="s">
        <v>43</v>
      </c>
      <c r="C10" s="2">
        <v>77</v>
      </c>
      <c r="D10" s="2">
        <v>66</v>
      </c>
      <c r="E10" s="2">
        <v>73</v>
      </c>
      <c r="F10" s="3">
        <f>+Z10-SUM(C10:E10)</f>
        <v>90</v>
      </c>
      <c r="G10" s="2">
        <v>78</v>
      </c>
      <c r="H10" s="2">
        <v>88</v>
      </c>
      <c r="I10" s="2">
        <v>97</v>
      </c>
      <c r="J10" s="2">
        <f t="shared" si="1"/>
        <v>126</v>
      </c>
      <c r="K10" s="2">
        <v>111</v>
      </c>
      <c r="U10" s="2">
        <v>767</v>
      </c>
      <c r="V10" s="2">
        <v>505</v>
      </c>
      <c r="W10" s="2">
        <v>631</v>
      </c>
      <c r="X10" s="2">
        <v>1162</v>
      </c>
      <c r="Y10" s="2">
        <v>455</v>
      </c>
      <c r="Z10" s="2">
        <v>306</v>
      </c>
      <c r="AA10" s="2">
        <v>389</v>
      </c>
    </row>
    <row r="11" spans="2:51" x14ac:dyDescent="0.2">
      <c r="B11" s="5" t="s">
        <v>21</v>
      </c>
      <c r="C11" s="5">
        <f t="shared" ref="C11:I11" si="3">SUM(C6:C10)</f>
        <v>7192</v>
      </c>
      <c r="D11" s="5">
        <f t="shared" si="3"/>
        <v>13507</v>
      </c>
      <c r="E11" s="5">
        <f t="shared" si="3"/>
        <v>18120</v>
      </c>
      <c r="F11" s="5">
        <f t="shared" si="3"/>
        <v>22103</v>
      </c>
      <c r="G11" s="5">
        <f t="shared" si="3"/>
        <v>26044</v>
      </c>
      <c r="H11" s="5">
        <f t="shared" si="3"/>
        <v>30040</v>
      </c>
      <c r="I11" s="5">
        <f t="shared" si="3"/>
        <v>32082</v>
      </c>
      <c r="J11" s="5">
        <f t="shared" si="1"/>
        <v>42331</v>
      </c>
      <c r="K11" s="5">
        <f>SUM(K6:K10)</f>
        <v>44062</v>
      </c>
      <c r="L11" s="5">
        <f>AVERAGE(45000*0.98,45000*1.02)</f>
        <v>45000</v>
      </c>
      <c r="M11" s="5"/>
      <c r="N11" s="5"/>
      <c r="Q11" s="5"/>
      <c r="R11" s="5"/>
      <c r="S11" s="5"/>
      <c r="T11" s="5"/>
      <c r="U11" s="5">
        <f t="shared" ref="U11:AA11" si="4">SUM(U6:U10)</f>
        <v>11716</v>
      </c>
      <c r="V11" s="5">
        <f t="shared" si="4"/>
        <v>10918</v>
      </c>
      <c r="W11" s="5">
        <f t="shared" si="4"/>
        <v>16675</v>
      </c>
      <c r="X11" s="5">
        <f t="shared" si="4"/>
        <v>26914</v>
      </c>
      <c r="Y11" s="5">
        <f t="shared" si="4"/>
        <v>26974</v>
      </c>
      <c r="Z11" s="5">
        <f t="shared" si="4"/>
        <v>60922</v>
      </c>
      <c r="AA11" s="5">
        <f t="shared" si="4"/>
        <v>130497</v>
      </c>
      <c r="AB11" s="5">
        <v>176000</v>
      </c>
      <c r="AC11" s="5"/>
      <c r="AD11" s="5"/>
      <c r="AE11" s="5"/>
      <c r="AF11" s="5"/>
      <c r="AG11" s="5"/>
      <c r="AH11" s="5"/>
      <c r="AI11" s="5"/>
      <c r="AJ11" s="5"/>
      <c r="AK11" s="5"/>
    </row>
    <row r="12" spans="2:51" x14ac:dyDescent="0.2">
      <c r="B12" s="2" t="s">
        <v>25</v>
      </c>
      <c r="C12" s="2">
        <v>2544</v>
      </c>
      <c r="D12" s="2">
        <v>4045</v>
      </c>
      <c r="E12" s="2">
        <v>4720</v>
      </c>
      <c r="F12" s="3">
        <f t="shared" ref="F12:F18" si="5">+Z12-SUM(C12:E12)</f>
        <v>5312</v>
      </c>
      <c r="G12" s="2">
        <v>5638</v>
      </c>
      <c r="H12" s="2">
        <v>7466</v>
      </c>
      <c r="I12" s="2">
        <v>8926</v>
      </c>
      <c r="J12" s="2">
        <f t="shared" si="1"/>
        <v>10609</v>
      </c>
      <c r="K12" s="2">
        <v>17394</v>
      </c>
      <c r="L12" s="2">
        <f>+L11*0.29</f>
        <v>13050</v>
      </c>
      <c r="P12" s="2">
        <f>44*4</f>
        <v>176</v>
      </c>
      <c r="U12" s="2">
        <v>4545</v>
      </c>
      <c r="V12" s="2">
        <v>4150</v>
      </c>
      <c r="W12" s="2">
        <v>6279</v>
      </c>
      <c r="X12" s="2">
        <v>9439</v>
      </c>
      <c r="Y12" s="2">
        <v>11618</v>
      </c>
      <c r="Z12" s="2">
        <v>16621</v>
      </c>
      <c r="AA12" s="2">
        <v>32639</v>
      </c>
      <c r="AB12" s="2">
        <f>+AB11*0.71</f>
        <v>124960</v>
      </c>
    </row>
    <row r="13" spans="2:51" x14ac:dyDescent="0.2">
      <c r="B13" s="2" t="s">
        <v>26</v>
      </c>
      <c r="C13" s="2">
        <v>1875</v>
      </c>
      <c r="D13" s="2">
        <v>2040</v>
      </c>
      <c r="E13" s="2">
        <v>2294</v>
      </c>
      <c r="F13" s="3">
        <f t="shared" si="5"/>
        <v>2466</v>
      </c>
      <c r="G13" s="2">
        <v>2720</v>
      </c>
      <c r="H13" s="2">
        <v>3090</v>
      </c>
      <c r="I13" s="2">
        <v>3390</v>
      </c>
      <c r="J13" s="2">
        <f t="shared" si="1"/>
        <v>3714</v>
      </c>
      <c r="K13" s="2">
        <v>3989</v>
      </c>
      <c r="L13" s="2">
        <v>4500</v>
      </c>
      <c r="U13" s="2">
        <v>2376</v>
      </c>
      <c r="V13" s="2">
        <v>2829</v>
      </c>
      <c r="W13" s="2">
        <v>3924</v>
      </c>
      <c r="X13" s="2">
        <v>5268</v>
      </c>
      <c r="Y13" s="2">
        <v>7339</v>
      </c>
      <c r="Z13" s="2">
        <v>8675</v>
      </c>
      <c r="AA13" s="2">
        <v>12914</v>
      </c>
      <c r="AB13" s="2">
        <f>8.5*2*10^3</f>
        <v>17000</v>
      </c>
    </row>
    <row r="14" spans="2:51" x14ac:dyDescent="0.2">
      <c r="B14" s="2" t="s">
        <v>27</v>
      </c>
      <c r="C14" s="2">
        <v>633</v>
      </c>
      <c r="D14" s="2">
        <v>622</v>
      </c>
      <c r="E14" s="2">
        <v>689</v>
      </c>
      <c r="F14" s="3">
        <f t="shared" si="5"/>
        <v>710</v>
      </c>
      <c r="G14" s="2">
        <v>777</v>
      </c>
      <c r="H14" s="2">
        <v>842</v>
      </c>
      <c r="I14" s="2">
        <v>897</v>
      </c>
      <c r="J14" s="2">
        <f t="shared" si="1"/>
        <v>975</v>
      </c>
      <c r="K14" s="2">
        <v>1041</v>
      </c>
      <c r="L14" s="2">
        <v>1200</v>
      </c>
      <c r="U14" s="2">
        <v>991</v>
      </c>
      <c r="V14" s="2">
        <v>1093</v>
      </c>
      <c r="W14" s="2">
        <v>1940</v>
      </c>
      <c r="X14" s="2">
        <v>2166</v>
      </c>
      <c r="Y14" s="2">
        <v>2440</v>
      </c>
      <c r="Z14" s="2">
        <v>2654</v>
      </c>
      <c r="AA14" s="2">
        <v>3491</v>
      </c>
      <c r="AB14" s="2">
        <v>4400</v>
      </c>
    </row>
    <row r="15" spans="2:51" x14ac:dyDescent="0.2">
      <c r="B15" s="2" t="s">
        <v>28</v>
      </c>
      <c r="C15" s="2">
        <f>+C11-SUM(C12:C14)</f>
        <v>2140</v>
      </c>
      <c r="D15" s="2">
        <f>+D11-SUM(D12:D14)</f>
        <v>6800</v>
      </c>
      <c r="E15" s="2">
        <f>+E11-SUM(E12:E14)</f>
        <v>10417</v>
      </c>
      <c r="F15" s="3">
        <f t="shared" si="5"/>
        <v>13615</v>
      </c>
      <c r="G15" s="2">
        <f>+G11-SUM(G12:G14)</f>
        <v>16909</v>
      </c>
      <c r="H15" s="2">
        <f>+H11-SUM(H12:H14)</f>
        <v>18642</v>
      </c>
      <c r="I15" s="2">
        <f>+I11-SUM(I12:I14)</f>
        <v>18869</v>
      </c>
      <c r="J15" s="2">
        <f t="shared" si="1"/>
        <v>27033</v>
      </c>
      <c r="K15" s="2">
        <f>+K11-SUM(K12:K14)</f>
        <v>21638</v>
      </c>
      <c r="L15" s="2">
        <f>+L11-SUM(L12:L14)</f>
        <v>26250</v>
      </c>
      <c r="U15" s="2">
        <f t="shared" ref="U15:AB15" si="6">+U11-SUM(U12:U14)</f>
        <v>3804</v>
      </c>
      <c r="V15" s="2">
        <f t="shared" si="6"/>
        <v>2846</v>
      </c>
      <c r="W15" s="2">
        <f t="shared" si="6"/>
        <v>4532</v>
      </c>
      <c r="X15" s="2">
        <f t="shared" si="6"/>
        <v>10041</v>
      </c>
      <c r="Y15" s="2">
        <f t="shared" si="6"/>
        <v>5577</v>
      </c>
      <c r="Z15" s="2">
        <f t="shared" si="6"/>
        <v>32972</v>
      </c>
      <c r="AA15" s="2">
        <f t="shared" si="6"/>
        <v>81453</v>
      </c>
      <c r="AB15" s="2">
        <f t="shared" si="6"/>
        <v>29640</v>
      </c>
    </row>
    <row r="16" spans="2:51" x14ac:dyDescent="0.2">
      <c r="B16" s="2" t="s">
        <v>29</v>
      </c>
      <c r="C16" s="2">
        <v>150</v>
      </c>
      <c r="D16" s="2">
        <v>187</v>
      </c>
      <c r="E16" s="2">
        <v>234</v>
      </c>
      <c r="F16" s="3">
        <f t="shared" si="5"/>
        <v>295</v>
      </c>
      <c r="G16" s="2">
        <v>515</v>
      </c>
      <c r="H16" s="2">
        <v>444</v>
      </c>
      <c r="I16" s="2">
        <v>472</v>
      </c>
      <c r="J16" s="2">
        <f t="shared" si="1"/>
        <v>355</v>
      </c>
      <c r="K16" s="2">
        <v>515</v>
      </c>
      <c r="U16" s="2">
        <v>136</v>
      </c>
      <c r="V16" s="2">
        <v>178</v>
      </c>
      <c r="W16" s="2">
        <v>57</v>
      </c>
      <c r="X16" s="2">
        <v>29</v>
      </c>
      <c r="Y16" s="2">
        <v>267</v>
      </c>
      <c r="Z16" s="2">
        <v>866</v>
      </c>
      <c r="AA16" s="2">
        <v>1786</v>
      </c>
    </row>
    <row r="17" spans="2:28" x14ac:dyDescent="0.2">
      <c r="B17" s="2" t="s">
        <v>30</v>
      </c>
      <c r="C17" s="2">
        <v>-66</v>
      </c>
      <c r="D17" s="2">
        <v>-65</v>
      </c>
      <c r="E17" s="2">
        <v>-63</v>
      </c>
      <c r="F17" s="3">
        <f t="shared" si="5"/>
        <v>-63</v>
      </c>
      <c r="G17" s="2">
        <v>-63</v>
      </c>
      <c r="H17" s="2">
        <v>-61</v>
      </c>
      <c r="I17" s="2">
        <v>-61</v>
      </c>
      <c r="J17" s="2">
        <f t="shared" si="1"/>
        <v>-62</v>
      </c>
      <c r="K17" s="2">
        <v>-63</v>
      </c>
      <c r="U17" s="2">
        <v>-58</v>
      </c>
      <c r="V17" s="2">
        <v>-52</v>
      </c>
      <c r="W17" s="2">
        <v>-184</v>
      </c>
      <c r="X17" s="2">
        <v>-236</v>
      </c>
      <c r="Y17" s="2">
        <v>-262</v>
      </c>
      <c r="Z17" s="2">
        <v>-257</v>
      </c>
      <c r="AA17" s="2">
        <v>-247</v>
      </c>
    </row>
    <row r="18" spans="2:28" x14ac:dyDescent="0.2">
      <c r="B18" s="2" t="s">
        <v>31</v>
      </c>
      <c r="C18" s="2">
        <v>-15</v>
      </c>
      <c r="D18" s="2">
        <v>59</v>
      </c>
      <c r="E18" s="2">
        <v>-66</v>
      </c>
      <c r="F18" s="3">
        <f t="shared" si="5"/>
        <v>259</v>
      </c>
      <c r="G18" s="2">
        <v>-180</v>
      </c>
      <c r="H18" s="2">
        <v>189</v>
      </c>
      <c r="I18" s="2">
        <v>36</v>
      </c>
      <c r="J18" s="2">
        <f t="shared" si="1"/>
        <v>989</v>
      </c>
      <c r="K18" s="2">
        <v>-180</v>
      </c>
      <c r="L18" s="2">
        <v>450</v>
      </c>
      <c r="U18" s="2">
        <v>14</v>
      </c>
      <c r="V18" s="2">
        <v>-2</v>
      </c>
      <c r="W18" s="2">
        <v>4</v>
      </c>
      <c r="X18" s="2">
        <v>107</v>
      </c>
      <c r="Y18" s="2">
        <v>-48</v>
      </c>
      <c r="Z18" s="2">
        <v>237</v>
      </c>
      <c r="AA18" s="2">
        <v>1034</v>
      </c>
      <c r="AB18" s="2">
        <v>600</v>
      </c>
    </row>
    <row r="19" spans="2:28" x14ac:dyDescent="0.2">
      <c r="B19" s="2" t="s">
        <v>32</v>
      </c>
      <c r="C19" s="2">
        <f t="shared" ref="C19:I19" si="7">+SUM(C15:C18)</f>
        <v>2209</v>
      </c>
      <c r="D19" s="2">
        <f t="shared" si="7"/>
        <v>6981</v>
      </c>
      <c r="E19" s="2">
        <f t="shared" si="7"/>
        <v>10522</v>
      </c>
      <c r="F19" s="2">
        <f t="shared" si="7"/>
        <v>14106</v>
      </c>
      <c r="G19" s="2">
        <f t="shared" si="7"/>
        <v>17181</v>
      </c>
      <c r="H19" s="2">
        <f t="shared" si="7"/>
        <v>19214</v>
      </c>
      <c r="I19" s="2">
        <f t="shared" si="7"/>
        <v>19316</v>
      </c>
      <c r="J19" s="2">
        <f t="shared" si="1"/>
        <v>28315</v>
      </c>
      <c r="K19" s="2">
        <f>+SUM(K15:K18)</f>
        <v>21910</v>
      </c>
      <c r="L19" s="2">
        <f>+SUM(L15:L18)</f>
        <v>26700</v>
      </c>
      <c r="U19" s="2">
        <f t="shared" ref="U19:AB19" si="8">+SUM(U15:U18)</f>
        <v>3896</v>
      </c>
      <c r="V19" s="2">
        <f t="shared" si="8"/>
        <v>2970</v>
      </c>
      <c r="W19" s="2">
        <f t="shared" si="8"/>
        <v>4409</v>
      </c>
      <c r="X19" s="2">
        <f t="shared" si="8"/>
        <v>9941</v>
      </c>
      <c r="Y19" s="2">
        <f t="shared" si="8"/>
        <v>5534</v>
      </c>
      <c r="Z19" s="2">
        <f t="shared" si="8"/>
        <v>33818</v>
      </c>
      <c r="AA19" s="2">
        <f t="shared" si="8"/>
        <v>84026</v>
      </c>
      <c r="AB19" s="2">
        <f t="shared" si="8"/>
        <v>30240</v>
      </c>
    </row>
    <row r="20" spans="2:28" x14ac:dyDescent="0.2">
      <c r="B20" s="2" t="s">
        <v>33</v>
      </c>
      <c r="C20" s="2">
        <v>166</v>
      </c>
      <c r="D20" s="2">
        <v>793</v>
      </c>
      <c r="E20" s="2">
        <v>1279</v>
      </c>
      <c r="F20" s="3">
        <f>+Z20-SUM(C20:E20)</f>
        <v>1820</v>
      </c>
      <c r="G20" s="2">
        <v>3135</v>
      </c>
      <c r="H20" s="2">
        <v>2615</v>
      </c>
      <c r="I20" s="2">
        <v>3007</v>
      </c>
      <c r="J20" s="2">
        <f t="shared" si="1"/>
        <v>-7611</v>
      </c>
      <c r="K20" s="2">
        <v>3135</v>
      </c>
      <c r="L20" s="2">
        <f>+L19*0.165</f>
        <v>4405.5</v>
      </c>
      <c r="U20" s="2">
        <v>-245</v>
      </c>
      <c r="V20" s="2">
        <v>174</v>
      </c>
      <c r="W20" s="2">
        <v>77</v>
      </c>
      <c r="X20" s="2">
        <v>189</v>
      </c>
      <c r="Y20" s="2">
        <v>-187</v>
      </c>
      <c r="Z20" s="2">
        <v>4058</v>
      </c>
      <c r="AA20" s="2">
        <v>1146</v>
      </c>
      <c r="AB20" s="2">
        <f>+AB19*0.16</f>
        <v>4838.4000000000005</v>
      </c>
    </row>
    <row r="21" spans="2:28" x14ac:dyDescent="0.2">
      <c r="B21" s="2" t="s">
        <v>34</v>
      </c>
      <c r="C21" s="2">
        <f t="shared" ref="C21:I21" si="9">+C19-C20</f>
        <v>2043</v>
      </c>
      <c r="D21" s="2">
        <f t="shared" si="9"/>
        <v>6188</v>
      </c>
      <c r="E21" s="2">
        <f t="shared" si="9"/>
        <v>9243</v>
      </c>
      <c r="F21" s="2">
        <f t="shared" si="9"/>
        <v>12286</v>
      </c>
      <c r="G21" s="2">
        <f t="shared" si="9"/>
        <v>14046</v>
      </c>
      <c r="H21" s="2">
        <f t="shared" si="9"/>
        <v>16599</v>
      </c>
      <c r="I21" s="2">
        <f t="shared" si="9"/>
        <v>16309</v>
      </c>
      <c r="J21" s="2">
        <f t="shared" si="1"/>
        <v>35926</v>
      </c>
      <c r="K21" s="2">
        <f>+K19-K20</f>
        <v>18775</v>
      </c>
      <c r="L21" s="2">
        <f>+L19-L20</f>
        <v>22294.5</v>
      </c>
      <c r="U21" s="2">
        <f t="shared" ref="U21:AB21" si="10">+U19-U20</f>
        <v>4141</v>
      </c>
      <c r="V21" s="2">
        <f t="shared" si="10"/>
        <v>2796</v>
      </c>
      <c r="W21" s="2">
        <f t="shared" si="10"/>
        <v>4332</v>
      </c>
      <c r="X21" s="2">
        <f t="shared" si="10"/>
        <v>9752</v>
      </c>
      <c r="Y21" s="2">
        <f t="shared" si="10"/>
        <v>5721</v>
      </c>
      <c r="Z21" s="2">
        <f t="shared" si="10"/>
        <v>29760</v>
      </c>
      <c r="AA21" s="2">
        <f t="shared" si="10"/>
        <v>82880</v>
      </c>
      <c r="AB21" s="2">
        <f t="shared" si="10"/>
        <v>25401.599999999999</v>
      </c>
    </row>
    <row r="22" spans="2:28" x14ac:dyDescent="0.2">
      <c r="B22" s="2" t="s">
        <v>35</v>
      </c>
      <c r="C22" s="2">
        <v>2490</v>
      </c>
      <c r="D22" s="2">
        <v>24994</v>
      </c>
      <c r="E22" s="2">
        <v>24940</v>
      </c>
      <c r="F22" s="2">
        <f>+F21/F23</f>
        <v>-50063.776450551275</v>
      </c>
      <c r="G22" s="2">
        <v>24611</v>
      </c>
      <c r="H22" s="2">
        <v>24848</v>
      </c>
      <c r="I22" s="2">
        <v>24774</v>
      </c>
      <c r="J22" s="2">
        <f>+J21/J23</f>
        <v>24873.585544144305</v>
      </c>
      <c r="K22" s="2">
        <v>24611</v>
      </c>
      <c r="L22" s="2">
        <f>+K22</f>
        <v>24611</v>
      </c>
      <c r="U22" s="2">
        <v>625</v>
      </c>
      <c r="V22" s="2">
        <v>618</v>
      </c>
      <c r="W22" s="2">
        <v>628</v>
      </c>
      <c r="X22" s="2">
        <v>2535</v>
      </c>
      <c r="Y22" s="2">
        <v>25070</v>
      </c>
      <c r="Z22" s="2">
        <v>24940</v>
      </c>
      <c r="AA22" s="2">
        <v>24804</v>
      </c>
      <c r="AB22" s="2">
        <f>+L22</f>
        <v>24611</v>
      </c>
    </row>
    <row r="23" spans="2:28" s="1" customFormat="1" x14ac:dyDescent="0.2">
      <c r="B23" s="1" t="s">
        <v>36</v>
      </c>
      <c r="C23" s="11">
        <f>+C21/C22</f>
        <v>0.82048192771084338</v>
      </c>
      <c r="D23" s="11">
        <f>+D21/D22</f>
        <v>0.24757941906057454</v>
      </c>
      <c r="E23" s="11">
        <f>+E21/E22</f>
        <v>0.37060946271050521</v>
      </c>
      <c r="F23" s="11">
        <f>+Z23-SUM(C23:E23)</f>
        <v>-0.24540697628224395</v>
      </c>
      <c r="G23" s="11">
        <f>+G21/G22</f>
        <v>0.57072040957295522</v>
      </c>
      <c r="H23" s="11">
        <f>+H21/H22</f>
        <v>0.66802157115260785</v>
      </c>
      <c r="I23" s="11">
        <f>+I21/I22</f>
        <v>0.65831113263905705</v>
      </c>
      <c r="J23" s="11">
        <f t="shared" si="1"/>
        <v>1.4443434355790989</v>
      </c>
      <c r="K23" s="11">
        <f>+K21/K22</f>
        <v>0.7628702612652879</v>
      </c>
      <c r="L23" s="1">
        <f>+L21/L22</f>
        <v>0.90587542155946532</v>
      </c>
      <c r="U23" s="1">
        <f t="shared" ref="U23:AB23" si="11">+U21/U22</f>
        <v>6.6256000000000004</v>
      </c>
      <c r="V23" s="1">
        <f t="shared" si="11"/>
        <v>4.5242718446601939</v>
      </c>
      <c r="W23" s="1">
        <f t="shared" si="11"/>
        <v>6.8980891719745223</v>
      </c>
      <c r="X23" s="1">
        <f t="shared" si="11"/>
        <v>3.8469428007889546</v>
      </c>
      <c r="Y23" s="1">
        <f t="shared" si="11"/>
        <v>0.22820103709613082</v>
      </c>
      <c r="Z23" s="1">
        <f t="shared" si="11"/>
        <v>1.1932638331996792</v>
      </c>
      <c r="AA23" s="1">
        <f t="shared" si="11"/>
        <v>3.341396548943719</v>
      </c>
      <c r="AB23" s="1">
        <f t="shared" si="11"/>
        <v>1.0321238470602576</v>
      </c>
    </row>
    <row r="25" spans="2:28" x14ac:dyDescent="0.2">
      <c r="B25" s="2" t="s">
        <v>44</v>
      </c>
    </row>
    <row r="26" spans="2:28" s="10" customFormat="1" x14ac:dyDescent="0.2">
      <c r="B26" s="9" t="s">
        <v>37</v>
      </c>
      <c r="H26" s="10">
        <f t="shared" ref="H26:K33" si="12">+H4/D4-1</f>
        <v>1.6247097073850441</v>
      </c>
      <c r="I26" s="10">
        <f t="shared" si="12"/>
        <v>1.0695330870003361</v>
      </c>
      <c r="J26" s="10">
        <f t="shared" si="12"/>
        <v>1.3589199230411997</v>
      </c>
      <c r="K26" s="10">
        <f t="shared" si="12"/>
        <v>0.76129331683168311</v>
      </c>
      <c r="Z26" s="10">
        <f>+Z4/Y4-1</f>
        <v>2.4417248387381814</v>
      </c>
      <c r="AA26" s="10">
        <f>+AA4/Z4-1</f>
        <v>1.6237740693196407</v>
      </c>
    </row>
    <row r="27" spans="2:28" s="10" customFormat="1" x14ac:dyDescent="0.2">
      <c r="B27" s="9" t="s">
        <v>38</v>
      </c>
      <c r="H27" s="10">
        <f t="shared" si="12"/>
        <v>1.1437755698421976</v>
      </c>
      <c r="I27" s="10">
        <f t="shared" si="12"/>
        <v>0.19992325402916356</v>
      </c>
      <c r="J27" s="10">
        <f t="shared" si="12"/>
        <v>-9.2164515160612415E-2</v>
      </c>
      <c r="K27" s="10">
        <f t="shared" si="12"/>
        <v>0.56322926521602024</v>
      </c>
      <c r="Z27" s="10">
        <f t="shared" ref="Z27:AA33" si="13">+Z5/Y5-1</f>
        <v>1.3251084598698482</v>
      </c>
      <c r="AA27" s="10">
        <f t="shared" si="13"/>
        <v>0.51486880466472296</v>
      </c>
    </row>
    <row r="28" spans="2:28" s="10" customFormat="1" x14ac:dyDescent="0.2">
      <c r="B28" s="10" t="s">
        <v>39</v>
      </c>
      <c r="H28" s="10">
        <f t="shared" si="12"/>
        <v>1.5449966095127388</v>
      </c>
      <c r="I28" s="10">
        <f t="shared" si="12"/>
        <v>0.91339396444811904</v>
      </c>
      <c r="J28" s="10">
        <f t="shared" si="12"/>
        <v>1.0962834166485544</v>
      </c>
      <c r="K28" s="10">
        <f t="shared" si="12"/>
        <v>0.73345743030625354</v>
      </c>
      <c r="V28" s="10">
        <f t="shared" ref="V28" si="14">+V6/U6-1</f>
        <v>1.7394270122783162E-2</v>
      </c>
      <c r="W28" s="10">
        <f t="shared" ref="W28:X28" si="15">+W6/V6-1</f>
        <v>1.2447200804559166</v>
      </c>
      <c r="X28" s="10">
        <f t="shared" si="15"/>
        <v>0.5849761051373954</v>
      </c>
      <c r="Y28" s="10">
        <f t="shared" ref="Y28" si="16">+Y6/X6-1</f>
        <v>0.4138320927164798</v>
      </c>
      <c r="Z28" s="10">
        <f t="shared" si="13"/>
        <v>2.1672775741419525</v>
      </c>
      <c r="AA28" s="10">
        <f t="shared" si="13"/>
        <v>1.4236927932667016</v>
      </c>
    </row>
    <row r="29" spans="2:28" s="10" customFormat="1" x14ac:dyDescent="0.2">
      <c r="B29" s="10" t="s">
        <v>40</v>
      </c>
      <c r="H29" s="10">
        <f t="shared" si="12"/>
        <v>0.15848753016894612</v>
      </c>
      <c r="I29" s="10">
        <f t="shared" si="12"/>
        <v>0.14810924369747891</v>
      </c>
      <c r="J29" s="10">
        <f t="shared" si="12"/>
        <v>-0.11204188481675392</v>
      </c>
      <c r="K29" s="10">
        <f t="shared" si="12"/>
        <v>0.42160936909709101</v>
      </c>
      <c r="V29" s="10">
        <f t="shared" ref="V29" si="17">+V7/U7-1</f>
        <v>-0.11655459494076204</v>
      </c>
      <c r="W29" s="10">
        <f t="shared" ref="W29:X29" si="18">+W7/V7-1</f>
        <v>0.40612540775643358</v>
      </c>
      <c r="X29" s="10">
        <f t="shared" si="18"/>
        <v>0.60613481118700863</v>
      </c>
      <c r="Y29" s="10">
        <f t="shared" ref="Y29" si="19">+Y7/X7-1</f>
        <v>-0.27242818167228378</v>
      </c>
      <c r="Z29" s="10">
        <f t="shared" si="13"/>
        <v>0.15220028675416342</v>
      </c>
      <c r="AA29" s="10">
        <f t="shared" si="13"/>
        <v>8.643629750167503E-2</v>
      </c>
    </row>
    <row r="30" spans="2:28" s="10" customFormat="1" x14ac:dyDescent="0.2">
      <c r="B30" s="10" t="s">
        <v>41</v>
      </c>
      <c r="H30" s="10">
        <f t="shared" si="12"/>
        <v>0.19788918205804751</v>
      </c>
      <c r="I30" s="10">
        <f t="shared" si="12"/>
        <v>0.16826923076923084</v>
      </c>
      <c r="J30" s="10">
        <f t="shared" si="12"/>
        <v>0.10367170626349886</v>
      </c>
      <c r="K30" s="10">
        <f t="shared" si="12"/>
        <v>0.19203747072599531</v>
      </c>
      <c r="V30" s="10">
        <f t="shared" ref="V30" si="20">+V8/U8-1</f>
        <v>7.2566371681415998E-2</v>
      </c>
      <c r="W30" s="10">
        <f t="shared" ref="W30:X30" si="21">+W8/V8-1</f>
        <v>-0.13118811881188119</v>
      </c>
      <c r="X30" s="10">
        <f t="shared" si="21"/>
        <v>1.0047483380816713</v>
      </c>
      <c r="Y30" s="10">
        <f t="shared" ref="Y30" si="22">+Y8/X8-1</f>
        <v>-0.26859308384651825</v>
      </c>
      <c r="Z30" s="10">
        <f t="shared" si="13"/>
        <v>5.8290155440414715E-3</v>
      </c>
      <c r="AA30" s="10">
        <f t="shared" si="13"/>
        <v>0.20927237604636195</v>
      </c>
    </row>
    <row r="31" spans="2:28" s="10" customFormat="1" x14ac:dyDescent="0.2">
      <c r="B31" s="10" t="s">
        <v>42</v>
      </c>
      <c r="H31" s="10">
        <f t="shared" si="12"/>
        <v>0.36758893280632421</v>
      </c>
      <c r="I31" s="10">
        <f t="shared" si="12"/>
        <v>0.72030651340996177</v>
      </c>
      <c r="J31" s="10">
        <f t="shared" si="12"/>
        <v>1.0284697508896796</v>
      </c>
      <c r="K31" s="10">
        <f t="shared" si="12"/>
        <v>0.72340425531914887</v>
      </c>
      <c r="V31" s="10">
        <f t="shared" ref="V31" si="23">+V9/U9-1</f>
        <v>9.2043681747269845E-2</v>
      </c>
      <c r="W31" s="10">
        <f t="shared" ref="W31:X31" si="24">+W9/V9-1</f>
        <v>-0.23428571428571432</v>
      </c>
      <c r="X31" s="10">
        <f t="shared" si="24"/>
        <v>5.5970149253731449E-2</v>
      </c>
      <c r="Y31" s="10">
        <f t="shared" ref="Y31" si="25">+Y9/X9-1</f>
        <v>0.59540636042402828</v>
      </c>
      <c r="Z31" s="10">
        <f t="shared" si="13"/>
        <v>0.20819490586932443</v>
      </c>
      <c r="AA31" s="10">
        <f t="shared" si="13"/>
        <v>0.55270394133822176</v>
      </c>
    </row>
    <row r="32" spans="2:28" s="10" customFormat="1" x14ac:dyDescent="0.2">
      <c r="B32" s="10" t="s">
        <v>43</v>
      </c>
      <c r="H32" s="10">
        <f t="shared" si="12"/>
        <v>0.33333333333333326</v>
      </c>
      <c r="I32" s="10">
        <f t="shared" si="12"/>
        <v>0.32876712328767121</v>
      </c>
      <c r="J32" s="10">
        <f t="shared" si="12"/>
        <v>0.39999999999999991</v>
      </c>
      <c r="K32" s="10">
        <f t="shared" si="12"/>
        <v>0.42307692307692313</v>
      </c>
      <c r="V32" s="10">
        <f t="shared" ref="V32" si="26">+V10/U10-1</f>
        <v>-0.34159061277705349</v>
      </c>
      <c r="W32" s="10">
        <f t="shared" ref="W32:X32" si="27">+W10/V10-1</f>
        <v>0.2495049504950495</v>
      </c>
      <c r="X32" s="10">
        <f t="shared" si="27"/>
        <v>0.84152139461172748</v>
      </c>
      <c r="Y32" s="10">
        <f t="shared" ref="Y32" si="28">+Y10/X10-1</f>
        <v>-0.60843373493975905</v>
      </c>
      <c r="Z32" s="10">
        <f t="shared" si="13"/>
        <v>-0.32747252747252742</v>
      </c>
      <c r="AA32" s="10">
        <f t="shared" si="13"/>
        <v>0.2712418300653594</v>
      </c>
    </row>
    <row r="33" spans="2:27" s="10" customFormat="1" x14ac:dyDescent="0.2">
      <c r="B33" s="10" t="s">
        <v>21</v>
      </c>
      <c r="H33" s="10">
        <f t="shared" si="12"/>
        <v>1.2240319834160065</v>
      </c>
      <c r="I33" s="10">
        <f t="shared" si="12"/>
        <v>0.77052980132450322</v>
      </c>
      <c r="J33" s="10">
        <f t="shared" si="12"/>
        <v>0.9151698864407547</v>
      </c>
      <c r="K33" s="10">
        <f t="shared" si="12"/>
        <v>0.69182921210259551</v>
      </c>
      <c r="V33" s="10">
        <f t="shared" ref="V33" si="29">+V11/U11-1</f>
        <v>-6.8111983612154314E-2</v>
      </c>
      <c r="W33" s="10">
        <f t="shared" ref="W33:X33" si="30">+W11/V11-1</f>
        <v>0.52729437625938824</v>
      </c>
      <c r="X33" s="10">
        <f t="shared" si="30"/>
        <v>0.61403298350824587</v>
      </c>
      <c r="Y33" s="10">
        <f t="shared" ref="Y33" si="31">+Y11/X11-1</f>
        <v>2.2293230289069932E-3</v>
      </c>
      <c r="Z33" s="10">
        <f t="shared" si="13"/>
        <v>1.2585452658115224</v>
      </c>
      <c r="AA33" s="10">
        <f t="shared" si="13"/>
        <v>1.1420340763599355</v>
      </c>
    </row>
    <row r="35" spans="2:27" x14ac:dyDescent="0.2">
      <c r="B35" s="2" t="s">
        <v>45</v>
      </c>
    </row>
    <row r="36" spans="2:27" x14ac:dyDescent="0.2">
      <c r="B36" s="9" t="s">
        <v>37</v>
      </c>
      <c r="D36" s="10">
        <f t="shared" ref="D36:K37" si="32">+D4/$K$11</f>
        <v>0.19545186328355499</v>
      </c>
      <c r="E36" s="10">
        <f t="shared" si="32"/>
        <v>0.27025554899913756</v>
      </c>
      <c r="F36" s="10">
        <f t="shared" si="32"/>
        <v>0.34208615133221371</v>
      </c>
      <c r="G36" s="10">
        <f t="shared" si="32"/>
        <v>0.4401071217829422</v>
      </c>
      <c r="H36" s="10">
        <f t="shared" si="32"/>
        <v>0.51300440288684124</v>
      </c>
      <c r="I36" s="10">
        <f t="shared" si="32"/>
        <v>0.55930280059915571</v>
      </c>
      <c r="J36" s="10">
        <f t="shared" si="32"/>
        <v>0.80695383777404561</v>
      </c>
      <c r="K36" s="10">
        <f t="shared" si="32"/>
        <v>0.77515773228632379</v>
      </c>
    </row>
    <row r="37" spans="2:27" x14ac:dyDescent="0.2">
      <c r="B37" s="9" t="s">
        <v>38</v>
      </c>
      <c r="D37" s="10">
        <f t="shared" si="32"/>
        <v>3.8831646316553947E-2</v>
      </c>
      <c r="E37" s="10">
        <f t="shared" si="32"/>
        <v>5.9143933548182107E-2</v>
      </c>
      <c r="F37" s="10">
        <f t="shared" si="32"/>
        <v>7.5598020970450722E-2</v>
      </c>
      <c r="G37" s="10">
        <f t="shared" si="32"/>
        <v>7.1966774091053509E-2</v>
      </c>
      <c r="H37" s="10">
        <f t="shared" si="32"/>
        <v>8.3246334710181114E-2</v>
      </c>
      <c r="I37" s="10">
        <f t="shared" si="32"/>
        <v>7.0968181199219285E-2</v>
      </c>
      <c r="J37" s="10">
        <f t="shared" si="32"/>
        <v>6.8630566020607325E-2</v>
      </c>
      <c r="K37" s="10">
        <f t="shared" si="32"/>
        <v>0.1125005673823249</v>
      </c>
    </row>
    <row r="38" spans="2:27" x14ac:dyDescent="0.2">
      <c r="B38" s="10" t="s">
        <v>39</v>
      </c>
      <c r="D38" s="10">
        <f t="shared" ref="D38" si="33">+D6/$K$11</f>
        <v>0.23428350960010894</v>
      </c>
      <c r="E38" s="10">
        <f t="shared" ref="E38:F38" si="34">+E6/$K$11</f>
        <v>0.32939948254731971</v>
      </c>
      <c r="F38" s="10">
        <f t="shared" si="34"/>
        <v>0.41768417230266441</v>
      </c>
      <c r="G38" s="10">
        <f t="shared" ref="G38" si="35">+G6/$K$11</f>
        <v>0.51207389587399577</v>
      </c>
      <c r="H38" s="10">
        <f t="shared" ref="H38" si="36">+H6/$K$11</f>
        <v>0.59625073759702241</v>
      </c>
      <c r="I38" s="10">
        <f t="shared" ref="I38:K42" si="37">+I6/$K$11</f>
        <v>0.63027098179837504</v>
      </c>
      <c r="J38" s="10">
        <f t="shared" ref="J38" si="38">+J6/$K$11</f>
        <v>0.87558440379465297</v>
      </c>
      <c r="K38" s="10">
        <f t="shared" si="37"/>
        <v>0.88765829966864873</v>
      </c>
    </row>
    <row r="39" spans="2:27" x14ac:dyDescent="0.2">
      <c r="B39" s="10" t="s">
        <v>40</v>
      </c>
      <c r="D39" s="10">
        <f t="shared" ref="D39" si="39">+D7/$K$11</f>
        <v>5.6420498388634201E-2</v>
      </c>
      <c r="E39" s="10">
        <f t="shared" ref="E39:F39" si="40">+E7/$K$11</f>
        <v>6.481775679724025E-2</v>
      </c>
      <c r="F39" s="10">
        <f t="shared" si="40"/>
        <v>6.5022014434206341E-2</v>
      </c>
      <c r="G39" s="10">
        <f t="shared" ref="G39" si="41">+G7/$K$11</f>
        <v>6.0074440561027641E-2</v>
      </c>
      <c r="H39" s="10">
        <f t="shared" ref="H39" si="42">+H7/$K$11</f>
        <v>6.5362443829149838E-2</v>
      </c>
      <c r="I39" s="10">
        <f t="shared" si="37"/>
        <v>7.4417865734646635E-2</v>
      </c>
      <c r="J39" s="10">
        <f t="shared" ref="J39" si="43">+J7/$K$11</f>
        <v>5.7736825382415688E-2</v>
      </c>
      <c r="K39" s="10">
        <f t="shared" si="37"/>
        <v>8.5402387544823211E-2</v>
      </c>
    </row>
    <row r="40" spans="2:27" x14ac:dyDescent="0.2">
      <c r="B40" s="10" t="s">
        <v>41</v>
      </c>
      <c r="D40" s="10">
        <f t="shared" ref="D40" si="44">+D8/$K$11</f>
        <v>8.6015160455721485E-3</v>
      </c>
      <c r="E40" s="10">
        <f t="shared" ref="E40:F40" si="45">+E8/$K$11</f>
        <v>9.4412418864327531E-3</v>
      </c>
      <c r="F40" s="10">
        <f t="shared" si="45"/>
        <v>1.0507920657255684E-2</v>
      </c>
      <c r="G40" s="10">
        <f t="shared" ref="G40" si="46">+G8/$K$11</f>
        <v>9.6908901093913126E-3</v>
      </c>
      <c r="H40" s="10">
        <f t="shared" ref="H40" si="47">+H8/$K$11</f>
        <v>1.0303663020289592E-2</v>
      </c>
      <c r="I40" s="10">
        <f t="shared" si="37"/>
        <v>1.1029912396169034E-2</v>
      </c>
      <c r="J40" s="10">
        <f t="shared" ref="J40" si="48">+J8/$K$11</f>
        <v>1.1597294721074848E-2</v>
      </c>
      <c r="K40" s="10">
        <f t="shared" si="37"/>
        <v>1.1551904135082385E-2</v>
      </c>
    </row>
    <row r="41" spans="2:27" x14ac:dyDescent="0.2">
      <c r="B41" s="10" t="s">
        <v>42</v>
      </c>
      <c r="D41" s="10">
        <f t="shared" ref="D41" si="49">+D9/$K$11</f>
        <v>5.741909128046843E-3</v>
      </c>
      <c r="E41" s="10">
        <f t="shared" ref="E41:F41" si="50">+E9/$K$11</f>
        <v>5.923471472016704E-3</v>
      </c>
      <c r="F41" s="10">
        <f t="shared" si="50"/>
        <v>6.3773773319413555E-3</v>
      </c>
      <c r="G41" s="10">
        <f t="shared" ref="G41" si="51">+G9/$K$11</f>
        <v>7.4667513957605196E-3</v>
      </c>
      <c r="H41" s="10">
        <f t="shared" ref="H41" si="52">+H9/$K$11</f>
        <v>7.8525713766964735E-3</v>
      </c>
      <c r="I41" s="10">
        <f t="shared" si="37"/>
        <v>1.019018655530843E-2</v>
      </c>
      <c r="J41" s="10">
        <f t="shared" ref="J41" si="53">+J9/$K$11</f>
        <v>1.2936317007852572E-2</v>
      </c>
      <c r="K41" s="10">
        <f t="shared" si="37"/>
        <v>1.2868231128863874E-2</v>
      </c>
    </row>
    <row r="42" spans="2:27" x14ac:dyDescent="0.2">
      <c r="B42" s="10" t="s">
        <v>43</v>
      </c>
      <c r="D42" s="10">
        <f t="shared" ref="D42" si="54">+D10/$K$11</f>
        <v>1.4978893377513504E-3</v>
      </c>
      <c r="E42" s="10">
        <f t="shared" ref="E42:F42" si="55">+E10/$K$11</f>
        <v>1.6567563887249785E-3</v>
      </c>
      <c r="F42" s="10">
        <f t="shared" si="55"/>
        <v>2.0425763696609324E-3</v>
      </c>
      <c r="G42" s="10">
        <f t="shared" ref="G42" si="56">+G10/$K$11</f>
        <v>1.7702328537061414E-3</v>
      </c>
      <c r="H42" s="10">
        <f t="shared" ref="H42" si="57">+H10/$K$11</f>
        <v>1.9971857836684672E-3</v>
      </c>
      <c r="I42" s="10">
        <f t="shared" si="37"/>
        <v>2.2014434206345606E-3</v>
      </c>
      <c r="J42" s="10">
        <f t="shared" ref="J42" si="58">+J10/$K$11</f>
        <v>2.8596069175253051E-3</v>
      </c>
      <c r="K42" s="10">
        <f t="shared" si="37"/>
        <v>2.5191775225818164E-3</v>
      </c>
    </row>
    <row r="44" spans="2:27" x14ac:dyDescent="0.2">
      <c r="B44" s="2" t="s">
        <v>46</v>
      </c>
      <c r="C44" s="10">
        <f>(C11-C12)/C11</f>
        <v>0.64627363737486099</v>
      </c>
      <c r="D44" s="10">
        <f t="shared" ref="D44:J44" si="59">(D11-D12)/D11</f>
        <v>0.7005256533649219</v>
      </c>
      <c r="E44" s="10">
        <f t="shared" si="59"/>
        <v>0.73951434878587197</v>
      </c>
      <c r="F44" s="10">
        <f t="shared" si="59"/>
        <v>0.75967063294575399</v>
      </c>
      <c r="G44" s="10">
        <f t="shared" si="59"/>
        <v>0.78352019659038552</v>
      </c>
      <c r="H44" s="10">
        <f t="shared" si="59"/>
        <v>0.75146471371504664</v>
      </c>
      <c r="I44" s="10">
        <f t="shared" si="59"/>
        <v>0.72177545040832869</v>
      </c>
      <c r="J44" s="10">
        <f t="shared" si="59"/>
        <v>0.74937988708039027</v>
      </c>
      <c r="K44" s="10">
        <f t="shared" ref="K44:L44" si="60">(K11-K12)/K11</f>
        <v>0.60523807362353044</v>
      </c>
      <c r="L44" s="15">
        <f t="shared" si="60"/>
        <v>0.71</v>
      </c>
    </row>
    <row r="45" spans="2:27" x14ac:dyDescent="0.2">
      <c r="B45" s="2" t="s">
        <v>47</v>
      </c>
      <c r="C45" s="10">
        <f>+C15/C11</f>
        <v>0.29755283648498332</v>
      </c>
      <c r="D45" s="10">
        <f t="shared" ref="D45:J45" si="61">+D15/D11</f>
        <v>0.50344265936181243</v>
      </c>
      <c r="E45" s="10">
        <f t="shared" si="61"/>
        <v>0.5748896247240618</v>
      </c>
      <c r="F45" s="10">
        <f t="shared" si="61"/>
        <v>0.61597973125820027</v>
      </c>
      <c r="G45" s="10">
        <f t="shared" si="61"/>
        <v>0.64924742743050223</v>
      </c>
      <c r="H45" s="10">
        <f t="shared" si="61"/>
        <v>0.62057256990679099</v>
      </c>
      <c r="I45" s="10">
        <f t="shared" si="61"/>
        <v>0.58814911788541857</v>
      </c>
      <c r="J45" s="10">
        <f t="shared" si="61"/>
        <v>0.63861000212610142</v>
      </c>
      <c r="K45" s="10">
        <f t="shared" ref="K45:L45" si="62">+K15/K11</f>
        <v>0.49108074985248057</v>
      </c>
      <c r="L45" s="10">
        <f t="shared" si="62"/>
        <v>0.58333333333333337</v>
      </c>
    </row>
    <row r="49" spans="2:11" x14ac:dyDescent="0.2">
      <c r="B49" s="2" t="s">
        <v>56</v>
      </c>
      <c r="C49" s="2">
        <v>15320</v>
      </c>
      <c r="D49" s="2">
        <v>16023</v>
      </c>
      <c r="E49" s="2">
        <v>18281</v>
      </c>
      <c r="F49" s="2">
        <v>25984</v>
      </c>
      <c r="G49" s="2">
        <v>31438</v>
      </c>
      <c r="H49" s="2">
        <v>34800</v>
      </c>
      <c r="I49" s="2">
        <v>38487</v>
      </c>
      <c r="J49" s="2">
        <v>43210</v>
      </c>
      <c r="K49" s="2">
        <v>53691</v>
      </c>
    </row>
    <row r="50" spans="2:11" x14ac:dyDescent="0.2">
      <c r="B50" s="2" t="s">
        <v>57</v>
      </c>
      <c r="C50" s="2">
        <v>4080</v>
      </c>
      <c r="D50" s="2">
        <v>7066</v>
      </c>
      <c r="E50" s="2">
        <v>8309</v>
      </c>
      <c r="F50" s="2">
        <v>9999</v>
      </c>
      <c r="G50" s="2">
        <v>12365</v>
      </c>
      <c r="H50" s="2">
        <v>14132</v>
      </c>
      <c r="I50" s="2">
        <v>17693</v>
      </c>
      <c r="J50" s="2">
        <v>23065</v>
      </c>
      <c r="K50" s="2">
        <v>22132</v>
      </c>
    </row>
    <row r="51" spans="2:11" x14ac:dyDescent="0.2">
      <c r="B51" s="2" t="s">
        <v>58</v>
      </c>
      <c r="C51" s="2">
        <v>4611</v>
      </c>
      <c r="D51" s="2">
        <v>4319</v>
      </c>
      <c r="E51" s="2">
        <v>4779</v>
      </c>
      <c r="F51" s="2">
        <v>5282</v>
      </c>
      <c r="G51" s="2">
        <v>5864</v>
      </c>
      <c r="H51" s="2">
        <v>6675</v>
      </c>
      <c r="I51" s="2">
        <v>7654</v>
      </c>
      <c r="J51" s="2">
        <v>10080</v>
      </c>
      <c r="K51" s="2">
        <v>11333</v>
      </c>
    </row>
    <row r="52" spans="2:11" x14ac:dyDescent="0.2">
      <c r="B52" s="2" t="s">
        <v>59</v>
      </c>
      <c r="C52" s="2">
        <v>872</v>
      </c>
      <c r="D52" s="2">
        <v>1389</v>
      </c>
      <c r="E52" s="2">
        <v>1289</v>
      </c>
      <c r="F52" s="2">
        <v>3080</v>
      </c>
      <c r="G52" s="2">
        <v>4062</v>
      </c>
      <c r="H52" s="2">
        <v>4026</v>
      </c>
      <c r="I52" s="2">
        <v>3806</v>
      </c>
      <c r="J52" s="2">
        <v>3771</v>
      </c>
      <c r="K52" s="2">
        <v>2779</v>
      </c>
    </row>
    <row r="53" spans="2:11" x14ac:dyDescent="0.2">
      <c r="B53" s="2" t="s">
        <v>60</v>
      </c>
      <c r="C53" s="2">
        <v>3740</v>
      </c>
      <c r="D53" s="2">
        <v>3799</v>
      </c>
      <c r="E53" s="2">
        <v>3844</v>
      </c>
      <c r="F53" s="2">
        <v>3914</v>
      </c>
      <c r="G53" s="2">
        <v>4006</v>
      </c>
      <c r="H53" s="2">
        <v>4885</v>
      </c>
      <c r="I53" s="2">
        <v>5343</v>
      </c>
      <c r="J53" s="2">
        <v>6283</v>
      </c>
      <c r="K53" s="2">
        <v>7136</v>
      </c>
    </row>
    <row r="54" spans="2:11" x14ac:dyDescent="0.2">
      <c r="B54" s="2" t="s">
        <v>61</v>
      </c>
      <c r="C54" s="2">
        <v>1094</v>
      </c>
      <c r="D54" s="2">
        <v>1235</v>
      </c>
      <c r="E54" s="2">
        <v>1316</v>
      </c>
      <c r="F54" s="2">
        <v>1346</v>
      </c>
      <c r="G54" s="2">
        <v>1532</v>
      </c>
      <c r="H54" s="2">
        <v>1556</v>
      </c>
      <c r="I54" s="2">
        <v>1755</v>
      </c>
      <c r="J54" s="2">
        <v>1793</v>
      </c>
      <c r="K54" s="2">
        <v>1810</v>
      </c>
    </row>
    <row r="55" spans="2:11" x14ac:dyDescent="0.2">
      <c r="B55" s="2" t="s">
        <v>62</v>
      </c>
      <c r="C55" s="2">
        <v>4430</v>
      </c>
      <c r="D55" s="2">
        <v>4430</v>
      </c>
      <c r="E55" s="2">
        <v>4430</v>
      </c>
      <c r="F55" s="2">
        <v>4430</v>
      </c>
      <c r="G55" s="2">
        <v>4453</v>
      </c>
      <c r="H55" s="2">
        <v>4622</v>
      </c>
      <c r="I55" s="2">
        <v>4724</v>
      </c>
      <c r="J55" s="2">
        <v>5188</v>
      </c>
      <c r="K55" s="2">
        <v>5498</v>
      </c>
    </row>
    <row r="56" spans="2:11" x14ac:dyDescent="0.2">
      <c r="B56" s="2" t="s">
        <v>63</v>
      </c>
      <c r="C56" s="2">
        <v>1541</v>
      </c>
      <c r="D56" s="2">
        <v>1395</v>
      </c>
      <c r="E56" s="2">
        <v>1251</v>
      </c>
      <c r="F56" s="2">
        <v>1112</v>
      </c>
      <c r="G56" s="2">
        <v>986</v>
      </c>
      <c r="H56" s="2">
        <v>952</v>
      </c>
      <c r="I56" s="2">
        <v>838</v>
      </c>
      <c r="J56" s="2">
        <v>807</v>
      </c>
      <c r="K56" s="2">
        <v>769</v>
      </c>
    </row>
    <row r="57" spans="2:11" x14ac:dyDescent="0.2">
      <c r="B57" s="2" t="s">
        <v>64</v>
      </c>
      <c r="C57" s="2">
        <v>4568</v>
      </c>
      <c r="D57" s="2">
        <v>5398</v>
      </c>
      <c r="E57" s="2">
        <v>5982</v>
      </c>
      <c r="F57" s="2">
        <v>6081</v>
      </c>
      <c r="G57" s="2">
        <v>7798</v>
      </c>
      <c r="H57" s="2">
        <v>9578</v>
      </c>
      <c r="I57" s="2">
        <v>10276</v>
      </c>
      <c r="J57" s="2">
        <v>10979</v>
      </c>
      <c r="K57" s="2">
        <v>13318</v>
      </c>
    </row>
    <row r="58" spans="2:11" x14ac:dyDescent="0.2">
      <c r="B58" s="2" t="s">
        <v>65</v>
      </c>
      <c r="C58" s="2">
        <v>4204</v>
      </c>
      <c r="D58" s="2">
        <v>4501</v>
      </c>
      <c r="E58" s="2">
        <v>4667</v>
      </c>
      <c r="F58" s="2">
        <v>4500</v>
      </c>
      <c r="G58" s="2">
        <v>4568</v>
      </c>
      <c r="H58" s="2">
        <v>4001</v>
      </c>
      <c r="I58" s="2">
        <v>5437</v>
      </c>
      <c r="J58" s="2">
        <v>6425</v>
      </c>
      <c r="K58" s="2">
        <v>6788</v>
      </c>
    </row>
    <row r="59" spans="2:11" x14ac:dyDescent="0.2">
      <c r="B59" s="2" t="s">
        <v>55</v>
      </c>
      <c r="C59" s="2">
        <f t="shared" ref="C59:K59" si="63">+SUM(C49:C58)</f>
        <v>44460</v>
      </c>
      <c r="D59" s="2">
        <f t="shared" si="63"/>
        <v>49555</v>
      </c>
      <c r="E59" s="2">
        <f t="shared" si="63"/>
        <v>54148</v>
      </c>
      <c r="F59" s="2">
        <f t="shared" si="63"/>
        <v>65728</v>
      </c>
      <c r="G59" s="2">
        <f t="shared" si="63"/>
        <v>77072</v>
      </c>
      <c r="H59" s="2">
        <f t="shared" si="63"/>
        <v>85227</v>
      </c>
      <c r="I59" s="2">
        <f t="shared" si="63"/>
        <v>96013</v>
      </c>
      <c r="J59" s="2">
        <f t="shared" si="63"/>
        <v>111601</v>
      </c>
      <c r="K59" s="2">
        <f t="shared" si="63"/>
        <v>125254</v>
      </c>
    </row>
    <row r="61" spans="2:11" x14ac:dyDescent="0.2">
      <c r="B61" s="2" t="s">
        <v>50</v>
      </c>
      <c r="C61" s="2">
        <v>1141</v>
      </c>
      <c r="D61" s="2">
        <v>1929</v>
      </c>
      <c r="E61" s="2">
        <v>2380</v>
      </c>
      <c r="F61" s="2">
        <v>2699</v>
      </c>
      <c r="G61" s="2">
        <v>2715</v>
      </c>
      <c r="H61" s="2">
        <v>3680</v>
      </c>
      <c r="I61" s="2">
        <v>5353</v>
      </c>
      <c r="J61" s="2">
        <v>6310</v>
      </c>
      <c r="K61" s="2">
        <v>7331</v>
      </c>
    </row>
    <row r="62" spans="2:11" x14ac:dyDescent="0.2">
      <c r="B62" s="2" t="s">
        <v>51</v>
      </c>
      <c r="C62" s="2">
        <v>4869</v>
      </c>
      <c r="D62" s="2">
        <v>7156</v>
      </c>
      <c r="E62" s="2">
        <v>5472</v>
      </c>
      <c r="F62" s="2">
        <v>6682</v>
      </c>
      <c r="G62" s="2">
        <v>11258</v>
      </c>
      <c r="H62" s="2">
        <v>10289</v>
      </c>
      <c r="I62" s="2">
        <v>11126</v>
      </c>
      <c r="J62" s="2">
        <v>11737</v>
      </c>
      <c r="K62" s="2">
        <v>19211</v>
      </c>
    </row>
    <row r="63" spans="2:11" x14ac:dyDescent="0.2">
      <c r="B63" s="2" t="s">
        <v>67</v>
      </c>
      <c r="C63" s="2">
        <v>1250</v>
      </c>
      <c r="D63" s="2">
        <v>1249</v>
      </c>
      <c r="E63" s="2">
        <v>1249</v>
      </c>
      <c r="F63" s="2">
        <v>1250</v>
      </c>
      <c r="G63" s="2">
        <v>1250</v>
      </c>
      <c r="H63" s="2">
        <v>0</v>
      </c>
    </row>
    <row r="64" spans="2:11" x14ac:dyDescent="0.2">
      <c r="B64" s="2" t="s">
        <v>52</v>
      </c>
      <c r="C64" s="2">
        <v>9704</v>
      </c>
      <c r="D64" s="2">
        <v>8456</v>
      </c>
      <c r="E64" s="2">
        <v>8457</v>
      </c>
      <c r="F64" s="2">
        <v>8459</v>
      </c>
      <c r="G64" s="2">
        <v>8460</v>
      </c>
      <c r="H64" s="2">
        <v>8461</v>
      </c>
      <c r="I64" s="2">
        <v>8462</v>
      </c>
      <c r="J64" s="2">
        <v>8463</v>
      </c>
      <c r="K64" s="2">
        <v>8464</v>
      </c>
    </row>
    <row r="65" spans="2:11" x14ac:dyDescent="0.2">
      <c r="B65" s="2" t="s">
        <v>53</v>
      </c>
      <c r="C65" s="2">
        <v>939</v>
      </c>
      <c r="D65" s="2">
        <v>1041</v>
      </c>
      <c r="E65" s="2">
        <v>1091</v>
      </c>
      <c r="F65" s="2">
        <v>1119</v>
      </c>
      <c r="G65" s="2">
        <v>1281</v>
      </c>
      <c r="H65" s="2">
        <v>1304</v>
      </c>
      <c r="I65" s="2">
        <v>1490</v>
      </c>
      <c r="J65" s="2">
        <v>1519</v>
      </c>
      <c r="K65" s="2">
        <v>1521</v>
      </c>
    </row>
    <row r="66" spans="2:11" x14ac:dyDescent="0.2">
      <c r="B66" s="2" t="s">
        <v>54</v>
      </c>
      <c r="C66" s="2">
        <v>2037</v>
      </c>
      <c r="D66" s="2">
        <v>2223</v>
      </c>
      <c r="E66" s="2">
        <v>2234</v>
      </c>
      <c r="F66" s="2">
        <v>2541</v>
      </c>
      <c r="G66" s="2">
        <v>2966</v>
      </c>
      <c r="H66" s="2">
        <v>3336</v>
      </c>
      <c r="I66" s="2">
        <v>3683</v>
      </c>
      <c r="J66" s="2">
        <v>4245</v>
      </c>
      <c r="K66" s="2">
        <v>4884</v>
      </c>
    </row>
    <row r="67" spans="2:11" x14ac:dyDescent="0.2">
      <c r="B67" s="2" t="s">
        <v>48</v>
      </c>
      <c r="C67" s="2">
        <v>24520</v>
      </c>
      <c r="D67" s="2">
        <v>27501</v>
      </c>
      <c r="E67" s="2">
        <v>33265</v>
      </c>
      <c r="F67" s="2">
        <v>42978</v>
      </c>
      <c r="G67" s="2">
        <v>49142</v>
      </c>
      <c r="H67" s="2">
        <v>58157</v>
      </c>
      <c r="I67" s="2">
        <v>65899</v>
      </c>
      <c r="J67" s="2">
        <v>79327</v>
      </c>
      <c r="K67" s="2">
        <v>83843</v>
      </c>
    </row>
    <row r="68" spans="2:11" x14ac:dyDescent="0.2">
      <c r="B68" s="2" t="s">
        <v>49</v>
      </c>
      <c r="C68" s="2">
        <f t="shared" ref="C68:K68" si="64">+SUM(C61:C67)</f>
        <v>44460</v>
      </c>
      <c r="D68" s="2">
        <f t="shared" si="64"/>
        <v>49555</v>
      </c>
      <c r="E68" s="2">
        <f t="shared" si="64"/>
        <v>54148</v>
      </c>
      <c r="F68" s="2">
        <f t="shared" si="64"/>
        <v>65728</v>
      </c>
      <c r="G68" s="2">
        <f t="shared" si="64"/>
        <v>77072</v>
      </c>
      <c r="H68" s="2">
        <f t="shared" si="64"/>
        <v>85227</v>
      </c>
      <c r="I68" s="2">
        <f t="shared" si="64"/>
        <v>96013</v>
      </c>
      <c r="J68" s="2">
        <f t="shared" si="64"/>
        <v>111601</v>
      </c>
      <c r="K68" s="2">
        <f t="shared" si="64"/>
        <v>125254</v>
      </c>
    </row>
    <row r="70" spans="2:11" x14ac:dyDescent="0.2">
      <c r="B70" s="2" t="s">
        <v>191</v>
      </c>
      <c r="C70" s="2">
        <f>SUM(C63:C64)</f>
        <v>10954</v>
      </c>
      <c r="D70" s="2">
        <f t="shared" ref="D70:K70" si="65">SUM(D63:D64)</f>
        <v>9705</v>
      </c>
      <c r="E70" s="2">
        <f t="shared" si="65"/>
        <v>9706</v>
      </c>
      <c r="F70" s="2">
        <f t="shared" si="65"/>
        <v>9709</v>
      </c>
      <c r="G70" s="2">
        <f t="shared" si="65"/>
        <v>9710</v>
      </c>
      <c r="H70" s="2">
        <f t="shared" si="65"/>
        <v>8461</v>
      </c>
      <c r="I70" s="2">
        <f t="shared" si="65"/>
        <v>8462</v>
      </c>
      <c r="J70" s="2">
        <f t="shared" si="65"/>
        <v>8463</v>
      </c>
      <c r="K70" s="2">
        <f t="shared" si="65"/>
        <v>8464</v>
      </c>
    </row>
    <row r="71" spans="2:11" x14ac:dyDescent="0.2">
      <c r="B71" s="2" t="s">
        <v>192</v>
      </c>
      <c r="C71" s="2">
        <f>+C49</f>
        <v>15320</v>
      </c>
      <c r="D71" s="2">
        <f t="shared" ref="D71:K71" si="66">+D49</f>
        <v>16023</v>
      </c>
      <c r="E71" s="2">
        <f t="shared" si="66"/>
        <v>18281</v>
      </c>
      <c r="F71" s="2">
        <f t="shared" si="66"/>
        <v>25984</v>
      </c>
      <c r="G71" s="2">
        <f t="shared" si="66"/>
        <v>31438</v>
      </c>
      <c r="H71" s="2">
        <f t="shared" si="66"/>
        <v>34800</v>
      </c>
      <c r="I71" s="2">
        <f t="shared" si="66"/>
        <v>38487</v>
      </c>
      <c r="J71" s="2">
        <f t="shared" si="66"/>
        <v>43210</v>
      </c>
      <c r="K71" s="2">
        <f t="shared" si="66"/>
        <v>53691</v>
      </c>
    </row>
    <row r="72" spans="2:11" x14ac:dyDescent="0.2">
      <c r="B72" s="2" t="s">
        <v>193</v>
      </c>
      <c r="C72" s="2">
        <f>+C71-C70</f>
        <v>4366</v>
      </c>
      <c r="D72" s="2">
        <f t="shared" ref="D72:K72" si="67">+D71-D70</f>
        <v>6318</v>
      </c>
      <c r="E72" s="2">
        <f t="shared" si="67"/>
        <v>8575</v>
      </c>
      <c r="F72" s="2">
        <f t="shared" si="67"/>
        <v>16275</v>
      </c>
      <c r="G72" s="2">
        <f t="shared" si="67"/>
        <v>21728</v>
      </c>
      <c r="H72" s="2">
        <f t="shared" si="67"/>
        <v>26339</v>
      </c>
      <c r="I72" s="2">
        <f t="shared" si="67"/>
        <v>30025</v>
      </c>
      <c r="J72" s="2">
        <f t="shared" si="67"/>
        <v>34747</v>
      </c>
      <c r="K72" s="2">
        <f t="shared" si="67"/>
        <v>45227</v>
      </c>
    </row>
    <row r="73" spans="2:11" x14ac:dyDescent="0.2">
      <c r="B73" s="2" t="s">
        <v>194</v>
      </c>
      <c r="C73" s="2">
        <f>+C67-C56-C55</f>
        <v>18549</v>
      </c>
      <c r="D73" s="2">
        <f t="shared" ref="D73:K73" si="68">+D67-D56-D55</f>
        <v>21676</v>
      </c>
      <c r="E73" s="2">
        <f t="shared" si="68"/>
        <v>27584</v>
      </c>
      <c r="F73" s="2">
        <f t="shared" si="68"/>
        <v>37436</v>
      </c>
      <c r="G73" s="2">
        <f t="shared" si="68"/>
        <v>43703</v>
      </c>
      <c r="H73" s="2">
        <f t="shared" si="68"/>
        <v>52583</v>
      </c>
      <c r="I73" s="2">
        <f t="shared" si="68"/>
        <v>60337</v>
      </c>
      <c r="J73" s="2">
        <f t="shared" si="68"/>
        <v>73332</v>
      </c>
      <c r="K73" s="2">
        <f t="shared" si="68"/>
        <v>77576</v>
      </c>
    </row>
    <row r="74" spans="2:11" x14ac:dyDescent="0.2">
      <c r="H74" s="25">
        <f t="shared" ref="H74:J74" si="69">SUM(E111:H111)/H73</f>
        <v>0.63176311735732082</v>
      </c>
      <c r="I74" s="25">
        <f t="shared" si="69"/>
        <v>0.82927556888807863</v>
      </c>
      <c r="J74" s="25">
        <f t="shared" si="69"/>
        <v>0.89438444335351552</v>
      </c>
      <c r="K74" s="25">
        <f>SUM(H111:K111)/K73</f>
        <v>0.9289728782097556</v>
      </c>
    </row>
    <row r="75" spans="2:11" x14ac:dyDescent="0.2">
      <c r="I75" s="12" t="s">
        <v>66</v>
      </c>
    </row>
    <row r="76" spans="2:11" x14ac:dyDescent="0.2">
      <c r="B76" s="2" t="s">
        <v>34</v>
      </c>
      <c r="G76" s="2">
        <v>14881</v>
      </c>
      <c r="H76" s="2">
        <v>16599</v>
      </c>
      <c r="I76" s="2">
        <v>19309</v>
      </c>
      <c r="J76" s="2">
        <v>22091</v>
      </c>
      <c r="K76" s="2">
        <v>18775</v>
      </c>
    </row>
    <row r="77" spans="2:11" x14ac:dyDescent="0.2">
      <c r="B77" s="2" t="s">
        <v>68</v>
      </c>
      <c r="G77" s="2">
        <v>1011</v>
      </c>
      <c r="H77" s="2">
        <v>1154</v>
      </c>
      <c r="I77" s="2">
        <v>1252</v>
      </c>
      <c r="J77" s="2">
        <v>1321</v>
      </c>
      <c r="K77" s="2">
        <v>1474</v>
      </c>
    </row>
    <row r="78" spans="2:11" x14ac:dyDescent="0.2">
      <c r="B78" s="2" t="s">
        <v>69</v>
      </c>
      <c r="G78" s="2">
        <v>410</v>
      </c>
      <c r="H78" s="2">
        <v>433</v>
      </c>
      <c r="I78" s="2">
        <v>478</v>
      </c>
      <c r="J78" s="2">
        <v>543</v>
      </c>
      <c r="K78" s="2">
        <v>611</v>
      </c>
    </row>
    <row r="79" spans="2:11" x14ac:dyDescent="0.2">
      <c r="B79" s="2" t="s">
        <v>70</v>
      </c>
      <c r="G79" s="2">
        <v>-69</v>
      </c>
      <c r="H79" s="2">
        <v>-193</v>
      </c>
      <c r="I79" s="2">
        <v>-37</v>
      </c>
      <c r="J79" s="2">
        <v>-727</v>
      </c>
      <c r="K79" s="2">
        <v>175</v>
      </c>
    </row>
    <row r="80" spans="2:11" x14ac:dyDescent="0.2">
      <c r="B80" s="2" t="s">
        <v>64</v>
      </c>
      <c r="G80" s="2">
        <v>-1577</v>
      </c>
      <c r="H80" s="2">
        <v>-1699</v>
      </c>
      <c r="I80" s="2">
        <v>-602</v>
      </c>
      <c r="J80" s="2">
        <v>-598</v>
      </c>
      <c r="K80" s="2">
        <v>-2177</v>
      </c>
    </row>
    <row r="81" spans="2:11" x14ac:dyDescent="0.2">
      <c r="B81" s="2" t="s">
        <v>24</v>
      </c>
      <c r="G81" s="2">
        <v>-145</v>
      </c>
      <c r="H81" s="2">
        <v>-144</v>
      </c>
      <c r="I81" s="2">
        <v>-79</v>
      </c>
      <c r="J81" s="2">
        <v>-138</v>
      </c>
      <c r="K81" s="2">
        <v>-98</v>
      </c>
    </row>
    <row r="82" spans="2:11" x14ac:dyDescent="0.2">
      <c r="B82" s="2" t="s">
        <v>57</v>
      </c>
      <c r="G82" s="2">
        <v>2366</v>
      </c>
      <c r="H82" s="2">
        <v>-1767</v>
      </c>
      <c r="I82" s="2">
        <v>-3561</v>
      </c>
      <c r="J82" s="2">
        <v>-5370</v>
      </c>
      <c r="K82" s="2">
        <v>933</v>
      </c>
    </row>
    <row r="83" spans="2:11" x14ac:dyDescent="0.2">
      <c r="B83" s="2" t="s">
        <v>58</v>
      </c>
      <c r="G83" s="2">
        <v>-577</v>
      </c>
      <c r="H83" s="2">
        <v>-803</v>
      </c>
      <c r="I83" s="2">
        <v>-978</v>
      </c>
      <c r="J83" s="2">
        <v>-2424</v>
      </c>
      <c r="K83" s="2">
        <v>-1258</v>
      </c>
    </row>
    <row r="84" spans="2:11" x14ac:dyDescent="0.2">
      <c r="B84" s="2" t="s">
        <v>71</v>
      </c>
      <c r="G84" s="2">
        <v>-726</v>
      </c>
      <c r="H84" s="2">
        <v>714</v>
      </c>
      <c r="I84" s="2">
        <v>-714</v>
      </c>
      <c r="J84" s="2">
        <v>331</v>
      </c>
      <c r="K84" s="2">
        <v>560</v>
      </c>
    </row>
    <row r="85" spans="2:11" x14ac:dyDescent="0.2">
      <c r="B85" s="2" t="s">
        <v>50</v>
      </c>
      <c r="G85" s="2">
        <v>-22</v>
      </c>
      <c r="H85" s="2">
        <v>823</v>
      </c>
      <c r="I85" s="2">
        <v>1689</v>
      </c>
      <c r="J85" s="2">
        <v>867</v>
      </c>
      <c r="K85" s="2">
        <v>941</v>
      </c>
    </row>
    <row r="86" spans="2:11" x14ac:dyDescent="0.2">
      <c r="B86" s="2" t="s">
        <v>72</v>
      </c>
      <c r="G86" s="2">
        <v>4202</v>
      </c>
      <c r="H86" s="2">
        <v>-888</v>
      </c>
      <c r="I86" s="2">
        <v>606</v>
      </c>
      <c r="J86" s="2">
        <v>360</v>
      </c>
      <c r="K86" s="2">
        <v>7128</v>
      </c>
    </row>
    <row r="87" spans="2:11" x14ac:dyDescent="0.2">
      <c r="B87" s="2" t="s">
        <v>54</v>
      </c>
      <c r="G87" s="2">
        <v>323</v>
      </c>
      <c r="H87" s="2">
        <v>260</v>
      </c>
      <c r="I87" s="2">
        <v>266</v>
      </c>
      <c r="J87" s="2">
        <v>372</v>
      </c>
      <c r="K87" s="2">
        <v>350</v>
      </c>
    </row>
    <row r="88" spans="2:11" s="13" customFormat="1" x14ac:dyDescent="0.2">
      <c r="B88" s="13" t="s">
        <v>73</v>
      </c>
      <c r="G88" s="13">
        <f>+SUM(G76:G87)</f>
        <v>20077</v>
      </c>
      <c r="H88" s="13">
        <f>+SUM(H76:H87)</f>
        <v>14489</v>
      </c>
      <c r="I88" s="13">
        <f>+SUM(I76:I87)</f>
        <v>17629</v>
      </c>
      <c r="J88" s="13">
        <f>+SUM(J76:J87)</f>
        <v>16628</v>
      </c>
      <c r="K88" s="13">
        <f>+SUM(K76:K87)</f>
        <v>27414</v>
      </c>
    </row>
    <row r="90" spans="2:11" x14ac:dyDescent="0.2">
      <c r="B90" s="2" t="s">
        <v>178</v>
      </c>
      <c r="G90" s="2">
        <v>4004</v>
      </c>
      <c r="H90" s="2">
        <v>4094</v>
      </c>
      <c r="I90" s="2">
        <v>1386</v>
      </c>
      <c r="J90" s="2">
        <v>1710</v>
      </c>
      <c r="K90" s="2">
        <v>3122</v>
      </c>
    </row>
    <row r="91" spans="2:11" x14ac:dyDescent="0.2">
      <c r="B91" s="2" t="s">
        <v>179</v>
      </c>
      <c r="G91" s="2">
        <v>149</v>
      </c>
      <c r="H91" s="2">
        <v>15</v>
      </c>
      <c r="I91" s="2">
        <v>154</v>
      </c>
      <c r="J91" s="2">
        <v>177</v>
      </c>
      <c r="K91" s="2">
        <v>467</v>
      </c>
    </row>
    <row r="92" spans="2:11" x14ac:dyDescent="0.2">
      <c r="B92" s="2" t="s">
        <v>180</v>
      </c>
      <c r="G92" s="2">
        <v>55</v>
      </c>
      <c r="H92" s="2">
        <v>0</v>
      </c>
      <c r="I92" s="2">
        <v>0</v>
      </c>
      <c r="J92" s="2">
        <v>0</v>
      </c>
      <c r="K92" s="2">
        <v>0</v>
      </c>
    </row>
    <row r="93" spans="2:11" x14ac:dyDescent="0.2">
      <c r="B93" s="2" t="s">
        <v>181</v>
      </c>
      <c r="G93" s="2">
        <v>-9303</v>
      </c>
      <c r="H93" s="2">
        <v>-5744</v>
      </c>
      <c r="I93" s="2">
        <v>-4518</v>
      </c>
      <c r="J93" s="2">
        <v>-7010</v>
      </c>
      <c r="K93" s="2">
        <v>-6456</v>
      </c>
    </row>
    <row r="94" spans="2:11" x14ac:dyDescent="0.2">
      <c r="B94" s="2" t="s">
        <v>182</v>
      </c>
      <c r="G94" s="2">
        <v>-369</v>
      </c>
      <c r="H94" s="2">
        <v>-977</v>
      </c>
      <c r="I94" s="2">
        <v>-813</v>
      </c>
      <c r="J94" s="2">
        <v>-1077</v>
      </c>
      <c r="K94" s="2">
        <v>-1227</v>
      </c>
    </row>
    <row r="95" spans="2:11" x14ac:dyDescent="0.2">
      <c r="B95" s="2" t="s">
        <v>183</v>
      </c>
      <c r="G95" s="2">
        <v>-190</v>
      </c>
      <c r="H95" s="2">
        <v>0</v>
      </c>
      <c r="I95" s="2">
        <v>0</v>
      </c>
      <c r="J95" s="2">
        <v>-478</v>
      </c>
      <c r="K95" s="2">
        <v>-649</v>
      </c>
    </row>
    <row r="96" spans="2:11" x14ac:dyDescent="0.2">
      <c r="B96" s="2" t="s">
        <v>74</v>
      </c>
      <c r="G96" s="2">
        <v>-39</v>
      </c>
      <c r="H96" s="2">
        <v>-279</v>
      </c>
      <c r="I96" s="2">
        <v>-147</v>
      </c>
      <c r="J96" s="2">
        <v>-542</v>
      </c>
      <c r="K96" s="2">
        <v>-383</v>
      </c>
    </row>
    <row r="97" spans="2:11" x14ac:dyDescent="0.2">
      <c r="B97" s="2" t="s">
        <v>184</v>
      </c>
      <c r="H97" s="2">
        <v>-344</v>
      </c>
      <c r="I97" s="2">
        <v>66</v>
      </c>
      <c r="J97" s="2">
        <v>22</v>
      </c>
    </row>
    <row r="98" spans="2:11" x14ac:dyDescent="0.2">
      <c r="B98" s="2" t="s">
        <v>185</v>
      </c>
      <c r="H98" s="2">
        <v>50</v>
      </c>
      <c r="I98" s="2">
        <v>-473</v>
      </c>
    </row>
    <row r="99" spans="2:11" s="13" customFormat="1" x14ac:dyDescent="0.2">
      <c r="B99" s="13" t="s">
        <v>75</v>
      </c>
      <c r="G99" s="13">
        <f>+SUM(G90:G96)</f>
        <v>-5693</v>
      </c>
      <c r="H99" s="13">
        <f>+SUM(H90:H98)</f>
        <v>-3185</v>
      </c>
      <c r="I99" s="13">
        <f>+SUM(I90:I98)</f>
        <v>-4345</v>
      </c>
      <c r="J99" s="13">
        <f>+SUM(J90:J98)</f>
        <v>-7198</v>
      </c>
      <c r="K99" s="13">
        <f>+SUM(K90:K96)</f>
        <v>-5126</v>
      </c>
    </row>
    <row r="101" spans="2:11" x14ac:dyDescent="0.2">
      <c r="B101" s="2" t="s">
        <v>186</v>
      </c>
      <c r="G101" s="2">
        <v>285</v>
      </c>
      <c r="H101" s="2">
        <v>0</v>
      </c>
      <c r="I101" s="2">
        <v>204</v>
      </c>
      <c r="J101" s="2">
        <v>0</v>
      </c>
      <c r="K101" s="2">
        <v>370</v>
      </c>
    </row>
    <row r="102" spans="2:11" x14ac:dyDescent="0.2">
      <c r="B102" s="2" t="s">
        <v>187</v>
      </c>
      <c r="G102" s="2">
        <v>-7740</v>
      </c>
      <c r="H102" s="2">
        <v>-7158</v>
      </c>
      <c r="I102" s="2">
        <v>-10998</v>
      </c>
      <c r="J102" s="2">
        <v>-7810</v>
      </c>
      <c r="K102" s="2">
        <v>-14095</v>
      </c>
    </row>
    <row r="103" spans="2:11" x14ac:dyDescent="0.2">
      <c r="B103" s="2" t="s">
        <v>189</v>
      </c>
      <c r="H103" s="2">
        <v>-1250</v>
      </c>
      <c r="J103" s="2">
        <v>0</v>
      </c>
    </row>
    <row r="104" spans="2:11" x14ac:dyDescent="0.2">
      <c r="B104" s="2" t="s">
        <v>76</v>
      </c>
      <c r="G104" s="2">
        <v>-1752</v>
      </c>
      <c r="H104" s="2">
        <v>-1637</v>
      </c>
      <c r="I104" s="2">
        <v>-1680</v>
      </c>
      <c r="J104" s="2">
        <v>-1861</v>
      </c>
      <c r="K104" s="2">
        <v>-1532</v>
      </c>
    </row>
    <row r="105" spans="2:11" x14ac:dyDescent="0.2">
      <c r="B105" s="2" t="s">
        <v>77</v>
      </c>
      <c r="G105" s="2">
        <v>-98</v>
      </c>
      <c r="H105" s="2">
        <v>-246</v>
      </c>
      <c r="I105" s="2">
        <v>-245</v>
      </c>
      <c r="J105" s="2">
        <v>-245</v>
      </c>
      <c r="K105" s="2">
        <v>-244</v>
      </c>
    </row>
    <row r="106" spans="2:11" x14ac:dyDescent="0.2">
      <c r="B106" s="2" t="s">
        <v>188</v>
      </c>
      <c r="G106" s="2">
        <v>-40</v>
      </c>
      <c r="H106" s="2">
        <v>-29</v>
      </c>
      <c r="I106" s="2">
        <v>-29</v>
      </c>
      <c r="J106" s="2">
        <v>-32</v>
      </c>
      <c r="K106" s="2">
        <v>-52</v>
      </c>
    </row>
    <row r="107" spans="2:11" s="13" customFormat="1" x14ac:dyDescent="0.2">
      <c r="B107" s="13" t="s">
        <v>78</v>
      </c>
      <c r="G107" s="13">
        <f>+SUM(G101:G106)</f>
        <v>-9345</v>
      </c>
      <c r="H107" s="13">
        <f>+SUM(H101:H106)</f>
        <v>-10320</v>
      </c>
      <c r="I107" s="13">
        <f>+SUM(I101:I106)</f>
        <v>-12748</v>
      </c>
      <c r="J107" s="13">
        <f>+SUM(J101:J106)</f>
        <v>-9948</v>
      </c>
      <c r="K107" s="13">
        <f>+SUM(K101:K106)</f>
        <v>-15553</v>
      </c>
    </row>
    <row r="109" spans="2:11" x14ac:dyDescent="0.2">
      <c r="B109" s="2" t="s">
        <v>190</v>
      </c>
      <c r="G109" s="2">
        <f>SUM(G88,G99,G107)</f>
        <v>5039</v>
      </c>
      <c r="H109" s="2">
        <f>SUM(H88,H99,H107)</f>
        <v>984</v>
      </c>
      <c r="I109" s="2">
        <f>SUM(I88,I99,I107)</f>
        <v>536</v>
      </c>
      <c r="J109" s="2">
        <f>SUM(J88,J99,J107)</f>
        <v>-518</v>
      </c>
      <c r="K109" s="2">
        <f>SUM(K88,K99,K107)</f>
        <v>6735</v>
      </c>
    </row>
    <row r="111" spans="2:11" x14ac:dyDescent="0.2">
      <c r="B111" s="2" t="s">
        <v>79</v>
      </c>
      <c r="G111" s="2">
        <f>+G88+G94</f>
        <v>19708</v>
      </c>
      <c r="H111" s="2">
        <f>+H88+H94</f>
        <v>13512</v>
      </c>
      <c r="I111" s="2">
        <f>+I88+I94</f>
        <v>16816</v>
      </c>
      <c r="J111" s="2">
        <f>+J88+J94</f>
        <v>15551</v>
      </c>
      <c r="K111" s="2">
        <f>+K88+K94</f>
        <v>26187</v>
      </c>
    </row>
    <row r="112" spans="2:11" x14ac:dyDescent="0.2">
      <c r="B112" s="2" t="s">
        <v>80</v>
      </c>
      <c r="G112" s="2">
        <f>+G21</f>
        <v>14046</v>
      </c>
      <c r="H112" s="2">
        <f>+H21</f>
        <v>16599</v>
      </c>
      <c r="I112" s="2">
        <f>+I21</f>
        <v>16309</v>
      </c>
      <c r="J112" s="2">
        <f>+J21</f>
        <v>35926</v>
      </c>
      <c r="K112" s="2">
        <f>+K21</f>
        <v>18775</v>
      </c>
    </row>
  </sheetData>
  <pageMargins left="0.7" right="0.7" top="0.75" bottom="0.75" header="0.3" footer="0.3"/>
  <ignoredErrors>
    <ignoredError sqref="B6:J21 B26:I27 B23:J25 B22:E22 G22:I2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Products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2025-08-09T19:27:43Z</dcterms:created>
  <dcterms:modified xsi:type="dcterms:W3CDTF">2025-08-18T01:19:25Z</dcterms:modified>
</cp:coreProperties>
</file>