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55F40617-4C71-774D-BD76-02B8CF02B765}" xr6:coauthVersionLast="47" xr6:coauthVersionMax="47" xr10:uidLastSave="{00000000-0000-0000-0000-000000000000}"/>
  <bookViews>
    <workbookView xWindow="23480" yWindow="4020" windowWidth="27640" windowHeight="23540" activeTab="1" xr2:uid="{2B0E9291-F618-3A4E-B6D1-6A0F4157E42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S18" i="2" s="1"/>
  <c r="U7" i="2"/>
  <c r="U9" i="2" s="1"/>
  <c r="U13" i="2" s="1"/>
  <c r="T7" i="2"/>
  <c r="C53" i="2"/>
  <c r="G53" i="2"/>
  <c r="D52" i="2"/>
  <c r="E52" i="2" s="1"/>
  <c r="D51" i="2"/>
  <c r="E51" i="2" s="1"/>
  <c r="H51" i="2"/>
  <c r="H53" i="2" s="1"/>
  <c r="J9" i="2"/>
  <c r="H30" i="2"/>
  <c r="G30" i="2"/>
  <c r="F30" i="2"/>
  <c r="E30" i="2"/>
  <c r="D30" i="2"/>
  <c r="C30" i="2"/>
  <c r="I30" i="2"/>
  <c r="U30" i="2" s="1"/>
  <c r="C49" i="2"/>
  <c r="C40" i="2"/>
  <c r="D49" i="2"/>
  <c r="D40" i="2"/>
  <c r="E49" i="2"/>
  <c r="E40" i="2"/>
  <c r="G49" i="2"/>
  <c r="G40" i="2"/>
  <c r="H49" i="2"/>
  <c r="H40" i="2"/>
  <c r="F49" i="2"/>
  <c r="F40" i="2"/>
  <c r="I49" i="2"/>
  <c r="I40" i="2"/>
  <c r="F8" i="2"/>
  <c r="F12" i="2"/>
  <c r="F11" i="2"/>
  <c r="F10" i="2"/>
  <c r="F7" i="2"/>
  <c r="O19" i="2"/>
  <c r="N19" i="2"/>
  <c r="O18" i="2"/>
  <c r="N18" i="2"/>
  <c r="M9" i="2"/>
  <c r="M13" i="2" s="1"/>
  <c r="M15" i="2" s="1"/>
  <c r="N14" i="2"/>
  <c r="N9" i="2"/>
  <c r="N13" i="2" s="1"/>
  <c r="P19" i="2"/>
  <c r="P18" i="2"/>
  <c r="Q19" i="2"/>
  <c r="Q18" i="2"/>
  <c r="O14" i="2"/>
  <c r="O9" i="2"/>
  <c r="O13" i="2" s="1"/>
  <c r="P14" i="2"/>
  <c r="P9" i="2"/>
  <c r="P13" i="2" s="1"/>
  <c r="R19" i="2"/>
  <c r="R18" i="2"/>
  <c r="Q14" i="2"/>
  <c r="Q9" i="2"/>
  <c r="Q13" i="2" s="1"/>
  <c r="S19" i="2"/>
  <c r="R14" i="2"/>
  <c r="R9" i="2"/>
  <c r="R13" i="2" s="1"/>
  <c r="T19" i="2"/>
  <c r="S14" i="2"/>
  <c r="U19" i="2"/>
  <c r="U14" i="2"/>
  <c r="F14" i="2" s="1"/>
  <c r="T14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G19" i="2"/>
  <c r="G18" i="2"/>
  <c r="C9" i="2"/>
  <c r="C13" i="2" s="1"/>
  <c r="C15" i="2" s="1"/>
  <c r="G9" i="2"/>
  <c r="G13" i="2" s="1"/>
  <c r="G15" i="2" s="1"/>
  <c r="H19" i="2"/>
  <c r="H18" i="2"/>
  <c r="I19" i="2"/>
  <c r="I18" i="2"/>
  <c r="D9" i="2"/>
  <c r="D13" i="2" s="1"/>
  <c r="D15" i="2" s="1"/>
  <c r="H9" i="2"/>
  <c r="H13" i="2" s="1"/>
  <c r="H15" i="2" s="1"/>
  <c r="E9" i="2"/>
  <c r="E13" i="2" s="1"/>
  <c r="E15" i="2" s="1"/>
  <c r="I9" i="2"/>
  <c r="I26" i="2" s="1"/>
  <c r="F11" i="1"/>
  <c r="F6" i="1"/>
  <c r="F9" i="1" s="1"/>
  <c r="AG29" i="2" s="1"/>
  <c r="G7" i="1"/>
  <c r="G8" i="1" s="1"/>
  <c r="S9" i="2" l="1"/>
  <c r="S13" i="2" s="1"/>
  <c r="T18" i="2"/>
  <c r="T9" i="2"/>
  <c r="T13" i="2" s="1"/>
  <c r="T15" i="2" s="1"/>
  <c r="U18" i="2"/>
  <c r="R15" i="2"/>
  <c r="D26" i="2"/>
  <c r="M26" i="2"/>
  <c r="P26" i="2"/>
  <c r="M25" i="2"/>
  <c r="Q26" i="2"/>
  <c r="N24" i="2"/>
  <c r="P25" i="2"/>
  <c r="R26" i="2"/>
  <c r="E24" i="2"/>
  <c r="O24" i="2"/>
  <c r="Q25" i="2"/>
  <c r="S26" i="2"/>
  <c r="F51" i="2"/>
  <c r="U24" i="2"/>
  <c r="G25" i="2"/>
  <c r="P24" i="2"/>
  <c r="R25" i="2"/>
  <c r="I51" i="2"/>
  <c r="I53" i="2" s="1"/>
  <c r="F52" i="2"/>
  <c r="U25" i="2"/>
  <c r="H25" i="2"/>
  <c r="Q24" i="2"/>
  <c r="S25" i="2"/>
  <c r="U26" i="2"/>
  <c r="R24" i="2"/>
  <c r="N26" i="2"/>
  <c r="N25" i="2"/>
  <c r="M24" i="2"/>
  <c r="S24" i="2"/>
  <c r="O26" i="2"/>
  <c r="O25" i="2"/>
  <c r="D53" i="2"/>
  <c r="E53" i="2"/>
  <c r="G24" i="2"/>
  <c r="C26" i="2"/>
  <c r="I24" i="2"/>
  <c r="H24" i="2"/>
  <c r="M21" i="2"/>
  <c r="I25" i="2"/>
  <c r="C25" i="2"/>
  <c r="E26" i="2"/>
  <c r="C24" i="2"/>
  <c r="E25" i="2"/>
  <c r="G26" i="2"/>
  <c r="D25" i="2"/>
  <c r="D24" i="2"/>
  <c r="H26" i="2"/>
  <c r="N20" i="2"/>
  <c r="N15" i="2"/>
  <c r="O21" i="2"/>
  <c r="I20" i="2"/>
  <c r="S15" i="2"/>
  <c r="F9" i="2"/>
  <c r="F21" i="2" s="1"/>
  <c r="D21" i="2"/>
  <c r="J11" i="2"/>
  <c r="V11" i="2" s="1"/>
  <c r="J7" i="2"/>
  <c r="J8" i="2"/>
  <c r="J12" i="2"/>
  <c r="V12" i="2" s="1"/>
  <c r="Q20" i="2"/>
  <c r="J14" i="2"/>
  <c r="V14" i="2" s="1"/>
  <c r="F13" i="2"/>
  <c r="P21" i="2"/>
  <c r="Q21" i="2"/>
  <c r="J10" i="2"/>
  <c r="V10" i="2" s="1"/>
  <c r="C21" i="2"/>
  <c r="S21" i="2"/>
  <c r="E21" i="2"/>
  <c r="P20" i="2"/>
  <c r="G21" i="2"/>
  <c r="I21" i="2"/>
  <c r="R20" i="2"/>
  <c r="R21" i="2"/>
  <c r="S20" i="2"/>
  <c r="O20" i="2"/>
  <c r="H21" i="2"/>
  <c r="N21" i="2"/>
  <c r="U21" i="2"/>
  <c r="O15" i="2"/>
  <c r="P15" i="2"/>
  <c r="Q15" i="2"/>
  <c r="U15" i="2"/>
  <c r="F15" i="2" s="1"/>
  <c r="H20" i="2"/>
  <c r="G20" i="2"/>
  <c r="I13" i="2"/>
  <c r="I15" i="2" s="1"/>
  <c r="T26" i="2" l="1"/>
  <c r="T21" i="2"/>
  <c r="T24" i="2"/>
  <c r="T25" i="2"/>
  <c r="T20" i="2"/>
  <c r="U20" i="2"/>
  <c r="F53" i="2"/>
  <c r="F26" i="2"/>
  <c r="F25" i="2"/>
  <c r="F24" i="2"/>
  <c r="J20" i="2"/>
  <c r="J19" i="2"/>
  <c r="V8" i="2"/>
  <c r="J13" i="2"/>
  <c r="J15" i="2" s="1"/>
  <c r="V7" i="2"/>
  <c r="W7" i="2" s="1"/>
  <c r="X7" i="2" s="1"/>
  <c r="Y7" i="2" s="1"/>
  <c r="Z7" i="2" s="1"/>
  <c r="AA7" i="2" s="1"/>
  <c r="AB7" i="2" s="1"/>
  <c r="AC7" i="2" s="1"/>
  <c r="AD7" i="2" s="1"/>
  <c r="AE7" i="2" s="1"/>
  <c r="J18" i="2"/>
  <c r="J21" i="2"/>
  <c r="W18" i="2" l="1"/>
  <c r="V19" i="2"/>
  <c r="W8" i="2"/>
  <c r="V9" i="2"/>
  <c r="V18" i="2"/>
  <c r="V13" i="2"/>
  <c r="V15" i="2" s="1"/>
  <c r="W19" i="2" l="1"/>
  <c r="X8" i="2"/>
  <c r="W9" i="2"/>
  <c r="V26" i="2"/>
  <c r="V25" i="2"/>
  <c r="V24" i="2"/>
  <c r="X18" i="2"/>
  <c r="V21" i="2"/>
  <c r="V20" i="2"/>
  <c r="Y18" i="2" l="1"/>
  <c r="W20" i="2"/>
  <c r="W12" i="2"/>
  <c r="W26" i="2" s="1"/>
  <c r="W11" i="2"/>
  <c r="W25" i="2" s="1"/>
  <c r="W10" i="2"/>
  <c r="W24" i="2" s="1"/>
  <c r="Y8" i="2"/>
  <c r="Y9" i="2" s="1"/>
  <c r="X19" i="2"/>
  <c r="X9" i="2"/>
  <c r="W13" i="2" l="1"/>
  <c r="X11" i="2"/>
  <c r="X10" i="2"/>
  <c r="X21" i="2"/>
  <c r="X20" i="2"/>
  <c r="X12" i="2"/>
  <c r="Y20" i="2"/>
  <c r="Z8" i="2"/>
  <c r="Z9" i="2" s="1"/>
  <c r="Y19" i="2"/>
  <c r="W21" i="2"/>
  <c r="Z18" i="2"/>
  <c r="X13" i="2" l="1"/>
  <c r="Z20" i="2"/>
  <c r="Y12" i="2"/>
  <c r="X26" i="2"/>
  <c r="AA8" i="2"/>
  <c r="AA9" i="2" s="1"/>
  <c r="Z19" i="2"/>
  <c r="Y11" i="2"/>
  <c r="X25" i="2"/>
  <c r="AA18" i="2"/>
  <c r="Y10" i="2"/>
  <c r="X24" i="2"/>
  <c r="W14" i="2"/>
  <c r="X14" i="2" s="1"/>
  <c r="X15" i="2" s="1"/>
  <c r="W15" i="2" l="1"/>
  <c r="Y24" i="2"/>
  <c r="Y21" i="2"/>
  <c r="Y13" i="2"/>
  <c r="Y14" i="2"/>
  <c r="AA20" i="2"/>
  <c r="AB9" i="2"/>
  <c r="AB18" i="2"/>
  <c r="Z12" i="2"/>
  <c r="Y26" i="2"/>
  <c r="Z11" i="2"/>
  <c r="Y25" i="2"/>
  <c r="Z10" i="2"/>
  <c r="AB8" i="2"/>
  <c r="AA19" i="2"/>
  <c r="AA11" i="2" l="1"/>
  <c r="Z25" i="2"/>
  <c r="AA12" i="2"/>
  <c r="Z26" i="2"/>
  <c r="Z24" i="2"/>
  <c r="Z21" i="2"/>
  <c r="Z13" i="2"/>
  <c r="AA10" i="2"/>
  <c r="Y15" i="2"/>
  <c r="AB20" i="2"/>
  <c r="AC8" i="2"/>
  <c r="AB19" i="2"/>
  <c r="AC18" i="2"/>
  <c r="AD18" i="2" l="1"/>
  <c r="AA24" i="2"/>
  <c r="AA21" i="2"/>
  <c r="AA13" i="2"/>
  <c r="Z14" i="2"/>
  <c r="Z15" i="2"/>
  <c r="AD8" i="2"/>
  <c r="AD9" i="2" s="1"/>
  <c r="AC19" i="2"/>
  <c r="AB10" i="2"/>
  <c r="AB12" i="2"/>
  <c r="AA26" i="2"/>
  <c r="AC9" i="2"/>
  <c r="AB11" i="2"/>
  <c r="AA25" i="2"/>
  <c r="AC11" i="2" l="1"/>
  <c r="AB25" i="2"/>
  <c r="AC20" i="2"/>
  <c r="AC10" i="2"/>
  <c r="AC24" i="2" s="1"/>
  <c r="AA14" i="2"/>
  <c r="AA15" i="2"/>
  <c r="AC12" i="2"/>
  <c r="AC13" i="2" s="1"/>
  <c r="AB26" i="2"/>
  <c r="AB24" i="2"/>
  <c r="AB21" i="2"/>
  <c r="AB13" i="2"/>
  <c r="AD20" i="2"/>
  <c r="AD10" i="2"/>
  <c r="AD24" i="2" s="1"/>
  <c r="AE8" i="2"/>
  <c r="AE19" i="2" s="1"/>
  <c r="AD19" i="2"/>
  <c r="AE18" i="2"/>
  <c r="AE9" i="2" l="1"/>
  <c r="AD21" i="2"/>
  <c r="AE20" i="2"/>
  <c r="AE10" i="2"/>
  <c r="AC21" i="2"/>
  <c r="AB14" i="2"/>
  <c r="AB15" i="2" s="1"/>
  <c r="AD12" i="2"/>
  <c r="AC26" i="2"/>
  <c r="AD11" i="2"/>
  <c r="AC25" i="2"/>
  <c r="AC14" i="2" l="1"/>
  <c r="AC15" i="2" s="1"/>
  <c r="AE11" i="2"/>
  <c r="AE25" i="2" s="1"/>
  <c r="AD25" i="2"/>
  <c r="AE24" i="2"/>
  <c r="AE12" i="2"/>
  <c r="AE26" i="2" s="1"/>
  <c r="AD26" i="2"/>
  <c r="AE21" i="2"/>
  <c r="AD13" i="2"/>
  <c r="AD14" i="2" l="1"/>
  <c r="AD15" i="2"/>
  <c r="AE13" i="2"/>
  <c r="AE14" i="2" s="1"/>
  <c r="AE15" i="2" s="1"/>
</calcChain>
</file>

<file path=xl/sharedStrings.xml><?xml version="1.0" encoding="utf-8"?>
<sst xmlns="http://schemas.openxmlformats.org/spreadsheetml/2006/main" count="102" uniqueCount="90">
  <si>
    <t>P</t>
  </si>
  <si>
    <t>S</t>
  </si>
  <si>
    <t>MC</t>
  </si>
  <si>
    <t>C</t>
  </si>
  <si>
    <t>D</t>
  </si>
  <si>
    <t>EV</t>
  </si>
  <si>
    <t>Q324</t>
  </si>
  <si>
    <t xml:space="preserve">CEO </t>
  </si>
  <si>
    <t xml:space="preserve">CFO </t>
  </si>
  <si>
    <t>$m except P</t>
  </si>
  <si>
    <t>NCPS</t>
  </si>
  <si>
    <t>Q123</t>
  </si>
  <si>
    <t>Q223</t>
  </si>
  <si>
    <t>Q323</t>
  </si>
  <si>
    <t>Q423</t>
  </si>
  <si>
    <t>Q124</t>
  </si>
  <si>
    <t>Q224</t>
  </si>
  <si>
    <t>Q424</t>
  </si>
  <si>
    <t xml:space="preserve">Product </t>
  </si>
  <si>
    <t>Royalty</t>
  </si>
  <si>
    <t xml:space="preserve">Net Revenue </t>
  </si>
  <si>
    <t>R&amp;D</t>
  </si>
  <si>
    <t>SG&amp;A</t>
  </si>
  <si>
    <t xml:space="preserve">Operating Income </t>
  </si>
  <si>
    <t>Other Income</t>
  </si>
  <si>
    <t xml:space="preserve">Net Income </t>
  </si>
  <si>
    <t>$K</t>
  </si>
  <si>
    <t xml:space="preserve">Ronald Glibbery </t>
  </si>
  <si>
    <t xml:space="preserve">James Sullivan </t>
  </si>
  <si>
    <t>Growth Analysis  Y/Y</t>
  </si>
  <si>
    <t>GM %</t>
  </si>
  <si>
    <t xml:space="preserve">TL </t>
  </si>
  <si>
    <t>E</t>
  </si>
  <si>
    <t>A/P</t>
  </si>
  <si>
    <t>Accrued Exp</t>
  </si>
  <si>
    <t>Deferred R</t>
  </si>
  <si>
    <t>Short Term L</t>
  </si>
  <si>
    <t>LT L</t>
  </si>
  <si>
    <t>Warrant L</t>
  </si>
  <si>
    <t>Total Assets</t>
  </si>
  <si>
    <t xml:space="preserve">Cash </t>
  </si>
  <si>
    <t>A/R</t>
  </si>
  <si>
    <t xml:space="preserve">Inventories </t>
  </si>
  <si>
    <t>Prepaid Exp</t>
  </si>
  <si>
    <t>PPE</t>
  </si>
  <si>
    <t>Right of Use assets</t>
  </si>
  <si>
    <t>Intangible assets</t>
  </si>
  <si>
    <t>Other</t>
  </si>
  <si>
    <t>Tax credits</t>
  </si>
  <si>
    <t xml:space="preserve">Net Cash </t>
  </si>
  <si>
    <t>% R</t>
  </si>
  <si>
    <t xml:space="preserve">CFFO </t>
  </si>
  <si>
    <t>Capax</t>
  </si>
  <si>
    <t xml:space="preserve">FCF </t>
  </si>
  <si>
    <t>Formerly MoSys</t>
  </si>
  <si>
    <t>6 GHz</t>
  </si>
  <si>
    <t>Ics are microchips designed to process or generate mmWave signals and include</t>
  </si>
  <si>
    <t xml:space="preserve">Baseband Ics: handle data processing, modulating and demodulating signals </t>
  </si>
  <si>
    <t>RF Ics: generate high frequency mmWave signals and amplify them</t>
  </si>
  <si>
    <t>Beamforming Ics: use phased array tech to focus on the mmWave signla ina. Specific direction, imprvoing range and signal strength</t>
  </si>
  <si>
    <t>End Customers</t>
  </si>
  <si>
    <t>equipment manufacturers who build wireless routers, base stations, customer premises equipment for fixed wireless access</t>
  </si>
  <si>
    <t>mmWave Antenna Modules</t>
  </si>
  <si>
    <t>Integrate Antenna modules combine mmWave Ics and antenna systems designed to work with mmWave signals</t>
  </si>
  <si>
    <t>why is this special?</t>
  </si>
  <si>
    <t>Integrated solution: the amplifier and antenna are close together to minimize signal loss, crucial for mmWave performance</t>
  </si>
  <si>
    <t>ease of use: they elminate the need for customers to design their own mmWave systems, reducing time to market</t>
  </si>
  <si>
    <t>Indoor applications: high speed, low latency uses like AR/VR, wireless cameras, or smart factory system</t>
  </si>
  <si>
    <t xml:space="preserve">mmWave Integrated Circuits </t>
  </si>
  <si>
    <t>Wireless Internet Service providers for building affordable broadband networks in unlicensed 60 GHz bands</t>
  </si>
  <si>
    <t>PERSPECTUS Antenna Modules</t>
  </si>
  <si>
    <t>a specialized family of antenna modules designed for fixed wireless access applications with features like: extended range + software tools and protocols to optimize perfornance</t>
  </si>
  <si>
    <t>service providers looking to offer multi gigabit internet access without the cost of laying fiber cables</t>
  </si>
  <si>
    <t xml:space="preserve">5G mmWave Products </t>
  </si>
  <si>
    <t>developing beamformer Ics for the licensed 5G mmWave spectrum (24-43 GHz), supporting features like: dual stream (Multi input,multi output) to boost data rates</t>
  </si>
  <si>
    <t xml:space="preserve">telecom equipment manufacttuers building 5G base stations or customer premises devices </t>
  </si>
  <si>
    <t>Memory Ics</t>
  </si>
  <si>
    <r>
      <t xml:space="preserve">specialized memory chips designed to work alongside high performance packet processors in netowkring applications.  </t>
    </r>
    <r>
      <rPr>
        <b/>
        <sz val="10"/>
        <color theme="1"/>
        <rFont val="ArialMT"/>
      </rPr>
      <t xml:space="preserve">Currently being phased out </t>
    </r>
  </si>
  <si>
    <t>Microchips (Ics)</t>
  </si>
  <si>
    <t>components that generate and process mmWave signals</t>
  </si>
  <si>
    <t>Integrated Modules</t>
  </si>
  <si>
    <t xml:space="preserve">ready to use systems combining Ics and antennas </t>
  </si>
  <si>
    <t>Tech &amp; Expertise</t>
  </si>
  <si>
    <t>proprietary designs, beamforming techniques, and software for optinmzing mmWave deployments</t>
  </si>
  <si>
    <t xml:space="preserve">Selling </t>
  </si>
  <si>
    <t xml:space="preserve">Product Overview </t>
  </si>
  <si>
    <t>EV/24R</t>
  </si>
  <si>
    <t>mmWave ICs</t>
  </si>
  <si>
    <t>mmWave modules</t>
  </si>
  <si>
    <t>mmWave other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</si>
</sst>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9" fontId="0" fillId="0" borderId="0" xfId="0" applyNumberFormat="1"/>
    <xf numFmtId="3" fontId="2" fillId="0" borderId="0" xfId="0" applyNumberFormat="1" applyFont="1"/>
    <xf numFmtId="9" fontId="1" fillId="0" borderId="0" xfId="0" applyNumberFormat="1" applyFont="1"/>
    <xf numFmtId="3" fontId="3" fillId="0" borderId="0" xfId="0" applyNumberFormat="1" applyFont="1"/>
    <xf numFmtId="1" fontId="0" fillId="0" borderId="0" xfId="0" applyNumberFormat="1"/>
    <xf numFmtId="3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807736</xdr:colOff>
      <xdr:row>0</xdr:row>
      <xdr:rowOff>157763</xdr:rowOff>
    </xdr:from>
    <xdr:to>
      <xdr:col>11</xdr:col>
      <xdr:colOff>287867</xdr:colOff>
      <xdr:row>13</xdr:row>
      <xdr:rowOff>19992</xdr:rowOff>
    </xdr:to>
    <xdr:pic>
      <xdr:nvPicPr>
        <xdr:cNvPr id="2" name="dimg_NFqYZ8b0FenK0PEP05Ga2QQ_18" descr="Sine Wave: Definition, What It's Used ...">
          <a:extLst>
            <a:ext uri="{FF2B5EF4-FFF2-40B4-BE49-F238E27FC236}">
              <a16:creationId xmlns:a16="http://schemas.microsoft.com/office/drawing/2014/main" id="{6EC08167-2E8C-F3A6-1FEB-3555CFBA9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9203" y="157763"/>
          <a:ext cx="2799064" cy="2063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29128</xdr:rowOff>
    </xdr:from>
    <xdr:to>
      <xdr:col>9</xdr:col>
      <xdr:colOff>5826</xdr:colOff>
      <xdr:row>70</xdr:row>
      <xdr:rowOff>91722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CA1BE80-E77A-4C6E-9388-E9EE282E7819}"/>
            </a:ext>
          </a:extLst>
        </xdr:cNvPr>
        <xdr:cNvCxnSpPr/>
      </xdr:nvCxnSpPr>
      <xdr:spPr>
        <a:xfrm flipH="1">
          <a:off x="4938889" y="29128"/>
          <a:ext cx="5826" cy="947470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5825</xdr:colOff>
      <xdr:row>0</xdr:row>
      <xdr:rowOff>11651</xdr:rowOff>
    </xdr:from>
    <xdr:to>
      <xdr:col>21</xdr:col>
      <xdr:colOff>35278</xdr:colOff>
      <xdr:row>63</xdr:row>
      <xdr:rowOff>141111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7E9C549-7E87-7945-99FD-2C81462EB1E4}"/>
            </a:ext>
          </a:extLst>
        </xdr:cNvPr>
        <xdr:cNvCxnSpPr/>
      </xdr:nvCxnSpPr>
      <xdr:spPr>
        <a:xfrm>
          <a:off x="10476269" y="11651"/>
          <a:ext cx="29453" cy="84056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1838-B70B-3F4A-8FEA-AEE8B825DF57}">
  <dimension ref="B2:I46"/>
  <sheetViews>
    <sheetView zoomScale="150" workbookViewId="0">
      <selection activeCell="N11" sqref="N11"/>
    </sheetView>
  </sheetViews>
  <sheetFormatPr baseColWidth="10" defaultRowHeight="13"/>
  <cols>
    <col min="1" max="1" width="4.5" style="1" customWidth="1"/>
    <col min="2" max="2" width="13.33203125" style="1" bestFit="1" customWidth="1"/>
    <col min="3" max="3" width="14" style="1" bestFit="1" customWidth="1"/>
    <col min="4" max="4" width="10.83203125" style="1"/>
    <col min="5" max="5" width="5.83203125" style="1" bestFit="1" customWidth="1"/>
    <col min="6" max="6" width="10.83203125" style="1"/>
    <col min="7" max="7" width="5.5" style="1" bestFit="1" customWidth="1"/>
    <col min="8" max="16384" width="10.83203125" style="1"/>
  </cols>
  <sheetData>
    <row r="2" spans="2:9">
      <c r="I2"/>
    </row>
    <row r="3" spans="2:9">
      <c r="F3" s="1" t="s">
        <v>9</v>
      </c>
    </row>
    <row r="4" spans="2:9">
      <c r="B4" s="1" t="s">
        <v>7</v>
      </c>
      <c r="C4" s="1" t="s">
        <v>27</v>
      </c>
      <c r="E4" s="1" t="s">
        <v>0</v>
      </c>
      <c r="F4" s="3">
        <v>0.83</v>
      </c>
    </row>
    <row r="5" spans="2:9">
      <c r="B5" s="1" t="s">
        <v>8</v>
      </c>
      <c r="C5" s="1" t="s">
        <v>28</v>
      </c>
      <c r="E5" s="1" t="s">
        <v>1</v>
      </c>
      <c r="F5" s="3">
        <v>3.4299590000000002</v>
      </c>
      <c r="G5" s="1" t="s">
        <v>6</v>
      </c>
    </row>
    <row r="6" spans="2:9">
      <c r="E6" s="1" t="s">
        <v>2</v>
      </c>
      <c r="F6" s="3">
        <f>+F5*F4</f>
        <v>2.8468659700000001</v>
      </c>
    </row>
    <row r="7" spans="2:9">
      <c r="B7" s="1" t="s">
        <v>54</v>
      </c>
      <c r="E7" s="1" t="s">
        <v>3</v>
      </c>
      <c r="F7" s="3">
        <v>1.3169999999999999</v>
      </c>
      <c r="G7" s="1" t="str">
        <f>+G5</f>
        <v>Q324</v>
      </c>
    </row>
    <row r="8" spans="2:9">
      <c r="E8" s="1" t="s">
        <v>4</v>
      </c>
      <c r="F8" s="3">
        <v>0</v>
      </c>
      <c r="G8" s="1" t="str">
        <f>+G7</f>
        <v>Q324</v>
      </c>
    </row>
    <row r="9" spans="2:9">
      <c r="E9" s="1" t="s">
        <v>5</v>
      </c>
      <c r="F9" s="3">
        <f>+F6-F7+F8</f>
        <v>1.5298659700000001</v>
      </c>
    </row>
    <row r="11" spans="2:9">
      <c r="B11" s="1" t="s">
        <v>55</v>
      </c>
      <c r="E11" s="1" t="s">
        <v>10</v>
      </c>
      <c r="F11" s="2">
        <f>+(F7-F8) / F5</f>
        <v>0.38396960430139249</v>
      </c>
    </row>
    <row r="14" spans="2:9">
      <c r="B14" s="7" t="s">
        <v>84</v>
      </c>
    </row>
    <row r="15" spans="2:9">
      <c r="B15" s="1" t="s">
        <v>78</v>
      </c>
      <c r="C15" s="1" t="s">
        <v>79</v>
      </c>
    </row>
    <row r="16" spans="2:9">
      <c r="B16" s="7" t="s">
        <v>80</v>
      </c>
      <c r="C16" s="1" t="s">
        <v>81</v>
      </c>
    </row>
    <row r="17" spans="2:3">
      <c r="B17" s="7" t="s">
        <v>82</v>
      </c>
      <c r="C17" s="1" t="s">
        <v>83</v>
      </c>
    </row>
    <row r="18" spans="2:3">
      <c r="B18" s="7"/>
    </row>
    <row r="19" spans="2:3">
      <c r="B19" s="7"/>
    </row>
    <row r="20" spans="2:3">
      <c r="B20" s="7"/>
    </row>
    <row r="21" spans="2:3">
      <c r="B21" s="7" t="s">
        <v>85</v>
      </c>
    </row>
    <row r="22" spans="2:3">
      <c r="B22" s="4" t="s">
        <v>68</v>
      </c>
    </row>
    <row r="23" spans="2:3">
      <c r="B23" s="11" t="s">
        <v>56</v>
      </c>
    </row>
    <row r="24" spans="2:3">
      <c r="B24" s="11" t="s">
        <v>57</v>
      </c>
    </row>
    <row r="25" spans="2:3">
      <c r="B25" s="11" t="s">
        <v>58</v>
      </c>
    </row>
    <row r="26" spans="2:3">
      <c r="B26" s="11" t="s">
        <v>59</v>
      </c>
    </row>
    <row r="27" spans="2:3">
      <c r="B27" s="1" t="s">
        <v>60</v>
      </c>
    </row>
    <row r="28" spans="2:3">
      <c r="B28" s="11" t="s">
        <v>61</v>
      </c>
    </row>
    <row r="29" spans="2:3">
      <c r="B29" s="4" t="s">
        <v>62</v>
      </c>
    </row>
    <row r="30" spans="2:3">
      <c r="B30" s="11" t="s">
        <v>63</v>
      </c>
    </row>
    <row r="31" spans="2:3">
      <c r="B31" s="1" t="s">
        <v>64</v>
      </c>
    </row>
    <row r="32" spans="2:3">
      <c r="B32" s="11" t="s">
        <v>65</v>
      </c>
    </row>
    <row r="33" spans="2:2">
      <c r="B33" s="11" t="s">
        <v>66</v>
      </c>
    </row>
    <row r="34" spans="2:2">
      <c r="B34" s="1" t="s">
        <v>60</v>
      </c>
    </row>
    <row r="35" spans="2:2">
      <c r="B35" s="11" t="s">
        <v>69</v>
      </c>
    </row>
    <row r="36" spans="2:2">
      <c r="B36" s="11" t="s">
        <v>67</v>
      </c>
    </row>
    <row r="37" spans="2:2">
      <c r="B37" s="4" t="s">
        <v>70</v>
      </c>
    </row>
    <row r="38" spans="2:2">
      <c r="B38" s="11" t="s">
        <v>71</v>
      </c>
    </row>
    <row r="39" spans="2:2">
      <c r="B39" s="1" t="s">
        <v>60</v>
      </c>
    </row>
    <row r="40" spans="2:2">
      <c r="B40" s="11" t="s">
        <v>72</v>
      </c>
    </row>
    <row r="41" spans="2:2">
      <c r="B41" s="4" t="s">
        <v>73</v>
      </c>
    </row>
    <row r="42" spans="2:2">
      <c r="B42" s="11" t="s">
        <v>74</v>
      </c>
    </row>
    <row r="43" spans="2:2">
      <c r="B43" s="1" t="s">
        <v>60</v>
      </c>
    </row>
    <row r="44" spans="2:2">
      <c r="B44" s="11" t="s">
        <v>75</v>
      </c>
    </row>
    <row r="45" spans="2:2">
      <c r="B45" s="4" t="s">
        <v>76</v>
      </c>
    </row>
    <row r="46" spans="2:2">
      <c r="B46" s="11" t="s">
        <v>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E82B-D5CC-354F-B760-A8D007B807BB}">
  <dimension ref="A1:AG53"/>
  <sheetViews>
    <sheetView tabSelected="1" zoomScale="16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C11" sqref="AC11"/>
    </sheetView>
  </sheetViews>
  <sheetFormatPr baseColWidth="10" defaultRowHeight="13"/>
  <cols>
    <col min="1" max="1" width="3.33203125" style="1" bestFit="1" customWidth="1"/>
    <col min="2" max="2" width="20" style="1" bestFit="1" customWidth="1"/>
    <col min="3" max="5" width="6.6640625" style="1" bestFit="1" customWidth="1"/>
    <col min="6" max="6" width="6.1640625" style="1" bestFit="1" customWidth="1"/>
    <col min="7" max="9" width="6.33203125" style="1" bestFit="1" customWidth="1"/>
    <col min="10" max="10" width="5.5" style="1" bestFit="1" customWidth="1"/>
    <col min="11" max="11" width="3.6640625" style="1" customWidth="1"/>
    <col min="12" max="12" width="4" style="1" customWidth="1"/>
    <col min="13" max="14" width="6.6640625" style="1" bestFit="1" customWidth="1"/>
    <col min="15" max="15" width="5.6640625" style="1" bestFit="1" customWidth="1"/>
    <col min="16" max="17" width="6.6640625" style="1" bestFit="1" customWidth="1"/>
    <col min="18" max="18" width="7.1640625" style="1" bestFit="1" customWidth="1"/>
    <col min="19" max="21" width="6.6640625" style="1" bestFit="1" customWidth="1"/>
    <col min="22" max="22" width="7.1640625" style="1" bestFit="1" customWidth="1"/>
    <col min="23" max="23" width="6.6640625" style="1" bestFit="1" customWidth="1"/>
    <col min="24" max="31" width="7.1640625" style="1" bestFit="1" customWidth="1"/>
    <col min="32" max="16384" width="10.83203125" style="1"/>
  </cols>
  <sheetData>
    <row r="1" spans="1:31">
      <c r="A1" s="5" t="s">
        <v>26</v>
      </c>
    </row>
    <row r="2" spans="1:31" s="10" customFormat="1"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0" t="s">
        <v>16</v>
      </c>
      <c r="I2" s="10" t="s">
        <v>6</v>
      </c>
      <c r="J2" s="10" t="s">
        <v>17</v>
      </c>
      <c r="M2" s="10">
        <v>2015</v>
      </c>
      <c r="N2" s="10">
        <f>+M2+1</f>
        <v>2016</v>
      </c>
      <c r="O2" s="10">
        <f t="shared" ref="O2:AE2" si="0">+N2+1</f>
        <v>2017</v>
      </c>
      <c r="P2" s="10">
        <f t="shared" si="0"/>
        <v>2018</v>
      </c>
      <c r="Q2" s="10">
        <f t="shared" si="0"/>
        <v>2019</v>
      </c>
      <c r="R2" s="10">
        <f t="shared" si="0"/>
        <v>2020</v>
      </c>
      <c r="S2" s="10">
        <f t="shared" si="0"/>
        <v>2021</v>
      </c>
      <c r="T2" s="10">
        <f t="shared" si="0"/>
        <v>2022</v>
      </c>
      <c r="U2" s="10">
        <f t="shared" si="0"/>
        <v>2023</v>
      </c>
      <c r="V2" s="10">
        <f t="shared" si="0"/>
        <v>2024</v>
      </c>
      <c r="W2" s="10">
        <f t="shared" si="0"/>
        <v>2025</v>
      </c>
      <c r="X2" s="10">
        <f t="shared" si="0"/>
        <v>2026</v>
      </c>
      <c r="Y2" s="10">
        <f t="shared" si="0"/>
        <v>2027</v>
      </c>
      <c r="Z2" s="10">
        <f t="shared" si="0"/>
        <v>2028</v>
      </c>
      <c r="AA2" s="10">
        <f t="shared" si="0"/>
        <v>2029</v>
      </c>
      <c r="AB2" s="10">
        <f t="shared" si="0"/>
        <v>2030</v>
      </c>
      <c r="AC2" s="10">
        <f t="shared" si="0"/>
        <v>2031</v>
      </c>
      <c r="AD2" s="10">
        <f t="shared" si="0"/>
        <v>2032</v>
      </c>
      <c r="AE2" s="10">
        <f t="shared" si="0"/>
        <v>2033</v>
      </c>
    </row>
    <row r="3" spans="1:31">
      <c r="B3" s="1" t="s">
        <v>76</v>
      </c>
      <c r="S3" s="1">
        <v>150</v>
      </c>
      <c r="T3" s="1">
        <v>7722</v>
      </c>
      <c r="U3" s="1">
        <v>8446</v>
      </c>
    </row>
    <row r="4" spans="1:31">
      <c r="B4" s="1" t="s">
        <v>87</v>
      </c>
      <c r="S4" s="1">
        <v>3566</v>
      </c>
      <c r="T4" s="1">
        <v>3289</v>
      </c>
      <c r="U4" s="1">
        <v>2726</v>
      </c>
    </row>
    <row r="5" spans="1:31">
      <c r="B5" s="1" t="s">
        <v>88</v>
      </c>
      <c r="S5" s="1">
        <v>1101</v>
      </c>
      <c r="T5" s="1">
        <v>3170</v>
      </c>
      <c r="U5" s="1">
        <v>1677</v>
      </c>
    </row>
    <row r="6" spans="1:31">
      <c r="B6" s="1" t="s">
        <v>89</v>
      </c>
      <c r="S6" s="1">
        <v>89</v>
      </c>
      <c r="T6" s="1">
        <v>18</v>
      </c>
      <c r="U6" s="1">
        <v>4</v>
      </c>
    </row>
    <row r="7" spans="1:31">
      <c r="B7" s="4" t="s">
        <v>18</v>
      </c>
      <c r="C7" s="1">
        <v>4888</v>
      </c>
      <c r="D7" s="1">
        <v>2235</v>
      </c>
      <c r="E7" s="1">
        <v>4262</v>
      </c>
      <c r="F7" s="1">
        <f>+U7-SUM(C7:E7)</f>
        <v>1468</v>
      </c>
      <c r="G7" s="1">
        <v>2676</v>
      </c>
      <c r="H7" s="1">
        <v>4109</v>
      </c>
      <c r="I7" s="1">
        <v>3811</v>
      </c>
      <c r="J7" s="1">
        <f>+J9*0.99</f>
        <v>3762</v>
      </c>
      <c r="M7" s="1">
        <v>2400</v>
      </c>
      <c r="N7" s="1">
        <v>4604</v>
      </c>
      <c r="O7" s="1">
        <v>7833</v>
      </c>
      <c r="P7" s="1">
        <v>15053</v>
      </c>
      <c r="Q7" s="1">
        <v>9377</v>
      </c>
      <c r="R7" s="1">
        <v>1540</v>
      </c>
      <c r="S7" s="1">
        <f>SUM(S3:S6)</f>
        <v>4906</v>
      </c>
      <c r="T7" s="1">
        <f>SUM(T3:T6)</f>
        <v>14199</v>
      </c>
      <c r="U7" s="1">
        <f>SUM(U3:U6)</f>
        <v>12853</v>
      </c>
      <c r="V7" s="1">
        <f>SUM(G7:J7)</f>
        <v>14358</v>
      </c>
      <c r="W7" s="1">
        <f>+V7*0.5</f>
        <v>7179</v>
      </c>
      <c r="X7" s="1">
        <f>+W7*1.01</f>
        <v>7250.79</v>
      </c>
      <c r="Y7" s="1">
        <f t="shared" ref="Y7:AE7" si="1">+X7*1.01</f>
        <v>7323.2979000000005</v>
      </c>
      <c r="Z7" s="1">
        <f t="shared" si="1"/>
        <v>7396.5308790000008</v>
      </c>
      <c r="AA7" s="1">
        <f t="shared" si="1"/>
        <v>7470.4961877900005</v>
      </c>
      <c r="AB7" s="1">
        <f t="shared" si="1"/>
        <v>7545.2011496679006</v>
      </c>
      <c r="AC7" s="1">
        <f t="shared" si="1"/>
        <v>7620.6531611645796</v>
      </c>
      <c r="AD7" s="1">
        <f t="shared" si="1"/>
        <v>7696.8596927762255</v>
      </c>
      <c r="AE7" s="1">
        <f t="shared" si="1"/>
        <v>7773.828289703988</v>
      </c>
    </row>
    <row r="8" spans="1:31">
      <c r="B8" s="1" t="s">
        <v>19</v>
      </c>
      <c r="C8" s="1">
        <v>145</v>
      </c>
      <c r="D8" s="1">
        <v>168</v>
      </c>
      <c r="E8" s="1">
        <v>219</v>
      </c>
      <c r="F8" s="1">
        <f t="shared" ref="F8:F15" si="2">+U8-SUM(C8:E8)</f>
        <v>364</v>
      </c>
      <c r="G8" s="1">
        <v>140</v>
      </c>
      <c r="H8" s="1">
        <v>129</v>
      </c>
      <c r="I8" s="1">
        <v>30</v>
      </c>
      <c r="J8" s="1">
        <f>+J9*0.01</f>
        <v>38</v>
      </c>
      <c r="M8" s="1">
        <v>1990</v>
      </c>
      <c r="N8" s="1">
        <v>1420</v>
      </c>
      <c r="O8" s="1">
        <v>1009</v>
      </c>
      <c r="P8" s="1">
        <v>1547</v>
      </c>
      <c r="Q8" s="1">
        <v>709</v>
      </c>
      <c r="R8" s="1">
        <v>7550</v>
      </c>
      <c r="S8" s="1">
        <v>773</v>
      </c>
      <c r="T8" s="1">
        <v>669</v>
      </c>
      <c r="U8" s="1">
        <v>896</v>
      </c>
      <c r="V8" s="1">
        <f>SUM(G8:J8)</f>
        <v>337</v>
      </c>
      <c r="W8" s="1">
        <f>+V8*1.01</f>
        <v>340.37</v>
      </c>
      <c r="X8" s="1">
        <f t="shared" ref="X8:AE8" si="3">+W8*1.01</f>
        <v>343.77370000000002</v>
      </c>
      <c r="Y8" s="1">
        <f t="shared" si="3"/>
        <v>347.21143700000005</v>
      </c>
      <c r="Z8" s="1">
        <f t="shared" si="3"/>
        <v>350.68355137000003</v>
      </c>
      <c r="AA8" s="1">
        <f t="shared" si="3"/>
        <v>354.19038688370006</v>
      </c>
      <c r="AB8" s="1">
        <f t="shared" si="3"/>
        <v>357.73229075253704</v>
      </c>
      <c r="AC8" s="1">
        <f t="shared" si="3"/>
        <v>361.30961366006244</v>
      </c>
      <c r="AD8" s="1">
        <f t="shared" si="3"/>
        <v>364.92270979666307</v>
      </c>
      <c r="AE8" s="1">
        <f t="shared" si="3"/>
        <v>368.57193689462969</v>
      </c>
    </row>
    <row r="9" spans="1:31" s="9" customFormat="1">
      <c r="B9" s="9" t="s">
        <v>20</v>
      </c>
      <c r="C9" s="9">
        <f>+SUM(C7:C8)</f>
        <v>5033</v>
      </c>
      <c r="D9" s="9">
        <f>+SUM(D7:D8)</f>
        <v>2403</v>
      </c>
      <c r="E9" s="9">
        <f>+SUM(E7:E8)</f>
        <v>4481</v>
      </c>
      <c r="F9" s="9">
        <f t="shared" ref="F9" si="4">+SUM(F7:F8)</f>
        <v>1832</v>
      </c>
      <c r="G9" s="9">
        <f>+SUM(G7:G8)</f>
        <v>2816</v>
      </c>
      <c r="H9" s="9">
        <f>+SUM(H7:H8)</f>
        <v>4238</v>
      </c>
      <c r="I9" s="9">
        <f>+SUM(I7:I8)</f>
        <v>3841</v>
      </c>
      <c r="J9" s="9">
        <f>AVERAGE(3.6,4) * 10^3</f>
        <v>3800</v>
      </c>
      <c r="M9" s="9">
        <f t="shared" ref="M9:W9" si="5">+SUM(M7:M8)</f>
        <v>4390</v>
      </c>
      <c r="N9" s="9">
        <f t="shared" si="5"/>
        <v>6024</v>
      </c>
      <c r="O9" s="9">
        <f t="shared" si="5"/>
        <v>8842</v>
      </c>
      <c r="P9" s="9">
        <f t="shared" si="5"/>
        <v>16600</v>
      </c>
      <c r="Q9" s="9">
        <f t="shared" si="5"/>
        <v>10086</v>
      </c>
      <c r="R9" s="9">
        <f t="shared" si="5"/>
        <v>9090</v>
      </c>
      <c r="S9" s="9">
        <f t="shared" si="5"/>
        <v>5679</v>
      </c>
      <c r="T9" s="9">
        <f t="shared" si="5"/>
        <v>14868</v>
      </c>
      <c r="U9" s="9">
        <f t="shared" si="5"/>
        <v>13749</v>
      </c>
      <c r="V9" s="9">
        <f t="shared" si="5"/>
        <v>14695</v>
      </c>
      <c r="W9" s="9">
        <f t="shared" si="5"/>
        <v>7519.37</v>
      </c>
      <c r="X9" s="9">
        <f t="shared" ref="X9:AE9" si="6">+SUM(X7:X8)</f>
        <v>7594.5636999999997</v>
      </c>
      <c r="Y9" s="9">
        <f t="shared" si="6"/>
        <v>7670.5093370000004</v>
      </c>
      <c r="Z9" s="9">
        <f t="shared" si="6"/>
        <v>7747.2144303700006</v>
      </c>
      <c r="AA9" s="9">
        <f t="shared" si="6"/>
        <v>7824.6865746737003</v>
      </c>
      <c r="AB9" s="9">
        <f t="shared" si="6"/>
        <v>7902.9334404204374</v>
      </c>
      <c r="AC9" s="9">
        <f t="shared" si="6"/>
        <v>7981.9627748246421</v>
      </c>
      <c r="AD9" s="9">
        <f t="shared" si="6"/>
        <v>8061.7824025728887</v>
      </c>
      <c r="AE9" s="9">
        <f t="shared" si="6"/>
        <v>8142.4002265986173</v>
      </c>
    </row>
    <row r="10" spans="1:31">
      <c r="B10" s="1" t="s">
        <v>3</v>
      </c>
      <c r="C10" s="1">
        <v>3106</v>
      </c>
      <c r="D10" s="1">
        <v>1795</v>
      </c>
      <c r="E10" s="1">
        <v>2445</v>
      </c>
      <c r="F10" s="1">
        <f t="shared" si="2"/>
        <v>4531</v>
      </c>
      <c r="G10" s="1">
        <v>1510</v>
      </c>
      <c r="H10" s="1">
        <v>1887</v>
      </c>
      <c r="I10" s="1">
        <v>2034</v>
      </c>
      <c r="J10" s="1">
        <f>+J$9*(I10/I$9)</f>
        <v>2012.2884665451704</v>
      </c>
      <c r="M10" s="1">
        <v>2474</v>
      </c>
      <c r="N10" s="1">
        <v>3075</v>
      </c>
      <c r="O10" s="1">
        <v>4694</v>
      </c>
      <c r="P10" s="1">
        <v>6346</v>
      </c>
      <c r="Q10" s="1">
        <v>3931</v>
      </c>
      <c r="R10" s="1">
        <v>1748</v>
      </c>
      <c r="S10" s="1">
        <v>3270</v>
      </c>
      <c r="T10" s="1">
        <v>8915</v>
      </c>
      <c r="U10" s="1">
        <v>11877</v>
      </c>
      <c r="V10" s="1">
        <f>SUM(G10:J10)</f>
        <v>7443.2884665451702</v>
      </c>
      <c r="W10" s="1">
        <f>+W$9*(V10/V$9)</f>
        <v>3808.6995574471425</v>
      </c>
      <c r="X10" s="1">
        <f t="shared" ref="X10:AE10" si="7">+X$9*(W10/W$9)</f>
        <v>3846.7865530216141</v>
      </c>
      <c r="Y10" s="1">
        <f t="shared" si="7"/>
        <v>3885.2544185518304</v>
      </c>
      <c r="Z10" s="1">
        <f t="shared" si="7"/>
        <v>3924.106962737349</v>
      </c>
      <c r="AA10" s="1">
        <f t="shared" si="7"/>
        <v>3963.3480323647223</v>
      </c>
      <c r="AB10" s="1">
        <f t="shared" si="7"/>
        <v>4002.9815126883695</v>
      </c>
      <c r="AC10" s="1">
        <f t="shared" si="7"/>
        <v>4043.0113278152535</v>
      </c>
      <c r="AD10" s="1">
        <f t="shared" si="7"/>
        <v>4083.441441093406</v>
      </c>
      <c r="AE10" s="1">
        <f t="shared" si="7"/>
        <v>4124.2758555043401</v>
      </c>
    </row>
    <row r="11" spans="1:31">
      <c r="B11" s="1" t="s">
        <v>21</v>
      </c>
      <c r="C11" s="1">
        <v>3887</v>
      </c>
      <c r="D11" s="1">
        <v>3668</v>
      </c>
      <c r="E11" s="1">
        <v>3484</v>
      </c>
      <c r="F11" s="1">
        <f t="shared" si="2"/>
        <v>3359</v>
      </c>
      <c r="G11" s="1">
        <v>2835</v>
      </c>
      <c r="H11" s="1">
        <v>2644</v>
      </c>
      <c r="I11" s="1">
        <v>2158</v>
      </c>
      <c r="J11" s="1">
        <f>+J$9*(I11/I$9)</f>
        <v>2134.96485290289</v>
      </c>
      <c r="M11" s="1">
        <v>27108</v>
      </c>
      <c r="N11" s="1">
        <v>18086</v>
      </c>
      <c r="O11" s="1">
        <v>8158</v>
      </c>
      <c r="P11" s="1">
        <v>4129</v>
      </c>
      <c r="Q11" s="1">
        <v>4182</v>
      </c>
      <c r="R11" s="1">
        <v>8289</v>
      </c>
      <c r="S11" s="1">
        <v>11471</v>
      </c>
      <c r="T11" s="1">
        <v>19768</v>
      </c>
      <c r="U11" s="1">
        <v>14398</v>
      </c>
      <c r="V11" s="1">
        <f t="shared" ref="V11:V14" si="8">SUM(G11:J11)</f>
        <v>9771.9648529028891</v>
      </c>
      <c r="W11" s="1">
        <f>+W$9*(V11/V$9)</f>
        <v>5000.2735186098944</v>
      </c>
      <c r="X11" s="1">
        <f t="shared" ref="X11:AE11" si="9">+X$9*(W11/W$9)</f>
        <v>5050.2762537959934</v>
      </c>
      <c r="Y11" s="1">
        <f t="shared" si="9"/>
        <v>5100.7790163339532</v>
      </c>
      <c r="Z11" s="1">
        <f t="shared" si="9"/>
        <v>5151.7868064972936</v>
      </c>
      <c r="AA11" s="1">
        <f t="shared" si="9"/>
        <v>5203.304674562266</v>
      </c>
      <c r="AB11" s="1">
        <f t="shared" si="9"/>
        <v>5255.3377213078884</v>
      </c>
      <c r="AC11" s="1">
        <f t="shared" si="9"/>
        <v>5307.8910985209677</v>
      </c>
      <c r="AD11" s="1">
        <f t="shared" si="9"/>
        <v>5360.970009506178</v>
      </c>
      <c r="AE11" s="1">
        <f t="shared" si="9"/>
        <v>5414.5797096012393</v>
      </c>
    </row>
    <row r="12" spans="1:31">
      <c r="B12" s="1" t="s">
        <v>22</v>
      </c>
      <c r="C12" s="1">
        <v>2242</v>
      </c>
      <c r="D12" s="1">
        <v>1977</v>
      </c>
      <c r="E12" s="1">
        <v>2112</v>
      </c>
      <c r="F12" s="1">
        <f t="shared" si="2"/>
        <v>2174</v>
      </c>
      <c r="G12" s="1">
        <v>2102</v>
      </c>
      <c r="H12" s="1">
        <v>2141</v>
      </c>
      <c r="I12" s="1">
        <v>2349</v>
      </c>
      <c r="J12" s="1">
        <f>+J$9*(I12/I$9)</f>
        <v>2323.9260609216349</v>
      </c>
      <c r="M12" s="1">
        <v>6299</v>
      </c>
      <c r="N12" s="1">
        <v>5693</v>
      </c>
      <c r="O12" s="1">
        <v>4702</v>
      </c>
      <c r="P12" s="1">
        <v>4095</v>
      </c>
      <c r="Q12" s="1">
        <v>4016</v>
      </c>
      <c r="R12" s="1">
        <v>7198</v>
      </c>
      <c r="S12" s="1">
        <v>7016</v>
      </c>
      <c r="T12" s="1">
        <v>11108</v>
      </c>
      <c r="U12" s="1">
        <v>8505</v>
      </c>
      <c r="V12" s="1">
        <f t="shared" si="8"/>
        <v>8915.9260609216344</v>
      </c>
      <c r="W12" s="1">
        <f>+W$9*(V12/V$9)</f>
        <v>4562.242051358443</v>
      </c>
      <c r="X12" s="1">
        <f t="shared" ref="X12:AE12" si="10">+X$9*(W12/W$9)</f>
        <v>4607.864471872027</v>
      </c>
      <c r="Y12" s="1">
        <f t="shared" si="10"/>
        <v>4653.9431165907481</v>
      </c>
      <c r="Z12" s="1">
        <f t="shared" si="10"/>
        <v>4700.4825477566555</v>
      </c>
      <c r="AA12" s="1">
        <f t="shared" si="10"/>
        <v>4747.4873732342221</v>
      </c>
      <c r="AB12" s="1">
        <f t="shared" si="10"/>
        <v>4794.9622469665646</v>
      </c>
      <c r="AC12" s="1">
        <f t="shared" si="10"/>
        <v>4842.9118694362305</v>
      </c>
      <c r="AD12" s="1">
        <f t="shared" si="10"/>
        <v>4891.3409881305934</v>
      </c>
      <c r="AE12" s="1">
        <f t="shared" si="10"/>
        <v>4940.254398011899</v>
      </c>
    </row>
    <row r="13" spans="1:31">
      <c r="B13" s="1" t="s">
        <v>23</v>
      </c>
      <c r="C13" s="1">
        <f>+C9-SUM(C10:C12)</f>
        <v>-4202</v>
      </c>
      <c r="D13" s="1">
        <f>+D9-SUM(D10:D12)</f>
        <v>-5037</v>
      </c>
      <c r="E13" s="1">
        <f>+E9-SUM(E10:E12)</f>
        <v>-3560</v>
      </c>
      <c r="F13" s="1">
        <f t="shared" si="2"/>
        <v>-8232</v>
      </c>
      <c r="G13" s="1">
        <f>+G9-SUM(G10:G12)</f>
        <v>-3631</v>
      </c>
      <c r="H13" s="1">
        <f>+H9-SUM(H10:H12)</f>
        <v>-2434</v>
      </c>
      <c r="I13" s="1">
        <f>+I9-SUM(I10:I12)</f>
        <v>-2700</v>
      </c>
      <c r="J13" s="1">
        <f>+J9-SUM(J10:J12)</f>
        <v>-2671.1793803696946</v>
      </c>
      <c r="M13" s="1">
        <f t="shared" ref="M13:U13" si="11">+M9-SUM(M10:M12)</f>
        <v>-31491</v>
      </c>
      <c r="N13" s="1">
        <f t="shared" si="11"/>
        <v>-20830</v>
      </c>
      <c r="O13" s="1">
        <f t="shared" si="11"/>
        <v>-8712</v>
      </c>
      <c r="P13" s="1">
        <f t="shared" si="11"/>
        <v>2030</v>
      </c>
      <c r="Q13" s="1">
        <f t="shared" si="11"/>
        <v>-2043</v>
      </c>
      <c r="R13" s="1">
        <f t="shared" si="11"/>
        <v>-8145</v>
      </c>
      <c r="S13" s="1">
        <f t="shared" si="11"/>
        <v>-16078</v>
      </c>
      <c r="T13" s="1">
        <f t="shared" si="11"/>
        <v>-24923</v>
      </c>
      <c r="U13" s="1">
        <f t="shared" si="11"/>
        <v>-21031</v>
      </c>
      <c r="V13" s="1">
        <f t="shared" si="8"/>
        <v>-11436.179380369695</v>
      </c>
      <c r="W13" s="1">
        <f>+W9-SUM(W10:W12)</f>
        <v>-5851.8451274154786</v>
      </c>
      <c r="X13" s="1">
        <f t="shared" ref="X13:AE13" si="12">+X9-SUM(X10:X12)</f>
        <v>-5910.3635786896366</v>
      </c>
      <c r="Y13" s="1">
        <f t="shared" si="12"/>
        <v>-5969.4672144765309</v>
      </c>
      <c r="Z13" s="1">
        <f t="shared" si="12"/>
        <v>-6029.1618866212975</v>
      </c>
      <c r="AA13" s="1">
        <f t="shared" si="12"/>
        <v>-6089.4535054875105</v>
      </c>
      <c r="AB13" s="1">
        <f t="shared" si="12"/>
        <v>-6150.3480405423861</v>
      </c>
      <c r="AC13" s="1">
        <f t="shared" si="12"/>
        <v>-6211.8515209478101</v>
      </c>
      <c r="AD13" s="1">
        <f t="shared" si="12"/>
        <v>-6273.9700361572895</v>
      </c>
      <c r="AE13" s="1">
        <f t="shared" si="12"/>
        <v>-6336.7097365188611</v>
      </c>
    </row>
    <row r="14" spans="1:31">
      <c r="B14" s="1" t="s">
        <v>24</v>
      </c>
      <c r="C14" s="1">
        <v>-10</v>
      </c>
      <c r="D14" s="1">
        <v>-15</v>
      </c>
      <c r="E14" s="1">
        <v>322</v>
      </c>
      <c r="F14" s="1">
        <f t="shared" si="2"/>
        <v>40</v>
      </c>
      <c r="G14" s="1">
        <v>9</v>
      </c>
      <c r="H14" s="1">
        <v>-4</v>
      </c>
      <c r="I14" s="1">
        <v>-16</v>
      </c>
      <c r="J14" s="1">
        <f>+J$9*(I14/I$9)</f>
        <v>-15.829211142931531</v>
      </c>
      <c r="M14" s="1">
        <v>86</v>
      </c>
      <c r="N14" s="1">
        <f>687+48</f>
        <v>735</v>
      </c>
      <c r="O14" s="1">
        <f>+-927+59</f>
        <v>-868</v>
      </c>
      <c r="P14" s="1">
        <f>+-582+12</f>
        <v>-570</v>
      </c>
      <c r="Q14" s="1">
        <f>+-220+103</f>
        <v>-117</v>
      </c>
      <c r="R14" s="1">
        <f>+-2101-77</f>
        <v>-2178</v>
      </c>
      <c r="S14" s="1">
        <f>+-2979+44</f>
        <v>-2935</v>
      </c>
      <c r="T14" s="1">
        <f>+-16-89</f>
        <v>-105</v>
      </c>
      <c r="U14" s="1">
        <f>+-21+358</f>
        <v>337</v>
      </c>
      <c r="V14" s="1">
        <f t="shared" si="8"/>
        <v>-26.829211142931531</v>
      </c>
      <c r="W14" s="1">
        <f>+W13*(V14/V13)</f>
        <v>-13.728395058987754</v>
      </c>
      <c r="X14" s="1">
        <f t="shared" ref="X14:AE14" si="13">+X13*(W14/W13)</f>
        <v>-13.86567900957764</v>
      </c>
      <c r="Y14" s="1">
        <f t="shared" si="13"/>
        <v>-14.004335799673411</v>
      </c>
      <c r="Z14" s="1">
        <f t="shared" si="13"/>
        <v>-14.144379157670148</v>
      </c>
      <c r="AA14" s="1">
        <f t="shared" si="13"/>
        <v>-14.28582294924685</v>
      </c>
      <c r="AB14" s="1">
        <f t="shared" si="13"/>
        <v>-14.428681178739319</v>
      </c>
      <c r="AC14" s="1">
        <f t="shared" si="13"/>
        <v>-14.572967990526713</v>
      </c>
      <c r="AD14" s="1">
        <f t="shared" si="13"/>
        <v>-14.718697670431983</v>
      </c>
      <c r="AE14" s="1">
        <f t="shared" si="13"/>
        <v>-14.8658846471363</v>
      </c>
    </row>
    <row r="15" spans="1:31">
      <c r="B15" s="1" t="s">
        <v>25</v>
      </c>
      <c r="C15" s="1">
        <f>+SUM(C13:C14)</f>
        <v>-4212</v>
      </c>
      <c r="D15" s="1">
        <f>+SUM(D13:D14)</f>
        <v>-5052</v>
      </c>
      <c r="E15" s="1">
        <f>+SUM(E13:E14)</f>
        <v>-3238</v>
      </c>
      <c r="F15" s="1">
        <f t="shared" si="2"/>
        <v>-8192</v>
      </c>
      <c r="G15" s="1">
        <f>+SUM(G13:G14)</f>
        <v>-3622</v>
      </c>
      <c r="H15" s="1">
        <f>+SUM(H13:H14)</f>
        <v>-2438</v>
      </c>
      <c r="I15" s="1">
        <f>+SUM(I13:I14)</f>
        <v>-2716</v>
      </c>
      <c r="J15" s="1">
        <f>+SUM(J13:J14)</f>
        <v>-2687.008591512626</v>
      </c>
      <c r="M15" s="1">
        <f t="shared" ref="M15:W15" si="14">+SUM(M13:M14)</f>
        <v>-31405</v>
      </c>
      <c r="N15" s="1">
        <f t="shared" si="14"/>
        <v>-20095</v>
      </c>
      <c r="O15" s="1">
        <f t="shared" si="14"/>
        <v>-9580</v>
      </c>
      <c r="P15" s="1">
        <f t="shared" si="14"/>
        <v>1460</v>
      </c>
      <c r="Q15" s="1">
        <f t="shared" si="14"/>
        <v>-2160</v>
      </c>
      <c r="R15" s="1">
        <f t="shared" si="14"/>
        <v>-10323</v>
      </c>
      <c r="S15" s="1">
        <f t="shared" si="14"/>
        <v>-19013</v>
      </c>
      <c r="T15" s="1">
        <f t="shared" si="14"/>
        <v>-25028</v>
      </c>
      <c r="U15" s="1">
        <f t="shared" si="14"/>
        <v>-20694</v>
      </c>
      <c r="V15" s="1">
        <f t="shared" si="14"/>
        <v>-11463.008591512626</v>
      </c>
      <c r="W15" s="1">
        <f t="shared" si="14"/>
        <v>-5865.5735224744667</v>
      </c>
      <c r="X15" s="1">
        <f t="shared" ref="X15:AE15" si="15">+SUM(X13:X14)</f>
        <v>-5924.229257699214</v>
      </c>
      <c r="Y15" s="1">
        <f t="shared" si="15"/>
        <v>-5983.4715502762047</v>
      </c>
      <c r="Z15" s="1">
        <f t="shared" si="15"/>
        <v>-6043.3062657789678</v>
      </c>
      <c r="AA15" s="1">
        <f t="shared" si="15"/>
        <v>-6103.7393284367572</v>
      </c>
      <c r="AB15" s="1">
        <f t="shared" si="15"/>
        <v>-6164.7767217211258</v>
      </c>
      <c r="AC15" s="1">
        <f t="shared" si="15"/>
        <v>-6226.4244889383372</v>
      </c>
      <c r="AD15" s="1">
        <f t="shared" si="15"/>
        <v>-6288.6887338277211</v>
      </c>
      <c r="AE15" s="1">
        <f t="shared" si="15"/>
        <v>-6351.5756211659973</v>
      </c>
    </row>
    <row r="16" spans="1:31">
      <c r="C16" s="6"/>
      <c r="D16" s="6"/>
      <c r="E16" s="6"/>
      <c r="F16" s="6"/>
      <c r="G16" s="6"/>
      <c r="H16" s="6"/>
      <c r="I16" s="6"/>
    </row>
    <row r="17" spans="2:33">
      <c r="B17" s="7" t="s">
        <v>29</v>
      </c>
    </row>
    <row r="18" spans="2:33" s="6" customFormat="1">
      <c r="B18" s="1" t="s">
        <v>18</v>
      </c>
      <c r="G18" s="6">
        <f t="shared" ref="G18:J20" si="16">+G7/C7-1</f>
        <v>-0.45253682487725044</v>
      </c>
      <c r="H18" s="6">
        <f t="shared" si="16"/>
        <v>0.83847874720357951</v>
      </c>
      <c r="I18" s="6">
        <f t="shared" si="16"/>
        <v>-0.10581886438291876</v>
      </c>
      <c r="J18" s="6">
        <f t="shared" si="16"/>
        <v>1.5626702997275204</v>
      </c>
      <c r="N18" s="6">
        <f t="shared" ref="N18:O18" si="17">+N7/M7-1</f>
        <v>0.91833333333333322</v>
      </c>
      <c r="O18" s="6">
        <f t="shared" si="17"/>
        <v>0.70134665508253691</v>
      </c>
      <c r="P18" s="6">
        <f t="shared" ref="P18:V20" si="18">+P7/O7-1</f>
        <v>0.92174135069577434</v>
      </c>
      <c r="Q18" s="6">
        <f t="shared" si="18"/>
        <v>-0.37706769414734609</v>
      </c>
      <c r="R18" s="6">
        <f t="shared" si="18"/>
        <v>-0.83576836941452493</v>
      </c>
      <c r="S18" s="6">
        <f t="shared" si="18"/>
        <v>2.1857142857142855</v>
      </c>
      <c r="T18" s="6">
        <f t="shared" si="18"/>
        <v>1.8942111699959234</v>
      </c>
      <c r="U18" s="6">
        <f t="shared" si="18"/>
        <v>-9.4795408127332892E-2</v>
      </c>
      <c r="V18" s="6">
        <f t="shared" si="18"/>
        <v>0.11709328561425347</v>
      </c>
      <c r="W18" s="6">
        <f t="shared" ref="W18:AE18" si="19">+W7/V7-1</f>
        <v>-0.5</v>
      </c>
      <c r="X18" s="6">
        <f t="shared" si="19"/>
        <v>1.0000000000000009E-2</v>
      </c>
      <c r="Y18" s="6">
        <f t="shared" si="19"/>
        <v>1.0000000000000009E-2</v>
      </c>
      <c r="Z18" s="6">
        <f t="shared" si="19"/>
        <v>1.0000000000000009E-2</v>
      </c>
      <c r="AA18" s="6">
        <f t="shared" si="19"/>
        <v>1.0000000000000009E-2</v>
      </c>
      <c r="AB18" s="6">
        <f t="shared" si="19"/>
        <v>1.0000000000000009E-2</v>
      </c>
      <c r="AC18" s="6">
        <f t="shared" si="19"/>
        <v>1.0000000000000009E-2</v>
      </c>
      <c r="AD18" s="6">
        <f t="shared" si="19"/>
        <v>1.0000000000000009E-2</v>
      </c>
      <c r="AE18" s="6">
        <f t="shared" si="19"/>
        <v>1.0000000000000009E-2</v>
      </c>
    </row>
    <row r="19" spans="2:33" s="6" customFormat="1">
      <c r="B19" s="1" t="s">
        <v>19</v>
      </c>
      <c r="G19" s="6">
        <f t="shared" si="16"/>
        <v>-3.4482758620689613E-2</v>
      </c>
      <c r="H19" s="6">
        <f t="shared" si="16"/>
        <v>-0.2321428571428571</v>
      </c>
      <c r="I19" s="6">
        <f t="shared" si="16"/>
        <v>-0.86301369863013699</v>
      </c>
      <c r="J19" s="6">
        <f t="shared" si="16"/>
        <v>-0.89560439560439564</v>
      </c>
      <c r="N19" s="6">
        <f t="shared" ref="N19:O19" si="20">+N8/M8-1</f>
        <v>-0.28643216080402012</v>
      </c>
      <c r="O19" s="6">
        <f t="shared" si="20"/>
        <v>-0.28943661971830981</v>
      </c>
      <c r="P19" s="6">
        <f t="shared" si="18"/>
        <v>0.53320118929633309</v>
      </c>
      <c r="Q19" s="6">
        <f t="shared" si="18"/>
        <v>-0.54169360051713</v>
      </c>
      <c r="R19" s="6">
        <f t="shared" si="18"/>
        <v>9.6488011283497883</v>
      </c>
      <c r="S19" s="6">
        <f t="shared" si="18"/>
        <v>-0.89761589403973507</v>
      </c>
      <c r="T19" s="6">
        <f t="shared" si="18"/>
        <v>-0.13454075032341528</v>
      </c>
      <c r="U19" s="6">
        <f t="shared" si="18"/>
        <v>0.33931240657698059</v>
      </c>
      <c r="V19" s="6">
        <f t="shared" si="18"/>
        <v>-0.6238839285714286</v>
      </c>
      <c r="W19" s="6">
        <f t="shared" ref="W19:AE19" si="21">+W8/V8-1</f>
        <v>1.0000000000000009E-2</v>
      </c>
      <c r="X19" s="6">
        <f t="shared" si="21"/>
        <v>1.0000000000000009E-2</v>
      </c>
      <c r="Y19" s="6">
        <f t="shared" si="21"/>
        <v>1.0000000000000009E-2</v>
      </c>
      <c r="Z19" s="6">
        <f t="shared" si="21"/>
        <v>1.0000000000000009E-2</v>
      </c>
      <c r="AA19" s="6">
        <f t="shared" si="21"/>
        <v>1.0000000000000009E-2</v>
      </c>
      <c r="AB19" s="6">
        <f t="shared" si="21"/>
        <v>1.0000000000000009E-2</v>
      </c>
      <c r="AC19" s="6">
        <f t="shared" si="21"/>
        <v>1.0000000000000009E-2</v>
      </c>
      <c r="AD19" s="6">
        <f t="shared" si="21"/>
        <v>1.0000000000000009E-2</v>
      </c>
      <c r="AE19" s="6">
        <f t="shared" si="21"/>
        <v>1.0000000000000009E-2</v>
      </c>
    </row>
    <row r="20" spans="2:33" s="8" customFormat="1">
      <c r="B20" s="4" t="s">
        <v>20</v>
      </c>
      <c r="G20" s="8">
        <f t="shared" si="16"/>
        <v>-0.44049274786409698</v>
      </c>
      <c r="H20" s="8">
        <f t="shared" si="16"/>
        <v>0.76362879733666245</v>
      </c>
      <c r="I20" s="8">
        <f t="shared" si="16"/>
        <v>-0.14282526221825487</v>
      </c>
      <c r="J20" s="8">
        <f t="shared" si="16"/>
        <v>1.0742358078602621</v>
      </c>
      <c r="N20" s="6">
        <f t="shared" ref="N20:O20" si="22">+N9/M9-1</f>
        <v>0.37220956719817777</v>
      </c>
      <c r="O20" s="6">
        <f t="shared" si="22"/>
        <v>0.46779548472775567</v>
      </c>
      <c r="P20" s="6">
        <f t="shared" si="18"/>
        <v>0.87740330242026698</v>
      </c>
      <c r="Q20" s="6">
        <f t="shared" si="18"/>
        <v>-0.39240963855421684</v>
      </c>
      <c r="R20" s="6">
        <f t="shared" si="18"/>
        <v>-9.8750743604997027E-2</v>
      </c>
      <c r="S20" s="6">
        <f t="shared" si="18"/>
        <v>-0.37524752475247525</v>
      </c>
      <c r="T20" s="6">
        <f t="shared" si="18"/>
        <v>1.6180665610142633</v>
      </c>
      <c r="U20" s="6">
        <f t="shared" si="18"/>
        <v>-7.5262308313155724E-2</v>
      </c>
      <c r="V20" s="6">
        <f t="shared" si="18"/>
        <v>6.8805004000290992E-2</v>
      </c>
      <c r="W20" s="6">
        <f t="shared" ref="W20:AE20" si="23">+W9/V9-1</f>
        <v>-0.48830418509697182</v>
      </c>
      <c r="X20" s="6">
        <f t="shared" si="23"/>
        <v>1.0000000000000009E-2</v>
      </c>
      <c r="Y20" s="6">
        <f t="shared" si="23"/>
        <v>1.0000000000000009E-2</v>
      </c>
      <c r="Z20" s="6">
        <f t="shared" si="23"/>
        <v>1.0000000000000009E-2</v>
      </c>
      <c r="AA20" s="6">
        <f t="shared" si="23"/>
        <v>1.0000000000000009E-2</v>
      </c>
      <c r="AB20" s="6">
        <f t="shared" si="23"/>
        <v>1.0000000000000009E-2</v>
      </c>
      <c r="AC20" s="6">
        <f t="shared" si="23"/>
        <v>1.0000000000000009E-2</v>
      </c>
      <c r="AD20" s="6">
        <f t="shared" si="23"/>
        <v>1.0000000000000009E-2</v>
      </c>
      <c r="AE20" s="6">
        <f t="shared" si="23"/>
        <v>1.0000000000000009E-2</v>
      </c>
    </row>
    <row r="21" spans="2:33" s="6" customFormat="1">
      <c r="B21" s="6" t="s">
        <v>30</v>
      </c>
      <c r="C21" s="6">
        <f>(C9-C10) / C9</f>
        <v>0.38287303794953309</v>
      </c>
      <c r="D21" s="6">
        <f t="shared" ref="D21:I21" si="24">(D9-D10) / D9</f>
        <v>0.25301706200582608</v>
      </c>
      <c r="E21" s="6">
        <f t="shared" si="24"/>
        <v>0.45436286543182325</v>
      </c>
      <c r="F21" s="6">
        <f t="shared" si="24"/>
        <v>-1.4732532751091703</v>
      </c>
      <c r="G21" s="6">
        <f t="shared" si="24"/>
        <v>0.46377840909090912</v>
      </c>
      <c r="H21" s="6">
        <f t="shared" si="24"/>
        <v>0.55474280320906089</v>
      </c>
      <c r="I21" s="6">
        <f t="shared" si="24"/>
        <v>0.47045040354074458</v>
      </c>
      <c r="J21" s="6">
        <f t="shared" ref="J21" si="25">(J9-J10) / J9</f>
        <v>0.47045040354074463</v>
      </c>
      <c r="M21" s="6">
        <f t="shared" ref="M21" si="26">(M9-M10) / M9</f>
        <v>0.43644646924829156</v>
      </c>
      <c r="N21" s="6">
        <f t="shared" ref="N21:U21" si="27">(N9-N10) / N9</f>
        <v>0.48954183266932272</v>
      </c>
      <c r="O21" s="6">
        <f t="shared" si="27"/>
        <v>0.46912463243610042</v>
      </c>
      <c r="P21" s="6">
        <f t="shared" si="27"/>
        <v>0.61771084337349402</v>
      </c>
      <c r="Q21" s="6">
        <f t="shared" si="27"/>
        <v>0.61025183422565932</v>
      </c>
      <c r="R21" s="6">
        <f t="shared" si="27"/>
        <v>0.80770077007700769</v>
      </c>
      <c r="S21" s="6">
        <f t="shared" si="27"/>
        <v>0.42419440042260964</v>
      </c>
      <c r="T21" s="6">
        <f t="shared" si="27"/>
        <v>0.40039009954264193</v>
      </c>
      <c r="U21" s="6">
        <f t="shared" si="27"/>
        <v>0.13615535675321841</v>
      </c>
      <c r="V21" s="6">
        <f t="shared" ref="V21:AE21" si="28">(V9-V10) / V9</f>
        <v>0.49348156062979448</v>
      </c>
      <c r="W21" s="6">
        <f t="shared" si="28"/>
        <v>0.49348156062979442</v>
      </c>
      <c r="X21" s="6">
        <f t="shared" si="28"/>
        <v>0.49348156062979442</v>
      </c>
      <c r="Y21" s="6">
        <f t="shared" si="28"/>
        <v>0.49348156062979442</v>
      </c>
      <c r="Z21" s="6">
        <f t="shared" si="28"/>
        <v>0.49348156062979442</v>
      </c>
      <c r="AA21" s="6">
        <f t="shared" si="28"/>
        <v>0.49348156062979442</v>
      </c>
      <c r="AB21" s="6">
        <f t="shared" si="28"/>
        <v>0.49348156062979442</v>
      </c>
      <c r="AC21" s="6">
        <f t="shared" si="28"/>
        <v>0.49348156062979442</v>
      </c>
      <c r="AD21" s="6">
        <f t="shared" si="28"/>
        <v>0.49348156062979442</v>
      </c>
      <c r="AE21" s="6">
        <f t="shared" si="28"/>
        <v>0.49348156062979437</v>
      </c>
    </row>
    <row r="22" spans="2:33" s="6" customFormat="1"/>
    <row r="23" spans="2:33" s="6" customFormat="1">
      <c r="B23" s="6" t="s">
        <v>50</v>
      </c>
    </row>
    <row r="24" spans="2:33" s="6" customFormat="1">
      <c r="B24" s="1" t="s">
        <v>3</v>
      </c>
      <c r="C24" s="6">
        <f t="shared" ref="C24:I26" si="29">+C10/C$9</f>
        <v>0.61712696205046691</v>
      </c>
      <c r="D24" s="6">
        <f t="shared" si="29"/>
        <v>0.74698293799417392</v>
      </c>
      <c r="E24" s="6">
        <f t="shared" si="29"/>
        <v>0.54563713456817675</v>
      </c>
      <c r="F24" s="6">
        <f t="shared" si="29"/>
        <v>2.4732532751091703</v>
      </c>
      <c r="G24" s="6">
        <f t="shared" si="29"/>
        <v>0.53622159090909094</v>
      </c>
      <c r="H24" s="6">
        <f t="shared" si="29"/>
        <v>0.44525719679093911</v>
      </c>
      <c r="I24" s="6">
        <f t="shared" si="29"/>
        <v>0.52954959645925537</v>
      </c>
      <c r="M24" s="6">
        <f>+M10/M$9</f>
        <v>0.56355353075170844</v>
      </c>
      <c r="N24" s="6">
        <f t="shared" ref="N24:U24" si="30">+N10/N$9</f>
        <v>0.51045816733067728</v>
      </c>
      <c r="O24" s="6">
        <f t="shared" si="30"/>
        <v>0.53087536756389953</v>
      </c>
      <c r="P24" s="6">
        <f t="shared" si="30"/>
        <v>0.38228915662650603</v>
      </c>
      <c r="Q24" s="6">
        <f t="shared" si="30"/>
        <v>0.38974816577434068</v>
      </c>
      <c r="R24" s="6">
        <f t="shared" si="30"/>
        <v>0.19229922992299231</v>
      </c>
      <c r="S24" s="6">
        <f t="shared" si="30"/>
        <v>0.57580559957739041</v>
      </c>
      <c r="T24" s="6">
        <f t="shared" si="30"/>
        <v>0.59960990045735807</v>
      </c>
      <c r="U24" s="6">
        <f t="shared" si="30"/>
        <v>0.86384464324678156</v>
      </c>
      <c r="V24" s="6">
        <f t="shared" ref="V24:AE24" si="31">+V10/V$9</f>
        <v>0.50651843937020558</v>
      </c>
      <c r="W24" s="6">
        <f t="shared" si="31"/>
        <v>0.50651843937020558</v>
      </c>
      <c r="X24" s="6">
        <f t="shared" si="31"/>
        <v>0.50651843937020558</v>
      </c>
      <c r="Y24" s="6">
        <f t="shared" si="31"/>
        <v>0.50651843937020558</v>
      </c>
      <c r="Z24" s="6">
        <f t="shared" si="31"/>
        <v>0.50651843937020558</v>
      </c>
      <c r="AA24" s="6">
        <f t="shared" si="31"/>
        <v>0.50651843937020558</v>
      </c>
      <c r="AB24" s="6">
        <f t="shared" si="31"/>
        <v>0.50651843937020558</v>
      </c>
      <c r="AC24" s="6">
        <f t="shared" si="31"/>
        <v>0.50651843937020558</v>
      </c>
      <c r="AD24" s="6">
        <f t="shared" si="31"/>
        <v>0.50651843937020558</v>
      </c>
      <c r="AE24" s="6">
        <f t="shared" si="31"/>
        <v>0.50651843937020558</v>
      </c>
    </row>
    <row r="25" spans="2:33" s="6" customFormat="1">
      <c r="B25" s="1" t="s">
        <v>21</v>
      </c>
      <c r="C25" s="6">
        <f t="shared" si="29"/>
        <v>0.77230280151003383</v>
      </c>
      <c r="D25" s="6">
        <f t="shared" si="29"/>
        <v>1.5264253017062006</v>
      </c>
      <c r="E25" s="6">
        <f t="shared" si="29"/>
        <v>0.77750502120062481</v>
      </c>
      <c r="F25" s="6">
        <f t="shared" si="29"/>
        <v>1.8335152838427948</v>
      </c>
      <c r="G25" s="6">
        <f t="shared" si="29"/>
        <v>1.0067471590909092</v>
      </c>
      <c r="H25" s="6">
        <f t="shared" si="29"/>
        <v>0.62387918829636624</v>
      </c>
      <c r="I25" s="6">
        <f t="shared" si="29"/>
        <v>0.56183285602707633</v>
      </c>
      <c r="M25" s="6">
        <f>+M11/M$9</f>
        <v>6.1749430523917992</v>
      </c>
      <c r="N25" s="6">
        <f>+N11/N$9</f>
        <v>3.0023240371845952</v>
      </c>
      <c r="O25" s="6">
        <f>+O11/O$9</f>
        <v>0.9226419362135263</v>
      </c>
      <c r="P25" s="6">
        <f t="shared" ref="P25:S25" si="32">+P11/P$9</f>
        <v>0.24873493975903616</v>
      </c>
      <c r="Q25" s="6">
        <f t="shared" si="32"/>
        <v>0.41463414634146339</v>
      </c>
      <c r="R25" s="6">
        <f t="shared" si="32"/>
        <v>0.91188118811881191</v>
      </c>
      <c r="S25" s="6">
        <f t="shared" si="32"/>
        <v>2.0198978693431942</v>
      </c>
      <c r="T25" s="6">
        <f>+T11/T$9</f>
        <v>1.3295668549905839</v>
      </c>
      <c r="U25" s="6">
        <f>+U11/U$9</f>
        <v>1.0472034329769437</v>
      </c>
      <c r="V25" s="6">
        <f>+V11/V$9</f>
        <v>0.66498569941496355</v>
      </c>
      <c r="W25" s="6">
        <f t="shared" ref="W25:AE25" si="33">+W11/W$9</f>
        <v>0.66498569941496355</v>
      </c>
      <c r="X25" s="6">
        <f t="shared" si="33"/>
        <v>0.66498569941496355</v>
      </c>
      <c r="Y25" s="6">
        <f t="shared" si="33"/>
        <v>0.66498569941496355</v>
      </c>
      <c r="Z25" s="6">
        <f t="shared" si="33"/>
        <v>0.66498569941496355</v>
      </c>
      <c r="AA25" s="6">
        <f t="shared" si="33"/>
        <v>0.66498569941496355</v>
      </c>
      <c r="AB25" s="6">
        <f t="shared" si="33"/>
        <v>0.66498569941496355</v>
      </c>
      <c r="AC25" s="6">
        <f t="shared" si="33"/>
        <v>0.66498569941496355</v>
      </c>
      <c r="AD25" s="6">
        <f t="shared" si="33"/>
        <v>0.66498569941496355</v>
      </c>
      <c r="AE25" s="6">
        <f t="shared" si="33"/>
        <v>0.66498569941496355</v>
      </c>
    </row>
    <row r="26" spans="2:33" s="6" customFormat="1">
      <c r="B26" s="1" t="s">
        <v>22</v>
      </c>
      <c r="C26" s="6">
        <f t="shared" si="29"/>
        <v>0.44545996423604212</v>
      </c>
      <c r="D26" s="6">
        <f t="shared" si="29"/>
        <v>0.82272159800249689</v>
      </c>
      <c r="E26" s="6">
        <f t="shared" si="29"/>
        <v>0.47132336532024099</v>
      </c>
      <c r="F26" s="6">
        <f t="shared" si="29"/>
        <v>1.1866812227074235</v>
      </c>
      <c r="G26" s="6">
        <f t="shared" si="29"/>
        <v>0.74644886363636365</v>
      </c>
      <c r="H26" s="6">
        <f t="shared" si="29"/>
        <v>0.50519112789051435</v>
      </c>
      <c r="I26" s="6">
        <f t="shared" si="29"/>
        <v>0.61155948971621976</v>
      </c>
      <c r="M26" s="6">
        <f>+M12/M$9</f>
        <v>1.4348519362186789</v>
      </c>
      <c r="N26" s="6">
        <f t="shared" ref="N26:U26" si="34">+N12/N$9</f>
        <v>0.94505312084993365</v>
      </c>
      <c r="O26" s="6">
        <f t="shared" si="34"/>
        <v>0.53178014023976472</v>
      </c>
      <c r="P26" s="6">
        <f t="shared" si="34"/>
        <v>0.24668674698795182</v>
      </c>
      <c r="Q26" s="6">
        <f t="shared" si="34"/>
        <v>0.39817568907396389</v>
      </c>
      <c r="R26" s="6">
        <f t="shared" si="34"/>
        <v>0.79185918591859183</v>
      </c>
      <c r="S26" s="6">
        <f t="shared" si="34"/>
        <v>1.235428772671245</v>
      </c>
      <c r="T26" s="6">
        <f t="shared" si="34"/>
        <v>0.74710788270110307</v>
      </c>
      <c r="U26" s="6">
        <f t="shared" si="34"/>
        <v>0.61859044294130483</v>
      </c>
      <c r="V26" s="6">
        <f t="shared" ref="V26:AE26" si="35">+V12/V$9</f>
        <v>0.60673195378847466</v>
      </c>
      <c r="W26" s="6">
        <f t="shared" si="35"/>
        <v>0.60673195378847466</v>
      </c>
      <c r="X26" s="6">
        <f t="shared" si="35"/>
        <v>0.60673195378847466</v>
      </c>
      <c r="Y26" s="6">
        <f t="shared" si="35"/>
        <v>0.60673195378847466</v>
      </c>
      <c r="Z26" s="6">
        <f t="shared" si="35"/>
        <v>0.60673195378847466</v>
      </c>
      <c r="AA26" s="6">
        <f t="shared" si="35"/>
        <v>0.60673195378847478</v>
      </c>
      <c r="AB26" s="6">
        <f t="shared" si="35"/>
        <v>0.60673195378847478</v>
      </c>
      <c r="AC26" s="6">
        <f t="shared" si="35"/>
        <v>0.60673195378847478</v>
      </c>
      <c r="AD26" s="6">
        <f t="shared" si="35"/>
        <v>0.60673195378847478</v>
      </c>
      <c r="AE26" s="6">
        <f t="shared" si="35"/>
        <v>0.60673195378847478</v>
      </c>
    </row>
    <row r="27" spans="2:33" s="6" customFormat="1"/>
    <row r="28" spans="2:33" s="6" customFormat="1"/>
    <row r="29" spans="2:33">
      <c r="AF29" s="1" t="s">
        <v>86</v>
      </c>
      <c r="AG29" s="1">
        <f>+Main!F9*1000</f>
        <v>1529.8659700000001</v>
      </c>
    </row>
    <row r="30" spans="2:33" s="4" customFormat="1">
      <c r="B30" s="4" t="s">
        <v>49</v>
      </c>
      <c r="C30" s="4">
        <f t="shared" ref="C30:H30" si="36">+C31</f>
        <v>805</v>
      </c>
      <c r="D30" s="4">
        <f t="shared" si="36"/>
        <v>2146</v>
      </c>
      <c r="E30" s="4">
        <f t="shared" si="36"/>
        <v>689</v>
      </c>
      <c r="F30" s="4">
        <f t="shared" si="36"/>
        <v>1583</v>
      </c>
      <c r="G30" s="4">
        <f t="shared" si="36"/>
        <v>2435</v>
      </c>
      <c r="H30" s="4">
        <f t="shared" si="36"/>
        <v>1868</v>
      </c>
      <c r="I30" s="4">
        <f>+I31</f>
        <v>1317</v>
      </c>
      <c r="U30" s="4">
        <f>+I30</f>
        <v>1317</v>
      </c>
      <c r="AF30" s="1"/>
    </row>
    <row r="31" spans="2:33">
      <c r="B31" s="1" t="s">
        <v>40</v>
      </c>
      <c r="C31" s="1">
        <v>805</v>
      </c>
      <c r="D31" s="1">
        <v>2146</v>
      </c>
      <c r="E31" s="1">
        <v>689</v>
      </c>
      <c r="F31" s="1">
        <v>1583</v>
      </c>
      <c r="G31" s="1">
        <v>2435</v>
      </c>
      <c r="H31" s="1">
        <v>1868</v>
      </c>
      <c r="I31" s="1">
        <v>1317</v>
      </c>
    </row>
    <row r="32" spans="2:33">
      <c r="B32" s="1" t="s">
        <v>41</v>
      </c>
      <c r="C32" s="1">
        <v>587</v>
      </c>
      <c r="D32" s="1">
        <v>594</v>
      </c>
      <c r="E32" s="1">
        <v>3064</v>
      </c>
      <c r="F32" s="1">
        <v>731</v>
      </c>
      <c r="G32" s="1">
        <v>1482</v>
      </c>
      <c r="H32" s="1">
        <v>1460</v>
      </c>
      <c r="I32" s="1">
        <v>791</v>
      </c>
    </row>
    <row r="33" spans="2:9">
      <c r="B33" s="1" t="s">
        <v>42</v>
      </c>
      <c r="C33" s="1">
        <v>2881</v>
      </c>
      <c r="D33" s="1">
        <v>1497</v>
      </c>
      <c r="E33" s="1">
        <v>5696</v>
      </c>
      <c r="F33" s="1">
        <v>2606</v>
      </c>
      <c r="G33" s="1">
        <v>2756</v>
      </c>
      <c r="H33" s="1">
        <v>2606</v>
      </c>
      <c r="I33" s="1">
        <v>2503</v>
      </c>
    </row>
    <row r="34" spans="2:9">
      <c r="B34" s="1" t="s">
        <v>48</v>
      </c>
      <c r="C34" s="1">
        <v>4853</v>
      </c>
      <c r="D34" s="1">
        <v>5160</v>
      </c>
      <c r="G34" s="1">
        <v>27</v>
      </c>
    </row>
    <row r="35" spans="2:9">
      <c r="B35" s="1" t="s">
        <v>43</v>
      </c>
      <c r="C35" s="1">
        <v>742</v>
      </c>
      <c r="D35" s="1">
        <v>729</v>
      </c>
      <c r="E35" s="1">
        <v>781</v>
      </c>
      <c r="F35" s="1">
        <v>620</v>
      </c>
      <c r="G35" s="1">
        <v>758</v>
      </c>
      <c r="H35" s="1">
        <v>810</v>
      </c>
      <c r="I35" s="1">
        <v>635</v>
      </c>
    </row>
    <row r="36" spans="2:9">
      <c r="B36" s="1" t="s">
        <v>44</v>
      </c>
      <c r="C36" s="1">
        <v>2078</v>
      </c>
      <c r="D36" s="1">
        <v>1850</v>
      </c>
      <c r="E36" s="1">
        <v>1624</v>
      </c>
      <c r="F36" s="1">
        <v>1156</v>
      </c>
      <c r="G36" s="1">
        <v>981</v>
      </c>
      <c r="H36" s="1">
        <v>807</v>
      </c>
      <c r="I36" s="1">
        <v>643</v>
      </c>
    </row>
    <row r="37" spans="2:9">
      <c r="B37" s="1" t="s">
        <v>45</v>
      </c>
      <c r="C37" s="1">
        <v>5754</v>
      </c>
      <c r="D37" s="1">
        <v>5031</v>
      </c>
      <c r="E37" s="1">
        <v>4209</v>
      </c>
      <c r="F37" s="1">
        <v>615</v>
      </c>
      <c r="G37" s="1">
        <v>524</v>
      </c>
      <c r="H37" s="1">
        <v>441</v>
      </c>
      <c r="I37" s="1">
        <v>355</v>
      </c>
    </row>
    <row r="38" spans="2:9">
      <c r="B38" s="1" t="s">
        <v>46</v>
      </c>
      <c r="C38" s="1">
        <v>986</v>
      </c>
      <c r="D38" s="1">
        <v>820</v>
      </c>
      <c r="E38" s="1">
        <v>647</v>
      </c>
      <c r="F38" s="1">
        <v>3280</v>
      </c>
      <c r="G38" s="1">
        <v>2464</v>
      </c>
      <c r="H38" s="1">
        <v>1647</v>
      </c>
      <c r="I38" s="1">
        <v>830</v>
      </c>
    </row>
    <row r="39" spans="2:9">
      <c r="B39" s="1" t="s">
        <v>47</v>
      </c>
      <c r="C39" s="1">
        <v>122</v>
      </c>
      <c r="D39" s="1">
        <v>123</v>
      </c>
      <c r="E39" s="1">
        <v>121</v>
      </c>
      <c r="F39" s="1">
        <v>123</v>
      </c>
      <c r="G39" s="1">
        <v>121</v>
      </c>
      <c r="H39" s="1">
        <v>120</v>
      </c>
      <c r="I39" s="1">
        <v>121</v>
      </c>
    </row>
    <row r="40" spans="2:9" s="4" customFormat="1">
      <c r="B40" s="4" t="s">
        <v>39</v>
      </c>
      <c r="C40" s="4">
        <f t="shared" ref="C40:I40" si="37">+SUM(C31:C39)</f>
        <v>18808</v>
      </c>
      <c r="D40" s="4">
        <f t="shared" si="37"/>
        <v>17950</v>
      </c>
      <c r="E40" s="4">
        <f t="shared" si="37"/>
        <v>16831</v>
      </c>
      <c r="F40" s="4">
        <f t="shared" si="37"/>
        <v>10714</v>
      </c>
      <c r="G40" s="4">
        <f t="shared" si="37"/>
        <v>11548</v>
      </c>
      <c r="H40" s="4">
        <f t="shared" si="37"/>
        <v>9759</v>
      </c>
      <c r="I40" s="4">
        <f t="shared" si="37"/>
        <v>7195</v>
      </c>
    </row>
    <row r="42" spans="2:9">
      <c r="B42" s="1" t="s">
        <v>33</v>
      </c>
      <c r="C42" s="1">
        <v>1364</v>
      </c>
      <c r="D42" s="1">
        <v>1142</v>
      </c>
      <c r="E42" s="1">
        <v>2583</v>
      </c>
      <c r="F42" s="1">
        <v>2448</v>
      </c>
      <c r="G42" s="1">
        <v>2221</v>
      </c>
      <c r="H42" s="1">
        <v>2318</v>
      </c>
      <c r="I42" s="1">
        <v>1705</v>
      </c>
    </row>
    <row r="43" spans="2:9">
      <c r="B43" s="1" t="s">
        <v>34</v>
      </c>
      <c r="C43" s="1">
        <v>1366</v>
      </c>
      <c r="D43" s="1">
        <v>1161</v>
      </c>
      <c r="E43" s="1">
        <v>689</v>
      </c>
      <c r="F43" s="1">
        <v>611</v>
      </c>
      <c r="G43" s="1">
        <v>748</v>
      </c>
      <c r="H43" s="1">
        <v>2213</v>
      </c>
      <c r="I43" s="1">
        <v>2399</v>
      </c>
    </row>
    <row r="44" spans="2:9">
      <c r="B44" s="1" t="s">
        <v>35</v>
      </c>
      <c r="C44" s="1">
        <v>244</v>
      </c>
      <c r="D44" s="1">
        <v>175</v>
      </c>
      <c r="E44" s="1">
        <v>74</v>
      </c>
      <c r="F44" s="1">
        <v>1105</v>
      </c>
      <c r="G44" s="1">
        <v>1110</v>
      </c>
      <c r="H44" s="1">
        <v>797</v>
      </c>
      <c r="I44" s="1">
        <v>555</v>
      </c>
    </row>
    <row r="45" spans="2:9">
      <c r="B45" s="1" t="s">
        <v>36</v>
      </c>
      <c r="C45" s="1">
        <v>579</v>
      </c>
      <c r="D45" s="1">
        <v>464</v>
      </c>
      <c r="E45" s="1">
        <v>348</v>
      </c>
      <c r="F45" s="1">
        <v>370</v>
      </c>
      <c r="G45" s="1">
        <v>328</v>
      </c>
      <c r="H45" s="1">
        <v>272</v>
      </c>
      <c r="I45" s="1">
        <v>214</v>
      </c>
    </row>
    <row r="46" spans="2:9">
      <c r="B46" s="1" t="s">
        <v>37</v>
      </c>
      <c r="C46" s="1">
        <v>404</v>
      </c>
      <c r="D46" s="1">
        <v>349</v>
      </c>
      <c r="E46" s="1">
        <v>379</v>
      </c>
      <c r="F46" s="1">
        <v>349</v>
      </c>
      <c r="G46" s="1">
        <v>277</v>
      </c>
      <c r="H46" s="1">
        <v>235</v>
      </c>
      <c r="I46" s="1">
        <v>197</v>
      </c>
    </row>
    <row r="47" spans="2:9">
      <c r="B47" s="1" t="s">
        <v>38</v>
      </c>
      <c r="C47" s="1">
        <v>1421</v>
      </c>
      <c r="D47" s="1">
        <v>3618</v>
      </c>
      <c r="E47" s="1">
        <v>1003</v>
      </c>
      <c r="F47" s="1">
        <v>1748</v>
      </c>
      <c r="G47" s="1">
        <v>158</v>
      </c>
      <c r="H47" s="1">
        <v>261</v>
      </c>
      <c r="I47" s="1">
        <v>99</v>
      </c>
    </row>
    <row r="48" spans="2:9">
      <c r="B48" s="1" t="s">
        <v>32</v>
      </c>
      <c r="C48" s="1">
        <v>13430</v>
      </c>
      <c r="D48" s="1">
        <v>6909</v>
      </c>
      <c r="E48" s="1">
        <v>11755</v>
      </c>
      <c r="F48" s="1">
        <v>4083</v>
      </c>
      <c r="G48" s="1">
        <v>6706</v>
      </c>
      <c r="H48" s="1">
        <v>103</v>
      </c>
      <c r="I48" s="1">
        <v>2026</v>
      </c>
    </row>
    <row r="49" spans="2:9" s="4" customFormat="1">
      <c r="B49" s="4" t="s">
        <v>31</v>
      </c>
      <c r="C49" s="4">
        <f t="shared" ref="C49:I49" si="38">SUM(C42:C48)</f>
        <v>18808</v>
      </c>
      <c r="D49" s="4">
        <f t="shared" si="38"/>
        <v>13818</v>
      </c>
      <c r="E49" s="4">
        <f t="shared" si="38"/>
        <v>16831</v>
      </c>
      <c r="F49" s="4">
        <f t="shared" si="38"/>
        <v>10714</v>
      </c>
      <c r="G49" s="4">
        <f t="shared" si="38"/>
        <v>11548</v>
      </c>
      <c r="H49" s="4">
        <f t="shared" si="38"/>
        <v>6199</v>
      </c>
      <c r="I49" s="4">
        <f t="shared" si="38"/>
        <v>7195</v>
      </c>
    </row>
    <row r="51" spans="2:9">
      <c r="B51" s="1" t="s">
        <v>51</v>
      </c>
      <c r="C51" s="1">
        <v>-1414</v>
      </c>
      <c r="D51" s="1">
        <f>+-3574-C51</f>
        <v>-2160</v>
      </c>
      <c r="E51" s="1">
        <f>+-5627-SUM(C51:D51)</f>
        <v>-2053</v>
      </c>
      <c r="F51" s="1">
        <f>+-4690-SUM(C51:E51)</f>
        <v>937</v>
      </c>
      <c r="G51" s="1">
        <v>-2550</v>
      </c>
      <c r="H51" s="1">
        <f>+-3209-G51</f>
        <v>-659</v>
      </c>
      <c r="I51" s="1">
        <f>+-3892-SUM(G51:H51)</f>
        <v>-683</v>
      </c>
    </row>
    <row r="52" spans="2:9">
      <c r="B52" s="1" t="s">
        <v>52</v>
      </c>
      <c r="C52" s="1">
        <v>-84</v>
      </c>
      <c r="D52" s="1">
        <f>+-91-C52</f>
        <v>-7</v>
      </c>
      <c r="E52" s="1">
        <f>+-93-SUM(C52:D52)</f>
        <v>-2</v>
      </c>
      <c r="F52" s="1">
        <f>+-94-SUM(C52:E52)</f>
        <v>-1</v>
      </c>
      <c r="G52" s="1">
        <v>0</v>
      </c>
      <c r="H52" s="1">
        <v>0</v>
      </c>
      <c r="I52" s="1">
        <v>0</v>
      </c>
    </row>
    <row r="53" spans="2:9">
      <c r="B53" s="1" t="s">
        <v>53</v>
      </c>
      <c r="C53" s="1">
        <f t="shared" ref="C53:I53" si="39">SUM(C51:C52)</f>
        <v>-1498</v>
      </c>
      <c r="D53" s="1">
        <f t="shared" si="39"/>
        <v>-2167</v>
      </c>
      <c r="E53" s="1">
        <f t="shared" si="39"/>
        <v>-2055</v>
      </c>
      <c r="F53" s="1">
        <f t="shared" si="39"/>
        <v>936</v>
      </c>
      <c r="G53" s="1">
        <f t="shared" si="39"/>
        <v>-2550</v>
      </c>
      <c r="H53" s="1">
        <f t="shared" si="39"/>
        <v>-659</v>
      </c>
      <c r="I53" s="1">
        <f t="shared" si="39"/>
        <v>-683</v>
      </c>
    </row>
  </sheetData>
  <pageMargins left="0.7" right="0.7" top="0.75" bottom="0.75" header="0.3" footer="0.3"/>
  <ignoredErrors>
    <ignoredError sqref="M9" formulaRange="1"/>
    <ignoredError sqref="F9:F15 J13 V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2025-01-28T03:24:41Z</dcterms:created>
  <dcterms:modified xsi:type="dcterms:W3CDTF">2025-02-03T03:44:54Z</dcterms:modified>
</cp:coreProperties>
</file>