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069899F0-AA53-4244-AA64-D546B79E6123}" xr6:coauthVersionLast="47" xr6:coauthVersionMax="47" xr10:uidLastSave="{00000000-0000-0000-0000-000000000000}"/>
  <bookViews>
    <workbookView xWindow="-540" yWindow="3840" windowWidth="27640" windowHeight="16940" activeTab="1" xr2:uid="{89553DB2-BBF0-864A-B367-0A57A45392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2" l="1"/>
  <c r="G7" i="1"/>
  <c r="G5" i="1"/>
  <c r="AC8" i="2"/>
  <c r="AD8" i="2" s="1"/>
  <c r="AE8" i="2" s="1"/>
  <c r="AF8" i="2" s="1"/>
  <c r="AG8" i="2" s="1"/>
  <c r="AH8" i="2" s="1"/>
  <c r="AI8" i="2" s="1"/>
  <c r="AJ8" i="2" s="1"/>
  <c r="AB8" i="2"/>
  <c r="AC7" i="2"/>
  <c r="AD7" i="2" s="1"/>
  <c r="AE7" i="2" s="1"/>
  <c r="AF7" i="2" s="1"/>
  <c r="AG7" i="2" s="1"/>
  <c r="AH7" i="2" s="1"/>
  <c r="AI7" i="2" s="1"/>
  <c r="AJ7" i="2" s="1"/>
  <c r="AB7" i="2"/>
  <c r="AB18" i="2" s="1"/>
  <c r="AD6" i="2"/>
  <c r="AE6" i="2" s="1"/>
  <c r="AF6" i="2" s="1"/>
  <c r="AG6" i="2" s="1"/>
  <c r="AH6" i="2" s="1"/>
  <c r="AI6" i="2" s="1"/>
  <c r="AJ6" i="2" s="1"/>
  <c r="AC6" i="2"/>
  <c r="AB6" i="2"/>
  <c r="AB9" i="2"/>
  <c r="AC5" i="2"/>
  <c r="AD5" i="2" s="1"/>
  <c r="AE5" i="2" s="1"/>
  <c r="AF5" i="2" s="1"/>
  <c r="AG5" i="2" s="1"/>
  <c r="AH5" i="2" s="1"/>
  <c r="AI5" i="2" s="1"/>
  <c r="AJ5" i="2" s="1"/>
  <c r="AB5" i="2"/>
  <c r="AB17" i="2"/>
  <c r="AB16" i="2"/>
  <c r="AA9" i="2"/>
  <c r="AA8" i="2"/>
  <c r="AA7" i="2"/>
  <c r="AA6" i="2"/>
  <c r="N8" i="2"/>
  <c r="N6" i="2"/>
  <c r="N9" i="2" s="1"/>
  <c r="M8" i="2"/>
  <c r="M18" i="2"/>
  <c r="M6" i="2"/>
  <c r="M9" i="2" s="1"/>
  <c r="M17" i="2"/>
  <c r="M16" i="2"/>
  <c r="AA5" i="2"/>
  <c r="AA16" i="2" s="1"/>
  <c r="J13" i="2"/>
  <c r="J11" i="2"/>
  <c r="J10" i="2"/>
  <c r="J8" i="2"/>
  <c r="J7" i="2"/>
  <c r="J6" i="2"/>
  <c r="J5" i="2"/>
  <c r="Z18" i="2"/>
  <c r="Z17" i="2"/>
  <c r="Z16" i="2"/>
  <c r="Z9" i="2"/>
  <c r="Z12" i="2" s="1"/>
  <c r="Z14" i="2" s="1"/>
  <c r="K18" i="2"/>
  <c r="K17" i="2"/>
  <c r="K16" i="2"/>
  <c r="K9" i="2"/>
  <c r="K12" i="2" s="1"/>
  <c r="K14" i="2" s="1"/>
  <c r="L18" i="2"/>
  <c r="L17" i="2"/>
  <c r="L16" i="2"/>
  <c r="L9" i="2"/>
  <c r="L12" i="2" s="1"/>
  <c r="L14" i="2" s="1"/>
  <c r="Y18" i="2"/>
  <c r="X18" i="2"/>
  <c r="W18" i="2"/>
  <c r="E18" i="2"/>
  <c r="D18" i="2"/>
  <c r="C18" i="2"/>
  <c r="I18" i="2"/>
  <c r="H18" i="2"/>
  <c r="G18" i="2"/>
  <c r="Y17" i="2"/>
  <c r="X17" i="2"/>
  <c r="W17" i="2"/>
  <c r="I17" i="2"/>
  <c r="H17" i="2"/>
  <c r="G17" i="2"/>
  <c r="E17" i="2"/>
  <c r="D17" i="2"/>
  <c r="C17" i="2"/>
  <c r="F13" i="2"/>
  <c r="F11" i="2"/>
  <c r="F10" i="2"/>
  <c r="F8" i="2"/>
  <c r="F7" i="2"/>
  <c r="F6" i="2"/>
  <c r="F5" i="2"/>
  <c r="X16" i="2"/>
  <c r="Y16" i="2"/>
  <c r="W9" i="2"/>
  <c r="W12" i="2" s="1"/>
  <c r="W14" i="2" s="1"/>
  <c r="X9" i="2"/>
  <c r="X12" i="2" s="1"/>
  <c r="X14" i="2" s="1"/>
  <c r="Y9" i="2"/>
  <c r="Y12" i="2" s="1"/>
  <c r="Y14" i="2" s="1"/>
  <c r="G16" i="2"/>
  <c r="C9" i="2"/>
  <c r="C12" i="2" s="1"/>
  <c r="C14" i="2" s="1"/>
  <c r="G9" i="2"/>
  <c r="G12" i="2" s="1"/>
  <c r="G14" i="2" s="1"/>
  <c r="D9" i="2"/>
  <c r="D12" i="2" s="1"/>
  <c r="D14" i="2" s="1"/>
  <c r="H16" i="2"/>
  <c r="H9" i="2"/>
  <c r="H12" i="2" s="1"/>
  <c r="H14" i="2" s="1"/>
  <c r="I16" i="2"/>
  <c r="E9" i="2"/>
  <c r="E12" i="2" s="1"/>
  <c r="E14" i="2" s="1"/>
  <c r="I9" i="2"/>
  <c r="I12" i="2" s="1"/>
  <c r="I14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H7" i="1"/>
  <c r="H8" i="1" s="1"/>
  <c r="G6" i="1"/>
  <c r="G9" i="1" s="1"/>
  <c r="AD21" i="2" s="1"/>
  <c r="AE9" i="2" l="1"/>
  <c r="AD9" i="2"/>
  <c r="AC9" i="2"/>
  <c r="F17" i="2"/>
  <c r="J14" i="2"/>
  <c r="AA18" i="2"/>
  <c r="J12" i="2"/>
  <c r="AA17" i="2"/>
  <c r="J9" i="2"/>
  <c r="F18" i="2"/>
  <c r="F14" i="2"/>
  <c r="J16" i="2"/>
  <c r="J18" i="2"/>
  <c r="F9" i="2"/>
  <c r="F12" i="2"/>
  <c r="AF9" i="2" l="1"/>
  <c r="AC18" i="2"/>
  <c r="AC17" i="2"/>
  <c r="AC16" i="2"/>
  <c r="J17" i="2"/>
  <c r="AG9" i="2" l="1"/>
  <c r="AD17" i="2"/>
  <c r="AD16" i="2"/>
  <c r="AD18" i="2"/>
  <c r="AH9" i="2" l="1"/>
  <c r="AE16" i="2"/>
  <c r="AE18" i="2"/>
  <c r="AE17" i="2"/>
  <c r="AJ9" i="2" l="1"/>
  <c r="AI9" i="2"/>
  <c r="AF18" i="2"/>
  <c r="AF17" i="2"/>
  <c r="AF16" i="2"/>
  <c r="AG18" i="2" l="1"/>
  <c r="AG16" i="2"/>
  <c r="AG17" i="2"/>
  <c r="AH18" i="2" l="1"/>
  <c r="AH16" i="2"/>
  <c r="AH17" i="2"/>
  <c r="AI17" i="2" l="1"/>
  <c r="AI16" i="2"/>
  <c r="AI18" i="2"/>
  <c r="AJ17" i="2" l="1"/>
  <c r="AJ16" i="2"/>
  <c r="AJ18" i="2"/>
</calcChain>
</file>

<file path=xl/sharedStrings.xml><?xml version="1.0" encoding="utf-8"?>
<sst xmlns="http://schemas.openxmlformats.org/spreadsheetml/2006/main" count="46" uniqueCount="43">
  <si>
    <t>P</t>
  </si>
  <si>
    <t>S</t>
  </si>
  <si>
    <t>MC</t>
  </si>
  <si>
    <t>C</t>
  </si>
  <si>
    <t>D</t>
  </si>
  <si>
    <t>EV</t>
  </si>
  <si>
    <t>Q324</t>
  </si>
  <si>
    <t xml:space="preserve">CEO </t>
  </si>
  <si>
    <t xml:space="preserve">CFO </t>
  </si>
  <si>
    <t xml:space="preserve">sells wireless and mixed signal integrated circuits designed for IoT applications </t>
  </si>
  <si>
    <t xml:space="preserve">Products </t>
  </si>
  <si>
    <t>EFR32MG24 (MG24)</t>
  </si>
  <si>
    <t xml:space="preserve">supports multiple wireless protocols, including Matter, a unifying standard for smart home devices </t>
  </si>
  <si>
    <t>Q123</t>
  </si>
  <si>
    <t>Q223</t>
  </si>
  <si>
    <t>Q323</t>
  </si>
  <si>
    <t>Q423</t>
  </si>
  <si>
    <t>Q124</t>
  </si>
  <si>
    <t>Q224</t>
  </si>
  <si>
    <t>Q424</t>
  </si>
  <si>
    <t>R</t>
  </si>
  <si>
    <t>R&amp;D</t>
  </si>
  <si>
    <t>SGA</t>
  </si>
  <si>
    <t xml:space="preserve">Operating Income </t>
  </si>
  <si>
    <t>Interest income/other</t>
  </si>
  <si>
    <t>Interest expense</t>
  </si>
  <si>
    <t>EBT</t>
  </si>
  <si>
    <t>T</t>
  </si>
  <si>
    <t xml:space="preserve">Net Income </t>
  </si>
  <si>
    <t>R Y/Y</t>
  </si>
  <si>
    <t>GM %</t>
  </si>
  <si>
    <t>% R&amp;D</t>
  </si>
  <si>
    <t>Q225</t>
  </si>
  <si>
    <t>`</t>
  </si>
  <si>
    <t>Q125</t>
  </si>
  <si>
    <t>Q325</t>
  </si>
  <si>
    <t>Q525</t>
  </si>
  <si>
    <t xml:space="preserve">Industrial &amp; Commercial </t>
  </si>
  <si>
    <t xml:space="preserve">Home &amp; Life </t>
  </si>
  <si>
    <t>term</t>
  </si>
  <si>
    <t>disc</t>
  </si>
  <si>
    <t>npv</t>
  </si>
  <si>
    <t>Matt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</si>
</sst>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x"/>
  </numFmts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0</xdr:rowOff>
    </xdr:from>
    <xdr:to>
      <xdr:col>11</xdr:col>
      <xdr:colOff>579437</xdr:colOff>
      <xdr:row>41</xdr:row>
      <xdr:rowOff>15875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148D8B-AB69-29D4-8AA0-4012F4088E76}"/>
            </a:ext>
          </a:extLst>
        </xdr:cNvPr>
        <xdr:cNvCxnSpPr/>
      </xdr:nvCxnSpPr>
      <xdr:spPr>
        <a:xfrm flipH="1">
          <a:off x="7231063" y="0"/>
          <a:ext cx="7937" cy="65166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571500</xdr:colOff>
      <xdr:row>0</xdr:row>
      <xdr:rowOff>0</xdr:rowOff>
    </xdr:from>
    <xdr:to>
      <xdr:col>25</xdr:col>
      <xdr:colOff>579437</xdr:colOff>
      <xdr:row>41</xdr:row>
      <xdr:rowOff>15875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FE8DB5D-38CE-CD43-8686-5756290B88B7}"/>
            </a:ext>
          </a:extLst>
        </xdr:cNvPr>
        <xdr:cNvCxnSpPr/>
      </xdr:nvCxnSpPr>
      <xdr:spPr>
        <a:xfrm flipH="1">
          <a:off x="14755813" y="0"/>
          <a:ext cx="7937" cy="65166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3386-5652-7544-B6FC-721D2DBA4038}">
  <dimension ref="B3:H17"/>
  <sheetViews>
    <sheetView zoomScale="140" workbookViewId="0">
      <selection activeCell="D4" sqref="D4"/>
    </sheetView>
  </sheetViews>
  <sheetFormatPr baseColWidth="10" defaultRowHeight="13"/>
  <cols>
    <col min="1" max="5" width="10.83203125" style="1"/>
    <col min="6" max="6" width="3.6640625" style="1" bestFit="1" customWidth="1"/>
    <col min="7" max="7" width="6.6640625" style="1" bestFit="1" customWidth="1"/>
    <col min="8" max="8" width="5.5" style="1" bestFit="1" customWidth="1"/>
    <col min="9" max="16384" width="10.83203125" style="1"/>
  </cols>
  <sheetData>
    <row r="3" spans="2:8">
      <c r="B3" s="1" t="s">
        <v>7</v>
      </c>
      <c r="C3" s="1" t="s">
        <v>42</v>
      </c>
    </row>
    <row r="4" spans="2:8">
      <c r="B4" s="1" t="s">
        <v>8</v>
      </c>
      <c r="F4" s="1" t="s">
        <v>0</v>
      </c>
      <c r="G4" s="1">
        <v>128</v>
      </c>
    </row>
    <row r="5" spans="2:8">
      <c r="F5" s="1" t="s">
        <v>1</v>
      </c>
      <c r="G5" s="1">
        <f>314.459+101.081</f>
        <v>415.54</v>
      </c>
      <c r="H5" s="1" t="s">
        <v>35</v>
      </c>
    </row>
    <row r="6" spans="2:8">
      <c r="F6" s="1" t="s">
        <v>2</v>
      </c>
      <c r="G6" s="1">
        <f>+G4*G5</f>
        <v>53189.120000000003</v>
      </c>
    </row>
    <row r="7" spans="2:8">
      <c r="F7" s="1" t="s">
        <v>3</v>
      </c>
      <c r="G7" s="1">
        <f>314.459+101.081</f>
        <v>415.54</v>
      </c>
      <c r="H7" s="1" t="str">
        <f>+H5</f>
        <v>Q325</v>
      </c>
    </row>
    <row r="8" spans="2:8">
      <c r="F8" s="1" t="s">
        <v>4</v>
      </c>
      <c r="G8" s="1">
        <v>0</v>
      </c>
      <c r="H8" s="1" t="str">
        <f>+H7</f>
        <v>Q325</v>
      </c>
    </row>
    <row r="9" spans="2:8">
      <c r="F9" s="1" t="s">
        <v>5</v>
      </c>
      <c r="G9" s="1">
        <f>+G6-G7+G8</f>
        <v>52773.58</v>
      </c>
    </row>
    <row r="14" spans="2:8">
      <c r="B14" s="1" t="s">
        <v>9</v>
      </c>
    </row>
    <row r="16" spans="2:8">
      <c r="B16" s="2" t="s">
        <v>10</v>
      </c>
    </row>
    <row r="17" spans="2:3">
      <c r="B17" s="1" t="s">
        <v>11</v>
      </c>
      <c r="C1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BA7-0117-3441-8DFF-B4F4F7E11A59}">
  <dimension ref="B1:AV22"/>
  <sheetViews>
    <sheetView tabSelected="1" zoomScale="16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D23" sqref="AD23"/>
    </sheetView>
  </sheetViews>
  <sheetFormatPr baseColWidth="10" defaultRowHeight="13"/>
  <cols>
    <col min="1" max="1" width="1.33203125" style="1" customWidth="1"/>
    <col min="2" max="2" width="17.6640625" style="1" bestFit="1" customWidth="1"/>
    <col min="3" max="5" width="7.6640625" style="1" bestFit="1" customWidth="1"/>
    <col min="6" max="6" width="6.6640625" style="1" bestFit="1" customWidth="1"/>
    <col min="7" max="10" width="7.6640625" style="1" bestFit="1" customWidth="1"/>
    <col min="11" max="12" width="7.6640625" style="1" customWidth="1"/>
    <col min="13" max="14" width="7.6640625" style="1" bestFit="1" customWidth="1"/>
    <col min="15" max="16" width="10.83203125" style="1"/>
    <col min="17" max="22" width="5.6640625" style="1" bestFit="1" customWidth="1"/>
    <col min="23" max="23" width="7.6640625" style="1" bestFit="1" customWidth="1"/>
    <col min="24" max="24" width="9.1640625" style="1" bestFit="1" customWidth="1"/>
    <col min="25" max="25" width="7.6640625" style="1" bestFit="1" customWidth="1"/>
    <col min="26" max="26" width="8.1640625" style="1" bestFit="1" customWidth="1"/>
    <col min="27" max="28" width="7.6640625" style="1" bestFit="1" customWidth="1"/>
    <col min="29" max="36" width="9.1640625" style="1" bestFit="1" customWidth="1"/>
    <col min="37" max="37" width="8.1640625" style="1" bestFit="1" customWidth="1"/>
    <col min="38" max="48" width="5.6640625" style="1" bestFit="1" customWidth="1"/>
    <col min="49" max="16384" width="10.83203125" style="1"/>
  </cols>
  <sheetData>
    <row r="1" spans="2:48" customFormat="1"/>
    <row r="2" spans="2:48" s="6" customFormat="1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6</v>
      </c>
      <c r="J2" s="6" t="s">
        <v>19</v>
      </c>
      <c r="K2" s="6" t="s">
        <v>34</v>
      </c>
      <c r="L2" s="6" t="s">
        <v>32</v>
      </c>
      <c r="M2" s="6" t="s">
        <v>35</v>
      </c>
      <c r="N2" s="6" t="s">
        <v>36</v>
      </c>
      <c r="Q2" s="6">
        <v>2015</v>
      </c>
      <c r="R2" s="6">
        <f>+Q2+1</f>
        <v>2016</v>
      </c>
      <c r="S2" s="6">
        <f t="shared" ref="S2:AV2" si="0">+R2+1</f>
        <v>2017</v>
      </c>
      <c r="T2" s="6">
        <f t="shared" si="0"/>
        <v>2018</v>
      </c>
      <c r="U2" s="6">
        <f t="shared" si="0"/>
        <v>2019</v>
      </c>
      <c r="V2" s="6">
        <f t="shared" si="0"/>
        <v>2020</v>
      </c>
      <c r="W2" s="6">
        <f t="shared" si="0"/>
        <v>2021</v>
      </c>
      <c r="X2" s="6">
        <f t="shared" si="0"/>
        <v>2022</v>
      </c>
      <c r="Y2" s="6">
        <f t="shared" si="0"/>
        <v>2023</v>
      </c>
      <c r="Z2" s="6">
        <f t="shared" si="0"/>
        <v>2024</v>
      </c>
      <c r="AA2" s="6">
        <f t="shared" si="0"/>
        <v>2025</v>
      </c>
      <c r="AB2" s="6">
        <f t="shared" si="0"/>
        <v>2026</v>
      </c>
      <c r="AC2" s="6">
        <f t="shared" si="0"/>
        <v>2027</v>
      </c>
      <c r="AD2" s="6">
        <f t="shared" si="0"/>
        <v>2028</v>
      </c>
      <c r="AE2" s="6">
        <f t="shared" si="0"/>
        <v>2029</v>
      </c>
      <c r="AF2" s="6">
        <f t="shared" si="0"/>
        <v>2030</v>
      </c>
      <c r="AG2" s="6">
        <f t="shared" si="0"/>
        <v>2031</v>
      </c>
      <c r="AH2" s="6">
        <f t="shared" si="0"/>
        <v>2032</v>
      </c>
      <c r="AI2" s="6">
        <f t="shared" si="0"/>
        <v>2033</v>
      </c>
      <c r="AJ2" s="6">
        <f t="shared" si="0"/>
        <v>2034</v>
      </c>
      <c r="AK2" s="6">
        <f t="shared" si="0"/>
        <v>2035</v>
      </c>
      <c r="AL2" s="6">
        <f t="shared" si="0"/>
        <v>2036</v>
      </c>
      <c r="AM2" s="6">
        <f t="shared" si="0"/>
        <v>2037</v>
      </c>
      <c r="AN2" s="6">
        <f t="shared" si="0"/>
        <v>2038</v>
      </c>
      <c r="AO2" s="6">
        <f t="shared" si="0"/>
        <v>2039</v>
      </c>
      <c r="AP2" s="6">
        <f t="shared" si="0"/>
        <v>2040</v>
      </c>
      <c r="AQ2" s="6">
        <f t="shared" si="0"/>
        <v>2041</v>
      </c>
      <c r="AR2" s="6">
        <f t="shared" si="0"/>
        <v>2042</v>
      </c>
      <c r="AS2" s="6">
        <f t="shared" si="0"/>
        <v>2043</v>
      </c>
      <c r="AT2" s="6">
        <f t="shared" si="0"/>
        <v>2044</v>
      </c>
      <c r="AU2" s="6">
        <f t="shared" si="0"/>
        <v>2045</v>
      </c>
      <c r="AV2" s="6">
        <f t="shared" si="0"/>
        <v>2046</v>
      </c>
    </row>
    <row r="3" spans="2:48" s="6" customFormat="1">
      <c r="B3" s="6" t="s">
        <v>37</v>
      </c>
    </row>
    <row r="4" spans="2:48" s="6" customFormat="1">
      <c r="B4" s="6" t="s">
        <v>38</v>
      </c>
    </row>
    <row r="5" spans="2:48">
      <c r="B5" s="1" t="s">
        <v>20</v>
      </c>
      <c r="C5" s="1">
        <v>246787</v>
      </c>
      <c r="D5" s="1">
        <v>244866</v>
      </c>
      <c r="E5" s="1">
        <v>203760</v>
      </c>
      <c r="F5" s="1">
        <f>+Y5-SUM(C5:E5)</f>
        <v>86845</v>
      </c>
      <c r="G5" s="1">
        <v>106375</v>
      </c>
      <c r="H5" s="1">
        <v>145367</v>
      </c>
      <c r="I5" s="1">
        <v>166395</v>
      </c>
      <c r="J5" s="1">
        <f>+Z5-SUM(G5:I5)</f>
        <v>166249</v>
      </c>
      <c r="K5" s="1">
        <v>177714</v>
      </c>
      <c r="L5" s="1">
        <v>192845</v>
      </c>
      <c r="M5" s="1">
        <v>205000</v>
      </c>
      <c r="N5" s="1">
        <v>205000</v>
      </c>
      <c r="W5" s="1">
        <v>720860</v>
      </c>
      <c r="X5" s="1">
        <v>1024106</v>
      </c>
      <c r="Y5" s="1">
        <v>782258</v>
      </c>
      <c r="Z5" s="1">
        <v>584386</v>
      </c>
      <c r="AA5" s="1">
        <f>SUM(K5:N5)</f>
        <v>780559</v>
      </c>
      <c r="AB5" s="1">
        <f>+AA5*1.2</f>
        <v>936670.79999999993</v>
      </c>
      <c r="AC5" s="1">
        <f t="shared" ref="AC5:AJ5" si="1">+AB5*1.2</f>
        <v>1124004.96</v>
      </c>
      <c r="AD5" s="1">
        <f t="shared" si="1"/>
        <v>1348805.9519999998</v>
      </c>
      <c r="AE5" s="1">
        <f t="shared" si="1"/>
        <v>1618567.1423999998</v>
      </c>
      <c r="AF5" s="1">
        <f t="shared" si="1"/>
        <v>1942280.5708799995</v>
      </c>
      <c r="AG5" s="1">
        <f t="shared" si="1"/>
        <v>2330736.6850559996</v>
      </c>
      <c r="AH5" s="1">
        <f t="shared" si="1"/>
        <v>2796884.0220671995</v>
      </c>
      <c r="AI5" s="1">
        <f t="shared" si="1"/>
        <v>3356260.8264806392</v>
      </c>
      <c r="AJ5" s="1">
        <f t="shared" si="1"/>
        <v>4027512.9917767667</v>
      </c>
    </row>
    <row r="6" spans="2:48">
      <c r="B6" s="1" t="s">
        <v>3</v>
      </c>
      <c r="C6" s="1">
        <v>92927</v>
      </c>
      <c r="D6" s="1">
        <v>101091</v>
      </c>
      <c r="E6" s="1">
        <v>84735</v>
      </c>
      <c r="F6" s="1">
        <f t="shared" ref="F6:F14" si="2">+Y6-SUM(C6:E6)</f>
        <v>42919</v>
      </c>
      <c r="G6" s="1">
        <v>51306</v>
      </c>
      <c r="H6" s="1">
        <v>68784</v>
      </c>
      <c r="I6" s="1">
        <v>76082</v>
      </c>
      <c r="J6" s="1">
        <f t="shared" ref="J6:J14" si="3">+Z6-SUM(G6:I6)</f>
        <v>76026</v>
      </c>
      <c r="K6" s="1">
        <v>79937</v>
      </c>
      <c r="L6" s="1">
        <v>84736</v>
      </c>
      <c r="M6" s="1">
        <f>+M5*0.415</f>
        <v>85075</v>
      </c>
      <c r="N6" s="1">
        <f>+N5*0.415</f>
        <v>85075</v>
      </c>
      <c r="O6" s="1" t="s">
        <v>33</v>
      </c>
      <c r="W6" s="1">
        <v>295468</v>
      </c>
      <c r="X6" s="1">
        <v>381549</v>
      </c>
      <c r="Y6" s="1">
        <v>321672</v>
      </c>
      <c r="Z6" s="1">
        <v>272198</v>
      </c>
      <c r="AA6" s="1">
        <f>SUM(K6:N6)</f>
        <v>334823</v>
      </c>
      <c r="AB6" s="1">
        <f>+AB$5*(AA6/AA$5)</f>
        <v>401787.6</v>
      </c>
      <c r="AC6" s="1">
        <f t="shared" ref="AC6:AJ8" si="4">+AC$5*(AB6/AB$5)</f>
        <v>482145.12</v>
      </c>
      <c r="AD6" s="1">
        <f t="shared" si="4"/>
        <v>578574.14399999985</v>
      </c>
      <c r="AE6" s="1">
        <f t="shared" si="4"/>
        <v>694288.97279999976</v>
      </c>
      <c r="AF6" s="1">
        <f t="shared" si="4"/>
        <v>833146.76735999971</v>
      </c>
      <c r="AG6" s="1">
        <f t="shared" si="4"/>
        <v>999776.12083199969</v>
      </c>
      <c r="AH6" s="1">
        <f t="shared" si="4"/>
        <v>1199731.3449983995</v>
      </c>
      <c r="AI6" s="1">
        <f t="shared" si="4"/>
        <v>1439677.6139980792</v>
      </c>
      <c r="AJ6" s="1">
        <f t="shared" si="4"/>
        <v>1727613.136797695</v>
      </c>
    </row>
    <row r="7" spans="2:48">
      <c r="B7" s="1" t="s">
        <v>21</v>
      </c>
      <c r="C7" s="1">
        <v>89396</v>
      </c>
      <c r="D7" s="1">
        <v>85902</v>
      </c>
      <c r="E7" s="1">
        <v>79042</v>
      </c>
      <c r="F7" s="1">
        <f t="shared" si="2"/>
        <v>83404</v>
      </c>
      <c r="G7" s="1">
        <v>80650</v>
      </c>
      <c r="H7" s="1">
        <v>85909</v>
      </c>
      <c r="I7" s="1">
        <v>83228</v>
      </c>
      <c r="J7" s="1">
        <f t="shared" si="3"/>
        <v>82438</v>
      </c>
      <c r="K7" s="1">
        <v>88219</v>
      </c>
      <c r="L7" s="1">
        <v>87821</v>
      </c>
      <c r="M7" s="1">
        <v>86000</v>
      </c>
      <c r="N7" s="1">
        <v>86000</v>
      </c>
      <c r="W7" s="1">
        <v>273208</v>
      </c>
      <c r="X7" s="1">
        <v>332326</v>
      </c>
      <c r="Y7" s="1">
        <v>337744</v>
      </c>
      <c r="Z7" s="1">
        <v>332225</v>
      </c>
      <c r="AA7" s="1">
        <f>SUM(K7:N7)</f>
        <v>348040</v>
      </c>
      <c r="AB7" s="1">
        <f>+AB$5*(AA7/AA$5)</f>
        <v>417648</v>
      </c>
      <c r="AC7" s="1">
        <f t="shared" si="4"/>
        <v>501177.59999999998</v>
      </c>
      <c r="AD7" s="1">
        <f t="shared" si="4"/>
        <v>601413.11999999988</v>
      </c>
      <c r="AE7" s="1">
        <f t="shared" si="4"/>
        <v>721695.74399999983</v>
      </c>
      <c r="AF7" s="1">
        <f t="shared" si="4"/>
        <v>866034.89279999968</v>
      </c>
      <c r="AG7" s="1">
        <f t="shared" si="4"/>
        <v>1039241.8713599996</v>
      </c>
      <c r="AH7" s="1">
        <f t="shared" si="4"/>
        <v>1247090.2456319996</v>
      </c>
      <c r="AI7" s="1">
        <f t="shared" si="4"/>
        <v>1496508.2947583995</v>
      </c>
      <c r="AJ7" s="1">
        <f t="shared" si="4"/>
        <v>1795809.9537100792</v>
      </c>
    </row>
    <row r="8" spans="2:48">
      <c r="B8" s="1" t="s">
        <v>22</v>
      </c>
      <c r="C8" s="1">
        <v>44891</v>
      </c>
      <c r="D8" s="1">
        <v>40706</v>
      </c>
      <c r="E8" s="1">
        <v>27766</v>
      </c>
      <c r="F8" s="1">
        <f t="shared" si="2"/>
        <v>33633</v>
      </c>
      <c r="G8" s="1">
        <v>33553</v>
      </c>
      <c r="H8" s="1">
        <v>38695</v>
      </c>
      <c r="I8" s="1">
        <v>36793</v>
      </c>
      <c r="J8" s="1">
        <f t="shared" si="3"/>
        <v>36412</v>
      </c>
      <c r="K8" s="1">
        <v>41638</v>
      </c>
      <c r="L8" s="1">
        <v>43155</v>
      </c>
      <c r="M8" s="1">
        <f>+M5*(I8/I5)</f>
        <v>45329.276721055321</v>
      </c>
      <c r="N8" s="1">
        <f>+N5*(J8/J5)</f>
        <v>44899.277589639642</v>
      </c>
      <c r="W8" s="1">
        <v>185022</v>
      </c>
      <c r="X8" s="1">
        <v>190971</v>
      </c>
      <c r="Y8" s="1">
        <v>146996</v>
      </c>
      <c r="Z8" s="1">
        <v>145453</v>
      </c>
      <c r="AA8" s="1">
        <f>SUM(K8:N8)</f>
        <v>175021.55431069498</v>
      </c>
      <c r="AB8" s="1">
        <f>+AB$5*(AA8/AA$5)</f>
        <v>210025.86517283396</v>
      </c>
      <c r="AC8" s="1">
        <f t="shared" si="4"/>
        <v>252031.03820740076</v>
      </c>
      <c r="AD8" s="1">
        <f t="shared" si="4"/>
        <v>302437.24584888091</v>
      </c>
      <c r="AE8" s="1">
        <f t="shared" si="4"/>
        <v>362924.69501865713</v>
      </c>
      <c r="AF8" s="1">
        <f t="shared" si="4"/>
        <v>435509.63402238855</v>
      </c>
      <c r="AG8" s="1">
        <f t="shared" si="4"/>
        <v>522611.56082686625</v>
      </c>
      <c r="AH8" s="1">
        <f t="shared" si="4"/>
        <v>627133.87299223954</v>
      </c>
      <c r="AI8" s="1">
        <f t="shared" si="4"/>
        <v>752560.64759068738</v>
      </c>
      <c r="AJ8" s="1">
        <f t="shared" si="4"/>
        <v>903072.77710882481</v>
      </c>
    </row>
    <row r="9" spans="2:48">
      <c r="B9" s="1" t="s">
        <v>23</v>
      </c>
      <c r="C9" s="1">
        <f>+C5-SUM(C6:C8)</f>
        <v>19573</v>
      </c>
      <c r="D9" s="1">
        <f>+D5-SUM(D6:D8)</f>
        <v>17167</v>
      </c>
      <c r="E9" s="1">
        <f>+E5-SUM(E6:E8)</f>
        <v>12217</v>
      </c>
      <c r="F9" s="1">
        <f t="shared" si="2"/>
        <v>-73111</v>
      </c>
      <c r="G9" s="1">
        <f>+G5-SUM(G6:G8)</f>
        <v>-59134</v>
      </c>
      <c r="H9" s="1">
        <f>+H5-SUM(H6:H8)</f>
        <v>-48021</v>
      </c>
      <c r="I9" s="1">
        <f>+I5-SUM(I6:I8)</f>
        <v>-29708</v>
      </c>
      <c r="J9" s="1">
        <f t="shared" si="3"/>
        <v>-28627</v>
      </c>
      <c r="K9" s="1">
        <f>+K5-SUM(K6:K8)</f>
        <v>-32080</v>
      </c>
      <c r="L9" s="1">
        <f>+L5-SUM(L6:L8)</f>
        <v>-22867</v>
      </c>
      <c r="M9" s="1">
        <f t="shared" ref="M9:N9" si="5">+M5-SUM(M6:M8)</f>
        <v>-11404.276721055328</v>
      </c>
      <c r="N9" s="1">
        <f t="shared" si="5"/>
        <v>-10974.277589639649</v>
      </c>
      <c r="W9" s="1">
        <f>+W5-SUM(W6:W8)</f>
        <v>-32838</v>
      </c>
      <c r="X9" s="1">
        <f>+X5-SUM(X6:X8)</f>
        <v>119260</v>
      </c>
      <c r="Y9" s="1">
        <f>+Y5-SUM(Y6:Y8)</f>
        <v>-24154</v>
      </c>
      <c r="Z9" s="1">
        <f>+Z5-SUM(Z6:Z8)</f>
        <v>-165490</v>
      </c>
      <c r="AA9" s="1">
        <f>SUM(K9:N9)</f>
        <v>-77325.554310694977</v>
      </c>
      <c r="AB9" s="1">
        <f>+AB5-SUM(AB6:AB8)</f>
        <v>-92790.665172834066</v>
      </c>
      <c r="AC9" s="1">
        <f t="shared" ref="AC9:AJ9" si="6">+AC5-SUM(AC6:AC8)</f>
        <v>-111348.79820740083</v>
      </c>
      <c r="AD9" s="1">
        <f t="shared" si="6"/>
        <v>-133618.55784888077</v>
      </c>
      <c r="AE9" s="1">
        <f t="shared" si="6"/>
        <v>-160342.26941865683</v>
      </c>
      <c r="AF9" s="1">
        <f t="shared" si="6"/>
        <v>-192410.72330238856</v>
      </c>
      <c r="AG9" s="1">
        <f t="shared" si="6"/>
        <v>-230892.86796286609</v>
      </c>
      <c r="AH9" s="1">
        <f t="shared" si="6"/>
        <v>-277071.44155543903</v>
      </c>
      <c r="AI9" s="1">
        <f t="shared" si="6"/>
        <v>-332485.72986652702</v>
      </c>
      <c r="AJ9" s="1">
        <f t="shared" si="6"/>
        <v>-398982.8758398327</v>
      </c>
    </row>
    <row r="10" spans="2:48">
      <c r="B10" s="1" t="s">
        <v>24</v>
      </c>
      <c r="C10" s="1">
        <v>4836</v>
      </c>
      <c r="D10" s="1">
        <v>7780</v>
      </c>
      <c r="E10" s="1">
        <v>2938</v>
      </c>
      <c r="F10" s="1">
        <f t="shared" si="2"/>
        <v>3611</v>
      </c>
      <c r="G10" s="1">
        <v>2732</v>
      </c>
      <c r="H10" s="1">
        <v>2790</v>
      </c>
      <c r="I10" s="1">
        <v>3487</v>
      </c>
      <c r="J10" s="1">
        <f t="shared" si="3"/>
        <v>2978</v>
      </c>
      <c r="K10" s="1">
        <v>3793</v>
      </c>
      <c r="L10" s="1">
        <v>3833</v>
      </c>
      <c r="W10" s="1">
        <v>5696</v>
      </c>
      <c r="X10" s="1">
        <v>13915</v>
      </c>
      <c r="Y10" s="1">
        <v>19165</v>
      </c>
      <c r="Z10" s="1">
        <v>11987</v>
      </c>
    </row>
    <row r="11" spans="2:48">
      <c r="B11" s="1" t="s">
        <v>25</v>
      </c>
      <c r="C11" s="1">
        <v>-1656</v>
      </c>
      <c r="D11" s="1">
        <v>-1596</v>
      </c>
      <c r="E11" s="1">
        <v>-1359</v>
      </c>
      <c r="F11" s="1">
        <f t="shared" si="2"/>
        <v>-943</v>
      </c>
      <c r="G11" s="1">
        <v>-509</v>
      </c>
      <c r="H11" s="1">
        <v>-263</v>
      </c>
      <c r="I11" s="1">
        <v>-278</v>
      </c>
      <c r="J11" s="1">
        <f t="shared" si="3"/>
        <v>-260</v>
      </c>
      <c r="K11" s="1">
        <v>-284</v>
      </c>
      <c r="L11" s="1">
        <v>-251</v>
      </c>
      <c r="W11" s="1">
        <v>-31033</v>
      </c>
      <c r="X11" s="1">
        <v>-6723</v>
      </c>
      <c r="Y11" s="1">
        <v>-5554</v>
      </c>
      <c r="Z11" s="1">
        <v>-1310</v>
      </c>
    </row>
    <row r="12" spans="2:48">
      <c r="B12" s="1" t="s">
        <v>26</v>
      </c>
      <c r="C12" s="1">
        <f>+C9+SUM(C10:C11)</f>
        <v>22753</v>
      </c>
      <c r="D12" s="1">
        <f>+D9+SUM(D10:D11)</f>
        <v>23351</v>
      </c>
      <c r="E12" s="1">
        <f>+E9+SUM(E10:E11)</f>
        <v>13796</v>
      </c>
      <c r="F12" s="1">
        <f t="shared" si="2"/>
        <v>-70443</v>
      </c>
      <c r="G12" s="1">
        <f>+G9+SUM(G10:G11)</f>
        <v>-56911</v>
      </c>
      <c r="H12" s="1">
        <f>+H9+SUM(H10:H11)</f>
        <v>-45494</v>
      </c>
      <c r="I12" s="1">
        <f>+I9+SUM(I10:I11)</f>
        <v>-26499</v>
      </c>
      <c r="J12" s="1">
        <f t="shared" si="3"/>
        <v>-25909</v>
      </c>
      <c r="K12" s="1">
        <f>+K9+SUM(K10:K11)</f>
        <v>-28571</v>
      </c>
      <c r="L12" s="1">
        <f>+L9+SUM(L10:L11)</f>
        <v>-19285</v>
      </c>
      <c r="W12" s="1">
        <f>+W9+SUM(W10:W11)</f>
        <v>-58175</v>
      </c>
      <c r="X12" s="1">
        <f>+X9+SUM(X10:X11)</f>
        <v>126452</v>
      </c>
      <c r="Y12" s="1">
        <f>+Y9+SUM(Y10:Y11)</f>
        <v>-10543</v>
      </c>
      <c r="Z12" s="1">
        <f>+Z9+SUM(Z10:Z11)</f>
        <v>-154813</v>
      </c>
    </row>
    <row r="13" spans="2:48">
      <c r="B13" s="1" t="s">
        <v>27</v>
      </c>
      <c r="C13" s="1">
        <v>7753</v>
      </c>
      <c r="D13" s="1">
        <v>12338</v>
      </c>
      <c r="E13" s="1">
        <v>338</v>
      </c>
      <c r="F13" s="1">
        <f t="shared" si="2"/>
        <v>-12486</v>
      </c>
      <c r="G13" s="1">
        <v>-385</v>
      </c>
      <c r="H13" s="1">
        <v>36663</v>
      </c>
      <c r="I13" s="1">
        <v>2005</v>
      </c>
      <c r="J13" s="1">
        <f t="shared" si="3"/>
        <v>-2086</v>
      </c>
      <c r="K13" s="1">
        <v>1899</v>
      </c>
      <c r="L13" s="1">
        <v>2532</v>
      </c>
      <c r="W13" s="1">
        <v>13427</v>
      </c>
      <c r="X13" s="1">
        <v>38450</v>
      </c>
      <c r="Y13" s="1">
        <v>7943</v>
      </c>
      <c r="Z13" s="1">
        <v>36197</v>
      </c>
    </row>
    <row r="14" spans="2:48">
      <c r="B14" s="1" t="s">
        <v>28</v>
      </c>
      <c r="C14" s="1">
        <f>+C12-C13</f>
        <v>15000</v>
      </c>
      <c r="D14" s="1">
        <f>+D12-D13</f>
        <v>11013</v>
      </c>
      <c r="E14" s="1">
        <f>+E12-E13</f>
        <v>13458</v>
      </c>
      <c r="F14" s="1">
        <f t="shared" si="2"/>
        <v>-57957</v>
      </c>
      <c r="G14" s="1">
        <f>+G12-G13</f>
        <v>-56526</v>
      </c>
      <c r="H14" s="1">
        <f>+H12-H13</f>
        <v>-82157</v>
      </c>
      <c r="I14" s="1">
        <f>+I12-I13</f>
        <v>-28504</v>
      </c>
      <c r="J14" s="1">
        <f t="shared" si="3"/>
        <v>-23823</v>
      </c>
      <c r="K14" s="1">
        <f>+K12-K13</f>
        <v>-30470</v>
      </c>
      <c r="L14" s="1">
        <f>+L12-L13</f>
        <v>-21817</v>
      </c>
      <c r="W14" s="1">
        <f>+W12-W13</f>
        <v>-71602</v>
      </c>
      <c r="X14" s="1">
        <f>+X12-X13</f>
        <v>88002</v>
      </c>
      <c r="Y14" s="1">
        <f>+Y12-Y13</f>
        <v>-18486</v>
      </c>
      <c r="Z14" s="1">
        <f>+Z12-Z13</f>
        <v>-191010</v>
      </c>
    </row>
    <row r="15" spans="2:48" s="3" customFormat="1">
      <c r="F15" s="1"/>
    </row>
    <row r="16" spans="2:48" s="5" customFormat="1">
      <c r="B16" s="5" t="s">
        <v>29</v>
      </c>
      <c r="G16" s="5">
        <f t="shared" ref="G16:M16" si="7">+G5/C5-1</f>
        <v>-0.56896027748625333</v>
      </c>
      <c r="H16" s="5">
        <f t="shared" si="7"/>
        <v>-0.40634061078304051</v>
      </c>
      <c r="I16" s="5">
        <f t="shared" si="7"/>
        <v>-0.18337750294464072</v>
      </c>
      <c r="J16" s="5">
        <f t="shared" si="7"/>
        <v>0.91431861362197009</v>
      </c>
      <c r="K16" s="5">
        <f t="shared" si="7"/>
        <v>0.67063689776733248</v>
      </c>
      <c r="L16" s="5">
        <f t="shared" si="7"/>
        <v>0.32660782708592739</v>
      </c>
      <c r="M16" s="5">
        <f t="shared" si="7"/>
        <v>0.23200817332251567</v>
      </c>
      <c r="X16" s="5">
        <f>+X5/W5-1</f>
        <v>0.42067253003357097</v>
      </c>
      <c r="Y16" s="5">
        <f>+Y5/X5-1</f>
        <v>-0.23615524174255398</v>
      </c>
      <c r="Z16" s="5">
        <f>+Z5/Y5-1</f>
        <v>-0.25294979405771501</v>
      </c>
      <c r="AA16" s="5">
        <f>+AA5/Z5-1</f>
        <v>0.33569079341394215</v>
      </c>
      <c r="AB16" s="5">
        <f t="shared" ref="AB16:AJ16" si="8">+AB5/AA5-1</f>
        <v>0.19999999999999996</v>
      </c>
      <c r="AC16" s="5">
        <f t="shared" si="8"/>
        <v>0.19999999999999996</v>
      </c>
      <c r="AD16" s="5">
        <f t="shared" si="8"/>
        <v>0.19999999999999996</v>
      </c>
      <c r="AE16" s="5">
        <f t="shared" si="8"/>
        <v>0.19999999999999996</v>
      </c>
      <c r="AF16" s="5">
        <f t="shared" si="8"/>
        <v>0.19999999999999996</v>
      </c>
      <c r="AG16" s="5">
        <f t="shared" si="8"/>
        <v>0.19999999999999996</v>
      </c>
      <c r="AH16" s="5">
        <f t="shared" si="8"/>
        <v>0.19999999999999996</v>
      </c>
      <c r="AI16" s="5">
        <f t="shared" si="8"/>
        <v>0.19999999999999996</v>
      </c>
      <c r="AJ16" s="5">
        <f t="shared" si="8"/>
        <v>0.19999999999999996</v>
      </c>
    </row>
    <row r="17" spans="2:39" s="4" customFormat="1">
      <c r="B17" s="4" t="s">
        <v>30</v>
      </c>
      <c r="C17" s="4">
        <f>(C5-C6) / C5</f>
        <v>0.62345261298204524</v>
      </c>
      <c r="D17" s="4">
        <f t="shared" ref="D17:I17" si="9">(D5-D6) / D5</f>
        <v>0.58715787410257037</v>
      </c>
      <c r="E17" s="4">
        <f t="shared" si="9"/>
        <v>0.58414310954063609</v>
      </c>
      <c r="F17" s="4">
        <f t="shared" si="9"/>
        <v>0.50579768553169435</v>
      </c>
      <c r="G17" s="4">
        <f t="shared" si="9"/>
        <v>0.51768742655699174</v>
      </c>
      <c r="H17" s="4">
        <f t="shared" si="9"/>
        <v>0.52682520792201804</v>
      </c>
      <c r="I17" s="4">
        <f t="shared" si="9"/>
        <v>0.5427627032062261</v>
      </c>
      <c r="J17" s="4">
        <f t="shared" ref="J17:L17" si="10">(J5-J6) / J5</f>
        <v>0.54269800119098466</v>
      </c>
      <c r="K17" s="4">
        <f t="shared" ref="K17" si="11">(K5-K6) / K5</f>
        <v>0.55019300674116844</v>
      </c>
      <c r="L17" s="4">
        <f t="shared" si="10"/>
        <v>0.5606004822525863</v>
      </c>
      <c r="M17" s="7">
        <f t="shared" ref="M17" si="12">(M5-M6) / M5</f>
        <v>0.58499999999999996</v>
      </c>
      <c r="W17" s="4">
        <f t="shared" ref="W17:Y17" si="13">(W5-W6) / W5</f>
        <v>0.59011735982021474</v>
      </c>
      <c r="X17" s="4">
        <f t="shared" si="13"/>
        <v>0.62743212128432013</v>
      </c>
      <c r="Y17" s="4">
        <f t="shared" si="13"/>
        <v>0.5887903990754968</v>
      </c>
      <c r="Z17" s="4">
        <f t="shared" ref="Z17:AA17" si="14">(Z5-Z6) / Z5</f>
        <v>0.5342153987261844</v>
      </c>
      <c r="AA17" s="4">
        <f t="shared" si="14"/>
        <v>0.57104715979189269</v>
      </c>
      <c r="AB17" s="4">
        <f t="shared" ref="AB17:AJ17" si="15">(AB5-AB6) / AB5</f>
        <v>0.57104715979189269</v>
      </c>
      <c r="AC17" s="4">
        <f t="shared" si="15"/>
        <v>0.57104715979189269</v>
      </c>
      <c r="AD17" s="4">
        <f t="shared" si="15"/>
        <v>0.5710471597918928</v>
      </c>
      <c r="AE17" s="4">
        <f t="shared" si="15"/>
        <v>0.5710471597918928</v>
      </c>
      <c r="AF17" s="4">
        <f t="shared" si="15"/>
        <v>0.5710471597918928</v>
      </c>
      <c r="AG17" s="4">
        <f t="shared" si="15"/>
        <v>0.5710471597918928</v>
      </c>
      <c r="AH17" s="4">
        <f t="shared" si="15"/>
        <v>0.5710471597918928</v>
      </c>
      <c r="AI17" s="4">
        <f t="shared" si="15"/>
        <v>0.57104715979189291</v>
      </c>
      <c r="AJ17" s="4">
        <f t="shared" si="15"/>
        <v>0.57104715979189291</v>
      </c>
    </row>
    <row r="18" spans="2:39" s="4" customFormat="1">
      <c r="B18" s="4" t="s">
        <v>31</v>
      </c>
      <c r="C18" s="4">
        <f>+C7/C$5</f>
        <v>0.36223950208074168</v>
      </c>
      <c r="D18" s="4">
        <f>+D7/D$5</f>
        <v>0.35081228100267087</v>
      </c>
      <c r="E18" s="4">
        <f>+E7/E$5</f>
        <v>0.38791715744012562</v>
      </c>
      <c r="F18" s="4">
        <f>+F7/F$5</f>
        <v>0.96037768438021764</v>
      </c>
      <c r="G18" s="4">
        <f t="shared" ref="G18:I18" si="16">+G7/G$5</f>
        <v>0.75816686251468857</v>
      </c>
      <c r="H18" s="4">
        <f t="shared" si="16"/>
        <v>0.59098007113031159</v>
      </c>
      <c r="I18" s="4">
        <f t="shared" si="16"/>
        <v>0.50018329877700651</v>
      </c>
      <c r="J18" s="4">
        <f t="shared" ref="J18:L18" si="17">+J7/J$5</f>
        <v>0.49587065185354501</v>
      </c>
      <c r="K18" s="4">
        <f t="shared" ref="K18" si="18">+K7/K$5</f>
        <v>0.49640996207389398</v>
      </c>
      <c r="L18" s="4">
        <f t="shared" si="17"/>
        <v>0.45539682128133996</v>
      </c>
      <c r="M18" s="4">
        <f t="shared" ref="M18" si="19">+M7/M$5</f>
        <v>0.4195121951219512</v>
      </c>
      <c r="W18" s="4">
        <f t="shared" ref="W18:Y18" si="20">+W7/W$5</f>
        <v>0.37900285769774988</v>
      </c>
      <c r="X18" s="4">
        <f t="shared" si="20"/>
        <v>0.32450351819049983</v>
      </c>
      <c r="Y18" s="4">
        <f t="shared" si="20"/>
        <v>0.43175525210352594</v>
      </c>
      <c r="Z18" s="4">
        <f t="shared" ref="Z18:AA18" si="21">+Z7/Z$5</f>
        <v>0.56850266775726999</v>
      </c>
      <c r="AA18" s="4">
        <f t="shared" si="21"/>
        <v>0.44588557687503444</v>
      </c>
      <c r="AB18" s="4">
        <f t="shared" ref="AB18:AJ18" si="22">+AB7/AB$5</f>
        <v>0.44588557687503444</v>
      </c>
      <c r="AC18" s="4">
        <f t="shared" si="22"/>
        <v>0.44588557687503444</v>
      </c>
      <c r="AD18" s="4">
        <f t="shared" si="22"/>
        <v>0.44588557687503438</v>
      </c>
      <c r="AE18" s="4">
        <f t="shared" si="22"/>
        <v>0.44588557687503438</v>
      </c>
      <c r="AF18" s="4">
        <f t="shared" si="22"/>
        <v>0.44588557687503438</v>
      </c>
      <c r="AG18" s="4">
        <f t="shared" si="22"/>
        <v>0.44588557687503438</v>
      </c>
      <c r="AH18" s="4">
        <f t="shared" si="22"/>
        <v>0.44588557687503438</v>
      </c>
      <c r="AI18" s="4">
        <f t="shared" si="22"/>
        <v>0.44588557687503438</v>
      </c>
      <c r="AJ18" s="4">
        <f t="shared" si="22"/>
        <v>0.44588557687503438</v>
      </c>
    </row>
    <row r="20" spans="2:39">
      <c r="AL20" s="1" t="s">
        <v>39</v>
      </c>
      <c r="AM20" s="4">
        <v>0.01</v>
      </c>
    </row>
    <row r="21" spans="2:39">
      <c r="AC21" s="1" t="s">
        <v>5</v>
      </c>
      <c r="AD21" s="1">
        <f>+Main!G9</f>
        <v>52773.58</v>
      </c>
      <c r="AL21" s="1" t="s">
        <v>40</v>
      </c>
      <c r="AM21" s="4">
        <v>0.08</v>
      </c>
    </row>
    <row r="22" spans="2:39">
      <c r="AD22" s="8">
        <f>+AD21/(AA5/1000)</f>
        <v>67.609982076947418</v>
      </c>
      <c r="AL22" s="1" t="s">
        <v>41</v>
      </c>
    </row>
  </sheetData>
  <pageMargins left="0.7" right="0.7" top="0.75" bottom="0.75" header="0.3" footer="0.3"/>
  <ignoredErrors>
    <ignoredError sqref="F8:F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2025-02-03T15:12:21Z</dcterms:created>
  <dcterms:modified xsi:type="dcterms:W3CDTF">2025-08-17T01:09:59Z</dcterms:modified>
</cp:coreProperties>
</file>