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75D32DB8-6E82-5F40-B47A-FDB0EA0BE4C0}" xr6:coauthVersionLast="47" xr6:coauthVersionMax="47" xr10:uidLastSave="{00000000-0000-0000-0000-000000000000}"/>
  <bookViews>
    <workbookView xWindow="13860" yWindow="4220" windowWidth="27640" windowHeight="16940" xr2:uid="{BDC8575E-1F7B-8A4D-8CF5-83B2922DCE33}"/>
  </bookViews>
  <sheets>
    <sheet name="Main" sheetId="1" r:id="rId1"/>
    <sheet name="Model" sheetId="2" r:id="rId2"/>
    <sheet name="Debt Schedul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5" i="2" l="1"/>
  <c r="AF25" i="2"/>
  <c r="AE25" i="2"/>
  <c r="AD25" i="2"/>
  <c r="AC25" i="2"/>
  <c r="AB25" i="2"/>
  <c r="AA25" i="2"/>
  <c r="Z25" i="2"/>
  <c r="Y25" i="2"/>
  <c r="X25" i="2"/>
  <c r="K5" i="1"/>
  <c r="K7" i="1"/>
  <c r="Z29" i="2"/>
  <c r="AA29" i="2" s="1"/>
  <c r="AB29" i="2" s="1"/>
  <c r="AC29" i="2" s="1"/>
  <c r="AD29" i="2" s="1"/>
  <c r="AE29" i="2" s="1"/>
  <c r="AF29" i="2" s="1"/>
  <c r="AG29" i="2" s="1"/>
  <c r="Z28" i="2"/>
  <c r="Z9" i="2" s="1"/>
  <c r="Z27" i="2"/>
  <c r="Z8" i="2" s="1"/>
  <c r="Z11" i="2" s="1"/>
  <c r="Z15" i="2" s="1"/>
  <c r="Y29" i="2"/>
  <c r="Y28" i="2"/>
  <c r="Y27" i="2"/>
  <c r="AL23" i="2"/>
  <c r="HR2" i="2"/>
  <c r="HS2" i="2" s="1"/>
  <c r="HT2" i="2" s="1"/>
  <c r="HU2" i="2" s="1"/>
  <c r="HV2" i="2" s="1"/>
  <c r="HW2" i="2" s="1"/>
  <c r="HX2" i="2" s="1"/>
  <c r="HY2" i="2" s="1"/>
  <c r="HZ2" i="2" s="1"/>
  <c r="HL2" i="2"/>
  <c r="HM2" i="2" s="1"/>
  <c r="HN2" i="2" s="1"/>
  <c r="HO2" i="2" s="1"/>
  <c r="HP2" i="2" s="1"/>
  <c r="HQ2" i="2" s="1"/>
  <c r="GX2" i="2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GE2" i="2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EH2" i="2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DA2" i="2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AI2" i="2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AG14" i="2"/>
  <c r="AG13" i="2"/>
  <c r="AG12" i="2"/>
  <c r="AF14" i="2"/>
  <c r="AF13" i="2"/>
  <c r="AF12" i="2"/>
  <c r="AE14" i="2"/>
  <c r="AE13" i="2"/>
  <c r="AE12" i="2"/>
  <c r="AD14" i="2"/>
  <c r="AD13" i="2"/>
  <c r="AD12" i="2"/>
  <c r="AC14" i="2"/>
  <c r="AC13" i="2"/>
  <c r="AC12" i="2"/>
  <c r="AB14" i="2"/>
  <c r="AB13" i="2"/>
  <c r="AB12" i="2"/>
  <c r="AA14" i="2"/>
  <c r="AA13" i="2"/>
  <c r="AA12" i="2"/>
  <c r="Z14" i="2"/>
  <c r="Z13" i="2"/>
  <c r="Z12" i="2"/>
  <c r="Y14" i="2"/>
  <c r="Y13" i="2"/>
  <c r="Y12" i="2"/>
  <c r="X29" i="2"/>
  <c r="X28" i="2"/>
  <c r="X27" i="2"/>
  <c r="C29" i="2"/>
  <c r="C28" i="2"/>
  <c r="C27" i="2"/>
  <c r="D29" i="2"/>
  <c r="D28" i="2"/>
  <c r="D27" i="2"/>
  <c r="E29" i="2"/>
  <c r="E28" i="2"/>
  <c r="E27" i="2"/>
  <c r="F29" i="2"/>
  <c r="F28" i="2"/>
  <c r="F27" i="2"/>
  <c r="G29" i="2"/>
  <c r="G28" i="2"/>
  <c r="G27" i="2"/>
  <c r="H29" i="2"/>
  <c r="H28" i="2"/>
  <c r="H27" i="2"/>
  <c r="I29" i="2"/>
  <c r="I28" i="2"/>
  <c r="I27" i="2"/>
  <c r="J29" i="2"/>
  <c r="J28" i="2"/>
  <c r="J27" i="2"/>
  <c r="U29" i="2"/>
  <c r="U28" i="2"/>
  <c r="U27" i="2"/>
  <c r="V29" i="2"/>
  <c r="V28" i="2"/>
  <c r="V27" i="2"/>
  <c r="W29" i="2"/>
  <c r="W28" i="2"/>
  <c r="W27" i="2"/>
  <c r="F10" i="2"/>
  <c r="X14" i="2"/>
  <c r="X13" i="2"/>
  <c r="I12" i="2"/>
  <c r="J12" i="2" s="1"/>
  <c r="X12" i="2" s="1"/>
  <c r="I7" i="2"/>
  <c r="D61" i="3"/>
  <c r="E61" i="3"/>
  <c r="W57" i="2"/>
  <c r="X57" i="2" s="1"/>
  <c r="Y57" i="2" s="1"/>
  <c r="Z57" i="2" s="1"/>
  <c r="AA57" i="2" s="1"/>
  <c r="AB57" i="2" s="1"/>
  <c r="AC57" i="2" s="1"/>
  <c r="AD57" i="2" s="1"/>
  <c r="AE57" i="2" s="1"/>
  <c r="AF57" i="2" s="1"/>
  <c r="AG57" i="2" s="1"/>
  <c r="AH57" i="2" s="1"/>
  <c r="V57" i="2"/>
  <c r="U57" i="2"/>
  <c r="C57" i="2"/>
  <c r="G57" i="2"/>
  <c r="D56" i="2"/>
  <c r="D55" i="2"/>
  <c r="H56" i="2"/>
  <c r="H55" i="2"/>
  <c r="E7" i="2"/>
  <c r="E11" i="2" s="1"/>
  <c r="F16" i="2"/>
  <c r="F14" i="2"/>
  <c r="F13" i="2"/>
  <c r="F12" i="2"/>
  <c r="F9" i="2"/>
  <c r="F8" i="2"/>
  <c r="F6" i="2"/>
  <c r="F5" i="2"/>
  <c r="F4" i="2"/>
  <c r="F3" i="2"/>
  <c r="W24" i="2"/>
  <c r="V24" i="2"/>
  <c r="W23" i="2"/>
  <c r="V23" i="2"/>
  <c r="W22" i="2"/>
  <c r="V22" i="2"/>
  <c r="V21" i="2"/>
  <c r="W21" i="2"/>
  <c r="U7" i="2"/>
  <c r="U11" i="2" s="1"/>
  <c r="U15" i="2" s="1"/>
  <c r="U17" i="2" s="1"/>
  <c r="V7" i="2"/>
  <c r="V11" i="2" s="1"/>
  <c r="V15" i="2" s="1"/>
  <c r="V17" i="2" s="1"/>
  <c r="W7" i="2"/>
  <c r="W11" i="2" s="1"/>
  <c r="W15" i="2" s="1"/>
  <c r="W17" i="2" s="1"/>
  <c r="G24" i="2"/>
  <c r="G23" i="2"/>
  <c r="G22" i="2"/>
  <c r="G21" i="2"/>
  <c r="C7" i="2"/>
  <c r="C11" i="2" s="1"/>
  <c r="C15" i="2" s="1"/>
  <c r="C17" i="2" s="1"/>
  <c r="G7" i="2"/>
  <c r="G11" i="2" s="1"/>
  <c r="G15" i="2" s="1"/>
  <c r="G17" i="2" s="1"/>
  <c r="H24" i="2"/>
  <c r="H23" i="2"/>
  <c r="H22" i="2"/>
  <c r="H21" i="2"/>
  <c r="D7" i="2"/>
  <c r="D11" i="2" s="1"/>
  <c r="D15" i="2" s="1"/>
  <c r="D17" i="2" s="1"/>
  <c r="H7" i="2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I8" i="1"/>
  <c r="I7" i="1"/>
  <c r="H6" i="1"/>
  <c r="H9" i="1" s="1"/>
  <c r="K9" i="1" s="1"/>
  <c r="K6" i="1" s="1"/>
  <c r="K4" i="1" s="1"/>
  <c r="H8" i="1"/>
  <c r="AA27" i="2" l="1"/>
  <c r="AA28" i="2"/>
  <c r="Z16" i="2"/>
  <c r="Z17" i="2" s="1"/>
  <c r="U25" i="2"/>
  <c r="I9" i="2"/>
  <c r="I25" i="2"/>
  <c r="I8" i="2"/>
  <c r="I10" i="2"/>
  <c r="X7" i="2"/>
  <c r="Y7" i="2" s="1"/>
  <c r="Z7" i="2" s="1"/>
  <c r="AA7" i="2" s="1"/>
  <c r="AB7" i="2" s="1"/>
  <c r="AC7" i="2" s="1"/>
  <c r="AD7" i="2" s="1"/>
  <c r="AE7" i="2" s="1"/>
  <c r="AF7" i="2" s="1"/>
  <c r="AG7" i="2" s="1"/>
  <c r="D57" i="2"/>
  <c r="H57" i="2"/>
  <c r="H25" i="2"/>
  <c r="E55" i="2"/>
  <c r="F55" i="2" s="1"/>
  <c r="E56" i="2"/>
  <c r="F56" i="2" s="1"/>
  <c r="F57" i="2" s="1"/>
  <c r="G25" i="2"/>
  <c r="V25" i="2"/>
  <c r="W25" i="2"/>
  <c r="H11" i="2"/>
  <c r="F7" i="2"/>
  <c r="E15" i="2"/>
  <c r="AB28" i="2" l="1"/>
  <c r="AA9" i="2"/>
  <c r="AB27" i="2"/>
  <c r="AA8" i="2"/>
  <c r="AA11" i="2" s="1"/>
  <c r="AA15" i="2" s="1"/>
  <c r="AA16" i="2" s="1"/>
  <c r="AA17" i="2" s="1"/>
  <c r="J7" i="2"/>
  <c r="F11" i="2"/>
  <c r="F15" i="2" s="1"/>
  <c r="F17" i="2" s="1"/>
  <c r="I11" i="2"/>
  <c r="I15" i="2" s="1"/>
  <c r="I16" i="2" s="1"/>
  <c r="H15" i="2"/>
  <c r="E57" i="2"/>
  <c r="E17" i="2"/>
  <c r="AC27" i="2" l="1"/>
  <c r="AB8" i="2"/>
  <c r="AB9" i="2"/>
  <c r="AC28" i="2"/>
  <c r="I17" i="2"/>
  <c r="J9" i="2"/>
  <c r="X9" i="2" s="1"/>
  <c r="J8" i="2"/>
  <c r="X8" i="2" s="1"/>
  <c r="J10" i="2"/>
  <c r="J25" i="2"/>
  <c r="J11" i="2"/>
  <c r="J15" i="2" s="1"/>
  <c r="J16" i="2" s="1"/>
  <c r="J17" i="2" s="1"/>
  <c r="H17" i="2"/>
  <c r="F59" i="2"/>
  <c r="G59" i="2"/>
  <c r="H59" i="2"/>
  <c r="AD28" i="2" l="1"/>
  <c r="AC9" i="2"/>
  <c r="AB11" i="2"/>
  <c r="AB15" i="2" s="1"/>
  <c r="AB16" i="2" s="1"/>
  <c r="AB17" i="2" s="1"/>
  <c r="AD27" i="2"/>
  <c r="AC8" i="2"/>
  <c r="AC11" i="2" s="1"/>
  <c r="AC15" i="2" s="1"/>
  <c r="AC16" i="2" s="1"/>
  <c r="AC17" i="2" s="1"/>
  <c r="X11" i="2"/>
  <c r="X15" i="2"/>
  <c r="X17" i="2"/>
  <c r="X16" i="2"/>
  <c r="Y8" i="2"/>
  <c r="Y9" i="2"/>
  <c r="AE27" i="2" l="1"/>
  <c r="AD8" i="2"/>
  <c r="AE28" i="2"/>
  <c r="AD9" i="2"/>
  <c r="Y11" i="2"/>
  <c r="Y15" i="2" s="1"/>
  <c r="AE9" i="2" l="1"/>
  <c r="AF28" i="2"/>
  <c r="AD11" i="2"/>
  <c r="AD15" i="2" s="1"/>
  <c r="AD16" i="2" s="1"/>
  <c r="AD17" i="2" s="1"/>
  <c r="AF27" i="2"/>
  <c r="AE8" i="2"/>
  <c r="AE11" i="2" s="1"/>
  <c r="AE15" i="2" s="1"/>
  <c r="AE16" i="2" s="1"/>
  <c r="AE17" i="2" s="1"/>
  <c r="Y16" i="2"/>
  <c r="Y17" i="2" s="1"/>
  <c r="AG27" i="2" l="1"/>
  <c r="AG8" i="2" s="1"/>
  <c r="AF8" i="2"/>
  <c r="AG28" i="2"/>
  <c r="AG9" i="2" s="1"/>
  <c r="AF9" i="2"/>
  <c r="AF11" i="2" l="1"/>
  <c r="AF15" i="2" s="1"/>
  <c r="AF16" i="2" s="1"/>
  <c r="AF17" i="2" s="1"/>
  <c r="AG11" i="2"/>
  <c r="AG15" i="2" s="1"/>
  <c r="AG16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EQ17" i="2" s="1"/>
  <c r="ER17" i="2" s="1"/>
  <c r="ES17" i="2" s="1"/>
  <c r="ET17" i="2" s="1"/>
  <c r="EU17" i="2" s="1"/>
  <c r="EV17" i="2" s="1"/>
  <c r="EW17" i="2" s="1"/>
  <c r="EX17" i="2" s="1"/>
  <c r="EY17" i="2" s="1"/>
  <c r="EZ17" i="2" s="1"/>
  <c r="FA17" i="2" s="1"/>
  <c r="FB17" i="2" s="1"/>
  <c r="FC17" i="2" s="1"/>
  <c r="FD17" i="2" s="1"/>
  <c r="FE17" i="2" s="1"/>
  <c r="FF17" i="2" s="1"/>
  <c r="FG17" i="2" s="1"/>
  <c r="FH17" i="2" s="1"/>
  <c r="FI17" i="2" s="1"/>
  <c r="FJ17" i="2" s="1"/>
  <c r="FK17" i="2" s="1"/>
  <c r="FL17" i="2" s="1"/>
  <c r="FM17" i="2" s="1"/>
  <c r="FN17" i="2" s="1"/>
  <c r="FO17" i="2" s="1"/>
  <c r="FP17" i="2" s="1"/>
  <c r="FQ17" i="2" s="1"/>
  <c r="FR17" i="2" s="1"/>
  <c r="FS17" i="2" s="1"/>
  <c r="FT17" i="2" s="1"/>
  <c r="FU17" i="2" s="1"/>
  <c r="FV17" i="2" s="1"/>
  <c r="FW17" i="2" s="1"/>
  <c r="FX17" i="2" s="1"/>
  <c r="FY17" i="2" s="1"/>
  <c r="FZ17" i="2" s="1"/>
  <c r="GA17" i="2" s="1"/>
  <c r="GB17" i="2" s="1"/>
  <c r="GC17" i="2" s="1"/>
  <c r="GD17" i="2" s="1"/>
  <c r="GE17" i="2" s="1"/>
  <c r="GF17" i="2" s="1"/>
  <c r="GG17" i="2" s="1"/>
  <c r="GH17" i="2" s="1"/>
  <c r="GI17" i="2" s="1"/>
  <c r="GJ17" i="2" s="1"/>
  <c r="GK17" i="2" s="1"/>
  <c r="GL17" i="2" s="1"/>
  <c r="GM17" i="2" s="1"/>
  <c r="GN17" i="2" s="1"/>
  <c r="GO17" i="2" s="1"/>
  <c r="GP17" i="2" s="1"/>
  <c r="GQ17" i="2" s="1"/>
  <c r="GR17" i="2" s="1"/>
  <c r="GS17" i="2" s="1"/>
  <c r="GT17" i="2" s="1"/>
  <c r="GU17" i="2" s="1"/>
  <c r="GV17" i="2" s="1"/>
  <c r="GW17" i="2" s="1"/>
  <c r="GX17" i="2" s="1"/>
  <c r="GY17" i="2" s="1"/>
  <c r="GZ17" i="2" s="1"/>
  <c r="HA17" i="2" s="1"/>
  <c r="HB17" i="2" s="1"/>
  <c r="HC17" i="2" s="1"/>
  <c r="HD17" i="2" s="1"/>
  <c r="HE17" i="2" s="1"/>
  <c r="HF17" i="2" s="1"/>
  <c r="HG17" i="2" s="1"/>
  <c r="HH17" i="2" s="1"/>
  <c r="HI17" i="2" s="1"/>
  <c r="HJ17" i="2" s="1"/>
  <c r="HK17" i="2" s="1"/>
  <c r="HL17" i="2" s="1"/>
  <c r="HM17" i="2" s="1"/>
  <c r="HN17" i="2" s="1"/>
  <c r="HO17" i="2" s="1"/>
  <c r="HP17" i="2" s="1"/>
  <c r="HQ17" i="2" s="1"/>
  <c r="HR17" i="2" s="1"/>
  <c r="HS17" i="2" s="1"/>
  <c r="HT17" i="2" s="1"/>
  <c r="HU17" i="2" s="1"/>
  <c r="HV17" i="2" s="1"/>
  <c r="HW17" i="2" s="1"/>
  <c r="HX17" i="2" s="1"/>
  <c r="HY17" i="2" s="1"/>
  <c r="HZ17" i="2" s="1"/>
  <c r="AL22" i="2" l="1"/>
  <c r="AL24" i="2" s="1"/>
</calcChain>
</file>

<file path=xl/sharedStrings.xml><?xml version="1.0" encoding="utf-8"?>
<sst xmlns="http://schemas.openxmlformats.org/spreadsheetml/2006/main" count="313" uniqueCount="159">
  <si>
    <t>P</t>
  </si>
  <si>
    <t>S</t>
  </si>
  <si>
    <t>MC</t>
  </si>
  <si>
    <t>C</t>
  </si>
  <si>
    <t>D</t>
  </si>
  <si>
    <t>EV</t>
  </si>
  <si>
    <t>Q225</t>
  </si>
  <si>
    <t xml:space="preserve">CEO </t>
  </si>
  <si>
    <t xml:space="preserve">CFO </t>
  </si>
  <si>
    <t>Q124</t>
  </si>
  <si>
    <t>Q224</t>
  </si>
  <si>
    <t>Q324</t>
  </si>
  <si>
    <t>Q424</t>
  </si>
  <si>
    <t>Q125</t>
  </si>
  <si>
    <t>Q325</t>
  </si>
  <si>
    <t>Q425</t>
  </si>
  <si>
    <t>Q126</t>
  </si>
  <si>
    <t>Q226</t>
  </si>
  <si>
    <t>Q326</t>
  </si>
  <si>
    <t>Q426</t>
  </si>
  <si>
    <t>Studios (Warner Bros, Pictures, TV, Games)</t>
  </si>
  <si>
    <t>Films: DC Universe (Batman, Superman, Wonder Woman, Aquaman, Joker), Harry Potter/Fantastic Beasts, The Matrix, Lord of the Rings (Some Rights), The Conjuring, Dune</t>
  </si>
  <si>
    <t>TV Production: Friends, Big Bang Theory, Game of Thrones, Sopranos (via HBO), Westworld, Wire, Succession</t>
  </si>
  <si>
    <t>Gaming: Mortal Kombat, Hogwarts Legacy (Hit in 2023)</t>
  </si>
  <si>
    <t>Networks (Linear &amp; Cable TV)</t>
  </si>
  <si>
    <t>HBO/HBO Max: Succession, House of Dragon, The Last of Us, True Detective</t>
  </si>
  <si>
    <t>Discovery Networks: Discovery Channel, HGTV, Food Network, TLC, Animal Planet, Investigative Discovery</t>
  </si>
  <si>
    <t xml:space="preserve">CNN Network: Global news network </t>
  </si>
  <si>
    <t>Cartoon Network &amp; Adult Swim: Looney Tunes, Rick Morty, Adventure Time</t>
  </si>
  <si>
    <t xml:space="preserve">Max: Marged HBO Max + Discovery </t>
  </si>
  <si>
    <t>Offers prestige scripted (HBO) + reality/library (Discovery)</t>
  </si>
  <si>
    <t xml:space="preserve">Competes with Netflix, Disney+, Amazon Prime </t>
  </si>
  <si>
    <t>Direct To Consumer (DTC)</t>
  </si>
  <si>
    <t xml:space="preserve">Distribution </t>
  </si>
  <si>
    <t xml:space="preserve">Advertising </t>
  </si>
  <si>
    <t xml:space="preserve">Content </t>
  </si>
  <si>
    <t xml:space="preserve">Other </t>
  </si>
  <si>
    <t>Total Revenues</t>
  </si>
  <si>
    <t xml:space="preserve">Costs </t>
  </si>
  <si>
    <t>SG&amp;A</t>
  </si>
  <si>
    <t>D&amp;A</t>
  </si>
  <si>
    <t xml:space="preserve">Operating Income </t>
  </si>
  <si>
    <t>Interest Expense</t>
  </si>
  <si>
    <t>Equity Investees</t>
  </si>
  <si>
    <t xml:space="preserve">Other Income </t>
  </si>
  <si>
    <t xml:space="preserve">EBT </t>
  </si>
  <si>
    <t>Taxes</t>
  </si>
  <si>
    <t xml:space="preserve">Net Income </t>
  </si>
  <si>
    <t xml:space="preserve">Noncontrolling </t>
  </si>
  <si>
    <t>Growth Analysis Y/Y</t>
  </si>
  <si>
    <t>CFFO</t>
  </si>
  <si>
    <t>Capex</t>
  </si>
  <si>
    <t xml:space="preserve">FCF </t>
  </si>
  <si>
    <t>4QFCF</t>
  </si>
  <si>
    <t xml:space="preserve">Cash </t>
  </si>
  <si>
    <t>Recievables</t>
  </si>
  <si>
    <t>Prepaid Exp</t>
  </si>
  <si>
    <t>Earnigns Releases</t>
  </si>
  <si>
    <t xml:space="preserve">Shareholder Letter </t>
  </si>
  <si>
    <t xml:space="preserve">Debt Schedule </t>
  </si>
  <si>
    <t>Currency</t>
  </si>
  <si>
    <t>Warner Media LLC</t>
  </si>
  <si>
    <t>USD</t>
  </si>
  <si>
    <t>Floating</t>
  </si>
  <si>
    <t>EUR</t>
  </si>
  <si>
    <t>Issuer</t>
  </si>
  <si>
    <t>Notional</t>
  </si>
  <si>
    <t>Notional (USD)</t>
  </si>
  <si>
    <t>Rate</t>
  </si>
  <si>
    <t>Maturity</t>
  </si>
  <si>
    <t>3.600%</t>
  </si>
  <si>
    <t>7/15/2025</t>
  </si>
  <si>
    <t>3.875%</t>
  </si>
  <si>
    <t>1/15/2026</t>
  </si>
  <si>
    <t>Historic TW Inc</t>
  </si>
  <si>
    <t>6.850%</t>
  </si>
  <si>
    <t>Discovery Communications LLC</t>
  </si>
  <si>
    <t>4.900%</t>
  </si>
  <si>
    <t>3/11/2026</t>
  </si>
  <si>
    <t>2.950%</t>
  </si>
  <si>
    <t>7/15/2026</t>
  </si>
  <si>
    <t>Warnermedia Holdings Inc - Secured Bridge Loan</t>
  </si>
  <si>
    <t>12/30/2026</t>
  </si>
  <si>
    <t>3.800%</t>
  </si>
  <si>
    <t>2/15/2027</t>
  </si>
  <si>
    <t>Warnermedia Holdings Inc</t>
  </si>
  <si>
    <t>3.755%</t>
  </si>
  <si>
    <t>3/15/2027</t>
  </si>
  <si>
    <t>Warnermedia Holdings Inc (a)</t>
  </si>
  <si>
    <t>1.900%</t>
  </si>
  <si>
    <t>3/19/2027</t>
  </si>
  <si>
    <t>6.950%</t>
  </si>
  <si>
    <t>1/15/2028</t>
  </si>
  <si>
    <t>3.950%</t>
  </si>
  <si>
    <t>3/20/2028</t>
  </si>
  <si>
    <t>Discovery Communications LLC (a)</t>
  </si>
  <si>
    <t>4.054%</t>
  </si>
  <si>
    <t>3/15/2029</t>
  </si>
  <si>
    <t>4.125%</t>
  </si>
  <si>
    <t>5/15/2029</t>
  </si>
  <si>
    <t>6.625%</t>
  </si>
  <si>
    <t>4.302%</t>
  </si>
  <si>
    <t>1/17/2030</t>
  </si>
  <si>
    <t>3.625%</t>
  </si>
  <si>
    <t>5/15/2030</t>
  </si>
  <si>
    <t>7.625%</t>
  </si>
  <si>
    <t>4/15/2031</t>
  </si>
  <si>
    <t>4.279%</t>
  </si>
  <si>
    <t>3/15/2032</t>
  </si>
  <si>
    <t>7.700%</t>
  </si>
  <si>
    <t>5/1/2032</t>
  </si>
  <si>
    <t>4.693%</t>
  </si>
  <si>
    <t>5/17/2033</t>
  </si>
  <si>
    <t>8.300%</t>
  </si>
  <si>
    <t>1/15/2036</t>
  </si>
  <si>
    <t>6.500%</t>
  </si>
  <si>
    <t>11/15/2036</t>
  </si>
  <si>
    <t>5.000%</t>
  </si>
  <si>
    <t>9/20/2037</t>
  </si>
  <si>
    <t>6.200%</t>
  </si>
  <si>
    <t>3/15/2040</t>
  </si>
  <si>
    <t>6.350%</t>
  </si>
  <si>
    <t>6/1/2040</t>
  </si>
  <si>
    <t>6.100%</t>
  </si>
  <si>
    <t>7/15/2040</t>
  </si>
  <si>
    <t>6.250%</t>
  </si>
  <si>
    <t>3/29/2041</t>
  </si>
  <si>
    <t>5.375%</t>
  </si>
  <si>
    <t>10/15/2041</t>
  </si>
  <si>
    <t>5.050%</t>
  </si>
  <si>
    <t>3/15/2042</t>
  </si>
  <si>
    <t>4.950%</t>
  </si>
  <si>
    <t>5/15/2042</t>
  </si>
  <si>
    <t>6/15/2042</t>
  </si>
  <si>
    <t>4.875%</t>
  </si>
  <si>
    <t>4/1/2043</t>
  </si>
  <si>
    <t>5.350%</t>
  </si>
  <si>
    <t>12/15/2043</t>
  </si>
  <si>
    <t>4.650%</t>
  </si>
  <si>
    <t>6/1/2044</t>
  </si>
  <si>
    <t>4.850%</t>
  </si>
  <si>
    <t>7/15/2045</t>
  </si>
  <si>
    <t>5.200%</t>
  </si>
  <si>
    <t>9/20/2047</t>
  </si>
  <si>
    <t>5.300%</t>
  </si>
  <si>
    <t>5/15/2049</t>
  </si>
  <si>
    <t>5/15/2050</t>
  </si>
  <si>
    <t>5.141%</t>
  </si>
  <si>
    <t>3/15/2052</t>
  </si>
  <si>
    <t>4.000%</t>
  </si>
  <si>
    <t>9/15/2055</t>
  </si>
  <si>
    <t>5.391%</t>
  </si>
  <si>
    <t>3/15/2062</t>
  </si>
  <si>
    <t>Term</t>
  </si>
  <si>
    <t xml:space="preserve">Discount </t>
  </si>
  <si>
    <t>Disc</t>
  </si>
  <si>
    <t>NPV</t>
  </si>
  <si>
    <t>Shares</t>
  </si>
  <si>
    <t xml:space="preserve">Estimate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</si>
</sst>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3" fontId="0" fillId="0" borderId="0" xfId="0" applyNumberFormat="1" applyAlignment="1">
      <alignment horizontal="left" indent="1"/>
    </xf>
    <xf numFmtId="3" fontId="1" fillId="0" borderId="0" xfId="0" applyNumberFormat="1" applyFont="1"/>
    <xf numFmtId="9" fontId="0" fillId="0" borderId="0" xfId="0" applyNumberFormat="1"/>
    <xf numFmtId="3" fontId="2" fillId="0" borderId="0" xfId="1" applyNumberFormat="1"/>
    <xf numFmtId="165" fontId="0" fillId="0" borderId="0" xfId="0" applyNumberFormat="1"/>
    <xf numFmtId="10" fontId="0" fillId="0" borderId="0" xfId="0" applyNumberFormat="1"/>
    <xf numFmtId="0" fontId="3" fillId="0" borderId="0" xfId="0" applyFont="1" applyBorder="1" applyAlignment="1">
      <alignment horizontal="center" vertical="top"/>
    </xf>
    <xf numFmtId="3" fontId="3" fillId="0" borderId="0" xfId="0" applyNumberFormat="1" applyFont="1" applyBorder="1" applyAlignment="1">
      <alignment horizontal="center" vertical="top"/>
    </xf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9478</xdr:colOff>
      <xdr:row>0</xdr:row>
      <xdr:rowOff>9478</xdr:rowOff>
    </xdr:from>
    <xdr:to>
      <xdr:col>8</xdr:col>
      <xdr:colOff>9478</xdr:colOff>
      <xdr:row>84</xdr:row>
      <xdr:rowOff>28433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B825C80-C22F-501A-D9E7-A045C4A10BF9}"/>
            </a:ext>
          </a:extLst>
        </xdr:cNvPr>
        <xdr:cNvCxnSpPr/>
      </xdr:nvCxnSpPr>
      <xdr:spPr>
        <a:xfrm>
          <a:off x="4084851" y="9478"/>
          <a:ext cx="0" cy="1136365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37911</xdr:colOff>
      <xdr:row>0</xdr:row>
      <xdr:rowOff>9477</xdr:rowOff>
    </xdr:from>
    <xdr:to>
      <xdr:col>23</xdr:col>
      <xdr:colOff>37911</xdr:colOff>
      <xdr:row>64</xdr:row>
      <xdr:rowOff>199029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2963AE1-0997-9446-ACB5-703308BD4D32}"/>
            </a:ext>
          </a:extLst>
        </xdr:cNvPr>
        <xdr:cNvCxnSpPr/>
      </xdr:nvCxnSpPr>
      <xdr:spPr>
        <a:xfrm>
          <a:off x="11486866" y="9477"/>
          <a:ext cx="0" cy="775268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201.q4cdn.com/336605034/files/doc_earnings/2025/q2/generic/WBD-Outstanding-Debt-as-of-June-30-2025.pdf" TargetMode="External"/><Relationship Id="rId2" Type="http://schemas.openxmlformats.org/officeDocument/2006/relationships/hyperlink" Target="https://s201.q4cdn.com/336605034/files/doc_earnings/2025/q2/earnings-result/WBD-2Q25-Shareholder-Letter.pdf" TargetMode="External"/><Relationship Id="rId1" Type="http://schemas.openxmlformats.org/officeDocument/2006/relationships/hyperlink" Target="https://s201.q4cdn.com/336605034/files/doc_earnings/2025/q2/earnings-result/WBD-2Q25-Earnings-Releas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5087-14B9-D049-974A-2BEFD66A4854}">
  <dimension ref="B2:P27"/>
  <sheetViews>
    <sheetView tabSelected="1" zoomScale="167" workbookViewId="0">
      <selection activeCell="A4" sqref="A4"/>
    </sheetView>
  </sheetViews>
  <sheetFormatPr baseColWidth="10" defaultRowHeight="16" x14ac:dyDescent="0.2"/>
  <cols>
    <col min="1" max="1" width="2.83203125" style="2" customWidth="1"/>
    <col min="2" max="2" width="13.5" style="2" customWidth="1"/>
    <col min="3" max="6" width="10.83203125" style="2"/>
    <col min="7" max="7" width="4" style="2" bestFit="1" customWidth="1"/>
    <col min="8" max="8" width="6.6640625" style="2" bestFit="1" customWidth="1"/>
    <col min="9" max="9" width="5.5" style="2" bestFit="1" customWidth="1"/>
    <col min="10" max="13" width="10.83203125" style="2"/>
    <col min="14" max="14" width="15.6640625" style="2" bestFit="1" customWidth="1"/>
    <col min="15" max="15" width="16.6640625" style="2" bestFit="1" customWidth="1"/>
    <col min="16" max="16384" width="10.83203125" style="2"/>
  </cols>
  <sheetData>
    <row r="2" spans="2:16" x14ac:dyDescent="0.2">
      <c r="N2" s="2" t="s">
        <v>57</v>
      </c>
      <c r="O2" s="2" t="s">
        <v>58</v>
      </c>
      <c r="P2" s="2" t="s">
        <v>59</v>
      </c>
    </row>
    <row r="3" spans="2:16" x14ac:dyDescent="0.2">
      <c r="B3" s="2" t="s">
        <v>7</v>
      </c>
      <c r="N3" s="8" t="s">
        <v>6</v>
      </c>
      <c r="O3" s="8" t="s">
        <v>6</v>
      </c>
      <c r="P3" s="8" t="s">
        <v>6</v>
      </c>
    </row>
    <row r="4" spans="2:16" x14ac:dyDescent="0.2">
      <c r="B4" s="2" t="s">
        <v>8</v>
      </c>
      <c r="G4" s="2" t="s">
        <v>0</v>
      </c>
      <c r="H4" s="1">
        <v>12.12</v>
      </c>
      <c r="I4" s="1"/>
      <c r="J4" s="1"/>
      <c r="K4" s="1">
        <f>+K6/K5</f>
        <v>12.02548403756626</v>
      </c>
    </row>
    <row r="5" spans="2:16" x14ac:dyDescent="0.2">
      <c r="G5" s="2" t="s">
        <v>1</v>
      </c>
      <c r="H5" s="2">
        <v>2475.7722819999999</v>
      </c>
      <c r="I5" s="2" t="s">
        <v>6</v>
      </c>
      <c r="K5" s="2">
        <f>+H5</f>
        <v>2475.7722819999999</v>
      </c>
    </row>
    <row r="6" spans="2:16" x14ac:dyDescent="0.2">
      <c r="G6" s="2" t="s">
        <v>2</v>
      </c>
      <c r="H6" s="2">
        <f>+H4*H5</f>
        <v>30006.360057839996</v>
      </c>
      <c r="K6" s="2">
        <f>+K9-K8+K7</f>
        <v>29772.360057839993</v>
      </c>
    </row>
    <row r="7" spans="2:16" x14ac:dyDescent="0.2">
      <c r="G7" s="2" t="s">
        <v>3</v>
      </c>
      <c r="H7" s="2">
        <v>4888</v>
      </c>
      <c r="I7" s="2" t="str">
        <f>+I5</f>
        <v>Q225</v>
      </c>
      <c r="K7" s="2">
        <f>+H7</f>
        <v>4888</v>
      </c>
    </row>
    <row r="8" spans="2:16" x14ac:dyDescent="0.2">
      <c r="G8" s="2" t="s">
        <v>4</v>
      </c>
      <c r="H8" s="2">
        <f>221+34411</f>
        <v>34632</v>
      </c>
      <c r="I8" s="2" t="str">
        <f>+I7</f>
        <v>Q225</v>
      </c>
      <c r="K8" s="2">
        <v>34866</v>
      </c>
    </row>
    <row r="9" spans="2:16" x14ac:dyDescent="0.2">
      <c r="G9" s="2" t="s">
        <v>5</v>
      </c>
      <c r="H9" s="2">
        <f>+H6-H7+H8</f>
        <v>59750.360057839993</v>
      </c>
      <c r="K9" s="2">
        <f>+H9</f>
        <v>59750.360057839993</v>
      </c>
    </row>
    <row r="13" spans="2:16" x14ac:dyDescent="0.2">
      <c r="B13" s="6" t="s">
        <v>20</v>
      </c>
    </row>
    <row r="14" spans="2:16" x14ac:dyDescent="0.2">
      <c r="B14" s="5" t="s">
        <v>21</v>
      </c>
    </row>
    <row r="15" spans="2:16" x14ac:dyDescent="0.2">
      <c r="B15" s="5" t="s">
        <v>22</v>
      </c>
    </row>
    <row r="16" spans="2:16" x14ac:dyDescent="0.2">
      <c r="B16" s="5" t="s">
        <v>23</v>
      </c>
    </row>
    <row r="18" spans="2:2" x14ac:dyDescent="0.2">
      <c r="B18" s="6" t="s">
        <v>24</v>
      </c>
    </row>
    <row r="19" spans="2:2" x14ac:dyDescent="0.2">
      <c r="B19" s="5" t="s">
        <v>25</v>
      </c>
    </row>
    <row r="20" spans="2:2" x14ac:dyDescent="0.2">
      <c r="B20" s="5" t="s">
        <v>26</v>
      </c>
    </row>
    <row r="21" spans="2:2" x14ac:dyDescent="0.2">
      <c r="B21" s="5" t="s">
        <v>27</v>
      </c>
    </row>
    <row r="22" spans="2:2" x14ac:dyDescent="0.2">
      <c r="B22" s="5" t="s">
        <v>28</v>
      </c>
    </row>
    <row r="24" spans="2:2" x14ac:dyDescent="0.2">
      <c r="B24" s="6" t="s">
        <v>32</v>
      </c>
    </row>
    <row r="25" spans="2:2" x14ac:dyDescent="0.2">
      <c r="B25" s="5" t="s">
        <v>29</v>
      </c>
    </row>
    <row r="26" spans="2:2" x14ac:dyDescent="0.2">
      <c r="B26" s="5" t="s">
        <v>30</v>
      </c>
    </row>
    <row r="27" spans="2:2" x14ac:dyDescent="0.2">
      <c r="B27" s="5" t="s">
        <v>31</v>
      </c>
    </row>
  </sheetData>
  <hyperlinks>
    <hyperlink ref="N3" r:id="rId1" xr:uid="{9AA27214-C526-EE43-A793-CBB083558BC9}"/>
    <hyperlink ref="O3" r:id="rId2" xr:uid="{0608B317-C5DD-B747-B08D-B83F914C0117}"/>
    <hyperlink ref="P3" r:id="rId3" xr:uid="{BFEE80E4-1FA8-174A-9CB4-8454FF1F3D0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814B-7DAF-874E-8EFC-8A7C9AA913FC}">
  <dimension ref="B2:HZ61"/>
  <sheetViews>
    <sheetView zoomScale="134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AL24" sqref="AL24"/>
    </sheetView>
  </sheetViews>
  <sheetFormatPr baseColWidth="10" defaultRowHeight="16" x14ac:dyDescent="0.2"/>
  <cols>
    <col min="1" max="1" width="0.83203125" style="2" customWidth="1"/>
    <col min="2" max="2" width="17.6640625" style="2" bestFit="1" customWidth="1"/>
    <col min="3" max="3" width="5.6640625" style="2" bestFit="1" customWidth="1"/>
    <col min="4" max="4" width="6.33203125" style="2" bestFit="1" customWidth="1"/>
    <col min="5" max="5" width="5.6640625" style="2" bestFit="1" customWidth="1"/>
    <col min="6" max="6" width="6.6640625" style="2" bestFit="1" customWidth="1"/>
    <col min="7" max="7" width="5.6640625" style="2" bestFit="1" customWidth="1"/>
    <col min="8" max="8" width="6.33203125" style="2" bestFit="1" customWidth="1"/>
    <col min="9" max="9" width="5.5" style="2" bestFit="1" customWidth="1"/>
    <col min="10" max="10" width="6.6640625" style="2" bestFit="1" customWidth="1"/>
    <col min="11" max="11" width="5.5" style="2" bestFit="1" customWidth="1"/>
    <col min="12" max="12" width="6.33203125" style="2" bestFit="1" customWidth="1"/>
    <col min="13" max="14" width="5.5" style="2" bestFit="1" customWidth="1"/>
    <col min="15" max="16" width="10.83203125" style="2"/>
    <col min="17" max="33" width="6.6640625" style="2" bestFit="1" customWidth="1"/>
    <col min="34" max="34" width="5.6640625" style="2" bestFit="1" customWidth="1"/>
    <col min="35" max="36" width="5.1640625" style="2" bestFit="1" customWidth="1"/>
    <col min="37" max="37" width="9" style="2" bestFit="1" customWidth="1"/>
    <col min="38" max="38" width="6.6640625" style="2" bestFit="1" customWidth="1"/>
    <col min="39" max="44" width="5.1640625" style="2" bestFit="1" customWidth="1"/>
    <col min="45" max="16384" width="10.83203125" style="2"/>
  </cols>
  <sheetData>
    <row r="2" spans="2:234" s="4" customFormat="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6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Q2" s="4">
        <v>2018</v>
      </c>
      <c r="R2" s="4">
        <f>+Q2+1</f>
        <v>2019</v>
      </c>
      <c r="S2" s="4">
        <f t="shared" ref="S2:AR2" si="0">+R2+1</f>
        <v>2020</v>
      </c>
      <c r="T2" s="4">
        <f t="shared" si="0"/>
        <v>2021</v>
      </c>
      <c r="U2" s="4">
        <f t="shared" si="0"/>
        <v>2022</v>
      </c>
      <c r="V2" s="4">
        <f t="shared" si="0"/>
        <v>2023</v>
      </c>
      <c r="W2" s="4">
        <f t="shared" si="0"/>
        <v>2024</v>
      </c>
      <c r="X2" s="4">
        <f t="shared" si="0"/>
        <v>2025</v>
      </c>
      <c r="Y2" s="4">
        <f t="shared" si="0"/>
        <v>2026</v>
      </c>
      <c r="Z2" s="4">
        <f t="shared" si="0"/>
        <v>2027</v>
      </c>
      <c r="AA2" s="4">
        <f t="shared" si="0"/>
        <v>2028</v>
      </c>
      <c r="AB2" s="4">
        <f t="shared" si="0"/>
        <v>2029</v>
      </c>
      <c r="AC2" s="4">
        <f t="shared" si="0"/>
        <v>2030</v>
      </c>
      <c r="AD2" s="4">
        <f t="shared" si="0"/>
        <v>2031</v>
      </c>
      <c r="AE2" s="4">
        <f t="shared" si="0"/>
        <v>2032</v>
      </c>
      <c r="AF2" s="4">
        <f t="shared" si="0"/>
        <v>2033</v>
      </c>
      <c r="AG2" s="4">
        <f t="shared" si="0"/>
        <v>2034</v>
      </c>
      <c r="AH2" s="4">
        <f t="shared" si="0"/>
        <v>2035</v>
      </c>
      <c r="AI2" s="4">
        <f t="shared" ref="AI2:CT2" si="1">+AH2+1</f>
        <v>2036</v>
      </c>
      <c r="AJ2" s="4">
        <f t="shared" si="1"/>
        <v>2037</v>
      </c>
      <c r="AK2" s="4">
        <f t="shared" si="1"/>
        <v>2038</v>
      </c>
      <c r="AL2" s="4">
        <f t="shared" si="1"/>
        <v>2039</v>
      </c>
      <c r="AM2" s="4">
        <f t="shared" si="1"/>
        <v>2040</v>
      </c>
      <c r="AN2" s="4">
        <f t="shared" si="1"/>
        <v>2041</v>
      </c>
      <c r="AO2" s="4">
        <f t="shared" si="1"/>
        <v>2042</v>
      </c>
      <c r="AP2" s="4">
        <f t="shared" si="1"/>
        <v>2043</v>
      </c>
      <c r="AQ2" s="4">
        <f t="shared" si="1"/>
        <v>2044</v>
      </c>
      <c r="AR2" s="4">
        <f t="shared" si="1"/>
        <v>2045</v>
      </c>
      <c r="AS2" s="4">
        <f t="shared" si="1"/>
        <v>2046</v>
      </c>
      <c r="AT2" s="4">
        <f t="shared" si="1"/>
        <v>2047</v>
      </c>
      <c r="AU2" s="4">
        <f t="shared" si="1"/>
        <v>2048</v>
      </c>
      <c r="AV2" s="4">
        <f t="shared" si="1"/>
        <v>2049</v>
      </c>
      <c r="AW2" s="4">
        <f t="shared" si="1"/>
        <v>2050</v>
      </c>
      <c r="AX2" s="4">
        <f t="shared" si="1"/>
        <v>2051</v>
      </c>
      <c r="AY2" s="4">
        <f t="shared" si="1"/>
        <v>2052</v>
      </c>
      <c r="AZ2" s="4">
        <f t="shared" si="1"/>
        <v>2053</v>
      </c>
      <c r="BA2" s="4">
        <f t="shared" si="1"/>
        <v>2054</v>
      </c>
      <c r="BB2" s="4">
        <f t="shared" si="1"/>
        <v>2055</v>
      </c>
      <c r="BC2" s="4">
        <f t="shared" si="1"/>
        <v>2056</v>
      </c>
      <c r="BD2" s="4">
        <f t="shared" si="1"/>
        <v>2057</v>
      </c>
      <c r="BE2" s="4">
        <f t="shared" si="1"/>
        <v>2058</v>
      </c>
      <c r="BF2" s="4">
        <f t="shared" si="1"/>
        <v>2059</v>
      </c>
      <c r="BG2" s="4">
        <f t="shared" si="1"/>
        <v>2060</v>
      </c>
      <c r="BH2" s="4">
        <f t="shared" si="1"/>
        <v>2061</v>
      </c>
      <c r="BI2" s="4">
        <f t="shared" si="1"/>
        <v>2062</v>
      </c>
      <c r="BJ2" s="4">
        <f t="shared" si="1"/>
        <v>2063</v>
      </c>
      <c r="BK2" s="4">
        <f t="shared" si="1"/>
        <v>2064</v>
      </c>
      <c r="BL2" s="4">
        <f t="shared" si="1"/>
        <v>2065</v>
      </c>
      <c r="BM2" s="4">
        <f t="shared" si="1"/>
        <v>2066</v>
      </c>
      <c r="BN2" s="4">
        <f t="shared" si="1"/>
        <v>2067</v>
      </c>
      <c r="BO2" s="4">
        <f t="shared" si="1"/>
        <v>2068</v>
      </c>
      <c r="BP2" s="4">
        <f t="shared" si="1"/>
        <v>2069</v>
      </c>
      <c r="BQ2" s="4">
        <f t="shared" si="1"/>
        <v>2070</v>
      </c>
      <c r="BR2" s="4">
        <f t="shared" si="1"/>
        <v>2071</v>
      </c>
      <c r="BS2" s="4">
        <f t="shared" si="1"/>
        <v>2072</v>
      </c>
      <c r="BT2" s="4">
        <f t="shared" si="1"/>
        <v>2073</v>
      </c>
      <c r="BU2" s="4">
        <f t="shared" si="1"/>
        <v>2074</v>
      </c>
      <c r="BV2" s="4">
        <f t="shared" si="1"/>
        <v>2075</v>
      </c>
      <c r="BW2" s="4">
        <f t="shared" si="1"/>
        <v>2076</v>
      </c>
      <c r="BX2" s="4">
        <f t="shared" si="1"/>
        <v>2077</v>
      </c>
      <c r="BY2" s="4">
        <f t="shared" si="1"/>
        <v>2078</v>
      </c>
      <c r="BZ2" s="4">
        <f t="shared" si="1"/>
        <v>2079</v>
      </c>
      <c r="CA2" s="4">
        <f t="shared" si="1"/>
        <v>2080</v>
      </c>
      <c r="CB2" s="4">
        <f t="shared" si="1"/>
        <v>2081</v>
      </c>
      <c r="CC2" s="4">
        <f t="shared" si="1"/>
        <v>2082</v>
      </c>
      <c r="CD2" s="4">
        <f t="shared" si="1"/>
        <v>2083</v>
      </c>
      <c r="CE2" s="4">
        <f t="shared" si="1"/>
        <v>2084</v>
      </c>
      <c r="CF2" s="4">
        <f t="shared" si="1"/>
        <v>2085</v>
      </c>
      <c r="CG2" s="4">
        <f t="shared" si="1"/>
        <v>2086</v>
      </c>
      <c r="CH2" s="4">
        <f t="shared" si="1"/>
        <v>2087</v>
      </c>
      <c r="CI2" s="4">
        <f t="shared" si="1"/>
        <v>2088</v>
      </c>
      <c r="CJ2" s="4">
        <f t="shared" si="1"/>
        <v>2089</v>
      </c>
      <c r="CK2" s="4">
        <f t="shared" si="1"/>
        <v>2090</v>
      </c>
      <c r="CL2" s="4">
        <f t="shared" si="1"/>
        <v>2091</v>
      </c>
      <c r="CM2" s="4">
        <f t="shared" si="1"/>
        <v>2092</v>
      </c>
      <c r="CN2" s="4">
        <f t="shared" si="1"/>
        <v>2093</v>
      </c>
      <c r="CO2" s="4">
        <f t="shared" si="1"/>
        <v>2094</v>
      </c>
      <c r="CP2" s="4">
        <f t="shared" si="1"/>
        <v>2095</v>
      </c>
      <c r="CQ2" s="4">
        <f t="shared" si="1"/>
        <v>2096</v>
      </c>
      <c r="CR2" s="4">
        <f t="shared" si="1"/>
        <v>2097</v>
      </c>
      <c r="CS2" s="4">
        <f t="shared" si="1"/>
        <v>2098</v>
      </c>
      <c r="CT2" s="4">
        <f t="shared" si="1"/>
        <v>2099</v>
      </c>
      <c r="CU2" s="4">
        <f t="shared" ref="CU2:CZ2" si="2">+CT2+1</f>
        <v>2100</v>
      </c>
      <c r="CV2" s="4">
        <f t="shared" si="2"/>
        <v>2101</v>
      </c>
      <c r="CW2" s="4">
        <f t="shared" si="2"/>
        <v>2102</v>
      </c>
      <c r="CX2" s="4">
        <f t="shared" si="2"/>
        <v>2103</v>
      </c>
      <c r="CY2" s="4">
        <f t="shared" si="2"/>
        <v>2104</v>
      </c>
      <c r="CZ2" s="4">
        <f t="shared" si="2"/>
        <v>2105</v>
      </c>
      <c r="DA2" s="4">
        <f t="shared" ref="DA2:EG2" si="3">+CZ2+1</f>
        <v>2106</v>
      </c>
      <c r="DB2" s="4">
        <f t="shared" si="3"/>
        <v>2107</v>
      </c>
      <c r="DC2" s="4">
        <f t="shared" si="3"/>
        <v>2108</v>
      </c>
      <c r="DD2" s="4">
        <f t="shared" si="3"/>
        <v>2109</v>
      </c>
      <c r="DE2" s="4">
        <f t="shared" si="3"/>
        <v>2110</v>
      </c>
      <c r="DF2" s="4">
        <f t="shared" si="3"/>
        <v>2111</v>
      </c>
      <c r="DG2" s="4">
        <f t="shared" si="3"/>
        <v>2112</v>
      </c>
      <c r="DH2" s="4">
        <f t="shared" si="3"/>
        <v>2113</v>
      </c>
      <c r="DI2" s="4">
        <f t="shared" si="3"/>
        <v>2114</v>
      </c>
      <c r="DJ2" s="4">
        <f t="shared" si="3"/>
        <v>2115</v>
      </c>
      <c r="DK2" s="4">
        <f t="shared" si="3"/>
        <v>2116</v>
      </c>
      <c r="DL2" s="4">
        <f t="shared" si="3"/>
        <v>2117</v>
      </c>
      <c r="DM2" s="4">
        <f t="shared" si="3"/>
        <v>2118</v>
      </c>
      <c r="DN2" s="4">
        <f t="shared" si="3"/>
        <v>2119</v>
      </c>
      <c r="DO2" s="4">
        <f t="shared" si="3"/>
        <v>2120</v>
      </c>
      <c r="DP2" s="4">
        <f t="shared" si="3"/>
        <v>2121</v>
      </c>
      <c r="DQ2" s="4">
        <f t="shared" si="3"/>
        <v>2122</v>
      </c>
      <c r="DR2" s="4">
        <f t="shared" si="3"/>
        <v>2123</v>
      </c>
      <c r="DS2" s="4">
        <f t="shared" si="3"/>
        <v>2124</v>
      </c>
      <c r="DT2" s="4">
        <f t="shared" si="3"/>
        <v>2125</v>
      </c>
      <c r="DU2" s="4">
        <f t="shared" si="3"/>
        <v>2126</v>
      </c>
      <c r="DV2" s="4">
        <f t="shared" si="3"/>
        <v>2127</v>
      </c>
      <c r="DW2" s="4">
        <f t="shared" si="3"/>
        <v>2128</v>
      </c>
      <c r="DX2" s="4">
        <f t="shared" si="3"/>
        <v>2129</v>
      </c>
      <c r="DY2" s="4">
        <f t="shared" si="3"/>
        <v>2130</v>
      </c>
      <c r="DZ2" s="4">
        <f t="shared" si="3"/>
        <v>2131</v>
      </c>
      <c r="EA2" s="4">
        <f t="shared" si="3"/>
        <v>2132</v>
      </c>
      <c r="EB2" s="4">
        <f t="shared" si="3"/>
        <v>2133</v>
      </c>
      <c r="EC2" s="4">
        <f t="shared" si="3"/>
        <v>2134</v>
      </c>
      <c r="ED2" s="4">
        <f t="shared" si="3"/>
        <v>2135</v>
      </c>
      <c r="EE2" s="4">
        <f t="shared" si="3"/>
        <v>2136</v>
      </c>
      <c r="EF2" s="4">
        <f t="shared" si="3"/>
        <v>2137</v>
      </c>
      <c r="EG2" s="4">
        <f t="shared" si="3"/>
        <v>2138</v>
      </c>
      <c r="EH2" s="4">
        <f t="shared" ref="EH2:GD2" si="4">+EG2+1</f>
        <v>2139</v>
      </c>
      <c r="EI2" s="4">
        <f t="shared" si="4"/>
        <v>2140</v>
      </c>
      <c r="EJ2" s="4">
        <f t="shared" si="4"/>
        <v>2141</v>
      </c>
      <c r="EK2" s="4">
        <f t="shared" si="4"/>
        <v>2142</v>
      </c>
      <c r="EL2" s="4">
        <f t="shared" si="4"/>
        <v>2143</v>
      </c>
      <c r="EM2" s="4">
        <f t="shared" si="4"/>
        <v>2144</v>
      </c>
      <c r="EN2" s="4">
        <f t="shared" si="4"/>
        <v>2145</v>
      </c>
      <c r="EO2" s="4">
        <f t="shared" si="4"/>
        <v>2146</v>
      </c>
      <c r="EP2" s="4">
        <f t="shared" si="4"/>
        <v>2147</v>
      </c>
      <c r="EQ2" s="4">
        <f t="shared" si="4"/>
        <v>2148</v>
      </c>
      <c r="ER2" s="4">
        <f t="shared" si="4"/>
        <v>2149</v>
      </c>
      <c r="ES2" s="4">
        <f t="shared" si="4"/>
        <v>2150</v>
      </c>
      <c r="ET2" s="4">
        <f t="shared" si="4"/>
        <v>2151</v>
      </c>
      <c r="EU2" s="4">
        <f t="shared" si="4"/>
        <v>2152</v>
      </c>
      <c r="EV2" s="4">
        <f t="shared" si="4"/>
        <v>2153</v>
      </c>
      <c r="EW2" s="4">
        <f t="shared" si="4"/>
        <v>2154</v>
      </c>
      <c r="EX2" s="4">
        <f t="shared" si="4"/>
        <v>2155</v>
      </c>
      <c r="EY2" s="4">
        <f t="shared" si="4"/>
        <v>2156</v>
      </c>
      <c r="EZ2" s="4">
        <f t="shared" si="4"/>
        <v>2157</v>
      </c>
      <c r="FA2" s="4">
        <f t="shared" si="4"/>
        <v>2158</v>
      </c>
      <c r="FB2" s="4">
        <f t="shared" si="4"/>
        <v>2159</v>
      </c>
      <c r="FC2" s="4">
        <f t="shared" si="4"/>
        <v>2160</v>
      </c>
      <c r="FD2" s="4">
        <f t="shared" si="4"/>
        <v>2161</v>
      </c>
      <c r="FE2" s="4">
        <f t="shared" si="4"/>
        <v>2162</v>
      </c>
      <c r="FF2" s="4">
        <f t="shared" si="4"/>
        <v>2163</v>
      </c>
      <c r="FG2" s="4">
        <f t="shared" si="4"/>
        <v>2164</v>
      </c>
      <c r="FH2" s="4">
        <f t="shared" si="4"/>
        <v>2165</v>
      </c>
      <c r="FI2" s="4">
        <f t="shared" si="4"/>
        <v>2166</v>
      </c>
      <c r="FJ2" s="4">
        <f t="shared" si="4"/>
        <v>2167</v>
      </c>
      <c r="FK2" s="4">
        <f t="shared" si="4"/>
        <v>2168</v>
      </c>
      <c r="FL2" s="4">
        <f t="shared" si="4"/>
        <v>2169</v>
      </c>
      <c r="FM2" s="4">
        <f t="shared" si="4"/>
        <v>2170</v>
      </c>
      <c r="FN2" s="4">
        <f t="shared" si="4"/>
        <v>2171</v>
      </c>
      <c r="FO2" s="4">
        <f t="shared" si="4"/>
        <v>2172</v>
      </c>
      <c r="FP2" s="4">
        <f t="shared" si="4"/>
        <v>2173</v>
      </c>
      <c r="FQ2" s="4">
        <f t="shared" si="4"/>
        <v>2174</v>
      </c>
      <c r="FR2" s="4">
        <f t="shared" si="4"/>
        <v>2175</v>
      </c>
      <c r="FS2" s="4">
        <f t="shared" si="4"/>
        <v>2176</v>
      </c>
      <c r="FT2" s="4">
        <f t="shared" si="4"/>
        <v>2177</v>
      </c>
      <c r="FU2" s="4">
        <f t="shared" si="4"/>
        <v>2178</v>
      </c>
      <c r="FV2" s="4">
        <f t="shared" si="4"/>
        <v>2179</v>
      </c>
      <c r="FW2" s="4">
        <f t="shared" si="4"/>
        <v>2180</v>
      </c>
      <c r="FX2" s="4">
        <f t="shared" si="4"/>
        <v>2181</v>
      </c>
      <c r="FY2" s="4">
        <f t="shared" si="4"/>
        <v>2182</v>
      </c>
      <c r="FZ2" s="4">
        <f t="shared" si="4"/>
        <v>2183</v>
      </c>
      <c r="GA2" s="4">
        <f t="shared" si="4"/>
        <v>2184</v>
      </c>
      <c r="GB2" s="4">
        <f t="shared" si="4"/>
        <v>2185</v>
      </c>
      <c r="GC2" s="4">
        <f t="shared" si="4"/>
        <v>2186</v>
      </c>
      <c r="GD2" s="4">
        <f t="shared" si="4"/>
        <v>2187</v>
      </c>
      <c r="GE2" s="4">
        <f t="shared" ref="GE2:GW2" si="5">+GD2+1</f>
        <v>2188</v>
      </c>
      <c r="GF2" s="4">
        <f t="shared" si="5"/>
        <v>2189</v>
      </c>
      <c r="GG2" s="4">
        <f t="shared" si="5"/>
        <v>2190</v>
      </c>
      <c r="GH2" s="4">
        <f t="shared" si="5"/>
        <v>2191</v>
      </c>
      <c r="GI2" s="4">
        <f t="shared" si="5"/>
        <v>2192</v>
      </c>
      <c r="GJ2" s="4">
        <f t="shared" si="5"/>
        <v>2193</v>
      </c>
      <c r="GK2" s="4">
        <f t="shared" si="5"/>
        <v>2194</v>
      </c>
      <c r="GL2" s="4">
        <f t="shared" si="5"/>
        <v>2195</v>
      </c>
      <c r="GM2" s="4">
        <f t="shared" si="5"/>
        <v>2196</v>
      </c>
      <c r="GN2" s="4">
        <f t="shared" si="5"/>
        <v>2197</v>
      </c>
      <c r="GO2" s="4">
        <f t="shared" si="5"/>
        <v>2198</v>
      </c>
      <c r="GP2" s="4">
        <f t="shared" si="5"/>
        <v>2199</v>
      </c>
      <c r="GQ2" s="4">
        <f t="shared" si="5"/>
        <v>2200</v>
      </c>
      <c r="GR2" s="4">
        <f t="shared" si="5"/>
        <v>2201</v>
      </c>
      <c r="GS2" s="4">
        <f t="shared" si="5"/>
        <v>2202</v>
      </c>
      <c r="GT2" s="4">
        <f t="shared" si="5"/>
        <v>2203</v>
      </c>
      <c r="GU2" s="4">
        <f t="shared" si="5"/>
        <v>2204</v>
      </c>
      <c r="GV2" s="4">
        <f t="shared" si="5"/>
        <v>2205</v>
      </c>
      <c r="GW2" s="4">
        <f t="shared" si="5"/>
        <v>2206</v>
      </c>
      <c r="GX2" s="4">
        <f t="shared" ref="GX2:HK2" si="6">+GW2+1</f>
        <v>2207</v>
      </c>
      <c r="GY2" s="4">
        <f t="shared" si="6"/>
        <v>2208</v>
      </c>
      <c r="GZ2" s="4">
        <f t="shared" si="6"/>
        <v>2209</v>
      </c>
      <c r="HA2" s="4">
        <f t="shared" si="6"/>
        <v>2210</v>
      </c>
      <c r="HB2" s="4">
        <f t="shared" si="6"/>
        <v>2211</v>
      </c>
      <c r="HC2" s="4">
        <f t="shared" si="6"/>
        <v>2212</v>
      </c>
      <c r="HD2" s="4">
        <f t="shared" si="6"/>
        <v>2213</v>
      </c>
      <c r="HE2" s="4">
        <f t="shared" si="6"/>
        <v>2214</v>
      </c>
      <c r="HF2" s="4">
        <f t="shared" si="6"/>
        <v>2215</v>
      </c>
      <c r="HG2" s="4">
        <f t="shared" si="6"/>
        <v>2216</v>
      </c>
      <c r="HH2" s="4">
        <f t="shared" si="6"/>
        <v>2217</v>
      </c>
      <c r="HI2" s="4">
        <f t="shared" si="6"/>
        <v>2218</v>
      </c>
      <c r="HJ2" s="4">
        <f t="shared" si="6"/>
        <v>2219</v>
      </c>
      <c r="HK2" s="4">
        <f t="shared" si="6"/>
        <v>2220</v>
      </c>
      <c r="HL2" s="4">
        <f t="shared" ref="HL2:HQ2" si="7">+HK2+1</f>
        <v>2221</v>
      </c>
      <c r="HM2" s="4">
        <f t="shared" si="7"/>
        <v>2222</v>
      </c>
      <c r="HN2" s="4">
        <f t="shared" si="7"/>
        <v>2223</v>
      </c>
      <c r="HO2" s="4">
        <f t="shared" si="7"/>
        <v>2224</v>
      </c>
      <c r="HP2" s="4">
        <f t="shared" si="7"/>
        <v>2225</v>
      </c>
      <c r="HQ2" s="4">
        <f t="shared" si="7"/>
        <v>2226</v>
      </c>
      <c r="HR2" s="4">
        <f t="shared" ref="HR2:IA2" si="8">+HQ2+1</f>
        <v>2227</v>
      </c>
      <c r="HS2" s="4">
        <f t="shared" si="8"/>
        <v>2228</v>
      </c>
      <c r="HT2" s="4">
        <f t="shared" si="8"/>
        <v>2229</v>
      </c>
      <c r="HU2" s="4">
        <f t="shared" si="8"/>
        <v>2230</v>
      </c>
      <c r="HV2" s="4">
        <f t="shared" si="8"/>
        <v>2231</v>
      </c>
      <c r="HW2" s="4">
        <f t="shared" si="8"/>
        <v>2232</v>
      </c>
      <c r="HX2" s="4">
        <f t="shared" si="8"/>
        <v>2233</v>
      </c>
      <c r="HY2" s="4">
        <f t="shared" si="8"/>
        <v>2234</v>
      </c>
      <c r="HZ2" s="4">
        <f t="shared" si="8"/>
        <v>2235</v>
      </c>
    </row>
    <row r="3" spans="2:234" x14ac:dyDescent="0.2">
      <c r="B3" s="5" t="s">
        <v>33</v>
      </c>
      <c r="C3" s="2">
        <v>4985</v>
      </c>
      <c r="D3" s="2">
        <v>4879</v>
      </c>
      <c r="E3" s="2">
        <v>4920</v>
      </c>
      <c r="F3" s="2">
        <f>+W3-SUM(C3:E3)</f>
        <v>4917</v>
      </c>
      <c r="G3" s="2">
        <v>4886</v>
      </c>
      <c r="H3" s="2">
        <v>4885</v>
      </c>
      <c r="U3" s="2">
        <v>16142</v>
      </c>
      <c r="V3" s="2">
        <v>20237</v>
      </c>
      <c r="W3" s="2">
        <v>19701</v>
      </c>
    </row>
    <row r="4" spans="2:234" x14ac:dyDescent="0.2">
      <c r="B4" s="5" t="s">
        <v>34</v>
      </c>
      <c r="C4" s="2">
        <v>2148</v>
      </c>
      <c r="D4" s="2">
        <v>2430</v>
      </c>
      <c r="E4" s="2">
        <v>1682</v>
      </c>
      <c r="F4" s="2">
        <f>+W4-SUM(C4:E4)</f>
        <v>1830</v>
      </c>
      <c r="G4" s="2">
        <v>1980</v>
      </c>
      <c r="H4" s="2">
        <v>2216</v>
      </c>
      <c r="U4" s="2">
        <v>8524</v>
      </c>
      <c r="V4" s="2">
        <v>8700</v>
      </c>
      <c r="W4" s="2">
        <v>8090</v>
      </c>
    </row>
    <row r="5" spans="2:234" x14ac:dyDescent="0.2">
      <c r="B5" s="5" t="s">
        <v>35</v>
      </c>
      <c r="C5" s="2">
        <v>2558</v>
      </c>
      <c r="D5" s="2">
        <v>2109</v>
      </c>
      <c r="E5" s="2">
        <v>2721</v>
      </c>
      <c r="F5" s="2">
        <f>+W5-SUM(C5:E5)</f>
        <v>2909</v>
      </c>
      <c r="G5" s="2">
        <v>1866</v>
      </c>
      <c r="H5" s="2">
        <v>2471</v>
      </c>
      <c r="U5" s="2">
        <v>8360</v>
      </c>
      <c r="V5" s="2">
        <v>11203</v>
      </c>
      <c r="W5" s="2">
        <v>10297</v>
      </c>
    </row>
    <row r="6" spans="2:234" x14ac:dyDescent="0.2">
      <c r="B6" s="5" t="s">
        <v>36</v>
      </c>
      <c r="C6" s="2">
        <v>267</v>
      </c>
      <c r="D6" s="2">
        <v>295</v>
      </c>
      <c r="E6" s="2">
        <v>300</v>
      </c>
      <c r="F6" s="2">
        <f>+W6-SUM(C6:E6)</f>
        <v>371</v>
      </c>
      <c r="G6" s="2">
        <v>247</v>
      </c>
      <c r="H6" s="2">
        <v>240</v>
      </c>
      <c r="U6" s="2">
        <v>791</v>
      </c>
      <c r="V6" s="2">
        <v>1181</v>
      </c>
      <c r="W6" s="2">
        <v>1233</v>
      </c>
    </row>
    <row r="7" spans="2:234" s="6" customFormat="1" x14ac:dyDescent="0.2">
      <c r="B7" s="6" t="s">
        <v>37</v>
      </c>
      <c r="C7" s="6">
        <f>+SUM(C3:C6)</f>
        <v>9958</v>
      </c>
      <c r="D7" s="6">
        <f>+SUM(D3:D6)</f>
        <v>9713</v>
      </c>
      <c r="E7" s="6">
        <f>+SUM(E3:E6)</f>
        <v>9623</v>
      </c>
      <c r="F7" s="6">
        <f>+W7-SUM(C7:E7)</f>
        <v>10027</v>
      </c>
      <c r="G7" s="6">
        <f>+SUM(G3:G6)</f>
        <v>8979</v>
      </c>
      <c r="H7" s="6">
        <f>+SUM(H3:H6)</f>
        <v>9812</v>
      </c>
      <c r="I7" s="6">
        <f>+E7*1.01</f>
        <v>9719.23</v>
      </c>
      <c r="J7" s="6">
        <f>+F7*1.01</f>
        <v>10127.27</v>
      </c>
      <c r="R7" s="6">
        <v>11144</v>
      </c>
      <c r="S7" s="6">
        <v>10671</v>
      </c>
      <c r="T7" s="6">
        <v>12191</v>
      </c>
      <c r="U7" s="6">
        <f>+SUM(U3:U6)</f>
        <v>33817</v>
      </c>
      <c r="V7" s="6">
        <f>+SUM(V3:V6)</f>
        <v>41321</v>
      </c>
      <c r="W7" s="6">
        <f>+SUM(W3:W6)</f>
        <v>39321</v>
      </c>
      <c r="X7" s="6">
        <f>+W7*0.98</f>
        <v>38534.58</v>
      </c>
      <c r="Y7" s="6">
        <f t="shared" ref="Y7:AG7" si="9">+X7*0.98</f>
        <v>37763.888400000003</v>
      </c>
      <c r="Z7" s="6">
        <f t="shared" si="9"/>
        <v>37008.610632000004</v>
      </c>
      <c r="AA7" s="6">
        <f t="shared" si="9"/>
        <v>36268.438419360005</v>
      </c>
      <c r="AB7" s="6">
        <f t="shared" si="9"/>
        <v>35543.069650972808</v>
      </c>
      <c r="AC7" s="6">
        <f t="shared" si="9"/>
        <v>34832.208257953353</v>
      </c>
      <c r="AD7" s="6">
        <f t="shared" si="9"/>
        <v>34135.564092794288</v>
      </c>
      <c r="AE7" s="6">
        <f t="shared" si="9"/>
        <v>33452.852810938399</v>
      </c>
      <c r="AF7" s="6">
        <f t="shared" si="9"/>
        <v>32783.795754719627</v>
      </c>
      <c r="AG7" s="6">
        <f t="shared" si="9"/>
        <v>32128.119839625233</v>
      </c>
    </row>
    <row r="8" spans="2:234" x14ac:dyDescent="0.2">
      <c r="B8" s="2" t="s">
        <v>38</v>
      </c>
      <c r="C8" s="2">
        <v>6058</v>
      </c>
      <c r="D8" s="2">
        <v>6204</v>
      </c>
      <c r="E8" s="2">
        <v>5181</v>
      </c>
      <c r="F8" s="2">
        <f>+W8-SUM(C8:E8)</f>
        <v>5527</v>
      </c>
      <c r="G8" s="2">
        <v>5131</v>
      </c>
      <c r="H8" s="2">
        <v>5967</v>
      </c>
      <c r="I8" s="2">
        <f>+I$7*(E8/E$7)</f>
        <v>5232.8100000000004</v>
      </c>
      <c r="J8" s="2">
        <f>+J$7*(F8/F$7)</f>
        <v>5582.2699999999995</v>
      </c>
      <c r="U8" s="2">
        <v>20442</v>
      </c>
      <c r="V8" s="2">
        <v>24526</v>
      </c>
      <c r="W8" s="2">
        <v>22970</v>
      </c>
      <c r="X8" s="2">
        <f>+SUM(G8:J8)</f>
        <v>21913.08</v>
      </c>
      <c r="Y8" s="2">
        <f>+Y$7*Y27</f>
        <v>21474.8184</v>
      </c>
      <c r="Z8" s="2">
        <f>+Z$7*Z27</f>
        <v>21045.322032</v>
      </c>
      <c r="AA8" s="2">
        <f>+AA$7*AA27</f>
        <v>20624.415591360001</v>
      </c>
      <c r="AB8" s="2">
        <f>+AB$7*AB27</f>
        <v>20211.927279532803</v>
      </c>
      <c r="AC8" s="2">
        <f>+AC$7*AC27</f>
        <v>19807.688733942148</v>
      </c>
      <c r="AD8" s="2">
        <f>+AD$7*AD27</f>
        <v>19411.534959263307</v>
      </c>
      <c r="AE8" s="2">
        <f>+AE$7*AE27</f>
        <v>19023.304260078039</v>
      </c>
      <c r="AF8" s="2">
        <f>+AF$7*AF27</f>
        <v>18642.838174876477</v>
      </c>
      <c r="AG8" s="2">
        <f>+AG$7*AG27</f>
        <v>18269.981411378943</v>
      </c>
    </row>
    <row r="9" spans="2:234" x14ac:dyDescent="0.2">
      <c r="B9" s="2" t="s">
        <v>39</v>
      </c>
      <c r="C9" s="2">
        <v>2232</v>
      </c>
      <c r="D9" s="2">
        <v>2461</v>
      </c>
      <c r="E9" s="2">
        <v>2385</v>
      </c>
      <c r="F9" s="2">
        <f>+W9-SUM(C9:E9)</f>
        <v>2218</v>
      </c>
      <c r="G9" s="2">
        <v>2194</v>
      </c>
      <c r="H9" s="2">
        <v>2477</v>
      </c>
      <c r="I9" s="2">
        <f>+I$7*(E9/E$7)</f>
        <v>2408.85</v>
      </c>
      <c r="J9" s="2">
        <f>+J$7*(F9/F$7)</f>
        <v>2240.1799999999998</v>
      </c>
      <c r="U9" s="2">
        <v>9678</v>
      </c>
      <c r="V9" s="2">
        <v>9696</v>
      </c>
      <c r="W9" s="2">
        <v>9296</v>
      </c>
      <c r="X9" s="2">
        <f t="shared" ref="X9:X17" si="10">+SUM(G9:J9)</f>
        <v>9320.0300000000007</v>
      </c>
      <c r="Y9" s="2">
        <f>+Y$7*Y28</f>
        <v>9133.6293999999998</v>
      </c>
      <c r="Z9" s="2">
        <f>+Z$7*Z28</f>
        <v>8950.9568120000004</v>
      </c>
      <c r="AA9" s="2">
        <f>+AA$7*AA28</f>
        <v>8771.9376757600003</v>
      </c>
      <c r="AB9" s="2">
        <f>+AB$7*AB28</f>
        <v>8596.4989222448021</v>
      </c>
      <c r="AC9" s="2">
        <f>+AC$7*AC28</f>
        <v>8424.5689437999063</v>
      </c>
      <c r="AD9" s="2">
        <f>+AD$7*AD28</f>
        <v>8256.0775649239076</v>
      </c>
      <c r="AE9" s="2">
        <f>+AE$7*AE28</f>
        <v>8090.9560136254295</v>
      </c>
      <c r="AF9" s="2">
        <f>+AF$7*AF28</f>
        <v>7929.1368933529202</v>
      </c>
      <c r="AG9" s="2">
        <f>+AG$7*AG28</f>
        <v>7770.554155485861</v>
      </c>
    </row>
    <row r="10" spans="2:234" x14ac:dyDescent="0.2">
      <c r="B10" s="2" t="s">
        <v>40</v>
      </c>
      <c r="C10" s="2">
        <v>1888</v>
      </c>
      <c r="D10" s="2">
        <v>1744</v>
      </c>
      <c r="E10" s="2">
        <v>1762</v>
      </c>
      <c r="F10" s="2">
        <f>+W10-SUM(C10:E10)</f>
        <v>1643</v>
      </c>
      <c r="G10" s="2">
        <v>1547</v>
      </c>
      <c r="H10" s="2">
        <v>1447</v>
      </c>
      <c r="I10" s="2">
        <f>+I$7*(E10/E$7)</f>
        <v>1779.62</v>
      </c>
      <c r="J10" s="2">
        <f>+J$7*(F10/F$7)</f>
        <v>1659.43</v>
      </c>
      <c r="U10" s="2">
        <v>7193</v>
      </c>
      <c r="V10" s="2">
        <v>7985</v>
      </c>
      <c r="W10" s="2">
        <v>7037</v>
      </c>
    </row>
    <row r="11" spans="2:234" x14ac:dyDescent="0.2">
      <c r="B11" s="2" t="s">
        <v>41</v>
      </c>
      <c r="C11" s="2">
        <f>+C7-SUM(C8:C10)</f>
        <v>-220</v>
      </c>
      <c r="D11" s="2">
        <f>+D7-SUM(D8:D10)</f>
        <v>-696</v>
      </c>
      <c r="E11" s="2">
        <f>+E7-SUM(E8:E10)</f>
        <v>295</v>
      </c>
      <c r="F11" s="2">
        <f>+F7-SUM(F8:F10)</f>
        <v>639</v>
      </c>
      <c r="G11" s="2">
        <f>+G7-SUM(G8:G10)</f>
        <v>107</v>
      </c>
      <c r="H11" s="2">
        <f>+H7-SUM(H8:H10)</f>
        <v>-79</v>
      </c>
      <c r="I11" s="2">
        <f>+I7-SUM(I8:I10)</f>
        <v>297.95000000000073</v>
      </c>
      <c r="J11" s="2">
        <f>+J7-SUM(J8:J10)</f>
        <v>645.39000000000124</v>
      </c>
      <c r="U11" s="2">
        <f>+U7-SUM(U8:U10)</f>
        <v>-3496</v>
      </c>
      <c r="V11" s="2">
        <f>+V7-SUM(V8:V10)</f>
        <v>-886</v>
      </c>
      <c r="W11" s="2">
        <f>+W7-SUM(W8:W10)</f>
        <v>18</v>
      </c>
      <c r="X11" s="2">
        <f t="shared" si="10"/>
        <v>971.34000000000196</v>
      </c>
      <c r="Y11" s="2">
        <f>+Y7-SUM(Y8:Y10)</f>
        <v>7155.4406000000017</v>
      </c>
      <c r="Z11" s="2">
        <f>+Z7-SUM(Z8:Z10)</f>
        <v>7012.3317880000031</v>
      </c>
      <c r="AA11" s="2">
        <f>+AA7-SUM(AA8:AA10)</f>
        <v>6872.0851522400044</v>
      </c>
      <c r="AB11" s="2">
        <f>+AB7-SUM(AB8:AB10)</f>
        <v>6734.6434491952023</v>
      </c>
      <c r="AC11" s="2">
        <f>+AC7-SUM(AC8:AC10)</f>
        <v>6599.9505802112981</v>
      </c>
      <c r="AD11" s="2">
        <f>+AD7-SUM(AD8:AD10)</f>
        <v>6467.9515686070736</v>
      </c>
      <c r="AE11" s="2">
        <f>+AE7-SUM(AE8:AE10)</f>
        <v>6338.5925372349302</v>
      </c>
      <c r="AF11" s="2">
        <f>+AF7-SUM(AF8:AF10)</f>
        <v>6211.8206864902313</v>
      </c>
      <c r="AG11" s="2">
        <f>+AG7-SUM(AG8:AG10)</f>
        <v>6087.5842727604286</v>
      </c>
    </row>
    <row r="12" spans="2:234" x14ac:dyDescent="0.2">
      <c r="B12" s="2" t="s">
        <v>42</v>
      </c>
      <c r="C12" s="2">
        <v>-515</v>
      </c>
      <c r="D12" s="2">
        <v>-518</v>
      </c>
      <c r="E12" s="2">
        <v>494</v>
      </c>
      <c r="F12" s="2">
        <f>+W12-SUM(C12:E12)</f>
        <v>-1478</v>
      </c>
      <c r="G12" s="2">
        <v>-468</v>
      </c>
      <c r="H12" s="2">
        <v>-463</v>
      </c>
      <c r="I12" s="2">
        <f>+H12</f>
        <v>-463</v>
      </c>
      <c r="J12" s="2">
        <f>+I12</f>
        <v>-463</v>
      </c>
      <c r="U12" s="2">
        <v>-1777</v>
      </c>
      <c r="V12" s="2">
        <v>-2221</v>
      </c>
      <c r="W12" s="2">
        <v>-2017</v>
      </c>
      <c r="X12" s="2">
        <f t="shared" si="10"/>
        <v>-1857</v>
      </c>
      <c r="Y12" s="2">
        <f>+X12</f>
        <v>-1857</v>
      </c>
      <c r="Z12" s="2">
        <f>+Y12</f>
        <v>-1857</v>
      </c>
      <c r="AA12" s="2">
        <f>+Z12</f>
        <v>-1857</v>
      </c>
      <c r="AB12" s="2">
        <f>+AA12</f>
        <v>-1857</v>
      </c>
      <c r="AC12" s="2">
        <f>+AB12</f>
        <v>-1857</v>
      </c>
      <c r="AD12" s="2">
        <f>+AC12</f>
        <v>-1857</v>
      </c>
      <c r="AE12" s="2">
        <f>+AD12</f>
        <v>-1857</v>
      </c>
      <c r="AF12" s="2">
        <f>+AE12</f>
        <v>-1857</v>
      </c>
      <c r="AG12" s="2">
        <f>+AF12</f>
        <v>-1857</v>
      </c>
    </row>
    <row r="13" spans="2:234" x14ac:dyDescent="0.2">
      <c r="B13" s="2" t="s">
        <v>43</v>
      </c>
      <c r="C13" s="2">
        <v>-48</v>
      </c>
      <c r="D13" s="2">
        <v>-23</v>
      </c>
      <c r="E13" s="2">
        <v>-18</v>
      </c>
      <c r="F13" s="2">
        <f>+W13-SUM(C13:E13)</f>
        <v>-32</v>
      </c>
      <c r="G13" s="2">
        <v>-7</v>
      </c>
      <c r="H13" s="2">
        <v>5</v>
      </c>
      <c r="I13" s="2">
        <v>5</v>
      </c>
      <c r="J13" s="2">
        <v>5</v>
      </c>
      <c r="U13" s="2">
        <v>-160</v>
      </c>
      <c r="V13" s="2">
        <v>-82</v>
      </c>
      <c r="W13" s="2">
        <v>-121</v>
      </c>
      <c r="X13" s="2">
        <f t="shared" si="10"/>
        <v>8</v>
      </c>
      <c r="Y13" s="2">
        <f>+X13</f>
        <v>8</v>
      </c>
      <c r="Z13" s="2">
        <f>+Y13</f>
        <v>8</v>
      </c>
      <c r="AA13" s="2">
        <f>+Z13</f>
        <v>8</v>
      </c>
      <c r="AB13" s="2">
        <f>+AA13</f>
        <v>8</v>
      </c>
      <c r="AC13" s="2">
        <f>+AB13</f>
        <v>8</v>
      </c>
      <c r="AD13" s="2">
        <f>+AC13</f>
        <v>8</v>
      </c>
      <c r="AE13" s="2">
        <f>+AD13</f>
        <v>8</v>
      </c>
      <c r="AF13" s="2">
        <f>+AE13</f>
        <v>8</v>
      </c>
      <c r="AG13" s="2">
        <f>+AF13</f>
        <v>8</v>
      </c>
    </row>
    <row r="14" spans="2:234" x14ac:dyDescent="0.2">
      <c r="B14" s="2" t="s">
        <v>44</v>
      </c>
      <c r="C14" s="2">
        <v>-14</v>
      </c>
      <c r="D14" s="2">
        <v>172</v>
      </c>
      <c r="E14" s="2">
        <v>30</v>
      </c>
      <c r="F14" s="2">
        <f>+W14-SUM(C14:E14)</f>
        <v>-38</v>
      </c>
      <c r="G14" s="2">
        <v>82</v>
      </c>
      <c r="H14" s="2">
        <v>139</v>
      </c>
      <c r="I14" s="2">
        <v>139</v>
      </c>
      <c r="J14" s="2">
        <v>139</v>
      </c>
      <c r="U14" s="2">
        <v>347</v>
      </c>
      <c r="V14" s="2">
        <v>-29</v>
      </c>
      <c r="W14" s="2">
        <v>150</v>
      </c>
      <c r="X14" s="2">
        <f t="shared" si="10"/>
        <v>499</v>
      </c>
      <c r="Y14" s="2">
        <f>+X14</f>
        <v>499</v>
      </c>
      <c r="Z14" s="2">
        <f>+Y14</f>
        <v>499</v>
      </c>
      <c r="AA14" s="2">
        <f>+Z14</f>
        <v>499</v>
      </c>
      <c r="AB14" s="2">
        <f>+AA14</f>
        <v>499</v>
      </c>
      <c r="AC14" s="2">
        <f>+AB14</f>
        <v>499</v>
      </c>
      <c r="AD14" s="2">
        <f>+AC14</f>
        <v>499</v>
      </c>
      <c r="AE14" s="2">
        <f>+AD14</f>
        <v>499</v>
      </c>
      <c r="AF14" s="2">
        <f>+AE14</f>
        <v>499</v>
      </c>
      <c r="AG14" s="2">
        <f>+AF14</f>
        <v>499</v>
      </c>
    </row>
    <row r="15" spans="2:234" x14ac:dyDescent="0.2">
      <c r="B15" s="2" t="s">
        <v>45</v>
      </c>
      <c r="C15" s="2">
        <f>+SUM(C11:C14)</f>
        <v>-797</v>
      </c>
      <c r="D15" s="2">
        <f>+SUM(D11:D14)</f>
        <v>-1065</v>
      </c>
      <c r="E15" s="2">
        <f>+SUM(E11:E14)</f>
        <v>801</v>
      </c>
      <c r="F15" s="2">
        <f>+SUM(F11:F14)</f>
        <v>-909</v>
      </c>
      <c r="G15" s="2">
        <f>+SUM(G11:G14)</f>
        <v>-286</v>
      </c>
      <c r="H15" s="2">
        <f>+SUM(H11:H14)</f>
        <v>-398</v>
      </c>
      <c r="I15" s="2">
        <f>+SUM(I11:I14)</f>
        <v>-21.049999999999272</v>
      </c>
      <c r="J15" s="2">
        <f>+SUM(J11:J14)</f>
        <v>326.39000000000124</v>
      </c>
      <c r="U15" s="2">
        <f>+SUM(U11:U14)</f>
        <v>-5086</v>
      </c>
      <c r="V15" s="2">
        <f>+SUM(V11:V14)</f>
        <v>-3218</v>
      </c>
      <c r="W15" s="2">
        <f>+SUM(W11:W14)</f>
        <v>-1970</v>
      </c>
      <c r="X15" s="2">
        <f t="shared" si="10"/>
        <v>-378.65999999999804</v>
      </c>
      <c r="Y15" s="2">
        <f>+SUM(Y11:Y14)</f>
        <v>5805.4406000000017</v>
      </c>
      <c r="Z15" s="2">
        <f>+SUM(Z11:Z14)</f>
        <v>5662.3317880000031</v>
      </c>
      <c r="AA15" s="2">
        <f>+SUM(AA11:AA14)</f>
        <v>5522.0851522400044</v>
      </c>
      <c r="AB15" s="2">
        <f>+SUM(AB11:AB14)</f>
        <v>5384.6434491952023</v>
      </c>
      <c r="AC15" s="2">
        <f>+SUM(AC11:AC14)</f>
        <v>5249.9505802112981</v>
      </c>
      <c r="AD15" s="2">
        <f>+SUM(AD11:AD14)</f>
        <v>5117.9515686070736</v>
      </c>
      <c r="AE15" s="2">
        <f>+SUM(AE11:AE14)</f>
        <v>4988.5925372349302</v>
      </c>
      <c r="AF15" s="2">
        <f>+SUM(AF11:AF14)</f>
        <v>4861.8206864902313</v>
      </c>
      <c r="AG15" s="2">
        <f>+SUM(AG11:AG14)</f>
        <v>4737.5842727604286</v>
      </c>
    </row>
    <row r="16" spans="2:234" x14ac:dyDescent="0.2">
      <c r="B16" s="2" t="s">
        <v>46</v>
      </c>
      <c r="C16" s="2">
        <v>-136</v>
      </c>
      <c r="D16" s="2">
        <v>7</v>
      </c>
      <c r="E16" s="2">
        <v>319</v>
      </c>
      <c r="F16" s="2">
        <f>+W16-SUM(C16:E16)</f>
        <v>-284</v>
      </c>
      <c r="G16" s="2">
        <v>-15</v>
      </c>
      <c r="H16" s="2">
        <v>866</v>
      </c>
      <c r="I16" s="2">
        <f>+I15*0.21</f>
        <v>-4.4204999999998469</v>
      </c>
      <c r="J16" s="2">
        <f>+J15*0.21</f>
        <v>68.541900000000254</v>
      </c>
      <c r="U16" s="2">
        <v>1663</v>
      </c>
      <c r="V16" s="2">
        <v>784</v>
      </c>
      <c r="W16" s="2">
        <v>-94</v>
      </c>
      <c r="X16" s="2">
        <f t="shared" si="10"/>
        <v>915.12140000000045</v>
      </c>
      <c r="Y16" s="2">
        <f>+Y15*0.21</f>
        <v>1219.1425260000003</v>
      </c>
      <c r="Z16" s="2">
        <f>+Z15*0.21</f>
        <v>1189.0896754800006</v>
      </c>
      <c r="AA16" s="2">
        <f>+AA15*0.21</f>
        <v>1159.6378819704009</v>
      </c>
      <c r="AB16" s="2">
        <f>+AB15*0.21</f>
        <v>1130.7751243309924</v>
      </c>
      <c r="AC16" s="2">
        <f>+AC15*0.21</f>
        <v>1102.4896218443726</v>
      </c>
      <c r="AD16" s="2">
        <f>+AD15*0.21</f>
        <v>1074.7698294074853</v>
      </c>
      <c r="AE16" s="2">
        <f>+AE15*0.21</f>
        <v>1047.6044328193352</v>
      </c>
      <c r="AF16" s="2">
        <f>+AF15*0.21</f>
        <v>1020.9823441629485</v>
      </c>
      <c r="AG16" s="2">
        <f>+AG15*0.21</f>
        <v>994.89269727968997</v>
      </c>
    </row>
    <row r="17" spans="2:234" x14ac:dyDescent="0.2">
      <c r="B17" s="2" t="s">
        <v>47</v>
      </c>
      <c r="C17" s="2">
        <f>+C15-C16</f>
        <v>-661</v>
      </c>
      <c r="D17" s="2">
        <f>+D15-D16</f>
        <v>-1072</v>
      </c>
      <c r="E17" s="2">
        <f>+E15-E16</f>
        <v>482</v>
      </c>
      <c r="F17" s="2">
        <f>+F15-F16</f>
        <v>-625</v>
      </c>
      <c r="G17" s="2">
        <f>+G15-G16</f>
        <v>-271</v>
      </c>
      <c r="H17" s="2">
        <f>+H15-H16</f>
        <v>-1264</v>
      </c>
      <c r="I17" s="2">
        <f>+I15-I16</f>
        <v>-16.629499999999425</v>
      </c>
      <c r="J17" s="2">
        <f>+J15-J16</f>
        <v>257.84810000000095</v>
      </c>
      <c r="U17" s="2">
        <f>+U15-U16</f>
        <v>-6749</v>
      </c>
      <c r="V17" s="2">
        <f>+V15-V16</f>
        <v>-4002</v>
      </c>
      <c r="W17" s="2">
        <f>+W15-W16</f>
        <v>-1876</v>
      </c>
      <c r="X17" s="2">
        <f t="shared" si="10"/>
        <v>-1293.7813999999985</v>
      </c>
      <c r="Y17" s="2">
        <f>+Y15-Y16</f>
        <v>4586.2980740000012</v>
      </c>
      <c r="Z17" s="2">
        <f>+Z15-Z16</f>
        <v>4473.2421125200026</v>
      </c>
      <c r="AA17" s="2">
        <f>+AA15-AA16</f>
        <v>4362.4472702696039</v>
      </c>
      <c r="AB17" s="2">
        <f>+AB15-AB16</f>
        <v>4253.8683248642101</v>
      </c>
      <c r="AC17" s="2">
        <f>+AC15-AC16</f>
        <v>4147.4609583669253</v>
      </c>
      <c r="AD17" s="2">
        <f>+AD15-AD16</f>
        <v>4043.1817391995883</v>
      </c>
      <c r="AE17" s="2">
        <f>+AE15-AE16</f>
        <v>3940.988104415595</v>
      </c>
      <c r="AF17" s="2">
        <f>+AF15-AF16</f>
        <v>3840.8383423272826</v>
      </c>
      <c r="AG17" s="2">
        <f>+AG15-AG16</f>
        <v>3742.6915754807387</v>
      </c>
      <c r="AH17" s="2">
        <f>+AG17*(1+$AL$20)</f>
        <v>3780.1184912355461</v>
      </c>
      <c r="AI17" s="2">
        <f>+AH17*(1+$AL$20)</f>
        <v>3817.9196761479016</v>
      </c>
      <c r="AJ17" s="2">
        <f>+AI17*(1+$AL$20)</f>
        <v>3856.0988729093806</v>
      </c>
      <c r="AK17" s="2">
        <f>+AJ17*(1+$AL$20)</f>
        <v>3894.6598616384745</v>
      </c>
      <c r="AL17" s="2">
        <f>+AK17*(1+$AL$20)</f>
        <v>3933.606460254859</v>
      </c>
      <c r="AM17" s="2">
        <f>+AL17*(1+$AL$20)</f>
        <v>3972.9425248574075</v>
      </c>
      <c r="AN17" s="2">
        <f>+AM17*(1+$AL$20)</f>
        <v>4012.6719501059815</v>
      </c>
      <c r="AO17" s="2">
        <f>+AN17*(1+$AL$20)</f>
        <v>4052.7986696070416</v>
      </c>
      <c r="AP17" s="2">
        <f>+AO17*(1+$AL$20)</f>
        <v>4093.326656303112</v>
      </c>
      <c r="AQ17" s="2">
        <f>+AP17*(1+$AL$20)</f>
        <v>4134.2599228661429</v>
      </c>
      <c r="AR17" s="2">
        <f>+AQ17*(1+$AL$20)</f>
        <v>4175.602522094804</v>
      </c>
      <c r="AS17" s="2">
        <f>+AR17*(1+$AL$20)</f>
        <v>4217.3585473157518</v>
      </c>
      <c r="AT17" s="2">
        <f>+AS17*(1+$AL$20)</f>
        <v>4259.5321327889096</v>
      </c>
      <c r="AU17" s="2">
        <f>+AT17*(1+$AL$20)</f>
        <v>4302.1274541167986</v>
      </c>
      <c r="AV17" s="2">
        <f>+AU17*(1+$AL$20)</f>
        <v>4345.1487286579668</v>
      </c>
      <c r="AW17" s="2">
        <f>+AV17*(1+$AL$20)</f>
        <v>4388.6002159445461</v>
      </c>
      <c r="AX17" s="2">
        <f>+AW17*(1+$AL$20)</f>
        <v>4432.4862181039916</v>
      </c>
      <c r="AY17" s="2">
        <f>+AX17*(1+$AL$20)</f>
        <v>4476.8110802850315</v>
      </c>
      <c r="AZ17" s="2">
        <f>+AY17*(1+$AL$20)</f>
        <v>4521.5791910878816</v>
      </c>
      <c r="BA17" s="2">
        <f>+AZ17*(1+$AL$20)</f>
        <v>4566.7949829987601</v>
      </c>
      <c r="BB17" s="2">
        <f>+BA17*(1+$AL$20)</f>
        <v>4612.4629328287474</v>
      </c>
      <c r="BC17" s="2">
        <f>+BB17*(1+$AL$20)</f>
        <v>4658.5875621570349</v>
      </c>
      <c r="BD17" s="2">
        <f>+BC17*(1+$AL$20)</f>
        <v>4705.1734377786051</v>
      </c>
      <c r="BE17" s="2">
        <f>+BD17*(1+$AL$20)</f>
        <v>4752.2251721563916</v>
      </c>
      <c r="BF17" s="2">
        <f>+BE17*(1+$AL$20)</f>
        <v>4799.747423877956</v>
      </c>
      <c r="BG17" s="2">
        <f>+BF17*(1+$AL$20)</f>
        <v>4847.7448981167354</v>
      </c>
      <c r="BH17" s="2">
        <f>+BG17*(1+$AL$20)</f>
        <v>4896.2223470979025</v>
      </c>
      <c r="BI17" s="2">
        <f>+BH17*(1+$AL$20)</f>
        <v>4945.1845705688811</v>
      </c>
      <c r="BJ17" s="2">
        <f>+BI17*(1+$AL$20)</f>
        <v>4994.6364162745704</v>
      </c>
      <c r="BK17" s="2">
        <f>+BJ17*(1+$AL$20)</f>
        <v>5044.5827804373157</v>
      </c>
      <c r="BL17" s="2">
        <f>+BK17*(1+$AL$20)</f>
        <v>5095.0286082416887</v>
      </c>
      <c r="BM17" s="2">
        <f>+BL17*(1+$AL$20)</f>
        <v>5145.9788943241056</v>
      </c>
      <c r="BN17" s="2">
        <f>+BM17*(1+$AL$20)</f>
        <v>5197.4386832673463</v>
      </c>
      <c r="BO17" s="2">
        <f>+BN17*(1+$AL$20)</f>
        <v>5249.4130701000195</v>
      </c>
      <c r="BP17" s="2">
        <f>+BO17*(1+$AL$20)</f>
        <v>5301.9072008010198</v>
      </c>
      <c r="BQ17" s="2">
        <f>+BP17*(1+$AL$20)</f>
        <v>5354.9262728090298</v>
      </c>
      <c r="BR17" s="2">
        <f>+BQ17*(1+$AL$20)</f>
        <v>5408.4755355371199</v>
      </c>
      <c r="BS17" s="2">
        <f>+BR17*(1+$AL$20)</f>
        <v>5462.5602908924911</v>
      </c>
      <c r="BT17" s="2">
        <f>+BS17*(1+$AL$20)</f>
        <v>5517.1858938014157</v>
      </c>
      <c r="BU17" s="2">
        <f>+BT17*(1+$AL$20)</f>
        <v>5572.35775273943</v>
      </c>
      <c r="BV17" s="2">
        <f>+BU17*(1+$AL$20)</f>
        <v>5628.0813302668239</v>
      </c>
      <c r="BW17" s="2">
        <f>+BV17*(1+$AL$20)</f>
        <v>5684.3621435694922</v>
      </c>
      <c r="BX17" s="2">
        <f>+BW17*(1+$AL$20)</f>
        <v>5741.2057650051875</v>
      </c>
      <c r="BY17" s="2">
        <f>+BX17*(1+$AL$20)</f>
        <v>5798.6178226552393</v>
      </c>
      <c r="BZ17" s="2">
        <f>+BY17*(1+$AL$20)</f>
        <v>5856.6040008817918</v>
      </c>
      <c r="CA17" s="2">
        <f>+BZ17*(1+$AL$20)</f>
        <v>5915.1700408906099</v>
      </c>
      <c r="CB17" s="2">
        <f>+CA17*(1+$AL$20)</f>
        <v>5974.3217412995164</v>
      </c>
      <c r="CC17" s="2">
        <f>+CB17*(1+$AL$20)</f>
        <v>6034.0649587125117</v>
      </c>
      <c r="CD17" s="2">
        <f>+CC17*(1+$AL$20)</f>
        <v>6094.4056082996367</v>
      </c>
      <c r="CE17" s="2">
        <f>+CD17*(1+$AL$20)</f>
        <v>6155.3496643826329</v>
      </c>
      <c r="CF17" s="2">
        <f>+CE17*(1+$AL$20)</f>
        <v>6216.9031610264592</v>
      </c>
      <c r="CG17" s="2">
        <f>+CF17*(1+$AL$20)</f>
        <v>6279.0721926367241</v>
      </c>
      <c r="CH17" s="2">
        <f>+CG17*(1+$AL$20)</f>
        <v>6341.8629145630912</v>
      </c>
      <c r="CI17" s="2">
        <f>+CH17*(1+$AL$20)</f>
        <v>6405.281543708722</v>
      </c>
      <c r="CJ17" s="2">
        <f>+CI17*(1+$AL$20)</f>
        <v>6469.3343591458097</v>
      </c>
      <c r="CK17" s="2">
        <f>+CJ17*(1+$AL$20)</f>
        <v>6534.0277027372676</v>
      </c>
      <c r="CL17" s="2">
        <f>+CK17*(1+$AL$20)</f>
        <v>6599.36797976464</v>
      </c>
      <c r="CM17" s="2">
        <f>+CL17*(1+$AL$20)</f>
        <v>6665.3616595622861</v>
      </c>
      <c r="CN17" s="2">
        <f>+CM17*(1+$AL$20)</f>
        <v>6732.0152761579093</v>
      </c>
      <c r="CO17" s="2">
        <f>+CN17*(1+$AL$20)</f>
        <v>6799.3354289194885</v>
      </c>
      <c r="CP17" s="2">
        <f>+CO17*(1+$AL$20)</f>
        <v>6867.3287832086835</v>
      </c>
      <c r="CQ17" s="2">
        <f>+CP17*(1+$AL$20)</f>
        <v>6936.0020710407707</v>
      </c>
      <c r="CR17" s="2">
        <f>+CQ17*(1+$AL$20)</f>
        <v>7005.3620917511789</v>
      </c>
      <c r="CS17" s="2">
        <f>+CR17*(1+$AL$20)</f>
        <v>7075.4157126686905</v>
      </c>
      <c r="CT17" s="2">
        <f>+CS17*(1+$AL$20)</f>
        <v>7146.1698697953771</v>
      </c>
      <c r="CU17" s="2">
        <f>+CT17*(1+$AL$20)</f>
        <v>7217.6315684933306</v>
      </c>
      <c r="CV17" s="2">
        <f>+CU17*(1+$AL$20)</f>
        <v>7289.8078841782644</v>
      </c>
      <c r="CW17" s="2">
        <f>+CV17*(1+$AL$20)</f>
        <v>7362.7059630200474</v>
      </c>
      <c r="CX17" s="2">
        <f>+CW17*(1+$AL$20)</f>
        <v>7436.3330226502476</v>
      </c>
      <c r="CY17" s="2">
        <f>+CX17*(1+$AL$20)</f>
        <v>7510.6963528767501</v>
      </c>
      <c r="CZ17" s="2">
        <f>+CY17*(1+$AL$20)</f>
        <v>7585.8033164055178</v>
      </c>
      <c r="DA17" s="2">
        <f>+CZ17*(1+$AL$20)</f>
        <v>7661.6613495695728</v>
      </c>
      <c r="DB17" s="2">
        <f>+DA17*(1+$AL$20)</f>
        <v>7738.2779630652685</v>
      </c>
      <c r="DC17" s="2">
        <f>+DB17*(1+$AL$20)</f>
        <v>7815.6607426959217</v>
      </c>
      <c r="DD17" s="2">
        <f>+DC17*(1+$AL$20)</f>
        <v>7893.8173501228812</v>
      </c>
      <c r="DE17" s="2">
        <f>+DD17*(1+$AL$20)</f>
        <v>7972.7555236241096</v>
      </c>
      <c r="DF17" s="2">
        <f>+DE17*(1+$AL$20)</f>
        <v>8052.4830788603504</v>
      </c>
      <c r="DG17" s="2">
        <f>+DF17*(1+$AL$20)</f>
        <v>8133.0079096489535</v>
      </c>
      <c r="DH17" s="2">
        <f>+DG17*(1+$AL$20)</f>
        <v>8214.337988745443</v>
      </c>
      <c r="DI17" s="2">
        <f>+DH17*(1+$AL$20)</f>
        <v>8296.481368632898</v>
      </c>
      <c r="DJ17" s="2">
        <f>+DI17*(1+$AL$20)</f>
        <v>8379.4461823192269</v>
      </c>
      <c r="DK17" s="2">
        <f>+DJ17*(1+$AL$20)</f>
        <v>8463.2406441424191</v>
      </c>
      <c r="DL17" s="2">
        <f>+DK17*(1+$AL$20)</f>
        <v>8547.873050583843</v>
      </c>
      <c r="DM17" s="2">
        <f>+DL17*(1+$AL$20)</f>
        <v>8633.351781089681</v>
      </c>
      <c r="DN17" s="2">
        <f>+DM17*(1+$AL$20)</f>
        <v>8719.6852989005783</v>
      </c>
      <c r="DO17" s="2">
        <f>+DN17*(1+$AL$20)</f>
        <v>8806.8821518895838</v>
      </c>
      <c r="DP17" s="2">
        <f>+DO17*(1+$AL$20)</f>
        <v>8894.9509734084804</v>
      </c>
      <c r="DQ17" s="2">
        <f>+DP17*(1+$AL$20)</f>
        <v>8983.9004831425646</v>
      </c>
      <c r="DR17" s="2">
        <f>+DQ17*(1+$AL$20)</f>
        <v>9073.7394879739895</v>
      </c>
      <c r="DS17" s="2">
        <f>+DR17*(1+$AL$20)</f>
        <v>9164.476882853729</v>
      </c>
      <c r="DT17" s="2">
        <f>+DS17*(1+$AL$20)</f>
        <v>9256.121651682266</v>
      </c>
      <c r="DU17" s="2">
        <f>+DT17*(1+$AL$20)</f>
        <v>9348.6828681990883</v>
      </c>
      <c r="DV17" s="2">
        <f>+DU17*(1+$AL$20)</f>
        <v>9442.1696968810793</v>
      </c>
      <c r="DW17" s="2">
        <f>+DV17*(1+$AL$20)</f>
        <v>9536.5913938498907</v>
      </c>
      <c r="DX17" s="2">
        <f>+DW17*(1+$AL$20)</f>
        <v>9631.9573077883888</v>
      </c>
      <c r="DY17" s="2">
        <f>+DX17*(1+$AL$20)</f>
        <v>9728.2768808662731</v>
      </c>
      <c r="DZ17" s="2">
        <f>+DY17*(1+$AL$20)</f>
        <v>9825.5596496749367</v>
      </c>
      <c r="EA17" s="2">
        <f>+DZ17*(1+$AL$20)</f>
        <v>9923.8152461716854</v>
      </c>
      <c r="EB17" s="2">
        <f>+EA17*(1+$AL$20)</f>
        <v>10023.053398633403</v>
      </c>
      <c r="EC17" s="2">
        <f>+EB17*(1+$AL$20)</f>
        <v>10123.283932619737</v>
      </c>
      <c r="ED17" s="2">
        <f>+EC17*(1+$AL$20)</f>
        <v>10224.516771945935</v>
      </c>
      <c r="EE17" s="2">
        <f>+ED17*(1+$AL$20)</f>
        <v>10326.761939665394</v>
      </c>
      <c r="EF17" s="2">
        <f>+EE17*(1+$AL$20)</f>
        <v>10430.029559062048</v>
      </c>
      <c r="EG17" s="2">
        <f>+EF17*(1+$AL$20)</f>
        <v>10534.329854652669</v>
      </c>
      <c r="EH17" s="2">
        <f>+EG17*(1+$AL$20)</f>
        <v>10639.673153199195</v>
      </c>
      <c r="EI17" s="2">
        <f>+EH17*(1+$AL$20)</f>
        <v>10746.069884731187</v>
      </c>
      <c r="EJ17" s="2">
        <f>+EI17*(1+$AL$20)</f>
        <v>10853.530583578498</v>
      </c>
      <c r="EK17" s="2">
        <f>+EJ17*(1+$AL$20)</f>
        <v>10962.065889414283</v>
      </c>
      <c r="EL17" s="2">
        <f>+EK17*(1+$AL$20)</f>
        <v>11071.686548308426</v>
      </c>
      <c r="EM17" s="2">
        <f>+EL17*(1+$AL$20)</f>
        <v>11182.40341379151</v>
      </c>
      <c r="EN17" s="2">
        <f>+EM17*(1+$AL$20)</f>
        <v>11294.227447929425</v>
      </c>
      <c r="EO17" s="2">
        <f>+EN17*(1+$AL$20)</f>
        <v>11407.169722408718</v>
      </c>
      <c r="EP17" s="2">
        <f>+EO17*(1+$AL$20)</f>
        <v>11521.241419632806</v>
      </c>
      <c r="EQ17" s="2">
        <f>+EP17*(1+$AL$20)</f>
        <v>11636.453833829135</v>
      </c>
      <c r="ER17" s="2">
        <f>+EQ17*(1+$AL$20)</f>
        <v>11752.818372167427</v>
      </c>
      <c r="ES17" s="2">
        <f>+ER17*(1+$AL$20)</f>
        <v>11870.3465558891</v>
      </c>
      <c r="ET17" s="2">
        <f>+ES17*(1+$AL$20)</f>
        <v>11989.050021447991</v>
      </c>
      <c r="EU17" s="2">
        <f>+ET17*(1+$AL$20)</f>
        <v>12108.940521662471</v>
      </c>
      <c r="EV17" s="2">
        <f>+EU17*(1+$AL$20)</f>
        <v>12230.029926879095</v>
      </c>
      <c r="EW17" s="2">
        <f>+EV17*(1+$AL$20)</f>
        <v>12352.330226147886</v>
      </c>
      <c r="EX17" s="2">
        <f>+EW17*(1+$AL$20)</f>
        <v>12475.853528409365</v>
      </c>
      <c r="EY17" s="2">
        <f>+EX17*(1+$AL$20)</f>
        <v>12600.612063693459</v>
      </c>
      <c r="EZ17" s="2">
        <f>+EY17*(1+$AL$20)</f>
        <v>12726.618184330395</v>
      </c>
      <c r="FA17" s="2">
        <f>+EZ17*(1+$AL$20)</f>
        <v>12853.884366173699</v>
      </c>
      <c r="FB17" s="2">
        <f>+FA17*(1+$AL$20)</f>
        <v>12982.423209835437</v>
      </c>
      <c r="FC17" s="2">
        <f>+FB17*(1+$AL$20)</f>
        <v>13112.24744193379</v>
      </c>
      <c r="FD17" s="2">
        <f>+FC17*(1+$AL$20)</f>
        <v>13243.369916353129</v>
      </c>
      <c r="FE17" s="2">
        <f>+FD17*(1+$AL$20)</f>
        <v>13375.803615516661</v>
      </c>
      <c r="FF17" s="2">
        <f>+FE17*(1+$AL$20)</f>
        <v>13509.561651671827</v>
      </c>
      <c r="FG17" s="2">
        <f>+FF17*(1+$AL$20)</f>
        <v>13644.657268188546</v>
      </c>
      <c r="FH17" s="2">
        <f>+FG17*(1+$AL$20)</f>
        <v>13781.103840870432</v>
      </c>
      <c r="FI17" s="2">
        <f>+FH17*(1+$AL$20)</f>
        <v>13918.914879279137</v>
      </c>
      <c r="FJ17" s="2">
        <f>+FI17*(1+$AL$20)</f>
        <v>14058.104028071928</v>
      </c>
      <c r="FK17" s="2">
        <f>+FJ17*(1+$AL$20)</f>
        <v>14198.685068352648</v>
      </c>
      <c r="FL17" s="2">
        <f>+FK17*(1+$AL$20)</f>
        <v>14340.671919036175</v>
      </c>
      <c r="FM17" s="2">
        <f>+FL17*(1+$AL$20)</f>
        <v>14484.078638226536</v>
      </c>
      <c r="FN17" s="2">
        <f>+FM17*(1+$AL$20)</f>
        <v>14628.919424608801</v>
      </c>
      <c r="FO17" s="2">
        <f>+FN17*(1+$AL$20)</f>
        <v>14775.208618854889</v>
      </c>
      <c r="FP17" s="2">
        <f>+FO17*(1+$AL$20)</f>
        <v>14922.960705043439</v>
      </c>
      <c r="FQ17" s="2">
        <f>+FP17*(1+$AL$20)</f>
        <v>15072.190312093873</v>
      </c>
      <c r="FR17" s="2">
        <f>+FQ17*(1+$AL$20)</f>
        <v>15222.912215214812</v>
      </c>
      <c r="FS17" s="2">
        <f>+FR17*(1+$AL$20)</f>
        <v>15375.14133736696</v>
      </c>
      <c r="FT17" s="2">
        <f>+FS17*(1+$AL$20)</f>
        <v>15528.89275074063</v>
      </c>
      <c r="FU17" s="2">
        <f>+FT17*(1+$AL$20)</f>
        <v>15684.181678248036</v>
      </c>
      <c r="FV17" s="2">
        <f>+FU17*(1+$AL$20)</f>
        <v>15841.023495030517</v>
      </c>
      <c r="FW17" s="2">
        <f>+FV17*(1+$AL$20)</f>
        <v>15999.433729980821</v>
      </c>
      <c r="FX17" s="2">
        <f>+FW17*(1+$AL$20)</f>
        <v>16159.428067280629</v>
      </c>
      <c r="FY17" s="2">
        <f>+FX17*(1+$AL$20)</f>
        <v>16321.022347953436</v>
      </c>
      <c r="FZ17" s="2">
        <f>+FY17*(1+$AL$20)</f>
        <v>16484.232571432971</v>
      </c>
      <c r="GA17" s="2">
        <f>+FZ17*(1+$AL$20)</f>
        <v>16649.0748971473</v>
      </c>
      <c r="GB17" s="2">
        <f>+GA17*(1+$AL$20)</f>
        <v>16815.565646118772</v>
      </c>
      <c r="GC17" s="2">
        <f>+GB17*(1+$AL$20)</f>
        <v>16983.721302579961</v>
      </c>
      <c r="GD17" s="2">
        <f>+GC17*(1+$AL$20)</f>
        <v>17153.55851560576</v>
      </c>
      <c r="GE17" s="2">
        <f>+GD17*(1+$AL$20)</f>
        <v>17325.094100761817</v>
      </c>
      <c r="GF17" s="2">
        <f>+GE17*(1+$AL$20)</f>
        <v>17498.345041769437</v>
      </c>
      <c r="GG17" s="2">
        <f>+GF17*(1+$AL$20)</f>
        <v>17673.328492187131</v>
      </c>
      <c r="GH17" s="2">
        <f>+GG17*(1+$AL$20)</f>
        <v>17850.061777109004</v>
      </c>
      <c r="GI17" s="2">
        <f>+GH17*(1+$AL$20)</f>
        <v>18028.562394880093</v>
      </c>
      <c r="GJ17" s="2">
        <f>+GI17*(1+$AL$20)</f>
        <v>18208.848018828896</v>
      </c>
      <c r="GK17" s="2">
        <f>+GJ17*(1+$AL$20)</f>
        <v>18390.936499017185</v>
      </c>
      <c r="GL17" s="2">
        <f>+GK17*(1+$AL$20)</f>
        <v>18574.845864007359</v>
      </c>
      <c r="GM17" s="2">
        <f>+GL17*(1+$AL$20)</f>
        <v>18760.594322647434</v>
      </c>
      <c r="GN17" s="2">
        <f>+GM17*(1+$AL$20)</f>
        <v>18948.200265873907</v>
      </c>
      <c r="GO17" s="2">
        <f>+GN17*(1+$AL$20)</f>
        <v>19137.682268532648</v>
      </c>
      <c r="GP17" s="2">
        <f>+GO17*(1+$AL$20)</f>
        <v>19329.059091217976</v>
      </c>
      <c r="GQ17" s="2">
        <f>+GP17*(1+$AL$20)</f>
        <v>19522.349682130156</v>
      </c>
      <c r="GR17" s="2">
        <f>+GQ17*(1+$AL$20)</f>
        <v>19717.573178951458</v>
      </c>
      <c r="GS17" s="2">
        <f>+GR17*(1+$AL$20)</f>
        <v>19914.748910740971</v>
      </c>
      <c r="GT17" s="2">
        <f>+GS17*(1+$AL$20)</f>
        <v>20113.896399848381</v>
      </c>
      <c r="GU17" s="2">
        <f>+GT17*(1+$AL$20)</f>
        <v>20315.035363846866</v>
      </c>
      <c r="GV17" s="2">
        <f>+GU17*(1+$AL$20)</f>
        <v>20518.185717485336</v>
      </c>
      <c r="GW17" s="2">
        <f>+GV17*(1+$AL$20)</f>
        <v>20723.367574660188</v>
      </c>
      <c r="GX17" s="2">
        <f>+GW17*(1+$AL$20)</f>
        <v>20930.601250406791</v>
      </c>
      <c r="GY17" s="2">
        <f>+GX17*(1+$AL$20)</f>
        <v>21139.90726291086</v>
      </c>
      <c r="GZ17" s="2">
        <f>+GY17*(1+$AL$20)</f>
        <v>21351.306335539968</v>
      </c>
      <c r="HA17" s="2">
        <f>+GZ17*(1+$AL$20)</f>
        <v>21564.819398895368</v>
      </c>
      <c r="HB17" s="2">
        <f>+HA17*(1+$AL$20)</f>
        <v>21780.467592884321</v>
      </c>
      <c r="HC17" s="2">
        <f>+HB17*(1+$AL$20)</f>
        <v>21998.272268813165</v>
      </c>
      <c r="HD17" s="2">
        <f>+HC17*(1+$AL$20)</f>
        <v>22218.254991501297</v>
      </c>
      <c r="HE17" s="2">
        <f>+HD17*(1+$AL$20)</f>
        <v>22440.437541416311</v>
      </c>
      <c r="HF17" s="2">
        <f>+HE17*(1+$AL$20)</f>
        <v>22664.841916830475</v>
      </c>
      <c r="HG17" s="2">
        <f>+HF17*(1+$AL$20)</f>
        <v>22891.49033599878</v>
      </c>
      <c r="HH17" s="2">
        <f>+HG17*(1+$AL$20)</f>
        <v>23120.40523935877</v>
      </c>
      <c r="HI17" s="2">
        <f>+HH17*(1+$AL$20)</f>
        <v>23351.609291752357</v>
      </c>
      <c r="HJ17" s="2">
        <f>+HI17*(1+$AL$20)</f>
        <v>23585.125384669882</v>
      </c>
      <c r="HK17" s="2">
        <f>+HJ17*(1+$AL$20)</f>
        <v>23820.976638516582</v>
      </c>
      <c r="HL17" s="2">
        <f>+HK17*(1+$AL$20)</f>
        <v>24059.186404901749</v>
      </c>
      <c r="HM17" s="2">
        <f>+HL17*(1+$AL$20)</f>
        <v>24299.778268950766</v>
      </c>
      <c r="HN17" s="2">
        <f>+HM17*(1+$AL$20)</f>
        <v>24542.776051640274</v>
      </c>
      <c r="HO17" s="2">
        <f>+HN17*(1+$AL$20)</f>
        <v>24788.203812156677</v>
      </c>
      <c r="HP17" s="2">
        <f>+HO17*(1+$AL$20)</f>
        <v>25036.085850278243</v>
      </c>
      <c r="HQ17" s="2">
        <f>+HP17*(1+$AL$20)</f>
        <v>25286.446708781026</v>
      </c>
      <c r="HR17" s="2">
        <f>+HQ17*(1+$AL$20)</f>
        <v>25539.311175868836</v>
      </c>
      <c r="HS17" s="2">
        <f>+HR17*(1+$AL$20)</f>
        <v>25794.704287627523</v>
      </c>
      <c r="HT17" s="2">
        <f>+HS17*(1+$AL$20)</f>
        <v>26052.651330503799</v>
      </c>
      <c r="HU17" s="2">
        <f>+HT17*(1+$AL$20)</f>
        <v>26313.177843808837</v>
      </c>
      <c r="HV17" s="2">
        <f>+HU17*(1+$AL$20)</f>
        <v>26576.309622246925</v>
      </c>
      <c r="HW17" s="2">
        <f>+HV17*(1+$AL$20)</f>
        <v>26842.072718469393</v>
      </c>
      <c r="HX17" s="2">
        <f>+HW17*(1+$AL$20)</f>
        <v>27110.493445654087</v>
      </c>
      <c r="HY17" s="2">
        <f>+HX17*(1+$AL$20)</f>
        <v>27381.598380110627</v>
      </c>
      <c r="HZ17" s="2">
        <f>+HY17*(1+$AL$20)</f>
        <v>27655.414363911732</v>
      </c>
    </row>
    <row r="18" spans="2:234" x14ac:dyDescent="0.2">
      <c r="B18" s="2" t="s">
        <v>48</v>
      </c>
    </row>
    <row r="20" spans="2:234" x14ac:dyDescent="0.2">
      <c r="B20" s="6" t="s">
        <v>49</v>
      </c>
      <c r="AK20" s="2" t="s">
        <v>153</v>
      </c>
      <c r="AL20" s="9">
        <v>0.01</v>
      </c>
    </row>
    <row r="21" spans="2:234" x14ac:dyDescent="0.2">
      <c r="B21" s="5" t="s">
        <v>33</v>
      </c>
      <c r="G21" s="7">
        <f>+G3/C3-1</f>
        <v>-1.9859578736208583E-2</v>
      </c>
      <c r="H21" s="7">
        <f>+H3/D3-1</f>
        <v>1.2297601967616867E-3</v>
      </c>
      <c r="I21" s="7"/>
      <c r="J21" s="7"/>
      <c r="V21" s="7">
        <f>+V3/U3-1</f>
        <v>0.25368603642671284</v>
      </c>
      <c r="W21" s="7">
        <f>+W3/V3-1</f>
        <v>-2.6486139249888851E-2</v>
      </c>
      <c r="AK21" s="2" t="s">
        <v>155</v>
      </c>
      <c r="AL21" s="9">
        <v>0.1</v>
      </c>
    </row>
    <row r="22" spans="2:234" x14ac:dyDescent="0.2">
      <c r="B22" s="5" t="s">
        <v>34</v>
      </c>
      <c r="G22" s="7">
        <f>+G4/C4-1</f>
        <v>-7.8212290502793325E-2</v>
      </c>
      <c r="H22" s="7">
        <f>+H4/D4-1</f>
        <v>-8.8065843621399131E-2</v>
      </c>
      <c r="I22" s="7"/>
      <c r="J22" s="7"/>
      <c r="V22" s="7">
        <f t="shared" ref="V22:W22" si="11">+V4/U4-1</f>
        <v>2.0647583294228111E-2</v>
      </c>
      <c r="W22" s="7">
        <f t="shared" si="11"/>
        <v>-7.0114942528735624E-2</v>
      </c>
      <c r="AK22" s="2" t="s">
        <v>156</v>
      </c>
      <c r="AL22" s="2">
        <f>NPV(AL21,X17:HZ17)</f>
        <v>37115.515165601581</v>
      </c>
    </row>
    <row r="23" spans="2:234" x14ac:dyDescent="0.2">
      <c r="B23" s="5" t="s">
        <v>35</v>
      </c>
      <c r="G23" s="7">
        <f>+G5/C5-1</f>
        <v>-0.27052384675527752</v>
      </c>
      <c r="H23" s="7">
        <f>+H5/D5-1</f>
        <v>0.17164532954006639</v>
      </c>
      <c r="I23" s="7"/>
      <c r="J23" s="7"/>
      <c r="V23" s="7">
        <f t="shared" ref="V23:W23" si="12">+V5/U5-1</f>
        <v>0.3400717703349283</v>
      </c>
      <c r="W23" s="7">
        <f t="shared" si="12"/>
        <v>-8.0871195215567293E-2</v>
      </c>
      <c r="AK23" s="2" t="s">
        <v>157</v>
      </c>
      <c r="AL23" s="2">
        <f>+Main!H5</f>
        <v>2475.7722819999999</v>
      </c>
    </row>
    <row r="24" spans="2:234" x14ac:dyDescent="0.2">
      <c r="B24" s="5" t="s">
        <v>36</v>
      </c>
      <c r="G24" s="7">
        <f>+G6/C6-1</f>
        <v>-7.4906367041198463E-2</v>
      </c>
      <c r="H24" s="7">
        <f>+H6/D6-1</f>
        <v>-0.18644067796610164</v>
      </c>
      <c r="I24" s="7"/>
      <c r="J24" s="7"/>
      <c r="V24" s="7">
        <f t="shared" ref="V24:W24" si="13">+V6/U6-1</f>
        <v>0.49304677623261695</v>
      </c>
      <c r="W24" s="7">
        <f t="shared" si="13"/>
        <v>4.4030482641828961E-2</v>
      </c>
      <c r="AK24" s="6" t="s">
        <v>158</v>
      </c>
      <c r="AL24" s="13">
        <f>+AL22/AL23</f>
        <v>14.991489902140193</v>
      </c>
    </row>
    <row r="25" spans="2:234" x14ac:dyDescent="0.2">
      <c r="B25" s="2" t="s">
        <v>37</v>
      </c>
      <c r="G25" s="7">
        <f>+G7/C7-1</f>
        <v>-9.8312914239807148E-2</v>
      </c>
      <c r="H25" s="7">
        <f>+H7/D7-1</f>
        <v>1.0192525481313774E-2</v>
      </c>
      <c r="I25" s="7">
        <f>+I7/E7-1</f>
        <v>1.0000000000000009E-2</v>
      </c>
      <c r="J25" s="7">
        <f>+J7/F7-1</f>
        <v>1.0000000000000009E-2</v>
      </c>
      <c r="U25" s="7">
        <f t="shared" ref="U25:AG25" si="14">+U7/T7-1</f>
        <v>1.7739315888770406</v>
      </c>
      <c r="V25" s="7">
        <f t="shared" si="14"/>
        <v>0.22190022769612927</v>
      </c>
      <c r="W25" s="7">
        <f t="shared" si="14"/>
        <v>-4.8401539168945518E-2</v>
      </c>
      <c r="X25" s="7">
        <f t="shared" si="14"/>
        <v>-1.9999999999999907E-2</v>
      </c>
      <c r="Y25" s="7">
        <f t="shared" si="14"/>
        <v>-1.9999999999999907E-2</v>
      </c>
      <c r="Z25" s="7">
        <f t="shared" si="14"/>
        <v>-2.0000000000000018E-2</v>
      </c>
      <c r="AA25" s="7">
        <f t="shared" si="14"/>
        <v>-1.9999999999999907E-2</v>
      </c>
      <c r="AB25" s="7">
        <f t="shared" si="14"/>
        <v>-1.9999999999999907E-2</v>
      </c>
      <c r="AC25" s="7">
        <f t="shared" si="14"/>
        <v>-2.0000000000000018E-2</v>
      </c>
      <c r="AD25" s="7">
        <f t="shared" si="14"/>
        <v>-1.9999999999999907E-2</v>
      </c>
      <c r="AE25" s="7">
        <f t="shared" si="14"/>
        <v>-2.0000000000000129E-2</v>
      </c>
      <c r="AF25" s="7">
        <f t="shared" si="14"/>
        <v>-2.0000000000000129E-2</v>
      </c>
      <c r="AG25" s="7">
        <f t="shared" si="14"/>
        <v>-2.0000000000000018E-2</v>
      </c>
    </row>
    <row r="26" spans="2:234" x14ac:dyDescent="0.2">
      <c r="G26" s="7"/>
      <c r="H26" s="7"/>
      <c r="I26" s="7"/>
      <c r="J26" s="7"/>
      <c r="U26" s="7"/>
      <c r="V26" s="7"/>
      <c r="W26" s="7"/>
    </row>
    <row r="27" spans="2:234" x14ac:dyDescent="0.2">
      <c r="B27" s="2" t="s">
        <v>38</v>
      </c>
      <c r="C27" s="7">
        <f>+C8/C$7</f>
        <v>0.60835509138381205</v>
      </c>
      <c r="D27" s="7">
        <f>+D8/D$7</f>
        <v>0.63873159682899205</v>
      </c>
      <c r="E27" s="7">
        <f>+E8/E$7</f>
        <v>0.53839758910942537</v>
      </c>
      <c r="F27" s="7">
        <f>+F8/F$7</f>
        <v>0.55121172833349952</v>
      </c>
      <c r="G27" s="7">
        <f>+G8/G$7</f>
        <v>0.57144448156810335</v>
      </c>
      <c r="H27" s="7">
        <f>+H8/H$7</f>
        <v>0.60813289849164287</v>
      </c>
      <c r="I27" s="7">
        <f>+I8/I$7</f>
        <v>0.53839758910942537</v>
      </c>
      <c r="J27" s="7">
        <f>+J8/J$7</f>
        <v>0.55121172833349952</v>
      </c>
      <c r="U27" s="7">
        <f>+U8/U$7</f>
        <v>0.60448886654641154</v>
      </c>
      <c r="V27" s="7">
        <f>+V8/V$7</f>
        <v>0.59354807482877958</v>
      </c>
      <c r="W27" s="9">
        <f>+W8/W$7</f>
        <v>0.58416622161186138</v>
      </c>
      <c r="X27" s="9">
        <f>+X8/X$7</f>
        <v>0.56866014888445648</v>
      </c>
      <c r="Y27" s="9">
        <f>+X27</f>
        <v>0.56866014888445648</v>
      </c>
      <c r="Z27" s="9">
        <f t="shared" ref="Z27:AG27" si="15">+Y27</f>
        <v>0.56866014888445648</v>
      </c>
      <c r="AA27" s="9">
        <f t="shared" si="15"/>
        <v>0.56866014888445648</v>
      </c>
      <c r="AB27" s="9">
        <f t="shared" si="15"/>
        <v>0.56866014888445648</v>
      </c>
      <c r="AC27" s="9">
        <f t="shared" si="15"/>
        <v>0.56866014888445648</v>
      </c>
      <c r="AD27" s="9">
        <f t="shared" si="15"/>
        <v>0.56866014888445648</v>
      </c>
      <c r="AE27" s="9">
        <f t="shared" si="15"/>
        <v>0.56866014888445648</v>
      </c>
      <c r="AF27" s="9">
        <f t="shared" si="15"/>
        <v>0.56866014888445648</v>
      </c>
      <c r="AG27" s="9">
        <f t="shared" si="15"/>
        <v>0.56866014888445648</v>
      </c>
    </row>
    <row r="28" spans="2:234" x14ac:dyDescent="0.2">
      <c r="B28" s="2" t="s">
        <v>39</v>
      </c>
      <c r="C28" s="7">
        <f>+C9/C$7</f>
        <v>0.22414139385418758</v>
      </c>
      <c r="D28" s="7">
        <f>+D9/D$7</f>
        <v>0.25337176979306086</v>
      </c>
      <c r="E28" s="7">
        <f>+E9/E$7</f>
        <v>0.24784370778343551</v>
      </c>
      <c r="F28" s="7">
        <f>+F9/F$7</f>
        <v>0.22120275256806621</v>
      </c>
      <c r="G28" s="7">
        <f>+G9/G$7</f>
        <v>0.2443479229312841</v>
      </c>
      <c r="H28" s="7">
        <f>+H9/H$7</f>
        <v>0.25244598450876476</v>
      </c>
      <c r="I28" s="7">
        <f>+I9/I$7</f>
        <v>0.24784370778343551</v>
      </c>
      <c r="J28" s="7">
        <f>+J9/J$7</f>
        <v>0.22120275256806621</v>
      </c>
      <c r="U28" s="7">
        <f>+U9/U$7</f>
        <v>0.28618742052813673</v>
      </c>
      <c r="V28" s="7">
        <f>+V9/V$7</f>
        <v>0.23465066189104813</v>
      </c>
      <c r="W28" s="7">
        <f>+W9/W$7</f>
        <v>0.23641311258614989</v>
      </c>
      <c r="X28" s="9">
        <f>+X9/X$7</f>
        <v>0.2418614657276659</v>
      </c>
      <c r="Y28" s="7">
        <f>+X28</f>
        <v>0.2418614657276659</v>
      </c>
      <c r="Z28" s="7">
        <f t="shared" ref="Z28:AG28" si="16">+Y28</f>
        <v>0.2418614657276659</v>
      </c>
      <c r="AA28" s="7">
        <f t="shared" si="16"/>
        <v>0.2418614657276659</v>
      </c>
      <c r="AB28" s="7">
        <f t="shared" si="16"/>
        <v>0.2418614657276659</v>
      </c>
      <c r="AC28" s="7">
        <f t="shared" si="16"/>
        <v>0.2418614657276659</v>
      </c>
      <c r="AD28" s="7">
        <f t="shared" si="16"/>
        <v>0.2418614657276659</v>
      </c>
      <c r="AE28" s="7">
        <f t="shared" si="16"/>
        <v>0.2418614657276659</v>
      </c>
      <c r="AF28" s="7">
        <f t="shared" si="16"/>
        <v>0.2418614657276659</v>
      </c>
      <c r="AG28" s="7">
        <f t="shared" si="16"/>
        <v>0.2418614657276659</v>
      </c>
    </row>
    <row r="29" spans="2:234" x14ac:dyDescent="0.2">
      <c r="B29" s="2" t="s">
        <v>40</v>
      </c>
      <c r="C29" s="7">
        <f>+C10/C$7</f>
        <v>0.18959630447881101</v>
      </c>
      <c r="D29" s="7">
        <f>+D10/D$7</f>
        <v>0.17955317615566765</v>
      </c>
      <c r="E29" s="7">
        <f>+E10/E$7</f>
        <v>0.18310298243790918</v>
      </c>
      <c r="F29" s="7">
        <f>+F10/F$7</f>
        <v>0.16385758452179117</v>
      </c>
      <c r="G29" s="7">
        <f>+G10/G$7</f>
        <v>0.1722909009912017</v>
      </c>
      <c r="H29" s="7">
        <f>+H10/H$7</f>
        <v>0.1474724826742764</v>
      </c>
      <c r="I29" s="7">
        <f>+I10/I$7</f>
        <v>0.18310298243790918</v>
      </c>
      <c r="J29" s="7">
        <f>+J10/J$7</f>
        <v>0.16385758452179117</v>
      </c>
      <c r="U29" s="7">
        <f>+U10/U$7</f>
        <v>0.21270366975189994</v>
      </c>
      <c r="V29" s="7">
        <f>+V10/V$7</f>
        <v>0.19324314513201521</v>
      </c>
      <c r="W29" s="7">
        <f>+W10/W$7</f>
        <v>0.17896289514508787</v>
      </c>
      <c r="X29" s="9">
        <f>+X10/X$7</f>
        <v>0</v>
      </c>
      <c r="Y29" s="7">
        <f>+X29</f>
        <v>0</v>
      </c>
      <c r="Z29" s="7">
        <f t="shared" ref="Z29:AG29" si="17">+Y29</f>
        <v>0</v>
      </c>
      <c r="AA29" s="7">
        <f t="shared" si="17"/>
        <v>0</v>
      </c>
      <c r="AB29" s="7">
        <f t="shared" si="17"/>
        <v>0</v>
      </c>
      <c r="AC29" s="7">
        <f t="shared" si="17"/>
        <v>0</v>
      </c>
      <c r="AD29" s="7">
        <f t="shared" si="17"/>
        <v>0</v>
      </c>
      <c r="AE29" s="7">
        <f t="shared" si="17"/>
        <v>0</v>
      </c>
      <c r="AF29" s="7">
        <f t="shared" si="17"/>
        <v>0</v>
      </c>
      <c r="AG29" s="7">
        <f t="shared" si="17"/>
        <v>0</v>
      </c>
    </row>
    <row r="30" spans="2:234" x14ac:dyDescent="0.2">
      <c r="G30" s="7"/>
      <c r="H30" s="7"/>
      <c r="I30" s="7"/>
      <c r="J30" s="7"/>
      <c r="U30" s="7"/>
      <c r="V30" s="7"/>
      <c r="W30" s="7"/>
    </row>
    <row r="31" spans="2:234" x14ac:dyDescent="0.2">
      <c r="G31" s="7"/>
      <c r="H31" s="7"/>
      <c r="I31" s="7"/>
      <c r="J31" s="7"/>
      <c r="U31" s="7"/>
      <c r="V31" s="7"/>
      <c r="W31" s="7"/>
    </row>
    <row r="32" spans="2:234" x14ac:dyDescent="0.2">
      <c r="G32" s="7"/>
      <c r="H32" s="7"/>
      <c r="I32" s="7"/>
      <c r="J32" s="7"/>
      <c r="U32" s="7"/>
      <c r="V32" s="7"/>
      <c r="W32" s="7"/>
    </row>
    <row r="33" spans="2:23" x14ac:dyDescent="0.2">
      <c r="G33" s="7"/>
      <c r="H33" s="7"/>
      <c r="I33" s="7"/>
      <c r="J33" s="7"/>
      <c r="U33" s="7"/>
      <c r="V33" s="7"/>
      <c r="W33" s="7"/>
    </row>
    <row r="35" spans="2:23" x14ac:dyDescent="0.2">
      <c r="B35" s="2" t="s">
        <v>54</v>
      </c>
      <c r="H35" s="2">
        <v>4888</v>
      </c>
    </row>
    <row r="36" spans="2:23" x14ac:dyDescent="0.2">
      <c r="B36" s="2" t="s">
        <v>55</v>
      </c>
    </row>
    <row r="37" spans="2:23" x14ac:dyDescent="0.2">
      <c r="B37" s="2" t="s">
        <v>56</v>
      </c>
    </row>
    <row r="55" spans="2:35" x14ac:dyDescent="0.2">
      <c r="B55" s="2" t="s">
        <v>50</v>
      </c>
      <c r="C55" s="2">
        <v>585</v>
      </c>
      <c r="D55" s="2">
        <f>1813-C55</f>
        <v>1228</v>
      </c>
      <c r="E55" s="2">
        <f>2660-SUM(C55:D55)</f>
        <v>847</v>
      </c>
      <c r="F55" s="2">
        <f>+W55-SUM(C55:E55)</f>
        <v>2715</v>
      </c>
      <c r="G55" s="2">
        <v>553</v>
      </c>
      <c r="H55" s="2">
        <f>1536-G55</f>
        <v>983</v>
      </c>
      <c r="U55" s="2">
        <v>4304</v>
      </c>
      <c r="V55" s="2">
        <v>7477</v>
      </c>
      <c r="W55" s="2">
        <v>5375</v>
      </c>
    </row>
    <row r="56" spans="2:35" x14ac:dyDescent="0.2">
      <c r="B56" s="2" t="s">
        <v>51</v>
      </c>
      <c r="C56" s="2">
        <v>-195</v>
      </c>
      <c r="D56" s="2">
        <f>+-447-C56</f>
        <v>-252</v>
      </c>
      <c r="E56" s="2">
        <f>+-662-SUM(C56:D56)</f>
        <v>-215</v>
      </c>
      <c r="F56" s="2">
        <f>+W56-SUM(C56:E56)</f>
        <v>-286</v>
      </c>
      <c r="G56" s="2">
        <v>-251</v>
      </c>
      <c r="H56" s="2">
        <f>+-532-G56</f>
        <v>-281</v>
      </c>
      <c r="U56" s="2">
        <v>-987</v>
      </c>
      <c r="V56" s="2">
        <v>-1316</v>
      </c>
      <c r="W56" s="2">
        <v>-948</v>
      </c>
    </row>
    <row r="57" spans="2:35" x14ac:dyDescent="0.2">
      <c r="B57" s="2" t="s">
        <v>52</v>
      </c>
      <c r="C57" s="2">
        <f>+SUM(C55:C56)</f>
        <v>390</v>
      </c>
      <c r="D57" s="2">
        <f>+SUM(D55:D56)</f>
        <v>976</v>
      </c>
      <c r="E57" s="2">
        <f>+SUM(E55:E56)</f>
        <v>632</v>
      </c>
      <c r="F57" s="2">
        <f>+SUM(F55:F56)</f>
        <v>2429</v>
      </c>
      <c r="G57" s="2">
        <f>+SUM(G55:G56)</f>
        <v>302</v>
      </c>
      <c r="H57" s="2">
        <f>+SUM(H55:H56)</f>
        <v>702</v>
      </c>
      <c r="U57" s="2">
        <f>+SUM(U55:U56)</f>
        <v>3317</v>
      </c>
      <c r="V57" s="2">
        <f>+SUM(V55:V56)</f>
        <v>6161</v>
      </c>
      <c r="W57" s="2">
        <f>+SUM(W55:W56)</f>
        <v>4427</v>
      </c>
      <c r="X57" s="2">
        <f>+W57*1</f>
        <v>4427</v>
      </c>
      <c r="Y57" s="2">
        <f t="shared" ref="Y57:AG57" si="18">+X57*1</f>
        <v>4427</v>
      </c>
      <c r="Z57" s="2">
        <f t="shared" si="18"/>
        <v>4427</v>
      </c>
      <c r="AA57" s="2">
        <f t="shared" si="18"/>
        <v>4427</v>
      </c>
      <c r="AB57" s="2">
        <f t="shared" si="18"/>
        <v>4427</v>
      </c>
      <c r="AC57" s="2">
        <f t="shared" si="18"/>
        <v>4427</v>
      </c>
      <c r="AD57" s="2">
        <f t="shared" si="18"/>
        <v>4427</v>
      </c>
      <c r="AE57" s="2">
        <f t="shared" si="18"/>
        <v>4427</v>
      </c>
      <c r="AF57" s="2">
        <f t="shared" si="18"/>
        <v>4427</v>
      </c>
      <c r="AG57" s="2">
        <f t="shared" si="18"/>
        <v>4427</v>
      </c>
      <c r="AH57" s="2">
        <f>+AG57*(1+$AI$60)</f>
        <v>4471.2700000000004</v>
      </c>
    </row>
    <row r="59" spans="2:35" x14ac:dyDescent="0.2">
      <c r="B59" s="2" t="s">
        <v>53</v>
      </c>
      <c r="F59" s="2">
        <f>+SUM(C57:F57)</f>
        <v>4427</v>
      </c>
      <c r="G59" s="2">
        <f>+SUM(D57:G57)</f>
        <v>4339</v>
      </c>
      <c r="H59" s="2">
        <f>+SUM(E57:H57)</f>
        <v>4065</v>
      </c>
    </row>
    <row r="60" spans="2:35" x14ac:dyDescent="0.2">
      <c r="AH60" s="2" t="s">
        <v>153</v>
      </c>
      <c r="AI60" s="7">
        <v>0.01</v>
      </c>
    </row>
    <row r="61" spans="2:35" x14ac:dyDescent="0.2">
      <c r="AH61" s="2" t="s">
        <v>154</v>
      </c>
      <c r="AI61" s="7">
        <v>0.08</v>
      </c>
    </row>
  </sheetData>
  <pageMargins left="0.7" right="0.7" top="0.75" bottom="0.75" header="0.3" footer="0.3"/>
  <ignoredErrors>
    <ignoredError sqref="E7:F10 E12:F14 E11 E16:F16 E15 E18:F19 E1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6795-6A9A-E249-A970-722B691D2A53}">
  <dimension ref="B2:G61"/>
  <sheetViews>
    <sheetView topLeftCell="A36" zoomScale="143" workbookViewId="0">
      <selection activeCell="D3" sqref="D3:D59"/>
    </sheetView>
  </sheetViews>
  <sheetFormatPr baseColWidth="10" defaultRowHeight="16" x14ac:dyDescent="0.2"/>
  <cols>
    <col min="1" max="1" width="3.5" customWidth="1"/>
    <col min="2" max="2" width="40.83203125" bestFit="1" customWidth="1"/>
    <col min="3" max="3" width="8.1640625" bestFit="1" customWidth="1"/>
    <col min="4" max="4" width="16.6640625" style="2" bestFit="1" customWidth="1"/>
    <col min="5" max="5" width="19" style="10" bestFit="1" customWidth="1"/>
    <col min="6" max="6" width="7.6640625" bestFit="1" customWidth="1"/>
    <col min="7" max="7" width="10.5" bestFit="1" customWidth="1"/>
  </cols>
  <sheetData>
    <row r="2" spans="2:7" x14ac:dyDescent="0.2">
      <c r="B2" s="11" t="s">
        <v>65</v>
      </c>
      <c r="C2" s="11" t="s">
        <v>60</v>
      </c>
      <c r="D2" s="12" t="s">
        <v>66</v>
      </c>
      <c r="E2" s="12" t="s">
        <v>67</v>
      </c>
      <c r="F2" s="11" t="s">
        <v>68</v>
      </c>
      <c r="G2" s="11" t="s">
        <v>69</v>
      </c>
    </row>
    <row r="3" spans="2:7" x14ac:dyDescent="0.2">
      <c r="B3" t="s">
        <v>61</v>
      </c>
      <c r="C3" t="s">
        <v>62</v>
      </c>
      <c r="D3" s="2">
        <v>97049000</v>
      </c>
      <c r="E3" s="2">
        <v>97049000</v>
      </c>
      <c r="F3" t="s">
        <v>70</v>
      </c>
      <c r="G3" t="s">
        <v>71</v>
      </c>
    </row>
    <row r="4" spans="2:7" x14ac:dyDescent="0.2">
      <c r="B4" t="s">
        <v>61</v>
      </c>
      <c r="C4" t="s">
        <v>62</v>
      </c>
      <c r="D4" s="2">
        <v>20207000</v>
      </c>
      <c r="E4" s="2">
        <v>20207000</v>
      </c>
      <c r="F4" t="s">
        <v>72</v>
      </c>
      <c r="G4" t="s">
        <v>73</v>
      </c>
    </row>
    <row r="5" spans="2:7" x14ac:dyDescent="0.2">
      <c r="B5" t="s">
        <v>74</v>
      </c>
      <c r="C5" t="s">
        <v>62</v>
      </c>
      <c r="D5" s="2">
        <v>1581000</v>
      </c>
      <c r="E5" s="2">
        <v>1581000</v>
      </c>
      <c r="F5" t="s">
        <v>75</v>
      </c>
      <c r="G5" t="s">
        <v>73</v>
      </c>
    </row>
    <row r="6" spans="2:7" x14ac:dyDescent="0.2">
      <c r="B6" t="s">
        <v>76</v>
      </c>
      <c r="C6" t="s">
        <v>62</v>
      </c>
      <c r="D6" s="2">
        <v>101864000</v>
      </c>
      <c r="E6" s="2">
        <v>101864000</v>
      </c>
      <c r="F6" t="s">
        <v>77</v>
      </c>
      <c r="G6" t="s">
        <v>78</v>
      </c>
    </row>
    <row r="7" spans="2:7" x14ac:dyDescent="0.2">
      <c r="B7" t="s">
        <v>61</v>
      </c>
      <c r="C7" t="s">
        <v>62</v>
      </c>
      <c r="D7" s="2">
        <v>16195000</v>
      </c>
      <c r="E7" s="2">
        <v>16195000</v>
      </c>
      <c r="F7" t="s">
        <v>79</v>
      </c>
      <c r="G7" t="s">
        <v>80</v>
      </c>
    </row>
    <row r="8" spans="2:7" x14ac:dyDescent="0.2">
      <c r="B8" t="s">
        <v>81</v>
      </c>
      <c r="C8" t="s">
        <v>62</v>
      </c>
      <c r="D8" s="2">
        <v>17000000000</v>
      </c>
      <c r="E8" s="2">
        <v>17000000000</v>
      </c>
      <c r="F8" t="s">
        <v>63</v>
      </c>
      <c r="G8" t="s">
        <v>82</v>
      </c>
    </row>
    <row r="9" spans="2:7" x14ac:dyDescent="0.2">
      <c r="B9" t="s">
        <v>61</v>
      </c>
      <c r="C9" t="s">
        <v>62</v>
      </c>
      <c r="D9" s="2">
        <v>33955000</v>
      </c>
      <c r="E9" s="2">
        <v>33955000</v>
      </c>
      <c r="F9" t="s">
        <v>83</v>
      </c>
      <c r="G9" t="s">
        <v>84</v>
      </c>
    </row>
    <row r="10" spans="2:7" x14ac:dyDescent="0.2">
      <c r="B10" t="s">
        <v>85</v>
      </c>
      <c r="C10" t="s">
        <v>62</v>
      </c>
      <c r="D10" s="2">
        <v>154768000</v>
      </c>
      <c r="E10" s="2">
        <v>154768000</v>
      </c>
      <c r="F10" t="s">
        <v>86</v>
      </c>
      <c r="G10" t="s">
        <v>87</v>
      </c>
    </row>
    <row r="11" spans="2:7" x14ac:dyDescent="0.2">
      <c r="B11" t="s">
        <v>88</v>
      </c>
      <c r="C11" t="s">
        <v>62</v>
      </c>
      <c r="D11" s="2">
        <v>1195271000</v>
      </c>
      <c r="E11" s="2">
        <v>1195271000</v>
      </c>
      <c r="F11" t="s">
        <v>86</v>
      </c>
      <c r="G11" t="s">
        <v>87</v>
      </c>
    </row>
    <row r="12" spans="2:7" x14ac:dyDescent="0.2">
      <c r="B12" t="s">
        <v>76</v>
      </c>
      <c r="C12" t="s">
        <v>64</v>
      </c>
      <c r="D12" s="2">
        <v>84285000</v>
      </c>
      <c r="E12" s="2">
        <v>99026447</v>
      </c>
      <c r="F12" t="s">
        <v>89</v>
      </c>
      <c r="G12" t="s">
        <v>90</v>
      </c>
    </row>
    <row r="13" spans="2:7" x14ac:dyDescent="0.2">
      <c r="B13" t="s">
        <v>74</v>
      </c>
      <c r="C13" t="s">
        <v>62</v>
      </c>
      <c r="D13" s="2">
        <v>19412000</v>
      </c>
      <c r="E13" s="2">
        <v>19412000</v>
      </c>
      <c r="F13" t="s">
        <v>91</v>
      </c>
      <c r="G13" t="s">
        <v>92</v>
      </c>
    </row>
    <row r="14" spans="2:7" x14ac:dyDescent="0.2">
      <c r="B14" t="s">
        <v>76</v>
      </c>
      <c r="C14" t="s">
        <v>62</v>
      </c>
      <c r="D14" s="2">
        <v>140339000</v>
      </c>
      <c r="E14" s="2">
        <v>140339000</v>
      </c>
      <c r="F14" t="s">
        <v>93</v>
      </c>
      <c r="G14" t="s">
        <v>94</v>
      </c>
    </row>
    <row r="15" spans="2:7" x14ac:dyDescent="0.2">
      <c r="B15" t="s">
        <v>95</v>
      </c>
      <c r="C15" t="s">
        <v>62</v>
      </c>
      <c r="D15" s="2">
        <v>1249026000</v>
      </c>
      <c r="E15" s="2">
        <v>1249026000</v>
      </c>
      <c r="F15" t="s">
        <v>93</v>
      </c>
      <c r="G15" t="s">
        <v>94</v>
      </c>
    </row>
    <row r="16" spans="2:7" x14ac:dyDescent="0.2">
      <c r="B16" t="s">
        <v>85</v>
      </c>
      <c r="C16" t="s">
        <v>62</v>
      </c>
      <c r="D16" s="2">
        <v>135381000</v>
      </c>
      <c r="E16" s="2">
        <v>135381000</v>
      </c>
      <c r="F16" t="s">
        <v>96</v>
      </c>
      <c r="G16" t="s">
        <v>97</v>
      </c>
    </row>
    <row r="17" spans="2:7" x14ac:dyDescent="0.2">
      <c r="B17" t="s">
        <v>88</v>
      </c>
      <c r="C17" t="s">
        <v>62</v>
      </c>
      <c r="D17" s="2">
        <v>1364619000</v>
      </c>
      <c r="E17" s="2">
        <v>1364619000</v>
      </c>
      <c r="F17" t="s">
        <v>96</v>
      </c>
      <c r="G17" t="s">
        <v>97</v>
      </c>
    </row>
    <row r="18" spans="2:7" x14ac:dyDescent="0.2">
      <c r="B18" t="s">
        <v>76</v>
      </c>
      <c r="C18" t="s">
        <v>62</v>
      </c>
      <c r="D18" s="2">
        <v>87732000</v>
      </c>
      <c r="E18" s="2">
        <v>87732000</v>
      </c>
      <c r="F18" t="s">
        <v>98</v>
      </c>
      <c r="G18" t="s">
        <v>99</v>
      </c>
    </row>
    <row r="19" spans="2:7" x14ac:dyDescent="0.2">
      <c r="B19" t="s">
        <v>95</v>
      </c>
      <c r="C19" t="s">
        <v>62</v>
      </c>
      <c r="D19" s="2">
        <v>662268000</v>
      </c>
      <c r="E19" s="2">
        <v>662268000</v>
      </c>
      <c r="F19" t="s">
        <v>98</v>
      </c>
      <c r="G19" t="s">
        <v>99</v>
      </c>
    </row>
    <row r="20" spans="2:7" x14ac:dyDescent="0.2">
      <c r="B20" t="s">
        <v>74</v>
      </c>
      <c r="C20" t="s">
        <v>62</v>
      </c>
      <c r="D20" s="2">
        <v>24356000</v>
      </c>
      <c r="E20" s="2">
        <v>24356000</v>
      </c>
      <c r="F20" t="s">
        <v>100</v>
      </c>
      <c r="G20" t="s">
        <v>99</v>
      </c>
    </row>
    <row r="21" spans="2:7" x14ac:dyDescent="0.2">
      <c r="B21" t="s">
        <v>85</v>
      </c>
      <c r="C21" t="s">
        <v>64</v>
      </c>
      <c r="D21" s="2">
        <v>56309000</v>
      </c>
      <c r="E21" s="2">
        <v>66157444</v>
      </c>
      <c r="F21" t="s">
        <v>101</v>
      </c>
      <c r="G21" t="s">
        <v>102</v>
      </c>
    </row>
    <row r="22" spans="2:7" x14ac:dyDescent="0.2">
      <c r="B22" t="s">
        <v>88</v>
      </c>
      <c r="C22" t="s">
        <v>64</v>
      </c>
      <c r="D22" s="2">
        <v>244768000</v>
      </c>
      <c r="E22" s="2">
        <v>287577923</v>
      </c>
      <c r="F22" t="s">
        <v>101</v>
      </c>
      <c r="G22" t="s">
        <v>102</v>
      </c>
    </row>
    <row r="23" spans="2:7" x14ac:dyDescent="0.2">
      <c r="B23" t="s">
        <v>76</v>
      </c>
      <c r="C23" t="s">
        <v>62</v>
      </c>
      <c r="D23" s="2">
        <v>82483000</v>
      </c>
      <c r="E23" s="2">
        <v>82483000</v>
      </c>
      <c r="F23" t="s">
        <v>103</v>
      </c>
      <c r="G23" t="s">
        <v>104</v>
      </c>
    </row>
    <row r="24" spans="2:7" x14ac:dyDescent="0.2">
      <c r="B24" t="s">
        <v>95</v>
      </c>
      <c r="C24" t="s">
        <v>62</v>
      </c>
      <c r="D24" s="2">
        <v>917517000</v>
      </c>
      <c r="E24" s="2">
        <v>917517000</v>
      </c>
      <c r="F24" t="s">
        <v>103</v>
      </c>
      <c r="G24" t="s">
        <v>104</v>
      </c>
    </row>
    <row r="25" spans="2:7" x14ac:dyDescent="0.2">
      <c r="B25" t="s">
        <v>61</v>
      </c>
      <c r="C25" t="s">
        <v>62</v>
      </c>
      <c r="D25" s="2">
        <v>32518000</v>
      </c>
      <c r="E25" s="2">
        <v>32518000</v>
      </c>
      <c r="F25" t="s">
        <v>105</v>
      </c>
      <c r="G25" t="s">
        <v>106</v>
      </c>
    </row>
    <row r="26" spans="2:7" x14ac:dyDescent="0.2">
      <c r="B26" t="s">
        <v>85</v>
      </c>
      <c r="C26" t="s">
        <v>62</v>
      </c>
      <c r="D26" s="2">
        <v>309923000</v>
      </c>
      <c r="E26" s="2">
        <v>309923000</v>
      </c>
      <c r="F26" t="s">
        <v>107</v>
      </c>
      <c r="G26" t="s">
        <v>108</v>
      </c>
    </row>
    <row r="27" spans="2:7" x14ac:dyDescent="0.2">
      <c r="B27" t="s">
        <v>88</v>
      </c>
      <c r="C27" t="s">
        <v>62</v>
      </c>
      <c r="D27" s="2">
        <v>2702229000</v>
      </c>
      <c r="E27" s="2">
        <v>2702229000</v>
      </c>
      <c r="F27" t="s">
        <v>107</v>
      </c>
      <c r="G27" t="s">
        <v>108</v>
      </c>
    </row>
    <row r="28" spans="2:7" x14ac:dyDescent="0.2">
      <c r="B28" t="s">
        <v>61</v>
      </c>
      <c r="C28" t="s">
        <v>62</v>
      </c>
      <c r="D28" s="2">
        <v>39042000</v>
      </c>
      <c r="E28" s="2">
        <v>39042000</v>
      </c>
      <c r="F28" t="s">
        <v>109</v>
      </c>
      <c r="G28" t="s">
        <v>110</v>
      </c>
    </row>
    <row r="29" spans="2:7" x14ac:dyDescent="0.2">
      <c r="B29" t="s">
        <v>85</v>
      </c>
      <c r="C29" t="s">
        <v>64</v>
      </c>
      <c r="D29" s="2">
        <v>65878000</v>
      </c>
      <c r="E29" s="2">
        <v>77400062</v>
      </c>
      <c r="F29" t="s">
        <v>111</v>
      </c>
      <c r="G29" t="s">
        <v>112</v>
      </c>
    </row>
    <row r="30" spans="2:7" x14ac:dyDescent="0.2">
      <c r="B30" t="s">
        <v>88</v>
      </c>
      <c r="C30" t="s">
        <v>64</v>
      </c>
      <c r="D30" s="2">
        <v>329690000</v>
      </c>
      <c r="E30" s="2">
        <v>387352781</v>
      </c>
      <c r="F30" t="s">
        <v>111</v>
      </c>
      <c r="G30" t="s">
        <v>112</v>
      </c>
    </row>
    <row r="31" spans="2:7" x14ac:dyDescent="0.2">
      <c r="B31" t="s">
        <v>74</v>
      </c>
      <c r="C31" t="s">
        <v>62</v>
      </c>
      <c r="D31" s="2">
        <v>6562000</v>
      </c>
      <c r="E31" s="2">
        <v>6562000</v>
      </c>
      <c r="F31" t="s">
        <v>113</v>
      </c>
      <c r="G31" t="s">
        <v>114</v>
      </c>
    </row>
    <row r="32" spans="2:7" x14ac:dyDescent="0.2">
      <c r="B32" t="s">
        <v>61</v>
      </c>
      <c r="C32" t="s">
        <v>62</v>
      </c>
      <c r="D32" s="2">
        <v>5823000</v>
      </c>
      <c r="E32" s="2">
        <v>5823000</v>
      </c>
      <c r="F32" t="s">
        <v>115</v>
      </c>
      <c r="G32" t="s">
        <v>116</v>
      </c>
    </row>
    <row r="33" spans="2:7" x14ac:dyDescent="0.2">
      <c r="B33" t="s">
        <v>76</v>
      </c>
      <c r="C33" t="s">
        <v>62</v>
      </c>
      <c r="D33" s="2">
        <v>93270000</v>
      </c>
      <c r="E33" s="2">
        <v>93270000</v>
      </c>
      <c r="F33" t="s">
        <v>117</v>
      </c>
      <c r="G33" t="s">
        <v>118</v>
      </c>
    </row>
    <row r="34" spans="2:7" x14ac:dyDescent="0.2">
      <c r="B34" t="s">
        <v>95</v>
      </c>
      <c r="C34" t="s">
        <v>62</v>
      </c>
      <c r="D34" s="2">
        <v>454862000</v>
      </c>
      <c r="E34" s="2">
        <v>454862000</v>
      </c>
      <c r="F34" t="s">
        <v>117</v>
      </c>
      <c r="G34" t="s">
        <v>118</v>
      </c>
    </row>
    <row r="35" spans="2:7" x14ac:dyDescent="0.2">
      <c r="B35" t="s">
        <v>61</v>
      </c>
      <c r="C35" t="s">
        <v>62</v>
      </c>
      <c r="D35" s="2">
        <v>2137000</v>
      </c>
      <c r="E35" s="2">
        <v>2137000</v>
      </c>
      <c r="F35" t="s">
        <v>119</v>
      </c>
      <c r="G35" t="s">
        <v>120</v>
      </c>
    </row>
    <row r="36" spans="2:7" x14ac:dyDescent="0.2">
      <c r="B36" t="s">
        <v>76</v>
      </c>
      <c r="C36" t="s">
        <v>62</v>
      </c>
      <c r="D36" s="2">
        <v>220946000</v>
      </c>
      <c r="E36" s="2">
        <v>220946000</v>
      </c>
      <c r="F36" t="s">
        <v>121</v>
      </c>
      <c r="G36" t="s">
        <v>122</v>
      </c>
    </row>
    <row r="37" spans="2:7" x14ac:dyDescent="0.2">
      <c r="B37" t="s">
        <v>95</v>
      </c>
      <c r="C37" t="s">
        <v>62</v>
      </c>
      <c r="D37" s="2">
        <v>443529000</v>
      </c>
      <c r="E37" s="2">
        <v>443529000</v>
      </c>
      <c r="F37" t="s">
        <v>121</v>
      </c>
      <c r="G37" t="s">
        <v>122</v>
      </c>
    </row>
    <row r="38" spans="2:7" x14ac:dyDescent="0.2">
      <c r="B38" t="s">
        <v>61</v>
      </c>
      <c r="C38" t="s">
        <v>62</v>
      </c>
      <c r="D38" s="2">
        <v>6866000</v>
      </c>
      <c r="E38" s="2">
        <v>6866000</v>
      </c>
      <c r="F38" t="s">
        <v>123</v>
      </c>
      <c r="G38" t="s">
        <v>124</v>
      </c>
    </row>
    <row r="39" spans="2:7" x14ac:dyDescent="0.2">
      <c r="B39" t="s">
        <v>61</v>
      </c>
      <c r="C39" t="s">
        <v>62</v>
      </c>
      <c r="D39" s="2">
        <v>1095000</v>
      </c>
      <c r="E39" s="2">
        <v>1095000</v>
      </c>
      <c r="F39" t="s">
        <v>125</v>
      </c>
      <c r="G39" t="s">
        <v>126</v>
      </c>
    </row>
    <row r="40" spans="2:7" x14ac:dyDescent="0.2">
      <c r="B40" t="s">
        <v>61</v>
      </c>
      <c r="C40" t="s">
        <v>62</v>
      </c>
      <c r="D40" s="2">
        <v>4271000</v>
      </c>
      <c r="E40" s="2">
        <v>4271000</v>
      </c>
      <c r="F40" t="s">
        <v>127</v>
      </c>
      <c r="G40" t="s">
        <v>128</v>
      </c>
    </row>
    <row r="41" spans="2:7" x14ac:dyDescent="0.2">
      <c r="B41" t="s">
        <v>85</v>
      </c>
      <c r="C41" t="s">
        <v>62</v>
      </c>
      <c r="D41" s="2">
        <v>179173000</v>
      </c>
      <c r="E41" s="2">
        <v>179173000</v>
      </c>
      <c r="F41" t="s">
        <v>129</v>
      </c>
      <c r="G41" t="s">
        <v>130</v>
      </c>
    </row>
    <row r="42" spans="2:7" x14ac:dyDescent="0.2">
      <c r="B42" t="s">
        <v>88</v>
      </c>
      <c r="C42" t="s">
        <v>62</v>
      </c>
      <c r="D42" s="2">
        <v>4121969000</v>
      </c>
      <c r="E42" s="2">
        <v>4121969000</v>
      </c>
      <c r="F42" t="s">
        <v>129</v>
      </c>
      <c r="G42" t="s">
        <v>130</v>
      </c>
    </row>
    <row r="43" spans="2:7" x14ac:dyDescent="0.2">
      <c r="B43" t="s">
        <v>76</v>
      </c>
      <c r="C43" t="s">
        <v>62</v>
      </c>
      <c r="D43" s="2">
        <v>94865000</v>
      </c>
      <c r="E43" s="2">
        <v>94865000</v>
      </c>
      <c r="F43" t="s">
        <v>131</v>
      </c>
      <c r="G43" t="s">
        <v>132</v>
      </c>
    </row>
    <row r="44" spans="2:7" x14ac:dyDescent="0.2">
      <c r="B44" t="s">
        <v>95</v>
      </c>
      <c r="C44" t="s">
        <v>62</v>
      </c>
      <c r="D44" s="2">
        <v>130643000</v>
      </c>
      <c r="E44" s="2">
        <v>130643000</v>
      </c>
      <c r="F44" t="s">
        <v>131</v>
      </c>
      <c r="G44" t="s">
        <v>132</v>
      </c>
    </row>
    <row r="45" spans="2:7" x14ac:dyDescent="0.2">
      <c r="B45" t="s">
        <v>61</v>
      </c>
      <c r="C45" t="s">
        <v>62</v>
      </c>
      <c r="D45" s="2">
        <v>4466000</v>
      </c>
      <c r="E45" s="2">
        <v>4466000</v>
      </c>
      <c r="F45" t="s">
        <v>77</v>
      </c>
      <c r="G45" t="s">
        <v>133</v>
      </c>
    </row>
    <row r="46" spans="2:7" x14ac:dyDescent="0.2">
      <c r="B46" t="s">
        <v>76</v>
      </c>
      <c r="C46" t="s">
        <v>62</v>
      </c>
      <c r="D46" s="2">
        <v>77957000</v>
      </c>
      <c r="E46" s="2">
        <v>77957000</v>
      </c>
      <c r="F46" t="s">
        <v>134</v>
      </c>
      <c r="G46" t="s">
        <v>135</v>
      </c>
    </row>
    <row r="47" spans="2:7" x14ac:dyDescent="0.2">
      <c r="B47" t="s">
        <v>95</v>
      </c>
      <c r="C47" t="s">
        <v>62</v>
      </c>
      <c r="D47" s="2">
        <v>142017000</v>
      </c>
      <c r="E47" s="2">
        <v>142017000</v>
      </c>
      <c r="F47" t="s">
        <v>134</v>
      </c>
      <c r="G47" t="s">
        <v>135</v>
      </c>
    </row>
    <row r="48" spans="2:7" x14ac:dyDescent="0.2">
      <c r="B48" t="s">
        <v>61</v>
      </c>
      <c r="C48" t="s">
        <v>62</v>
      </c>
      <c r="D48" s="2">
        <v>8389000</v>
      </c>
      <c r="E48" s="2">
        <v>8389000</v>
      </c>
      <c r="F48" t="s">
        <v>136</v>
      </c>
      <c r="G48" t="s">
        <v>137</v>
      </c>
    </row>
    <row r="49" spans="2:7" x14ac:dyDescent="0.2">
      <c r="B49" t="s">
        <v>61</v>
      </c>
      <c r="C49" t="s">
        <v>62</v>
      </c>
      <c r="D49" s="2">
        <v>4076000</v>
      </c>
      <c r="E49" s="2">
        <v>4076000</v>
      </c>
      <c r="F49" t="s">
        <v>138</v>
      </c>
      <c r="G49" t="s">
        <v>139</v>
      </c>
    </row>
    <row r="50" spans="2:7" x14ac:dyDescent="0.2">
      <c r="B50" t="s">
        <v>61</v>
      </c>
      <c r="C50" t="s">
        <v>62</v>
      </c>
      <c r="D50" s="2">
        <v>3055000</v>
      </c>
      <c r="E50" s="2">
        <v>3055000</v>
      </c>
      <c r="F50" t="s">
        <v>140</v>
      </c>
      <c r="G50" t="s">
        <v>141</v>
      </c>
    </row>
    <row r="51" spans="2:7" x14ac:dyDescent="0.2">
      <c r="B51" t="s">
        <v>76</v>
      </c>
      <c r="C51" t="s">
        <v>62</v>
      </c>
      <c r="D51" s="2">
        <v>147873000</v>
      </c>
      <c r="E51" s="2">
        <v>147873000</v>
      </c>
      <c r="F51" t="s">
        <v>142</v>
      </c>
      <c r="G51" t="s">
        <v>143</v>
      </c>
    </row>
    <row r="52" spans="2:7" x14ac:dyDescent="0.2">
      <c r="B52" t="s">
        <v>95</v>
      </c>
      <c r="C52" t="s">
        <v>62</v>
      </c>
      <c r="D52" s="2">
        <v>4879000</v>
      </c>
      <c r="E52" s="2">
        <v>4879000</v>
      </c>
      <c r="F52" t="s">
        <v>142</v>
      </c>
      <c r="G52" t="s">
        <v>143</v>
      </c>
    </row>
    <row r="53" spans="2:7" x14ac:dyDescent="0.2">
      <c r="B53" t="s">
        <v>76</v>
      </c>
      <c r="C53" t="s">
        <v>62</v>
      </c>
      <c r="D53" s="2">
        <v>30573000</v>
      </c>
      <c r="E53" s="2">
        <v>30573000</v>
      </c>
      <c r="F53" t="s">
        <v>144</v>
      </c>
      <c r="G53" t="s">
        <v>145</v>
      </c>
    </row>
    <row r="54" spans="2:7" x14ac:dyDescent="0.2">
      <c r="B54" t="s">
        <v>95</v>
      </c>
      <c r="C54" t="s">
        <v>62</v>
      </c>
      <c r="D54" s="2">
        <v>248458000</v>
      </c>
      <c r="E54" s="2">
        <v>248458000</v>
      </c>
      <c r="F54" t="s">
        <v>144</v>
      </c>
      <c r="G54" t="s">
        <v>145</v>
      </c>
    </row>
    <row r="55" spans="2:7" x14ac:dyDescent="0.2">
      <c r="B55" t="s">
        <v>76</v>
      </c>
      <c r="C55" t="s">
        <v>62</v>
      </c>
      <c r="D55" s="2">
        <v>31477000</v>
      </c>
      <c r="E55" s="2">
        <v>31477000</v>
      </c>
      <c r="F55" t="s">
        <v>138</v>
      </c>
      <c r="G55" t="s">
        <v>146</v>
      </c>
    </row>
    <row r="56" spans="2:7" x14ac:dyDescent="0.2">
      <c r="B56" t="s">
        <v>85</v>
      </c>
      <c r="C56" t="s">
        <v>62</v>
      </c>
      <c r="D56" s="2">
        <v>126778000</v>
      </c>
      <c r="E56" s="2">
        <v>126778000</v>
      </c>
      <c r="F56" t="s">
        <v>147</v>
      </c>
      <c r="G56" t="s">
        <v>148</v>
      </c>
    </row>
    <row r="57" spans="2:7" x14ac:dyDescent="0.2">
      <c r="B57" t="s">
        <v>88</v>
      </c>
      <c r="C57" t="s">
        <v>62</v>
      </c>
      <c r="D57" s="2">
        <v>953926000</v>
      </c>
      <c r="E57" s="2">
        <v>953926000</v>
      </c>
      <c r="F57" t="s">
        <v>147</v>
      </c>
      <c r="G57" t="s">
        <v>148</v>
      </c>
    </row>
    <row r="58" spans="2:7" x14ac:dyDescent="0.2">
      <c r="B58" t="s">
        <v>76</v>
      </c>
      <c r="C58" t="s">
        <v>62</v>
      </c>
      <c r="D58" s="2">
        <v>81612000</v>
      </c>
      <c r="E58" s="2">
        <v>81612000</v>
      </c>
      <c r="F58" t="s">
        <v>149</v>
      </c>
      <c r="G58" t="s">
        <v>150</v>
      </c>
    </row>
    <row r="59" spans="2:7" x14ac:dyDescent="0.2">
      <c r="B59" t="s">
        <v>85</v>
      </c>
      <c r="C59" t="s">
        <v>62</v>
      </c>
      <c r="D59" s="2">
        <v>65932000</v>
      </c>
      <c r="E59" s="2">
        <v>65932000</v>
      </c>
      <c r="F59" t="s">
        <v>151</v>
      </c>
      <c r="G59" t="s">
        <v>152</v>
      </c>
    </row>
    <row r="61" spans="2:7" x14ac:dyDescent="0.2">
      <c r="D61" s="2">
        <f>SUM(D3:D59)</f>
        <v>34866144000</v>
      </c>
      <c r="E61" s="2">
        <f>SUM(E3:E59)</f>
        <v>35002728657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Debt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2025-09-08T01:12:59Z</dcterms:created>
  <dcterms:modified xsi:type="dcterms:W3CDTF">2025-09-08T14:29:21Z</dcterms:modified>
</cp:coreProperties>
</file>