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software application/"/>
    </mc:Choice>
  </mc:AlternateContent>
  <xr:revisionPtr revIDLastSave="0" documentId="13_ncr:1_{153E6AA7-7158-3F42-9ECE-42C0499FBE94}" xr6:coauthVersionLast="47" xr6:coauthVersionMax="47" xr10:uidLastSave="{00000000-0000-0000-0000-000000000000}"/>
  <bookViews>
    <workbookView xWindow="22180" yWindow="1960" windowWidth="31200" windowHeight="25900" activeTab="1" xr2:uid="{CEA6440A-0EE0-A142-B83F-FDC81E5FAD1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71" i="2" l="1"/>
  <c r="S71" i="2"/>
  <c r="R71" i="2"/>
  <c r="T29" i="2"/>
  <c r="S29" i="2"/>
  <c r="R29" i="2"/>
  <c r="H29" i="2"/>
  <c r="G29" i="2"/>
  <c r="Q28" i="2"/>
  <c r="T28" i="2"/>
  <c r="S28" i="2"/>
  <c r="R28" i="2"/>
  <c r="G28" i="2"/>
  <c r="Q27" i="2"/>
  <c r="T27" i="2"/>
  <c r="S27" i="2"/>
  <c r="R27" i="2"/>
  <c r="Q26" i="2"/>
  <c r="T26" i="2"/>
  <c r="S26" i="2"/>
  <c r="R26" i="2"/>
  <c r="H26" i="2"/>
  <c r="Q25" i="2"/>
  <c r="T25" i="2"/>
  <c r="S25" i="2"/>
  <c r="R25" i="2"/>
  <c r="H25" i="2"/>
  <c r="Q24" i="2"/>
  <c r="T24" i="2"/>
  <c r="S24" i="2"/>
  <c r="R24" i="2"/>
  <c r="G24" i="2"/>
  <c r="E24" i="2"/>
  <c r="Q23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5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H23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5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T23" i="2"/>
  <c r="S23" i="2"/>
  <c r="R23" i="2"/>
  <c r="T74" i="2"/>
  <c r="R74" i="2"/>
  <c r="S74" i="2"/>
  <c r="H74" i="2"/>
  <c r="Q74" i="2"/>
  <c r="E74" i="2"/>
  <c r="T22" i="2"/>
  <c r="S22" i="2"/>
  <c r="R22" i="2"/>
  <c r="G22" i="2"/>
  <c r="Q21" i="2"/>
  <c r="G21" i="2"/>
  <c r="T21" i="2"/>
  <c r="S21" i="2"/>
  <c r="E21" i="2"/>
  <c r="F21" i="2" s="1"/>
  <c r="I21" i="2" s="1"/>
  <c r="T20" i="2"/>
  <c r="S20" i="2"/>
  <c r="R20" i="2"/>
  <c r="Q20" i="2"/>
  <c r="H20" i="2"/>
  <c r="G20" i="2"/>
  <c r="T19" i="2"/>
  <c r="S19" i="2"/>
  <c r="R19" i="2"/>
  <c r="Q19" i="2"/>
  <c r="H19" i="2"/>
  <c r="G19" i="2"/>
  <c r="E19" i="2"/>
  <c r="T18" i="2"/>
  <c r="S18" i="2"/>
  <c r="R18" i="2"/>
  <c r="Q18" i="2"/>
  <c r="H18" i="2"/>
  <c r="G18" i="2"/>
  <c r="T17" i="2"/>
  <c r="S17" i="2"/>
  <c r="R17" i="2"/>
  <c r="Q17" i="2"/>
  <c r="G17" i="2"/>
  <c r="S16" i="2"/>
  <c r="R16" i="2"/>
  <c r="Q16" i="2"/>
  <c r="H16" i="2"/>
  <c r="G16" i="2"/>
  <c r="Q15" i="2"/>
  <c r="H15" i="2"/>
  <c r="G15" i="2"/>
  <c r="T15" i="2"/>
  <c r="S15" i="2"/>
  <c r="R15" i="2"/>
  <c r="T14" i="2"/>
  <c r="S14" i="2"/>
  <c r="R14" i="2"/>
  <c r="Q14" i="2"/>
  <c r="G14" i="2"/>
  <c r="E14" i="2"/>
  <c r="G71" i="2"/>
  <c r="E71" i="2"/>
  <c r="F71" i="2" s="1"/>
  <c r="S13" i="2"/>
  <c r="R13" i="2"/>
  <c r="Q13" i="2"/>
  <c r="H13" i="2"/>
  <c r="E12" i="2"/>
  <c r="F12" i="2" s="1"/>
  <c r="T12" i="2"/>
  <c r="S12" i="2"/>
  <c r="R12" i="2"/>
  <c r="Q12" i="2"/>
  <c r="G12" i="2"/>
  <c r="T10" i="2"/>
  <c r="S10" i="2"/>
  <c r="R10" i="2"/>
  <c r="Q10" i="2"/>
  <c r="S11" i="2"/>
  <c r="T11" i="2"/>
  <c r="R11" i="2"/>
  <c r="Q11" i="2"/>
  <c r="H11" i="2"/>
  <c r="E10" i="2"/>
  <c r="F10" i="2" s="1"/>
  <c r="H10" i="2"/>
  <c r="G10" i="2"/>
  <c r="T9" i="2"/>
  <c r="S9" i="2"/>
  <c r="R9" i="2"/>
  <c r="Q9" i="2"/>
  <c r="E9" i="2"/>
  <c r="T8" i="2"/>
  <c r="S8" i="2"/>
  <c r="R8" i="2"/>
  <c r="Q8" i="2"/>
  <c r="H8" i="2"/>
  <c r="Q7" i="2"/>
  <c r="T7" i="2"/>
  <c r="S7" i="2"/>
  <c r="R7" i="2"/>
  <c r="G7" i="2"/>
  <c r="T6" i="2"/>
  <c r="S6" i="2"/>
  <c r="R6" i="2"/>
  <c r="Q6" i="2"/>
  <c r="H6" i="2"/>
  <c r="G6" i="2"/>
  <c r="T5" i="2"/>
  <c r="S5" i="2"/>
  <c r="R5" i="2"/>
  <c r="Q5" i="2"/>
  <c r="G5" i="2"/>
  <c r="Q4" i="2"/>
  <c r="H4" i="2"/>
  <c r="G4" i="2"/>
  <c r="T3" i="2"/>
  <c r="S3" i="2"/>
  <c r="R3" i="2"/>
  <c r="G3" i="2"/>
  <c r="U96" i="2"/>
  <c r="U98" i="2"/>
  <c r="U99" i="2"/>
  <c r="G99" i="2"/>
  <c r="V100" i="2"/>
  <c r="U100" i="2"/>
  <c r="F22" i="2"/>
  <c r="I22" i="2" s="1"/>
  <c r="F23" i="2"/>
  <c r="I23" i="2" s="1"/>
  <c r="O23" i="2" s="1"/>
  <c r="F24" i="2"/>
  <c r="I24" i="2" s="1"/>
  <c r="O24" i="2" s="1"/>
  <c r="F25" i="2"/>
  <c r="I25" i="2" s="1"/>
  <c r="F26" i="2"/>
  <c r="I26" i="2" s="1"/>
  <c r="O26" i="2" s="1"/>
  <c r="F27" i="2"/>
  <c r="I27" i="2" s="1"/>
  <c r="O27" i="2" s="1"/>
  <c r="F28" i="2"/>
  <c r="I28" i="2" s="1"/>
  <c r="O28" i="2" s="1"/>
  <c r="F29" i="2"/>
  <c r="I29" i="2" s="1"/>
  <c r="O29" i="2" s="1"/>
  <c r="F30" i="2"/>
  <c r="I30" i="2" s="1"/>
  <c r="F31" i="2"/>
  <c r="I31" i="2" s="1"/>
  <c r="F32" i="2"/>
  <c r="I32" i="2" s="1"/>
  <c r="F33" i="2"/>
  <c r="I33" i="2" s="1"/>
  <c r="F34" i="2"/>
  <c r="I34" i="2" s="1"/>
  <c r="F35" i="2"/>
  <c r="I35" i="2" s="1"/>
  <c r="F36" i="2"/>
  <c r="I36" i="2" s="1"/>
  <c r="F37" i="2"/>
  <c r="I37" i="2" s="1"/>
  <c r="F38" i="2"/>
  <c r="I38" i="2" s="1"/>
  <c r="F39" i="2"/>
  <c r="I39" i="2" s="1"/>
  <c r="F40" i="2"/>
  <c r="I40" i="2" s="1"/>
  <c r="F41" i="2"/>
  <c r="I41" i="2" s="1"/>
  <c r="F42" i="2"/>
  <c r="I42" i="2" s="1"/>
  <c r="F43" i="2"/>
  <c r="I43" i="2" s="1"/>
  <c r="F44" i="2"/>
  <c r="I44" i="2" s="1"/>
  <c r="F45" i="2"/>
  <c r="I45" i="2" s="1"/>
  <c r="F46" i="2"/>
  <c r="I46" i="2" s="1"/>
  <c r="F47" i="2"/>
  <c r="I47" i="2" s="1"/>
  <c r="F48" i="2"/>
  <c r="I48" i="2" s="1"/>
  <c r="F49" i="2"/>
  <c r="I49" i="2" s="1"/>
  <c r="F50" i="2"/>
  <c r="I50" i="2" s="1"/>
  <c r="F51" i="2"/>
  <c r="I51" i="2" s="1"/>
  <c r="F52" i="2"/>
  <c r="I52" i="2" s="1"/>
  <c r="F53" i="2"/>
  <c r="I53" i="2" s="1"/>
  <c r="F54" i="2"/>
  <c r="I54" i="2" s="1"/>
  <c r="F55" i="2"/>
  <c r="I55" i="2" s="1"/>
  <c r="F56" i="2"/>
  <c r="I56" i="2" s="1"/>
  <c r="F57" i="2"/>
  <c r="I57" i="2" s="1"/>
  <c r="F58" i="2"/>
  <c r="I58" i="2" s="1"/>
  <c r="F59" i="2"/>
  <c r="I59" i="2" s="1"/>
  <c r="F60" i="2"/>
  <c r="I60" i="2" s="1"/>
  <c r="F61" i="2"/>
  <c r="I61" i="2" s="1"/>
  <c r="F62" i="2"/>
  <c r="I62" i="2" s="1"/>
  <c r="F63" i="2"/>
  <c r="I63" i="2" s="1"/>
  <c r="F64" i="2"/>
  <c r="I64" i="2" s="1"/>
  <c r="F65" i="2"/>
  <c r="I65" i="2" s="1"/>
  <c r="F66" i="2"/>
  <c r="I66" i="2" s="1"/>
  <c r="F67" i="2"/>
  <c r="I67" i="2" s="1"/>
  <c r="F68" i="2"/>
  <c r="I68" i="2" s="1"/>
  <c r="F69" i="2"/>
  <c r="I69" i="2" s="1"/>
  <c r="F70" i="2"/>
  <c r="I70" i="2" s="1"/>
  <c r="F72" i="2"/>
  <c r="I72" i="2" s="1"/>
  <c r="F73" i="2"/>
  <c r="I73" i="2" s="1"/>
  <c r="F74" i="2"/>
  <c r="I74" i="2" s="1"/>
  <c r="F75" i="2"/>
  <c r="I75" i="2" s="1"/>
  <c r="F76" i="2"/>
  <c r="I76" i="2" s="1"/>
  <c r="F77" i="2"/>
  <c r="I77" i="2" s="1"/>
  <c r="F78" i="2"/>
  <c r="I78" i="2" s="1"/>
  <c r="F79" i="2"/>
  <c r="I79" i="2" s="1"/>
  <c r="F80" i="2"/>
  <c r="I80" i="2" s="1"/>
  <c r="F81" i="2"/>
  <c r="I81" i="2" s="1"/>
  <c r="F82" i="2"/>
  <c r="I82" i="2" s="1"/>
  <c r="F83" i="2"/>
  <c r="I83" i="2" s="1"/>
  <c r="F84" i="2"/>
  <c r="I84" i="2" s="1"/>
  <c r="F85" i="2"/>
  <c r="I85" i="2" s="1"/>
  <c r="O85" i="2" s="1"/>
  <c r="F86" i="2"/>
  <c r="I86" i="2" s="1"/>
  <c r="F87" i="2"/>
  <c r="I87" i="2" s="1"/>
  <c r="F88" i="2"/>
  <c r="I88" i="2" s="1"/>
  <c r="F89" i="2"/>
  <c r="I89" i="2" s="1"/>
  <c r="F90" i="2"/>
  <c r="I90" i="2" s="1"/>
  <c r="F91" i="2"/>
  <c r="I91" i="2" s="1"/>
  <c r="F92" i="2"/>
  <c r="I92" i="2" s="1"/>
  <c r="F93" i="2"/>
  <c r="I93" i="2" s="1"/>
  <c r="F94" i="2"/>
  <c r="I94" i="2" s="1"/>
  <c r="F95" i="2"/>
  <c r="I95" i="2" s="1"/>
  <c r="F96" i="2"/>
  <c r="I96" i="2" s="1"/>
  <c r="F97" i="2"/>
  <c r="I97" i="2" s="1"/>
  <c r="F98" i="2"/>
  <c r="I98" i="2" s="1"/>
  <c r="F99" i="2"/>
  <c r="F100" i="2"/>
  <c r="I100" i="2" s="1"/>
  <c r="F101" i="2"/>
  <c r="I101" i="2" s="1"/>
  <c r="F4" i="2"/>
  <c r="F5" i="2"/>
  <c r="F6" i="2"/>
  <c r="F7" i="2"/>
  <c r="F8" i="2"/>
  <c r="F9" i="2"/>
  <c r="I9" i="2" s="1"/>
  <c r="F11" i="2"/>
  <c r="I11" i="2" s="1"/>
  <c r="F13" i="2"/>
  <c r="I13" i="2" s="1"/>
  <c r="F14" i="2"/>
  <c r="F15" i="2"/>
  <c r="I15" i="2" s="1"/>
  <c r="F16" i="2"/>
  <c r="I16" i="2" s="1"/>
  <c r="F17" i="2"/>
  <c r="I17" i="2" s="1"/>
  <c r="F18" i="2"/>
  <c r="I18" i="2" s="1"/>
  <c r="F19" i="2"/>
  <c r="F20" i="2"/>
  <c r="I20" i="2" s="1"/>
  <c r="F3" i="2"/>
  <c r="P85" i="2" l="1"/>
  <c r="P29" i="2"/>
  <c r="P28" i="2"/>
  <c r="P27" i="2"/>
  <c r="P26" i="2"/>
  <c r="P24" i="2"/>
  <c r="I19" i="2"/>
  <c r="I71" i="2"/>
  <c r="I5" i="2"/>
  <c r="I10" i="2"/>
  <c r="I14" i="2"/>
  <c r="I8" i="2"/>
  <c r="I12" i="2"/>
  <c r="I7" i="2"/>
  <c r="I6" i="2"/>
  <c r="I4" i="2"/>
  <c r="I3" i="2"/>
  <c r="I99" i="2"/>
</calcChain>
</file>

<file path=xl/sharedStrings.xml><?xml version="1.0" encoding="utf-8"?>
<sst xmlns="http://schemas.openxmlformats.org/spreadsheetml/2006/main" count="233" uniqueCount="232">
  <si>
    <t>P</t>
  </si>
  <si>
    <t>S</t>
  </si>
  <si>
    <t>MC</t>
  </si>
  <si>
    <t>C</t>
  </si>
  <si>
    <t>D</t>
  </si>
  <si>
    <t>EV</t>
  </si>
  <si>
    <t>Ticker</t>
  </si>
  <si>
    <t>Company</t>
  </si>
  <si>
    <t>Price</t>
  </si>
  <si>
    <t>CRM</t>
  </si>
  <si>
    <t>Salesforce Inc</t>
  </si>
  <si>
    <t>ADBE</t>
  </si>
  <si>
    <t>Adobe Inc</t>
  </si>
  <si>
    <t>NOW</t>
  </si>
  <si>
    <t>ServiceNow Inc</t>
  </si>
  <si>
    <t>INTU</t>
  </si>
  <si>
    <t>Intuit Inc</t>
  </si>
  <si>
    <t>UBER</t>
  </si>
  <si>
    <t>Uber Technologies Inc</t>
  </si>
  <si>
    <t>ADP</t>
  </si>
  <si>
    <t>Automatic Data Processing Inc</t>
  </si>
  <si>
    <t>APP</t>
  </si>
  <si>
    <t>Applovin Corp</t>
  </si>
  <si>
    <t>MSTR</t>
  </si>
  <si>
    <t>Strategy</t>
  </si>
  <si>
    <t>CDNS</t>
  </si>
  <si>
    <t>Cadence Design Systems, Inc</t>
  </si>
  <si>
    <t>WDAY</t>
  </si>
  <si>
    <t>Workday Inc</t>
  </si>
  <si>
    <t>ROP</t>
  </si>
  <si>
    <t>Roper Technologies Inc</t>
  </si>
  <si>
    <t>TEAM</t>
  </si>
  <si>
    <t>Atlassian Corporation</t>
  </si>
  <si>
    <t>ADSK</t>
  </si>
  <si>
    <t>Autodesk Inc</t>
  </si>
  <si>
    <t>PAYX</t>
  </si>
  <si>
    <t>Paychex Inc</t>
  </si>
  <si>
    <t>SNOW</t>
  </si>
  <si>
    <t>Snowflake Inc</t>
  </si>
  <si>
    <t>FICO</t>
  </si>
  <si>
    <t>Fair Isaac Corp</t>
  </si>
  <si>
    <t>DDOG</t>
  </si>
  <si>
    <t>Datadog Inc</t>
  </si>
  <si>
    <t>HUBS</t>
  </si>
  <si>
    <t>HubSpot Inc</t>
  </si>
  <si>
    <t>TTD</t>
  </si>
  <si>
    <t>Trade Desk Inc</t>
  </si>
  <si>
    <t>ANSS</t>
  </si>
  <si>
    <t>Ansys Inc</t>
  </si>
  <si>
    <t>TYL</t>
  </si>
  <si>
    <t>Tyler Technologies, Inc</t>
  </si>
  <si>
    <t>ZM</t>
  </si>
  <si>
    <t>Zoom Communications Inc</t>
  </si>
  <si>
    <t>SSNC</t>
  </si>
  <si>
    <t>SS&amp;C Technologies Holdings Inc</t>
  </si>
  <si>
    <t>PTC</t>
  </si>
  <si>
    <t>PTC Inc</t>
  </si>
  <si>
    <t>AZPN</t>
  </si>
  <si>
    <t>Aspen Technology Inc</t>
  </si>
  <si>
    <t>DOCU</t>
  </si>
  <si>
    <t>DocuSign Inc</t>
  </si>
  <si>
    <t>GWRE</t>
  </si>
  <si>
    <t>Guidewire Software Inc</t>
  </si>
  <si>
    <t>DT</t>
  </si>
  <si>
    <t>Dynatrace Inc</t>
  </si>
  <si>
    <t>DUOL</t>
  </si>
  <si>
    <t>Duolingo Inc</t>
  </si>
  <si>
    <t>BSY</t>
  </si>
  <si>
    <t>Bentley Systems Inc</t>
  </si>
  <si>
    <t>PAYC</t>
  </si>
  <si>
    <t>Paycom Software Inc</t>
  </si>
  <si>
    <t>PCTY</t>
  </si>
  <si>
    <t>Paylocity Holding Corp</t>
  </si>
  <si>
    <t>ESTC</t>
  </si>
  <si>
    <t>Elastic N.V</t>
  </si>
  <si>
    <t>MANH</t>
  </si>
  <si>
    <t>Manhattan Associates, Inc</t>
  </si>
  <si>
    <t>PCOR</t>
  </si>
  <si>
    <t>Procore Technologies Inc</t>
  </si>
  <si>
    <t>ALTR</t>
  </si>
  <si>
    <t>Altair Engineering Inc</t>
  </si>
  <si>
    <t>U</t>
  </si>
  <si>
    <t>Unity Software Inc</t>
  </si>
  <si>
    <t>DAY</t>
  </si>
  <si>
    <t>Dayforce Inc</t>
  </si>
  <si>
    <t>TTAN</t>
  </si>
  <si>
    <t>ServiceTitan Inc</t>
  </si>
  <si>
    <t>APPF</t>
  </si>
  <si>
    <t>Appfolio Inc</t>
  </si>
  <si>
    <t>CWAN</t>
  </si>
  <si>
    <t>Clearwater Analytics Holdings Inc</t>
  </si>
  <si>
    <t>CVLT</t>
  </si>
  <si>
    <t>Commvault Systems Inc</t>
  </si>
  <si>
    <t>PEGA</t>
  </si>
  <si>
    <t>Pegasystems Inc</t>
  </si>
  <si>
    <t>CCCS</t>
  </si>
  <si>
    <t>CCC Intelligent Solutions Holdings Inc</t>
  </si>
  <si>
    <t>IDCC</t>
  </si>
  <si>
    <t>Interdigital Inc</t>
  </si>
  <si>
    <t>VERX</t>
  </si>
  <si>
    <t>Vertex Inc</t>
  </si>
  <si>
    <t>QXO</t>
  </si>
  <si>
    <t>QXO Inc</t>
  </si>
  <si>
    <t>WK</t>
  </si>
  <si>
    <t>Workiva Inc</t>
  </si>
  <si>
    <t>LYFT</t>
  </si>
  <si>
    <t>Lyft Inc</t>
  </si>
  <si>
    <t>INTA</t>
  </si>
  <si>
    <t>Intapp Inc</t>
  </si>
  <si>
    <t>SPSC</t>
  </si>
  <si>
    <t>SPS Commerce Inc</t>
  </si>
  <si>
    <t>BILL</t>
  </si>
  <si>
    <t>BILL Holdings Inc</t>
  </si>
  <si>
    <t>QTWO</t>
  </si>
  <si>
    <t>Q2 Holdings Inc</t>
  </si>
  <si>
    <t>FRSH</t>
  </si>
  <si>
    <t>Freshworks Inc</t>
  </si>
  <si>
    <t>PYCR</t>
  </si>
  <si>
    <t>Paycor HCM Inc</t>
  </si>
  <si>
    <t>FROG</t>
  </si>
  <si>
    <t>JFrog Ltd</t>
  </si>
  <si>
    <t>ZI</t>
  </si>
  <si>
    <t>ZoomInfo Technologies Inc</t>
  </si>
  <si>
    <t>BRZE</t>
  </si>
  <si>
    <t>Braze Inc</t>
  </si>
  <si>
    <t>SOUN</t>
  </si>
  <si>
    <t>SoundHound AI Inc</t>
  </si>
  <si>
    <t>GRND</t>
  </si>
  <si>
    <t>Grindr Inc</t>
  </si>
  <si>
    <t>YOU</t>
  </si>
  <si>
    <t>Clear Secure Inc</t>
  </si>
  <si>
    <t>NCNO</t>
  </si>
  <si>
    <t>Ncino Inc</t>
  </si>
  <si>
    <t>ALIT</t>
  </si>
  <si>
    <t>Alight Inc</t>
  </si>
  <si>
    <t>BLKB</t>
  </si>
  <si>
    <t>Blackbaud Inc</t>
  </si>
  <si>
    <t>LIF</t>
  </si>
  <si>
    <t>Life360 Inc</t>
  </si>
  <si>
    <t>ASAN</t>
  </si>
  <si>
    <t>Asana Inc</t>
  </si>
  <si>
    <t>BL</t>
  </si>
  <si>
    <t>BlackLine Inc</t>
  </si>
  <si>
    <t>ALRM</t>
  </si>
  <si>
    <t>Alarm.com Holdings Inc</t>
  </si>
  <si>
    <t>AI</t>
  </si>
  <si>
    <t>C3.ai Inc</t>
  </si>
  <si>
    <t>PAR</t>
  </si>
  <si>
    <t>Par Technology Corp</t>
  </si>
  <si>
    <t>ALKT</t>
  </si>
  <si>
    <t>Alkami Technology Inc</t>
  </si>
  <si>
    <t>RNG</t>
  </si>
  <si>
    <t>RingCentral Inc</t>
  </si>
  <si>
    <t>DV</t>
  </si>
  <si>
    <t>DoubleVerify Holdings Inc</t>
  </si>
  <si>
    <t>CXM</t>
  </si>
  <si>
    <t>Sprinklr Inc</t>
  </si>
  <si>
    <t>AGYS</t>
  </si>
  <si>
    <t>Agilysys, Inc</t>
  </si>
  <si>
    <t>NATL</t>
  </si>
  <si>
    <t>NCR Atleos Corp</t>
  </si>
  <si>
    <t>JAMF</t>
  </si>
  <si>
    <t>Jamf Holding Corp</t>
  </si>
  <si>
    <t>PLUS</t>
  </si>
  <si>
    <t>ePlus Inc</t>
  </si>
  <si>
    <t>DBD</t>
  </si>
  <si>
    <t>Diebold Nixdorf Inc</t>
  </si>
  <si>
    <t>AMPL</t>
  </si>
  <si>
    <t>Amplitude Inc</t>
  </si>
  <si>
    <t>ADEA</t>
  </si>
  <si>
    <t>Adeia Inc</t>
  </si>
  <si>
    <t>MLNK</t>
  </si>
  <si>
    <t>MeridianLink Inc</t>
  </si>
  <si>
    <t>PD</t>
  </si>
  <si>
    <t>Pagerduty Inc</t>
  </si>
  <si>
    <t>SEMR</t>
  </si>
  <si>
    <t>SEMrush Holdings Inc</t>
  </si>
  <si>
    <t>ENFN</t>
  </si>
  <si>
    <t>Enfusion Inc</t>
  </si>
  <si>
    <t>UPBD</t>
  </si>
  <si>
    <t>Upbound Group Inc</t>
  </si>
  <si>
    <t>SPT</t>
  </si>
  <si>
    <t>Sprout Social Inc</t>
  </si>
  <si>
    <t>IBTA</t>
  </si>
  <si>
    <t>Ibotta Inc</t>
  </si>
  <si>
    <t>DFIN</t>
  </si>
  <si>
    <t>Donnelley Financial Solutions Inc</t>
  </si>
  <si>
    <t>DAVE</t>
  </si>
  <si>
    <t>Dave Inc</t>
  </si>
  <si>
    <t>OLO</t>
  </si>
  <si>
    <t>Olo Inc</t>
  </si>
  <si>
    <t>PRO</t>
  </si>
  <si>
    <t>Pros Holdings Inc</t>
  </si>
  <si>
    <t>ML</t>
  </si>
  <si>
    <t>MoneyLion Inc</t>
  </si>
  <si>
    <t>FSLY</t>
  </si>
  <si>
    <t>Fastly Inc</t>
  </si>
  <si>
    <t>BLND</t>
  </si>
  <si>
    <t>Blend Labs Inc</t>
  </si>
  <si>
    <t>VMEO</t>
  </si>
  <si>
    <t>Vimeo Inc</t>
  </si>
  <si>
    <t>PDFS</t>
  </si>
  <si>
    <t>PDF Solutions Inc</t>
  </si>
  <si>
    <t>DSP</t>
  </si>
  <si>
    <t>Viant Technology Inc</t>
  </si>
  <si>
    <t>ETWO</t>
  </si>
  <si>
    <t>E2open Parent Holdings Inc</t>
  </si>
  <si>
    <t>Shares</t>
  </si>
  <si>
    <t>$m</t>
  </si>
  <si>
    <t>Cash</t>
  </si>
  <si>
    <t>Debt</t>
  </si>
  <si>
    <t xml:space="preserve">EV </t>
  </si>
  <si>
    <t>EV/R</t>
  </si>
  <si>
    <t>FCF</t>
  </si>
  <si>
    <t>GM %</t>
  </si>
  <si>
    <t>S&amp;M %</t>
  </si>
  <si>
    <t>R&amp;D %</t>
  </si>
  <si>
    <t>CR</t>
  </si>
  <si>
    <t>22R</t>
  </si>
  <si>
    <t>23R</t>
  </si>
  <si>
    <t>24R</t>
  </si>
  <si>
    <t>25R</t>
  </si>
  <si>
    <t>RPE</t>
  </si>
  <si>
    <t xml:space="preserve">software company that helps userss purchase ads in a smart way </t>
  </si>
  <si>
    <t>software that helps semi conductor companies improve yields, design, etc.</t>
  </si>
  <si>
    <t>R Y/Y</t>
  </si>
  <si>
    <t>software for video developers, subpar to youtube, which has a bigger audience and you can store your portfolio there</t>
  </si>
  <si>
    <t xml:space="preserve">software that helps legacy banks automate origination proesses like mortgages, diffeents loans, etc. demand depenwednt on loan volume </t>
  </si>
  <si>
    <t xml:space="preserve">software that retrieves internet data "faster" for your website </t>
  </si>
  <si>
    <t>financing services company that essentially earns money by offering services to the poor</t>
  </si>
  <si>
    <t>MC/R</t>
  </si>
  <si>
    <t>795.740-44.045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</si>
</sst>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\x"/>
    <numFmt numFmtId="165" formatCode="0.0"/>
    <numFmt numFmtId="166" formatCode="#,##0.0"/>
  </numFmts>
  <fonts count="3">
    <font>
      <sz val="10"/>
      <color theme="1"/>
      <name val="ArialMT"/>
      <family val="2"/>
    </font>
    <font>
      <u/>
      <sz val="10"/>
      <color theme="10"/>
      <name val="ArialMT"/>
      <family val="2"/>
    </font>
    <font>
      <sz val="10"/>
      <color theme="1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9">
    <xf numFmtId="0" fontId="0" fillId="0" borderId="0" xfId="0"/>
    <xf numFmtId="3" fontId="0" fillId="0" borderId="0" xfId="0" applyNumberFormat="1"/>
    <xf numFmtId="164" fontId="0" fillId="0" borderId="0" xfId="0" applyNumberFormat="1"/>
    <xf numFmtId="9" fontId="0" fillId="0" borderId="0" xfId="0" applyNumberFormat="1"/>
    <xf numFmtId="165" fontId="0" fillId="0" borderId="0" xfId="0" applyNumberFormat="1"/>
    <xf numFmtId="165" fontId="1" fillId="0" borderId="0" xfId="1" applyNumberFormat="1"/>
    <xf numFmtId="166" fontId="0" fillId="0" borderId="0" xfId="0" applyNumberFormat="1"/>
    <xf numFmtId="1" fontId="0" fillId="0" borderId="0" xfId="0" applyNumberFormat="1"/>
    <xf numFmtId="9" fontId="0" fillId="0" borderId="0" xfId="2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software%20application/VMEO.xlsx" TargetMode="External"/><Relationship Id="rId2" Type="http://schemas.openxmlformats.org/officeDocument/2006/relationships/hyperlink" Target="software%20application/PDFS.xlsx" TargetMode="External"/><Relationship Id="rId1" Type="http://schemas.openxmlformats.org/officeDocument/2006/relationships/hyperlink" Target="software%20application/DSP.xlsx" TargetMode="External"/><Relationship Id="rId6" Type="http://schemas.openxmlformats.org/officeDocument/2006/relationships/hyperlink" Target="software%20application/ML.xlsx" TargetMode="External"/><Relationship Id="rId5" Type="http://schemas.openxmlformats.org/officeDocument/2006/relationships/hyperlink" Target="software%20application/FSLY.xlsx" TargetMode="External"/><Relationship Id="rId4" Type="http://schemas.openxmlformats.org/officeDocument/2006/relationships/hyperlink" Target="software%20application/BLND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C6D61-59E4-514E-B538-1FF6446D699E}">
  <dimension ref="K2:K7"/>
  <sheetViews>
    <sheetView workbookViewId="0">
      <selection activeCell="L2" sqref="L2"/>
    </sheetView>
  </sheetViews>
  <sheetFormatPr baseColWidth="10" defaultRowHeight="13"/>
  <cols>
    <col min="1" max="16384" width="10.83203125" style="1"/>
  </cols>
  <sheetData>
    <row r="2" spans="11:11">
      <c r="K2" s="1" t="s">
        <v>0</v>
      </c>
    </row>
    <row r="3" spans="11:11">
      <c r="K3" s="1" t="s">
        <v>1</v>
      </c>
    </row>
    <row r="4" spans="11:11">
      <c r="K4" s="1" t="s">
        <v>2</v>
      </c>
    </row>
    <row r="5" spans="11:11">
      <c r="K5" s="1" t="s">
        <v>3</v>
      </c>
    </row>
    <row r="6" spans="11:11">
      <c r="K6" s="1" t="s">
        <v>4</v>
      </c>
    </row>
    <row r="7" spans="11:11">
      <c r="K7" s="1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02B17-16AE-2E4A-B540-325D040F6F76}">
  <dimension ref="A1:W102"/>
  <sheetViews>
    <sheetView tabSelected="1" zoomScale="125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15" sqref="A15:XFD15"/>
    </sheetView>
  </sheetViews>
  <sheetFormatPr baseColWidth="10" defaultRowHeight="13"/>
  <cols>
    <col min="1" max="1" width="0.83203125" customWidth="1"/>
    <col min="2" max="2" width="40.33203125" bestFit="1" customWidth="1"/>
    <col min="3" max="3" width="6.33203125" bestFit="1" customWidth="1"/>
    <col min="4" max="4" width="5.1640625" style="7" bestFit="1" customWidth="1"/>
    <col min="5" max="5" width="6.6640625" bestFit="1" customWidth="1"/>
    <col min="6" max="6" width="7.6640625" bestFit="1" customWidth="1"/>
    <col min="7" max="7" width="6.6640625" bestFit="1" customWidth="1"/>
    <col min="8" max="8" width="7.1640625" bestFit="1" customWidth="1"/>
    <col min="9" max="9" width="8.33203125" bestFit="1" customWidth="1"/>
    <col min="10" max="13" width="6.6640625" bestFit="1" customWidth="1"/>
    <col min="14" max="14" width="7" style="3" bestFit="1" customWidth="1"/>
    <col min="15" max="15" width="8.33203125" style="2" bestFit="1" customWidth="1"/>
    <col min="16" max="16" width="8.33203125" style="2" customWidth="1"/>
    <col min="17" max="17" width="5.6640625" style="1" bestFit="1" customWidth="1"/>
    <col min="18" max="18" width="7.6640625" style="3" bestFit="1" customWidth="1"/>
    <col min="19" max="19" width="6.83203125" style="3" bestFit="1" customWidth="1"/>
    <col min="20" max="20" width="6.6640625" style="3" bestFit="1" customWidth="1"/>
    <col min="21" max="21" width="6.5" style="2" bestFit="1" customWidth="1"/>
    <col min="22" max="22" width="4.83203125" style="4" bestFit="1" customWidth="1"/>
  </cols>
  <sheetData>
    <row r="1" spans="1:22">
      <c r="A1" t="s">
        <v>208</v>
      </c>
    </row>
    <row r="2" spans="1:22">
      <c r="B2" t="s">
        <v>7</v>
      </c>
      <c r="C2" t="s">
        <v>6</v>
      </c>
      <c r="D2" s="7" t="s">
        <v>8</v>
      </c>
      <c r="E2" t="s">
        <v>207</v>
      </c>
      <c r="F2" t="s">
        <v>2</v>
      </c>
      <c r="G2" t="s">
        <v>209</v>
      </c>
      <c r="H2" t="s">
        <v>210</v>
      </c>
      <c r="I2" t="s">
        <v>211</v>
      </c>
      <c r="J2" t="s">
        <v>218</v>
      </c>
      <c r="K2" t="s">
        <v>219</v>
      </c>
      <c r="L2" t="s">
        <v>220</v>
      </c>
      <c r="M2" t="s">
        <v>221</v>
      </c>
      <c r="N2" s="3" t="s">
        <v>225</v>
      </c>
      <c r="O2" s="2" t="s">
        <v>212</v>
      </c>
      <c r="P2" s="2" t="s">
        <v>230</v>
      </c>
      <c r="Q2" s="1" t="s">
        <v>213</v>
      </c>
      <c r="R2" s="3" t="s">
        <v>214</v>
      </c>
      <c r="S2" s="3" t="s">
        <v>215</v>
      </c>
      <c r="T2" s="3" t="s">
        <v>216</v>
      </c>
      <c r="U2" s="2" t="s">
        <v>217</v>
      </c>
      <c r="V2" s="4" t="s">
        <v>222</v>
      </c>
    </row>
    <row r="3" spans="1:22">
      <c r="B3" s="4" t="s">
        <v>10</v>
      </c>
      <c r="C3" s="4" t="s">
        <v>9</v>
      </c>
      <c r="D3" s="7">
        <v>284.58</v>
      </c>
      <c r="E3" s="1">
        <v>961</v>
      </c>
      <c r="F3" s="1">
        <f>+D3*E3</f>
        <v>273481.38</v>
      </c>
      <c r="G3" s="1">
        <f>8848+5184</f>
        <v>14032</v>
      </c>
      <c r="H3" s="1">
        <v>8433</v>
      </c>
      <c r="I3" s="1">
        <f t="shared" ref="I3:I65" si="0">+F3-G3+H3</f>
        <v>267882.38</v>
      </c>
      <c r="J3" s="1"/>
      <c r="K3" s="1">
        <v>31352</v>
      </c>
      <c r="L3" s="1">
        <v>34857</v>
      </c>
      <c r="M3" s="1">
        <v>37895</v>
      </c>
      <c r="N3" s="3">
        <f>IFERROR(IF(M3 = "", L3/K3-1, M3/L3-1), "")</f>
        <v>8.7156094902028247E-2</v>
      </c>
      <c r="O3" s="2">
        <f>IFERROR(IF(M3 = "", I3/L3,  I3/M3), "")</f>
        <v>7.0690692703522897</v>
      </c>
      <c r="P3" s="2">
        <f>IFERROR(IF(M3 = "", F3/L3, F3/M3), "")</f>
        <v>7.2168196331969918</v>
      </c>
      <c r="R3" s="3">
        <f>29252/37895</f>
        <v>0.77192241720543608</v>
      </c>
      <c r="S3" s="3">
        <f>13257/37895</f>
        <v>0.34983507058978758</v>
      </c>
      <c r="T3" s="3">
        <f>5493/M3</f>
        <v>0.14495316004749967</v>
      </c>
    </row>
    <row r="4" spans="1:22">
      <c r="B4" s="4" t="s">
        <v>12</v>
      </c>
      <c r="C4" s="4" t="s">
        <v>11</v>
      </c>
      <c r="D4" s="7">
        <v>398.5</v>
      </c>
      <c r="E4" s="1">
        <v>435.3</v>
      </c>
      <c r="F4" s="1">
        <f t="shared" ref="F4:F66" si="1">+D4*E4</f>
        <v>173467.05000000002</v>
      </c>
      <c r="G4" s="1">
        <f>7613+273</f>
        <v>7886</v>
      </c>
      <c r="H4" s="1">
        <f>1499+4129</f>
        <v>5628</v>
      </c>
      <c r="I4" s="1">
        <f t="shared" si="0"/>
        <v>171209.05000000002</v>
      </c>
      <c r="J4" s="1">
        <v>17606</v>
      </c>
      <c r="K4" s="1">
        <v>19409</v>
      </c>
      <c r="L4" s="1">
        <v>21505</v>
      </c>
      <c r="M4" s="1"/>
      <c r="N4" s="3">
        <f t="shared" ref="N4:N67" si="2">IFERROR(IF(M4 = "", L4/K4-1, M4/L4-1), "")</f>
        <v>0.10799113813179462</v>
      </c>
      <c r="O4" s="2">
        <f t="shared" ref="O4:O67" si="3">IFERROR(IF(M4 = "", I4/L4,  I4/M4), "")</f>
        <v>7.9613601488026049</v>
      </c>
      <c r="P4" s="2">
        <f t="shared" ref="P4:P67" si="4">IFERROR(IF(M4 = "", F4/L4, F4/M4), "")</f>
        <v>8.0663589862822604</v>
      </c>
      <c r="Q4" s="1">
        <f>5086-183</f>
        <v>4903</v>
      </c>
      <c r="R4" s="3">
        <v>0.89035108114392003</v>
      </c>
      <c r="S4" s="3">
        <v>0.26803069053708439</v>
      </c>
      <c r="T4" s="3">
        <v>0.183399209486166</v>
      </c>
    </row>
    <row r="5" spans="1:22">
      <c r="B5" s="4" t="s">
        <v>14</v>
      </c>
      <c r="C5" s="4" t="s">
        <v>13</v>
      </c>
      <c r="D5" s="7">
        <v>843.14</v>
      </c>
      <c r="E5" s="1">
        <v>206</v>
      </c>
      <c r="F5" s="1">
        <f t="shared" si="1"/>
        <v>173686.84</v>
      </c>
      <c r="G5" s="1">
        <f>2304+3458+4111</f>
        <v>9873</v>
      </c>
      <c r="H5" s="1">
        <v>1489</v>
      </c>
      <c r="I5" s="1">
        <f t="shared" si="0"/>
        <v>165302.84</v>
      </c>
      <c r="J5" s="1">
        <v>7245</v>
      </c>
      <c r="K5" s="1">
        <v>8971</v>
      </c>
      <c r="L5" s="1">
        <v>10984</v>
      </c>
      <c r="M5" s="1"/>
      <c r="N5" s="3">
        <f t="shared" si="2"/>
        <v>0.22438970014491133</v>
      </c>
      <c r="O5" s="2">
        <f t="shared" si="3"/>
        <v>15.04942097596504</v>
      </c>
      <c r="P5" s="2">
        <f t="shared" si="4"/>
        <v>15.812713037144938</v>
      </c>
      <c r="Q5" s="1">
        <f>4267-852</f>
        <v>3415</v>
      </c>
      <c r="R5" s="3">
        <f>8697/$L$5</f>
        <v>0.79178805535324104</v>
      </c>
      <c r="S5" s="3">
        <f>3854/$L$5</f>
        <v>0.35087399854333579</v>
      </c>
      <c r="T5" s="3">
        <f>2543/$L$5</f>
        <v>0.23151857246904589</v>
      </c>
    </row>
    <row r="6" spans="1:22">
      <c r="B6" s="4" t="s">
        <v>16</v>
      </c>
      <c r="C6" s="4" t="s">
        <v>15</v>
      </c>
      <c r="D6" s="7">
        <v>618.32000000000005</v>
      </c>
      <c r="E6" s="1">
        <v>279.56200000000001</v>
      </c>
      <c r="F6" s="1">
        <f t="shared" si="1"/>
        <v>172858.77584000002</v>
      </c>
      <c r="G6" s="1">
        <f>2435+24+88</f>
        <v>2547</v>
      </c>
      <c r="H6" s="1">
        <f>500+5760</f>
        <v>6260</v>
      </c>
      <c r="I6" s="1">
        <f t="shared" si="0"/>
        <v>176571.77584000002</v>
      </c>
      <c r="J6" s="1">
        <v>12726</v>
      </c>
      <c r="K6" s="1">
        <v>14368</v>
      </c>
      <c r="L6" s="1">
        <v>16285</v>
      </c>
      <c r="M6" s="1"/>
      <c r="N6" s="3">
        <f t="shared" si="2"/>
        <v>0.13342149220489974</v>
      </c>
      <c r="O6" s="2">
        <f t="shared" si="3"/>
        <v>10.84260213939208</v>
      </c>
      <c r="P6" s="2">
        <f t="shared" si="4"/>
        <v>10.61460091126804</v>
      </c>
      <c r="Q6" s="1">
        <f>4884-191</f>
        <v>4693</v>
      </c>
      <c r="R6" s="3">
        <f>(L6-(3250-69)) / L6</f>
        <v>0.80466687135400672</v>
      </c>
      <c r="S6" s="3">
        <f>4312/$L$6</f>
        <v>0.2647835431378569</v>
      </c>
      <c r="T6" s="3">
        <f>2754/$L$6</f>
        <v>0.16911268038071844</v>
      </c>
    </row>
    <row r="7" spans="1:22">
      <c r="B7" s="4" t="s">
        <v>18</v>
      </c>
      <c r="C7" s="4" t="s">
        <v>17</v>
      </c>
      <c r="D7" s="7">
        <v>74</v>
      </c>
      <c r="E7" s="1">
        <v>2089.0088649999998</v>
      </c>
      <c r="F7" s="1">
        <f t="shared" si="1"/>
        <v>154586.65600999998</v>
      </c>
      <c r="G7" s="1">
        <f>4680+727+805+4779+1519+6101+353</f>
        <v>18964</v>
      </c>
      <c r="H7" s="1">
        <v>9459</v>
      </c>
      <c r="I7" s="1">
        <f t="shared" si="0"/>
        <v>145081.65600999998</v>
      </c>
      <c r="J7" s="1">
        <v>31877</v>
      </c>
      <c r="K7" s="1">
        <v>37281</v>
      </c>
      <c r="L7" s="1">
        <v>43978</v>
      </c>
      <c r="M7" s="1"/>
      <c r="N7" s="3">
        <f t="shared" si="2"/>
        <v>0.17963573938467325</v>
      </c>
      <c r="O7" s="2">
        <f t="shared" si="3"/>
        <v>3.2989598437855285</v>
      </c>
      <c r="P7" s="2">
        <f t="shared" si="4"/>
        <v>3.5150906364545902</v>
      </c>
      <c r="Q7" s="1">
        <f>7137-242</f>
        <v>6895</v>
      </c>
      <c r="R7" s="3">
        <f>+(L7-26651) / L7</f>
        <v>0.39399245077083994</v>
      </c>
      <c r="S7" s="3">
        <f>4337/L7</f>
        <v>9.8617490563463556E-2</v>
      </c>
      <c r="T7" s="3">
        <f>3109/L7</f>
        <v>7.0694438128154985E-2</v>
      </c>
    </row>
    <row r="8" spans="1:22">
      <c r="B8" s="4" t="s">
        <v>20</v>
      </c>
      <c r="C8" s="4" t="s">
        <v>19</v>
      </c>
      <c r="D8" s="7">
        <v>306</v>
      </c>
      <c r="E8" s="1">
        <v>406.87089300000002</v>
      </c>
      <c r="F8" s="1">
        <f t="shared" si="1"/>
        <v>124502.493258</v>
      </c>
      <c r="G8" s="1">
        <v>2216.4</v>
      </c>
      <c r="H8" s="1">
        <f>1000.5+2982</f>
        <v>3982.5</v>
      </c>
      <c r="I8" s="1">
        <f t="shared" si="0"/>
        <v>126268.59325800001</v>
      </c>
      <c r="J8" s="1">
        <v>16498.3</v>
      </c>
      <c r="K8" s="1">
        <v>18012.2</v>
      </c>
      <c r="L8" s="1">
        <v>19202.599999999999</v>
      </c>
      <c r="M8" s="1"/>
      <c r="N8" s="3">
        <f t="shared" si="2"/>
        <v>6.6088539989562545E-2</v>
      </c>
      <c r="O8" s="2">
        <f t="shared" si="3"/>
        <v>6.5755987865184933</v>
      </c>
      <c r="P8" s="2">
        <f t="shared" si="4"/>
        <v>6.4836268660493896</v>
      </c>
      <c r="Q8" s="1">
        <f>4157.6-208.4</f>
        <v>3949.2000000000003</v>
      </c>
      <c r="R8" s="3">
        <f>+(L$8-10476.7) / L8</f>
        <v>0.45441242331767567</v>
      </c>
      <c r="S8" s="3">
        <f>3778.9/L8</f>
        <v>0.1967910595440201</v>
      </c>
      <c r="T8" s="3">
        <f>955.7/L8</f>
        <v>4.9769302073677531E-2</v>
      </c>
    </row>
    <row r="9" spans="1:22">
      <c r="B9" s="4" t="s">
        <v>22</v>
      </c>
      <c r="C9" s="4" t="s">
        <v>21</v>
      </c>
      <c r="D9" s="7">
        <v>331.95</v>
      </c>
      <c r="E9" s="1">
        <f>309.26969+30.688541</f>
        <v>339.95823100000001</v>
      </c>
      <c r="F9" s="1">
        <f t="shared" si="1"/>
        <v>112849.13478045</v>
      </c>
      <c r="G9" s="1">
        <v>741.41099999999994</v>
      </c>
      <c r="H9" s="1">
        <v>3508.9830000000002</v>
      </c>
      <c r="I9" s="1">
        <f t="shared" si="0"/>
        <v>115616.70678045001</v>
      </c>
      <c r="J9" s="1">
        <v>2817.058</v>
      </c>
      <c r="K9" s="1">
        <v>3283.087</v>
      </c>
      <c r="L9" s="1">
        <v>4709.2479999999996</v>
      </c>
      <c r="M9" s="1"/>
      <c r="N9" s="3">
        <f t="shared" si="2"/>
        <v>0.43439634709649777</v>
      </c>
      <c r="O9" s="2">
        <f t="shared" si="3"/>
        <v>24.550991321852241</v>
      </c>
      <c r="P9" s="2">
        <f t="shared" si="4"/>
        <v>23.963302586835521</v>
      </c>
      <c r="Q9" s="1">
        <f>2099.011-4.776</f>
        <v>2094.2350000000001</v>
      </c>
      <c r="R9" s="3">
        <f>+(L9-1166.806) / L9</f>
        <v>0.75223092943926506</v>
      </c>
      <c r="S9" s="3">
        <f>849.209/L9</f>
        <v>0.18032794195591315</v>
      </c>
      <c r="T9" s="3">
        <f>638.689/L9</f>
        <v>0.13562441391916502</v>
      </c>
    </row>
    <row r="10" spans="1:22">
      <c r="B10" s="4" t="s">
        <v>24</v>
      </c>
      <c r="C10" s="4" t="s">
        <v>23</v>
      </c>
      <c r="D10" s="7">
        <v>333.52</v>
      </c>
      <c r="E10" s="1">
        <f>237.711607+19.64025</f>
        <v>257.351857</v>
      </c>
      <c r="F10" s="1">
        <f t="shared" si="1"/>
        <v>85831.991346639988</v>
      </c>
      <c r="G10" s="1">
        <f>38.117+1.78</f>
        <v>39.896999999999998</v>
      </c>
      <c r="H10" s="1">
        <f>0.517+7191.158</f>
        <v>7191.6750000000002</v>
      </c>
      <c r="I10" s="1">
        <f t="shared" si="0"/>
        <v>92983.769346639994</v>
      </c>
      <c r="J10" s="1">
        <v>499.26400000000001</v>
      </c>
      <c r="K10" s="1">
        <v>496.26100000000002</v>
      </c>
      <c r="L10" s="1">
        <v>463.45600000000002</v>
      </c>
      <c r="M10" s="1"/>
      <c r="N10" s="3">
        <f t="shared" si="2"/>
        <v>-6.6104328166025517E-2</v>
      </c>
      <c r="O10" s="2">
        <f t="shared" si="3"/>
        <v>200.63127750345231</v>
      </c>
      <c r="P10" s="2">
        <f t="shared" si="4"/>
        <v>185.19987085427741</v>
      </c>
      <c r="Q10" s="1">
        <f>+-53.032-2.978</f>
        <v>-56.01</v>
      </c>
      <c r="R10" s="3">
        <f>333.988/L10</f>
        <v>0.72064662017537795</v>
      </c>
      <c r="S10" s="3">
        <f>138.081/L10</f>
        <v>0.2979376683007664</v>
      </c>
      <c r="T10" s="3">
        <f>118.486/L10</f>
        <v>0.25565749499413104</v>
      </c>
    </row>
    <row r="11" spans="1:22">
      <c r="B11" s="4" t="s">
        <v>26</v>
      </c>
      <c r="C11" s="4" t="s">
        <v>25</v>
      </c>
      <c r="D11" s="7">
        <v>267.23</v>
      </c>
      <c r="E11" s="1">
        <v>274.108</v>
      </c>
      <c r="F11" s="1">
        <f t="shared" si="1"/>
        <v>73249.880840000013</v>
      </c>
      <c r="G11" s="1">
        <v>2644.03</v>
      </c>
      <c r="H11" s="1">
        <f>0+2476.183</f>
        <v>2476.183</v>
      </c>
      <c r="I11" s="1">
        <f t="shared" si="0"/>
        <v>73082.033840000018</v>
      </c>
      <c r="J11" s="1">
        <v>3561.7179999999998</v>
      </c>
      <c r="K11" s="1">
        <v>4089.9859999999999</v>
      </c>
      <c r="L11" s="1">
        <v>4641.2640000000001</v>
      </c>
      <c r="M11" s="1"/>
      <c r="N11" s="3">
        <f t="shared" si="2"/>
        <v>0.13478725844049344</v>
      </c>
      <c r="O11" s="2">
        <f t="shared" si="3"/>
        <v>15.746148859448637</v>
      </c>
      <c r="P11" s="2">
        <f t="shared" si="4"/>
        <v>15.782312930270722</v>
      </c>
      <c r="Q11" s="1">
        <f>1260.551-142.542</f>
        <v>1118.009</v>
      </c>
      <c r="R11" s="3">
        <f>+(L11-436.6-210.902) /L11</f>
        <v>0.86049015957721853</v>
      </c>
      <c r="S11" s="3">
        <f>+(757.483+282.283) /L11</f>
        <v>0.22402647209897994</v>
      </c>
      <c r="T11" s="3">
        <f>1549.093/L11</f>
        <v>0.33376532772106909</v>
      </c>
    </row>
    <row r="12" spans="1:22">
      <c r="B12" s="4" t="s">
        <v>28</v>
      </c>
      <c r="C12" s="4" t="s">
        <v>27</v>
      </c>
      <c r="D12" s="7">
        <v>252</v>
      </c>
      <c r="E12" s="1">
        <f>215+51</f>
        <v>266</v>
      </c>
      <c r="F12" s="1">
        <f t="shared" si="1"/>
        <v>67032</v>
      </c>
      <c r="G12" s="1">
        <f>1543+6474</f>
        <v>8017</v>
      </c>
      <c r="H12" s="1">
        <v>2984</v>
      </c>
      <c r="I12" s="1">
        <f t="shared" si="0"/>
        <v>61999</v>
      </c>
      <c r="J12" s="1"/>
      <c r="K12" s="1">
        <v>6216</v>
      </c>
      <c r="L12" s="1">
        <v>7259</v>
      </c>
      <c r="M12" s="1">
        <v>8446</v>
      </c>
      <c r="N12" s="3">
        <f t="shared" si="2"/>
        <v>0.16352114616338342</v>
      </c>
      <c r="O12" s="2">
        <f t="shared" si="3"/>
        <v>7.3406346199384327</v>
      </c>
      <c r="P12" s="2">
        <f t="shared" si="4"/>
        <v>7.936538006156761</v>
      </c>
      <c r="Q12" s="1">
        <f>2461-269</f>
        <v>2192</v>
      </c>
      <c r="R12" s="3">
        <f>+(M12-1266-803) / M12</f>
        <v>0.75503196779540616</v>
      </c>
      <c r="S12" s="3">
        <f>2432/M12</f>
        <v>0.28794695713947432</v>
      </c>
      <c r="T12" s="3">
        <f>2626/M12</f>
        <v>0.31091641013497512</v>
      </c>
    </row>
    <row r="13" spans="1:22">
      <c r="B13" s="4" t="s">
        <v>30</v>
      </c>
      <c r="C13" s="4" t="s">
        <v>29</v>
      </c>
      <c r="D13" s="7">
        <v>584</v>
      </c>
      <c r="E13" s="1">
        <v>107.38520699999999</v>
      </c>
      <c r="F13" s="1">
        <f t="shared" si="1"/>
        <v>62712.960887999994</v>
      </c>
      <c r="G13" s="1">
        <v>188.2</v>
      </c>
      <c r="H13" s="1">
        <f>1043.1+6579.9</f>
        <v>7623</v>
      </c>
      <c r="I13" s="1">
        <f t="shared" si="0"/>
        <v>70147.76088799999</v>
      </c>
      <c r="J13" s="1">
        <v>7039.2</v>
      </c>
      <c r="K13" s="1">
        <v>6177.8</v>
      </c>
      <c r="L13" s="1">
        <v>7039.2</v>
      </c>
      <c r="M13" s="1"/>
      <c r="N13" s="3">
        <f t="shared" si="2"/>
        <v>0.1394347502347113</v>
      </c>
      <c r="O13" s="2">
        <f t="shared" si="3"/>
        <v>9.9653030014774391</v>
      </c>
      <c r="P13" s="2">
        <f t="shared" si="4"/>
        <v>8.909103433344697</v>
      </c>
      <c r="Q13" s="1">
        <f>2393.2-66</f>
        <v>2327.1999999999998</v>
      </c>
      <c r="R13" s="3">
        <f>4878.3/7039.2</f>
        <v>0.69301909307875897</v>
      </c>
      <c r="S13" s="3">
        <f>2881.5/L13</f>
        <v>0.40935049437436072</v>
      </c>
    </row>
    <row r="14" spans="1:22">
      <c r="B14" s="4" t="s">
        <v>32</v>
      </c>
      <c r="C14" s="4" t="s">
        <v>31</v>
      </c>
      <c r="D14" s="7">
        <v>232</v>
      </c>
      <c r="E14" s="1">
        <f>163.992257+98.008049</f>
        <v>262.00030600000002</v>
      </c>
      <c r="F14" s="1">
        <f t="shared" si="1"/>
        <v>60784.070992000008</v>
      </c>
      <c r="G14" s="1">
        <f>2217.604+251.629</f>
        <v>2469.2329999999997</v>
      </c>
      <c r="H14" s="1">
        <v>986.78499999999997</v>
      </c>
      <c r="I14" s="1">
        <f t="shared" si="0"/>
        <v>59301.622992000011</v>
      </c>
      <c r="J14" s="1">
        <v>2802.8820000000001</v>
      </c>
      <c r="K14" s="1">
        <v>3534.6469999999999</v>
      </c>
      <c r="L14" s="1">
        <v>4358.6030000000001</v>
      </c>
      <c r="M14" s="1"/>
      <c r="N14" s="3">
        <f t="shared" si="2"/>
        <v>0.23310842638600127</v>
      </c>
      <c r="O14" s="2">
        <f t="shared" si="3"/>
        <v>13.605649101787892</v>
      </c>
      <c r="P14" s="2">
        <f t="shared" si="4"/>
        <v>13.945769089774867</v>
      </c>
      <c r="Q14" s="1">
        <f>1448.159-32.577</f>
        <v>1415.5820000000001</v>
      </c>
      <c r="R14" s="8">
        <f>3555.108/4358.603</f>
        <v>0.81565308884521026</v>
      </c>
      <c r="S14" s="8">
        <f>877.497/L14</f>
        <v>0.20132528702430572</v>
      </c>
      <c r="T14" s="8">
        <f>2184.111/L14</f>
        <v>0.50110344988979261</v>
      </c>
    </row>
    <row r="15" spans="1:22">
      <c r="B15" s="4" t="s">
        <v>34</v>
      </c>
      <c r="C15" s="4" t="s">
        <v>33</v>
      </c>
      <c r="D15" s="7">
        <v>273</v>
      </c>
      <c r="E15" s="1">
        <v>215</v>
      </c>
      <c r="F15" s="1">
        <f t="shared" si="1"/>
        <v>58695</v>
      </c>
      <c r="G15" s="1">
        <f>1599+287</f>
        <v>1886</v>
      </c>
      <c r="H15" s="1">
        <f>1987+300</f>
        <v>2287</v>
      </c>
      <c r="I15" s="1">
        <f t="shared" si="0"/>
        <v>59096</v>
      </c>
      <c r="J15" s="1"/>
      <c r="K15" s="1">
        <v>5005</v>
      </c>
      <c r="L15" s="1">
        <v>5497</v>
      </c>
      <c r="M15" s="1">
        <v>6131</v>
      </c>
      <c r="N15" s="3">
        <f t="shared" si="2"/>
        <v>0.11533563762052035</v>
      </c>
      <c r="O15" s="2">
        <f t="shared" si="3"/>
        <v>9.6388843581797428</v>
      </c>
      <c r="P15" s="2">
        <f t="shared" si="4"/>
        <v>9.5734790409394872</v>
      </c>
      <c r="Q15" s="1">
        <f>1607-40</f>
        <v>1567</v>
      </c>
      <c r="R15" s="8">
        <f>5553/M15</f>
        <v>0.90572500407763823</v>
      </c>
      <c r="S15" s="8">
        <f>+(2000+650)/M15</f>
        <v>0.43222965258522261</v>
      </c>
      <c r="T15" s="8">
        <f>1485/M15</f>
        <v>0.24221171097700211</v>
      </c>
    </row>
    <row r="16" spans="1:22">
      <c r="B16" s="4" t="s">
        <v>36</v>
      </c>
      <c r="C16" s="4" t="s">
        <v>35</v>
      </c>
      <c r="D16" s="7">
        <v>152.29</v>
      </c>
      <c r="E16" s="1">
        <v>360.06307399999997</v>
      </c>
      <c r="F16" s="1">
        <f t="shared" si="1"/>
        <v>54834.005539459991</v>
      </c>
      <c r="G16" s="1">
        <f>1202.1+63.1</f>
        <v>1265.1999999999998</v>
      </c>
      <c r="H16" s="1">
        <f>18.2+798.9</f>
        <v>817.1</v>
      </c>
      <c r="I16" s="1">
        <f t="shared" si="0"/>
        <v>54385.905539459993</v>
      </c>
      <c r="J16" s="1">
        <v>4611.7</v>
      </c>
      <c r="K16" s="1">
        <v>5007.1000000000004</v>
      </c>
      <c r="L16" s="1">
        <v>5278.3</v>
      </c>
      <c r="M16" s="1"/>
      <c r="N16" s="3">
        <f t="shared" si="2"/>
        <v>5.4163088414451499E-2</v>
      </c>
      <c r="O16" s="2">
        <f t="shared" si="3"/>
        <v>10.303678369827406</v>
      </c>
      <c r="P16" s="2">
        <f t="shared" si="4"/>
        <v>10.388573127609266</v>
      </c>
      <c r="Q16" s="1">
        <f>1897.7-161.4</f>
        <v>1736.3</v>
      </c>
      <c r="R16" s="8">
        <f>+(L16-1479.3)/L16</f>
        <v>0.71973931000511526</v>
      </c>
      <c r="S16" s="8">
        <f>1624.9/L16</f>
        <v>0.30784532898850009</v>
      </c>
      <c r="T16" s="7"/>
    </row>
    <row r="17" spans="2:20">
      <c r="B17" s="4" t="s">
        <v>38</v>
      </c>
      <c r="C17" s="4" t="s">
        <v>37</v>
      </c>
      <c r="D17" s="7">
        <v>161.31</v>
      </c>
      <c r="E17" s="1">
        <v>334.1</v>
      </c>
      <c r="F17" s="1">
        <f t="shared" si="1"/>
        <v>53893.671000000002</v>
      </c>
      <c r="G17" s="1">
        <f>2628.798+2008.873+656.476</f>
        <v>5294.1469999999999</v>
      </c>
      <c r="H17" s="1">
        <v>2271.529</v>
      </c>
      <c r="I17" s="1">
        <f t="shared" si="0"/>
        <v>50871.053000000007</v>
      </c>
      <c r="J17" s="1"/>
      <c r="K17" s="1">
        <v>2065.6590000000001</v>
      </c>
      <c r="L17" s="1">
        <v>2806.489</v>
      </c>
      <c r="M17" s="1">
        <v>3626.3960000000002</v>
      </c>
      <c r="N17" s="3">
        <f t="shared" si="2"/>
        <v>0.29214687818124352</v>
      </c>
      <c r="O17" s="2">
        <f t="shared" si="3"/>
        <v>14.027991703057252</v>
      </c>
      <c r="P17" s="2">
        <f t="shared" si="4"/>
        <v>14.861496372707228</v>
      </c>
      <c r="Q17" s="1">
        <f>959.764-46.279</f>
        <v>913.48500000000001</v>
      </c>
      <c r="R17" s="8">
        <f>2411.723/M17</f>
        <v>0.66504678474165535</v>
      </c>
      <c r="S17" s="8">
        <f>1672.092/M17</f>
        <v>0.46108919158304829</v>
      </c>
      <c r="T17" s="8">
        <f>1783.379/M17</f>
        <v>0.4917772355804495</v>
      </c>
    </row>
    <row r="18" spans="2:20">
      <c r="B18" s="4" t="s">
        <v>40</v>
      </c>
      <c r="C18" s="4" t="s">
        <v>39</v>
      </c>
      <c r="D18" s="7">
        <v>1897.97</v>
      </c>
      <c r="E18" s="1">
        <v>24.418137999999999</v>
      </c>
      <c r="F18" s="1">
        <f t="shared" si="1"/>
        <v>46344.893379859997</v>
      </c>
      <c r="G18" s="1">
        <f>184.254+45.925</f>
        <v>230.17899999999997</v>
      </c>
      <c r="H18" s="1">
        <f>15+2406.1</f>
        <v>2421.1</v>
      </c>
      <c r="I18" s="1">
        <f t="shared" si="0"/>
        <v>48535.814379859999</v>
      </c>
      <c r="J18" s="1">
        <v>1377.27</v>
      </c>
      <c r="K18" s="1">
        <v>1513.557</v>
      </c>
      <c r="L18" s="1">
        <v>1717.5260000000001</v>
      </c>
      <c r="M18" s="1"/>
      <c r="N18" s="3">
        <f t="shared" si="2"/>
        <v>0.13476136016020535</v>
      </c>
      <c r="O18" s="2">
        <f t="shared" si="3"/>
        <v>28.259143896430096</v>
      </c>
      <c r="P18" s="2">
        <f t="shared" si="4"/>
        <v>26.983517792371117</v>
      </c>
      <c r="Q18" s="1">
        <f>632.964-8.884</f>
        <v>624.08000000000004</v>
      </c>
      <c r="R18" s="3">
        <f>+(L18-348.206) /L18</f>
        <v>0.79726303997726966</v>
      </c>
      <c r="S18" s="3">
        <f>462.834/L18</f>
        <v>0.2694771432863316</v>
      </c>
      <c r="T18" s="3">
        <f>171.94/L18</f>
        <v>0.10010911042976933</v>
      </c>
    </row>
    <row r="19" spans="2:20">
      <c r="B19" s="4" t="s">
        <v>42</v>
      </c>
      <c r="C19" s="4" t="s">
        <v>41</v>
      </c>
      <c r="D19" s="7">
        <v>109.16</v>
      </c>
      <c r="E19" s="1">
        <f>317.257399+25.506617</f>
        <v>342.76401600000003</v>
      </c>
      <c r="F19" s="1">
        <f t="shared" si="1"/>
        <v>37416.119986559999</v>
      </c>
      <c r="G19" s="1">
        <f>1246.983+2942.076</f>
        <v>4189.0590000000002</v>
      </c>
      <c r="H19" s="1">
        <f>634.023+979.282</f>
        <v>1613.3050000000001</v>
      </c>
      <c r="I19" s="1">
        <f t="shared" si="0"/>
        <v>34840.365986559998</v>
      </c>
      <c r="J19" s="1">
        <v>1675.1</v>
      </c>
      <c r="K19" s="1">
        <v>2128.3589999999999</v>
      </c>
      <c r="L19" s="1">
        <v>2684.2750000000001</v>
      </c>
      <c r="M19" s="1"/>
      <c r="N19" s="3">
        <f t="shared" si="2"/>
        <v>0.26119465748024662</v>
      </c>
      <c r="O19" s="2">
        <f t="shared" si="3"/>
        <v>12.979432430194372</v>
      </c>
      <c r="P19" s="2">
        <f t="shared" si="4"/>
        <v>13.939004009112329</v>
      </c>
      <c r="Q19" s="1">
        <f>870.603-34.719</f>
        <v>835.8839999999999</v>
      </c>
      <c r="R19" s="8">
        <f>2168.744/L19</f>
        <v>0.80794404448128454</v>
      </c>
      <c r="S19" s="3">
        <f>756.605/L19</f>
        <v>0.28186568067727785</v>
      </c>
      <c r="T19" s="3">
        <f>1152.703/L19</f>
        <v>0.42942805785547306</v>
      </c>
    </row>
    <row r="20" spans="2:20">
      <c r="B20" s="4" t="s">
        <v>44</v>
      </c>
      <c r="C20" s="4" t="s">
        <v>43</v>
      </c>
      <c r="D20" s="7">
        <v>611.16999999999996</v>
      </c>
      <c r="E20" s="1">
        <v>52.153077000000003</v>
      </c>
      <c r="F20" s="1">
        <f t="shared" si="1"/>
        <v>31874.396070089999</v>
      </c>
      <c r="G20" s="1">
        <f>512.667+1556.828+154.212</f>
        <v>2223.7069999999999</v>
      </c>
      <c r="H20" s="1">
        <f>458.184+0</f>
        <v>458.18400000000003</v>
      </c>
      <c r="I20" s="1">
        <f t="shared" si="0"/>
        <v>30108.873070090001</v>
      </c>
      <c r="J20" s="1">
        <v>1730.9690000000001</v>
      </c>
      <c r="K20" s="1">
        <v>2170.23</v>
      </c>
      <c r="L20" s="1">
        <v>2627.5430000000001</v>
      </c>
      <c r="M20" s="1"/>
      <c r="N20" s="3">
        <f t="shared" si="2"/>
        <v>0.21072098349022927</v>
      </c>
      <c r="O20" s="2">
        <f t="shared" si="3"/>
        <v>11.458945893593368</v>
      </c>
      <c r="P20" s="2">
        <f t="shared" si="4"/>
        <v>12.130875144608479</v>
      </c>
      <c r="Q20" s="1">
        <f>598.599-37.939</f>
        <v>560.66000000000008</v>
      </c>
      <c r="R20" s="8">
        <f>2234.278/2627.543</f>
        <v>0.85032975673471367</v>
      </c>
      <c r="S20" s="3">
        <f>1218.844/2627.543</f>
        <v>0.46387214214952904</v>
      </c>
      <c r="T20" s="3">
        <f>778.714/L20</f>
        <v>0.29636584444098535</v>
      </c>
    </row>
    <row r="21" spans="2:20">
      <c r="B21" s="4" t="s">
        <v>46</v>
      </c>
      <c r="C21" s="4" t="s">
        <v>45</v>
      </c>
      <c r="D21" s="7">
        <v>59.88</v>
      </c>
      <c r="E21" s="1">
        <f>452.425879+43.662678</f>
        <v>496.08855700000004</v>
      </c>
      <c r="F21" s="1">
        <f t="shared" si="1"/>
        <v>29705.782793160004</v>
      </c>
      <c r="G21" s="1">
        <f>1369.463+552.026</f>
        <v>1921.489</v>
      </c>
      <c r="H21" s="1">
        <v>0</v>
      </c>
      <c r="I21" s="1">
        <f t="shared" si="0"/>
        <v>27784.293793160003</v>
      </c>
      <c r="J21" s="1">
        <v>1577.7950000000001</v>
      </c>
      <c r="K21" s="1">
        <v>1946.12</v>
      </c>
      <c r="L21" s="1">
        <v>2444.8310000000001</v>
      </c>
      <c r="M21" s="1"/>
      <c r="N21" s="3">
        <f t="shared" si="2"/>
        <v>0.25625912071198087</v>
      </c>
      <c r="O21" s="2">
        <f t="shared" si="3"/>
        <v>11.364504864818878</v>
      </c>
      <c r="P21" s="2">
        <f t="shared" si="4"/>
        <v>12.150444261038903</v>
      </c>
      <c r="Q21" s="1">
        <f>739.456-98.238</f>
        <v>641.21800000000007</v>
      </c>
      <c r="S21" s="3">
        <f>546.517/L21</f>
        <v>0.22353978659465626</v>
      </c>
      <c r="T21" s="3">
        <f>463.319/L21</f>
        <v>0.1895096225465073</v>
      </c>
    </row>
    <row r="22" spans="2:20">
      <c r="B22" s="4" t="s">
        <v>48</v>
      </c>
      <c r="C22" s="4" t="s">
        <v>47</v>
      </c>
      <c r="D22" s="7">
        <v>326.72000000000003</v>
      </c>
      <c r="E22" s="1">
        <v>87.651781</v>
      </c>
      <c r="F22" s="1">
        <f t="shared" si="1"/>
        <v>28637.589888320003</v>
      </c>
      <c r="G22" s="1">
        <f>1446.743+50.774</f>
        <v>1497.5169999999998</v>
      </c>
      <c r="H22" s="1">
        <v>754.20799999999997</v>
      </c>
      <c r="I22" s="1">
        <f t="shared" si="0"/>
        <v>27894.280888320001</v>
      </c>
      <c r="J22" s="1">
        <v>2065.5529999999999</v>
      </c>
      <c r="K22" s="1">
        <v>2269.9490000000001</v>
      </c>
      <c r="L22" s="1">
        <v>2544.8090000000002</v>
      </c>
      <c r="M22" s="1"/>
      <c r="N22" s="3">
        <f t="shared" si="2"/>
        <v>0.12108642088434585</v>
      </c>
      <c r="O22" s="2">
        <f t="shared" si="3"/>
        <v>10.961247342460672</v>
      </c>
      <c r="P22" s="2">
        <f t="shared" si="4"/>
        <v>11.253335668146411</v>
      </c>
      <c r="Q22" s="1" t="s">
        <v>231</v>
      </c>
      <c r="R22" s="3">
        <f>2264.99/L22</f>
        <v>0.89004322131837776</v>
      </c>
      <c r="S22" s="3">
        <f>995.34/L22</f>
        <v>0.39112562082262359</v>
      </c>
      <c r="T22" s="3">
        <f>528.014/L22</f>
        <v>0.20748669153559263</v>
      </c>
    </row>
    <row r="23" spans="2:20">
      <c r="B23" s="4" t="s">
        <v>50</v>
      </c>
      <c r="C23" s="4" t="s">
        <v>49</v>
      </c>
      <c r="D23" s="7">
        <v>577</v>
      </c>
      <c r="E23" s="1">
        <v>43.013800000000003</v>
      </c>
      <c r="F23" s="1">
        <f t="shared" si="1"/>
        <v>24818.962600000003</v>
      </c>
      <c r="G23" s="1">
        <v>744.721</v>
      </c>
      <c r="H23" s="1">
        <f>0+597.934</f>
        <v>597.93399999999997</v>
      </c>
      <c r="I23" s="1">
        <f t="shared" si="0"/>
        <v>24672.175600000002</v>
      </c>
      <c r="J23" s="1">
        <v>1850.204</v>
      </c>
      <c r="K23" s="1">
        <v>1951.751</v>
      </c>
      <c r="L23" s="1">
        <v>2137.8029999999999</v>
      </c>
      <c r="M23" s="1"/>
      <c r="N23" s="3">
        <f t="shared" si="2"/>
        <v>9.5325684475120021E-2</v>
      </c>
      <c r="O23" s="2">
        <f t="shared" si="3"/>
        <v>11.54090231887597</v>
      </c>
      <c r="P23" s="2">
        <f t="shared" si="4"/>
        <v>11.609564866360467</v>
      </c>
      <c r="Q23" s="1">
        <f>624.633-20.535</f>
        <v>604.09800000000007</v>
      </c>
      <c r="R23" s="3">
        <f>935.761/2137.803</f>
        <v>0.43772087512273117</v>
      </c>
      <c r="S23" s="3">
        <f>157.731/L23</f>
        <v>7.3781821804909054E-2</v>
      </c>
      <c r="T23" s="3">
        <f>117.939/L23</f>
        <v>5.5168319999550942E-2</v>
      </c>
    </row>
    <row r="24" spans="2:20">
      <c r="B24" s="4" t="s">
        <v>52</v>
      </c>
      <c r="C24" s="4" t="s">
        <v>51</v>
      </c>
      <c r="D24" s="7">
        <v>77.78</v>
      </c>
      <c r="E24" s="1">
        <f>262.753519+42.480334</f>
        <v>305.23385299999995</v>
      </c>
      <c r="F24" s="1">
        <f t="shared" si="1"/>
        <v>23741.089086339998</v>
      </c>
      <c r="G24" s="1">
        <f>1349.38+6442.329</f>
        <v>7791.7089999999998</v>
      </c>
      <c r="H24" s="1">
        <v>0</v>
      </c>
      <c r="I24" s="1">
        <f t="shared" si="0"/>
        <v>15949.380086339999</v>
      </c>
      <c r="J24" s="1"/>
      <c r="K24" s="1">
        <v>4392.96</v>
      </c>
      <c r="L24" s="1">
        <v>4527.2240000000002</v>
      </c>
      <c r="M24" s="1">
        <v>4665.433</v>
      </c>
      <c r="N24" s="3">
        <f t="shared" si="2"/>
        <v>3.0528420948466417E-2</v>
      </c>
      <c r="O24" s="2">
        <f t="shared" si="3"/>
        <v>3.4186280429576419</v>
      </c>
      <c r="P24" s="2">
        <f t="shared" si="4"/>
        <v>5.0887214726564496</v>
      </c>
      <c r="Q24" s="1">
        <f>1945.308-136.56</f>
        <v>1808.748</v>
      </c>
      <c r="R24" s="3">
        <f>3535.806/M24</f>
        <v>0.75787306344341454</v>
      </c>
      <c r="S24" s="3">
        <f>1541.307/4527.224</f>
        <v>0.34045300166282916</v>
      </c>
      <c r="T24" s="3">
        <f>852.415/4665.433</f>
        <v>0.18270865748152421</v>
      </c>
    </row>
    <row r="25" spans="2:20">
      <c r="B25" s="4" t="s">
        <v>54</v>
      </c>
      <c r="C25" s="4" t="s">
        <v>53</v>
      </c>
      <c r="D25" s="7">
        <v>81.53</v>
      </c>
      <c r="E25" s="1">
        <v>246.48622800000001</v>
      </c>
      <c r="F25" s="1">
        <f t="shared" si="1"/>
        <v>20096.022168840002</v>
      </c>
      <c r="G25" s="1">
        <v>567.1</v>
      </c>
      <c r="H25" s="1">
        <f>20+6989.6</f>
        <v>7009.6</v>
      </c>
      <c r="I25" s="1">
        <f t="shared" si="0"/>
        <v>26538.522168840005</v>
      </c>
      <c r="J25" s="1">
        <v>5283</v>
      </c>
      <c r="K25" s="1">
        <v>5502.8</v>
      </c>
      <c r="L25" s="1">
        <v>5882</v>
      </c>
      <c r="M25" s="1"/>
      <c r="N25" s="3">
        <f t="shared" si="2"/>
        <v>6.8910372901068495E-2</v>
      </c>
      <c r="O25" s="2">
        <f t="shared" si="3"/>
        <v>4.5118194778714731</v>
      </c>
      <c r="P25" s="2">
        <f t="shared" si="4"/>
        <v>3.416528760428426</v>
      </c>
      <c r="Q25" s="1">
        <f>1388.6-4.8</f>
        <v>1383.8</v>
      </c>
      <c r="R25" s="3">
        <f>2863.6/5882</f>
        <v>0.48684121047262835</v>
      </c>
      <c r="S25" s="3">
        <f>584.2/5882</f>
        <v>9.9319959197551863E-2</v>
      </c>
      <c r="T25" s="3">
        <f>517.7/5882</f>
        <v>8.8014280856851423E-2</v>
      </c>
    </row>
    <row r="26" spans="2:20">
      <c r="B26" s="4" t="s">
        <v>56</v>
      </c>
      <c r="C26" s="4" t="s">
        <v>55</v>
      </c>
      <c r="D26" s="7">
        <v>157</v>
      </c>
      <c r="E26" s="1">
        <v>120.323542</v>
      </c>
      <c r="F26" s="1">
        <f t="shared" si="1"/>
        <v>18890.796094000001</v>
      </c>
      <c r="G26" s="1">
        <v>196.33799999999999</v>
      </c>
      <c r="H26" s="1">
        <f>524.864+1019.127</f>
        <v>1543.991</v>
      </c>
      <c r="I26" s="1">
        <f t="shared" si="0"/>
        <v>20238.449094000003</v>
      </c>
      <c r="J26" s="1">
        <v>1933.347</v>
      </c>
      <c r="K26" s="1">
        <v>2097.0529999999999</v>
      </c>
      <c r="L26" s="1">
        <v>2298.4720000000002</v>
      </c>
      <c r="M26" s="1"/>
      <c r="N26" s="3">
        <f t="shared" si="2"/>
        <v>9.604859772261376E-2</v>
      </c>
      <c r="O26" s="2">
        <f t="shared" si="3"/>
        <v>8.8051753921735845</v>
      </c>
      <c r="P26" s="2">
        <f t="shared" si="4"/>
        <v>8.2188497810719472</v>
      </c>
      <c r="Q26" s="1">
        <f>749.984-14.378</f>
        <v>735.60599999999999</v>
      </c>
      <c r="R26" s="3">
        <f>1853.656/L26</f>
        <v>0.80647317000163576</v>
      </c>
      <c r="S26" s="3">
        <f>558.954/L26</f>
        <v>0.24318503771201036</v>
      </c>
      <c r="T26" s="3">
        <f>433.047/L26</f>
        <v>0.18840647177777237</v>
      </c>
    </row>
    <row r="27" spans="2:20">
      <c r="B27" s="4" t="s">
        <v>58</v>
      </c>
      <c r="C27" s="4" t="s">
        <v>57</v>
      </c>
      <c r="D27" s="7">
        <v>264.33</v>
      </c>
      <c r="E27" s="1">
        <v>63.30836</v>
      </c>
      <c r="F27" s="1">
        <f t="shared" si="1"/>
        <v>16734.298798799999</v>
      </c>
      <c r="G27" s="1">
        <v>181.81399999999999</v>
      </c>
      <c r="H27" s="1">
        <v>0</v>
      </c>
      <c r="I27" s="1">
        <f t="shared" si="0"/>
        <v>16552.4847988</v>
      </c>
      <c r="J27" s="1"/>
      <c r="K27" s="1">
        <v>1044.1780000000001</v>
      </c>
      <c r="L27" s="1">
        <v>1127.482</v>
      </c>
      <c r="M27" s="1"/>
      <c r="N27" s="3">
        <f t="shared" si="2"/>
        <v>7.9779501196156177E-2</v>
      </c>
      <c r="O27" s="2">
        <f t="shared" si="3"/>
        <v>14.680930426206361</v>
      </c>
      <c r="P27" s="2">
        <f t="shared" si="4"/>
        <v>14.842187102587889</v>
      </c>
      <c r="Q27" s="1">
        <f>339.886-4.432</f>
        <v>335.45400000000001</v>
      </c>
      <c r="R27" s="3">
        <f>744.906/1127.482</f>
        <v>0.66068105743595018</v>
      </c>
      <c r="S27" s="3">
        <f>490.767/L27</f>
        <v>0.43527701550889503</v>
      </c>
      <c r="T27" s="3">
        <f>206.114/L27</f>
        <v>0.1828091268862829</v>
      </c>
    </row>
    <row r="28" spans="2:20">
      <c r="B28" s="4" t="s">
        <v>60</v>
      </c>
      <c r="C28" s="4" t="s">
        <v>59</v>
      </c>
      <c r="D28" s="7">
        <v>80.13</v>
      </c>
      <c r="E28" s="1">
        <v>202.48972000000001</v>
      </c>
      <c r="F28" s="1">
        <f t="shared" si="1"/>
        <v>16225.501263599999</v>
      </c>
      <c r="G28" s="1">
        <f>648.623+314.924</f>
        <v>963.54700000000003</v>
      </c>
      <c r="H28" s="1"/>
      <c r="I28" s="1">
        <f t="shared" si="0"/>
        <v>15261.954263599999</v>
      </c>
      <c r="J28" s="1"/>
      <c r="K28" s="1">
        <v>2515.915</v>
      </c>
      <c r="L28" s="1">
        <v>2761.8820000000001</v>
      </c>
      <c r="M28" s="1">
        <v>2976.739</v>
      </c>
      <c r="N28" s="3">
        <f t="shared" si="2"/>
        <v>7.7793692851468643E-2</v>
      </c>
      <c r="O28" s="2">
        <f t="shared" si="3"/>
        <v>5.1270716927483395</v>
      </c>
      <c r="P28" s="2">
        <f t="shared" si="4"/>
        <v>5.4507638269932297</v>
      </c>
      <c r="Q28" s="1">
        <f>1017.272-96.988</f>
        <v>920.28400000000011</v>
      </c>
      <c r="R28" s="3">
        <f>2355.08/M28</f>
        <v>0.79116106585091939</v>
      </c>
      <c r="S28" s="3">
        <f>1160.993/M28</f>
        <v>0.39002176542854444</v>
      </c>
      <c r="T28" s="3">
        <f>588.455/M28</f>
        <v>0.19768444596587073</v>
      </c>
    </row>
    <row r="29" spans="2:20">
      <c r="B29" s="4" t="s">
        <v>62</v>
      </c>
      <c r="C29" s="4" t="s">
        <v>61</v>
      </c>
      <c r="D29" s="7">
        <v>176.39</v>
      </c>
      <c r="E29" s="1">
        <v>83.880712000000003</v>
      </c>
      <c r="F29" s="1">
        <f t="shared" si="1"/>
        <v>14795.718789679999</v>
      </c>
      <c r="G29" s="1">
        <f>697.488+471.473</f>
        <v>1168.961</v>
      </c>
      <c r="H29" s="1">
        <f>178.966+672.828</f>
        <v>851.79399999999998</v>
      </c>
      <c r="I29" s="1">
        <f t="shared" si="0"/>
        <v>14478.551789679999</v>
      </c>
      <c r="J29" s="1">
        <v>812.61400000000003</v>
      </c>
      <c r="K29" s="1">
        <v>905.34100000000001</v>
      </c>
      <c r="L29" s="1">
        <v>980.49699999999996</v>
      </c>
      <c r="M29" s="1"/>
      <c r="N29" s="3">
        <f t="shared" si="2"/>
        <v>8.3014024549865617E-2</v>
      </c>
      <c r="O29" s="2">
        <f t="shared" si="3"/>
        <v>14.766543691291254</v>
      </c>
      <c r="P29" s="2">
        <f t="shared" si="4"/>
        <v>15.090019438794815</v>
      </c>
      <c r="R29" s="3">
        <f>583.361/980.497</f>
        <v>0.59496459448626571</v>
      </c>
      <c r="S29" s="3">
        <f>199.033/L29</f>
        <v>0.20299195204064877</v>
      </c>
      <c r="T29" s="3">
        <f>269.381/L29</f>
        <v>0.27473923938574007</v>
      </c>
    </row>
    <row r="30" spans="2:20">
      <c r="B30" s="4" t="s">
        <v>64</v>
      </c>
      <c r="C30" s="4" t="s">
        <v>63</v>
      </c>
      <c r="D30" s="7">
        <v>49.22</v>
      </c>
      <c r="E30" s="1"/>
      <c r="F30" s="1">
        <f t="shared" si="1"/>
        <v>0</v>
      </c>
      <c r="G30" s="1"/>
      <c r="H30" s="1"/>
      <c r="I30" s="1">
        <f t="shared" si="0"/>
        <v>0</v>
      </c>
      <c r="J30" s="1"/>
      <c r="K30" s="1"/>
      <c r="L30" s="1"/>
      <c r="M30" s="1"/>
      <c r="N30" s="3" t="str">
        <f t="shared" si="2"/>
        <v/>
      </c>
      <c r="O30" s="2" t="str">
        <f t="shared" si="3"/>
        <v/>
      </c>
      <c r="P30" s="2" t="str">
        <f t="shared" si="4"/>
        <v/>
      </c>
    </row>
    <row r="31" spans="2:20">
      <c r="B31" s="4" t="s">
        <v>66</v>
      </c>
      <c r="C31" s="4" t="s">
        <v>65</v>
      </c>
      <c r="D31" s="7">
        <v>291.02</v>
      </c>
      <c r="E31" s="1"/>
      <c r="F31" s="1">
        <f t="shared" si="1"/>
        <v>0</v>
      </c>
      <c r="G31" s="1"/>
      <c r="H31" s="1"/>
      <c r="I31" s="1">
        <f t="shared" si="0"/>
        <v>0</v>
      </c>
      <c r="J31" s="1"/>
      <c r="K31" s="1"/>
      <c r="L31" s="1"/>
      <c r="M31" s="1"/>
      <c r="N31" s="3" t="str">
        <f t="shared" si="2"/>
        <v/>
      </c>
      <c r="O31" s="2" t="str">
        <f t="shared" si="3"/>
        <v/>
      </c>
      <c r="P31" s="2" t="str">
        <f t="shared" si="4"/>
        <v/>
      </c>
    </row>
    <row r="32" spans="2:20">
      <c r="B32" s="4" t="s">
        <v>68</v>
      </c>
      <c r="C32" s="4" t="s">
        <v>67</v>
      </c>
      <c r="D32" s="7">
        <v>40.79</v>
      </c>
      <c r="E32" s="1"/>
      <c r="F32" s="1">
        <f t="shared" si="1"/>
        <v>0</v>
      </c>
      <c r="G32" s="1"/>
      <c r="H32" s="1"/>
      <c r="I32" s="1">
        <f t="shared" si="0"/>
        <v>0</v>
      </c>
      <c r="J32" s="1"/>
      <c r="K32" s="1"/>
      <c r="L32" s="1"/>
      <c r="M32" s="1"/>
      <c r="N32" s="3" t="str">
        <f t="shared" si="2"/>
        <v/>
      </c>
      <c r="O32" s="2" t="str">
        <f t="shared" si="3"/>
        <v/>
      </c>
      <c r="P32" s="2" t="str">
        <f t="shared" si="4"/>
        <v/>
      </c>
    </row>
    <row r="33" spans="2:16">
      <c r="B33" s="4" t="s">
        <v>70</v>
      </c>
      <c r="C33" s="4" t="s">
        <v>69</v>
      </c>
      <c r="D33" s="7">
        <v>206.56</v>
      </c>
      <c r="E33" s="1"/>
      <c r="F33" s="1">
        <f t="shared" si="1"/>
        <v>0</v>
      </c>
      <c r="G33" s="1"/>
      <c r="H33" s="1"/>
      <c r="I33" s="1">
        <f t="shared" si="0"/>
        <v>0</v>
      </c>
      <c r="J33" s="1"/>
      <c r="K33" s="1"/>
      <c r="L33" s="1"/>
      <c r="M33" s="1"/>
      <c r="N33" s="3" t="str">
        <f t="shared" si="2"/>
        <v/>
      </c>
      <c r="O33" s="2" t="str">
        <f t="shared" si="3"/>
        <v/>
      </c>
      <c r="P33" s="2" t="str">
        <f t="shared" si="4"/>
        <v/>
      </c>
    </row>
    <row r="34" spans="2:16">
      <c r="B34" s="4" t="s">
        <v>72</v>
      </c>
      <c r="C34" s="4" t="s">
        <v>71</v>
      </c>
      <c r="D34" s="7">
        <v>186.53</v>
      </c>
      <c r="E34" s="1"/>
      <c r="F34" s="1">
        <f t="shared" si="1"/>
        <v>0</v>
      </c>
      <c r="G34" s="1"/>
      <c r="H34" s="1"/>
      <c r="I34" s="1">
        <f t="shared" si="0"/>
        <v>0</v>
      </c>
      <c r="J34" s="1"/>
      <c r="K34" s="1"/>
      <c r="L34" s="1"/>
      <c r="M34" s="1"/>
      <c r="N34" s="3" t="str">
        <f t="shared" si="2"/>
        <v/>
      </c>
      <c r="O34" s="2" t="str">
        <f t="shared" si="3"/>
        <v/>
      </c>
      <c r="P34" s="2" t="str">
        <f t="shared" si="4"/>
        <v/>
      </c>
    </row>
    <row r="35" spans="2:16">
      <c r="B35" s="4" t="s">
        <v>74</v>
      </c>
      <c r="C35" s="4" t="s">
        <v>73</v>
      </c>
      <c r="D35" s="7">
        <v>98.56</v>
      </c>
      <c r="E35" s="6"/>
      <c r="F35" s="6">
        <f t="shared" si="1"/>
        <v>0</v>
      </c>
      <c r="G35" s="6"/>
      <c r="H35" s="6"/>
      <c r="I35" s="6">
        <f t="shared" si="0"/>
        <v>0</v>
      </c>
      <c r="J35" s="4"/>
      <c r="K35" s="1"/>
      <c r="L35" s="1"/>
      <c r="M35" s="1"/>
      <c r="N35" s="3" t="str">
        <f t="shared" si="2"/>
        <v/>
      </c>
      <c r="O35" s="2" t="str">
        <f t="shared" si="3"/>
        <v/>
      </c>
      <c r="P35" s="2" t="str">
        <f t="shared" si="4"/>
        <v/>
      </c>
    </row>
    <row r="36" spans="2:16">
      <c r="B36" s="4" t="s">
        <v>76</v>
      </c>
      <c r="C36" s="4" t="s">
        <v>75</v>
      </c>
      <c r="D36" s="7">
        <v>166.66</v>
      </c>
      <c r="E36" s="6"/>
      <c r="F36" s="6">
        <f t="shared" si="1"/>
        <v>0</v>
      </c>
      <c r="G36" s="6"/>
      <c r="H36" s="6"/>
      <c r="I36" s="6">
        <f t="shared" si="0"/>
        <v>0</v>
      </c>
      <c r="J36" s="4"/>
      <c r="K36" s="1"/>
      <c r="L36" s="1"/>
      <c r="M36" s="1"/>
      <c r="N36" s="3" t="str">
        <f t="shared" si="2"/>
        <v/>
      </c>
      <c r="O36" s="2" t="str">
        <f t="shared" si="3"/>
        <v/>
      </c>
      <c r="P36" s="2" t="str">
        <f t="shared" si="4"/>
        <v/>
      </c>
    </row>
    <row r="37" spans="2:16">
      <c r="B37" s="4" t="s">
        <v>78</v>
      </c>
      <c r="C37" s="4" t="s">
        <v>77</v>
      </c>
      <c r="D37" s="7">
        <v>67.540000000000006</v>
      </c>
      <c r="E37" s="6"/>
      <c r="F37" s="6">
        <f t="shared" si="1"/>
        <v>0</v>
      </c>
      <c r="G37" s="6"/>
      <c r="H37" s="6"/>
      <c r="I37" s="6">
        <f t="shared" si="0"/>
        <v>0</v>
      </c>
      <c r="J37" s="4"/>
      <c r="K37" s="1"/>
      <c r="L37" s="1"/>
      <c r="M37" s="1"/>
      <c r="N37" s="3" t="str">
        <f t="shared" si="2"/>
        <v/>
      </c>
      <c r="O37" s="2" t="str">
        <f t="shared" si="3"/>
        <v/>
      </c>
      <c r="P37" s="2" t="str">
        <f t="shared" si="4"/>
        <v/>
      </c>
    </row>
    <row r="38" spans="2:16">
      <c r="B38" s="4" t="s">
        <v>80</v>
      </c>
      <c r="C38" s="4" t="s">
        <v>79</v>
      </c>
      <c r="D38" s="7">
        <v>111.23</v>
      </c>
      <c r="E38" s="6"/>
      <c r="F38" s="6">
        <f t="shared" si="1"/>
        <v>0</v>
      </c>
      <c r="G38" s="6"/>
      <c r="H38" s="6"/>
      <c r="I38" s="6">
        <f t="shared" si="0"/>
        <v>0</v>
      </c>
      <c r="J38" s="4"/>
      <c r="K38" s="1"/>
      <c r="L38" s="1"/>
      <c r="M38" s="1"/>
      <c r="N38" s="3" t="str">
        <f t="shared" si="2"/>
        <v/>
      </c>
      <c r="O38" s="2" t="str">
        <f t="shared" si="3"/>
        <v/>
      </c>
      <c r="P38" s="2" t="str">
        <f t="shared" si="4"/>
        <v/>
      </c>
    </row>
    <row r="39" spans="2:16">
      <c r="B39" s="4" t="s">
        <v>82</v>
      </c>
      <c r="C39" s="4" t="s">
        <v>81</v>
      </c>
      <c r="D39" s="7">
        <v>21.51</v>
      </c>
      <c r="E39" s="6"/>
      <c r="F39" s="6">
        <f t="shared" si="1"/>
        <v>0</v>
      </c>
      <c r="G39" s="6"/>
      <c r="H39" s="6"/>
      <c r="I39" s="6">
        <f t="shared" si="0"/>
        <v>0</v>
      </c>
      <c r="J39" s="4"/>
      <c r="K39" s="1"/>
      <c r="L39" s="1"/>
      <c r="M39" s="1"/>
      <c r="N39" s="3" t="str">
        <f t="shared" si="2"/>
        <v/>
      </c>
      <c r="O39" s="2" t="str">
        <f t="shared" si="3"/>
        <v/>
      </c>
      <c r="P39" s="2" t="str">
        <f t="shared" si="4"/>
        <v/>
      </c>
    </row>
    <row r="40" spans="2:16">
      <c r="B40" s="4" t="s">
        <v>84</v>
      </c>
      <c r="C40" s="4" t="s">
        <v>83</v>
      </c>
      <c r="D40" s="7">
        <v>53.33</v>
      </c>
      <c r="E40" s="6"/>
      <c r="F40" s="6">
        <f t="shared" si="1"/>
        <v>0</v>
      </c>
      <c r="G40" s="6"/>
      <c r="H40" s="6"/>
      <c r="I40" s="6">
        <f t="shared" si="0"/>
        <v>0</v>
      </c>
      <c r="J40" s="4"/>
      <c r="K40" s="1"/>
      <c r="L40" s="1"/>
      <c r="M40" s="1"/>
      <c r="N40" s="3" t="str">
        <f t="shared" si="2"/>
        <v/>
      </c>
      <c r="O40" s="2" t="str">
        <f t="shared" si="3"/>
        <v/>
      </c>
      <c r="P40" s="2" t="str">
        <f t="shared" si="4"/>
        <v/>
      </c>
    </row>
    <row r="41" spans="2:16">
      <c r="B41" s="4" t="s">
        <v>86</v>
      </c>
      <c r="C41" s="4" t="s">
        <v>85</v>
      </c>
      <c r="E41" s="6"/>
      <c r="F41" s="6">
        <f t="shared" si="1"/>
        <v>0</v>
      </c>
      <c r="G41" s="6"/>
      <c r="H41" s="6"/>
      <c r="I41" s="6">
        <f t="shared" si="0"/>
        <v>0</v>
      </c>
      <c r="J41" s="4"/>
      <c r="K41" s="1"/>
      <c r="L41" s="1"/>
      <c r="M41" s="1"/>
      <c r="N41" s="3" t="str">
        <f t="shared" si="2"/>
        <v/>
      </c>
      <c r="O41" s="2" t="str">
        <f t="shared" si="3"/>
        <v/>
      </c>
      <c r="P41" s="2" t="str">
        <f t="shared" si="4"/>
        <v/>
      </c>
    </row>
    <row r="42" spans="2:16">
      <c r="B42" s="4" t="s">
        <v>88</v>
      </c>
      <c r="C42" s="4" t="s">
        <v>87</v>
      </c>
      <c r="D42" s="7">
        <v>210.25</v>
      </c>
      <c r="E42" s="6"/>
      <c r="F42" s="6">
        <f t="shared" si="1"/>
        <v>0</v>
      </c>
      <c r="G42" s="6"/>
      <c r="H42" s="6"/>
      <c r="I42" s="6">
        <f t="shared" si="0"/>
        <v>0</v>
      </c>
      <c r="J42" s="4"/>
      <c r="K42" s="1"/>
      <c r="L42" s="1"/>
      <c r="M42" s="1"/>
      <c r="N42" s="3" t="str">
        <f t="shared" si="2"/>
        <v/>
      </c>
      <c r="O42" s="2" t="str">
        <f t="shared" si="3"/>
        <v/>
      </c>
      <c r="P42" s="2" t="str">
        <f t="shared" si="4"/>
        <v/>
      </c>
    </row>
    <row r="43" spans="2:16">
      <c r="B43" s="4" t="s">
        <v>90</v>
      </c>
      <c r="C43" s="4" t="s">
        <v>89</v>
      </c>
      <c r="D43" s="7">
        <v>27.54</v>
      </c>
      <c r="E43" s="6"/>
      <c r="F43" s="6">
        <f t="shared" si="1"/>
        <v>0</v>
      </c>
      <c r="G43" s="6"/>
      <c r="H43" s="6"/>
      <c r="I43" s="6">
        <f t="shared" si="0"/>
        <v>0</v>
      </c>
      <c r="J43" s="4"/>
      <c r="K43" s="1"/>
      <c r="L43" s="1"/>
      <c r="M43" s="1"/>
      <c r="N43" s="3" t="str">
        <f t="shared" si="2"/>
        <v/>
      </c>
      <c r="O43" s="2" t="str">
        <f t="shared" si="3"/>
        <v/>
      </c>
      <c r="P43" s="2" t="str">
        <f t="shared" si="4"/>
        <v/>
      </c>
    </row>
    <row r="44" spans="2:16">
      <c r="B44" s="4" t="s">
        <v>92</v>
      </c>
      <c r="C44" s="4" t="s">
        <v>91</v>
      </c>
      <c r="D44" s="7">
        <v>153.43</v>
      </c>
      <c r="E44" s="6"/>
      <c r="F44" s="6">
        <f t="shared" si="1"/>
        <v>0</v>
      </c>
      <c r="G44" s="6"/>
      <c r="H44" s="6"/>
      <c r="I44" s="6">
        <f t="shared" si="0"/>
        <v>0</v>
      </c>
      <c r="J44" s="4"/>
      <c r="K44" s="1"/>
      <c r="L44" s="1"/>
      <c r="M44" s="1"/>
      <c r="N44" s="3" t="str">
        <f t="shared" si="2"/>
        <v/>
      </c>
      <c r="O44" s="2" t="str">
        <f t="shared" si="3"/>
        <v/>
      </c>
      <c r="P44" s="2" t="str">
        <f t="shared" si="4"/>
        <v/>
      </c>
    </row>
    <row r="45" spans="2:16">
      <c r="B45" s="4" t="s">
        <v>94</v>
      </c>
      <c r="C45" s="4" t="s">
        <v>93</v>
      </c>
      <c r="D45" s="7">
        <v>72.84</v>
      </c>
      <c r="E45" s="6"/>
      <c r="F45" s="6">
        <f t="shared" si="1"/>
        <v>0</v>
      </c>
      <c r="G45" s="6"/>
      <c r="H45" s="6"/>
      <c r="I45" s="6">
        <f t="shared" si="0"/>
        <v>0</v>
      </c>
      <c r="J45" s="4"/>
      <c r="K45" s="1"/>
      <c r="L45" s="1"/>
      <c r="M45" s="1"/>
      <c r="N45" s="3" t="str">
        <f t="shared" si="2"/>
        <v/>
      </c>
      <c r="O45" s="2" t="str">
        <f t="shared" si="3"/>
        <v/>
      </c>
      <c r="P45" s="2" t="str">
        <f t="shared" si="4"/>
        <v/>
      </c>
    </row>
    <row r="46" spans="2:16">
      <c r="B46" s="4" t="s">
        <v>96</v>
      </c>
      <c r="C46" s="4" t="s">
        <v>95</v>
      </c>
      <c r="D46" s="7">
        <v>9.1300000000000008</v>
      </c>
      <c r="E46" s="6"/>
      <c r="F46" s="6">
        <f t="shared" si="1"/>
        <v>0</v>
      </c>
      <c r="G46" s="6"/>
      <c r="H46" s="6"/>
      <c r="I46" s="6">
        <f t="shared" si="0"/>
        <v>0</v>
      </c>
      <c r="J46" s="4"/>
      <c r="K46" s="1"/>
      <c r="L46" s="1"/>
      <c r="M46" s="1"/>
      <c r="N46" s="3" t="str">
        <f t="shared" si="2"/>
        <v/>
      </c>
      <c r="O46" s="2" t="str">
        <f t="shared" si="3"/>
        <v/>
      </c>
      <c r="P46" s="2" t="str">
        <f t="shared" si="4"/>
        <v/>
      </c>
    </row>
    <row r="47" spans="2:16">
      <c r="B47" s="4" t="s">
        <v>98</v>
      </c>
      <c r="C47" s="4" t="s">
        <v>97</v>
      </c>
      <c r="D47" s="7">
        <v>212.48</v>
      </c>
      <c r="E47" s="6"/>
      <c r="F47" s="6">
        <f t="shared" si="1"/>
        <v>0</v>
      </c>
      <c r="G47" s="6"/>
      <c r="H47" s="6"/>
      <c r="I47" s="6">
        <f t="shared" si="0"/>
        <v>0</v>
      </c>
      <c r="J47" s="4"/>
      <c r="K47" s="1"/>
      <c r="L47" s="1"/>
      <c r="M47" s="1"/>
      <c r="N47" s="3" t="str">
        <f t="shared" si="2"/>
        <v/>
      </c>
      <c r="O47" s="2" t="str">
        <f t="shared" si="3"/>
        <v/>
      </c>
      <c r="P47" s="2" t="str">
        <f t="shared" si="4"/>
        <v/>
      </c>
    </row>
    <row r="48" spans="2:16">
      <c r="B48" s="4" t="s">
        <v>100</v>
      </c>
      <c r="C48" s="4" t="s">
        <v>99</v>
      </c>
      <c r="D48" s="7">
        <v>33.99</v>
      </c>
      <c r="E48" s="6"/>
      <c r="F48" s="6">
        <f t="shared" si="1"/>
        <v>0</v>
      </c>
      <c r="G48" s="6"/>
      <c r="H48" s="6"/>
      <c r="I48" s="6">
        <f t="shared" si="0"/>
        <v>0</v>
      </c>
      <c r="J48" s="4"/>
      <c r="K48" s="1"/>
      <c r="L48" s="1"/>
      <c r="M48" s="1"/>
      <c r="N48" s="3" t="str">
        <f t="shared" si="2"/>
        <v/>
      </c>
      <c r="O48" s="2" t="str">
        <f t="shared" si="3"/>
        <v/>
      </c>
      <c r="P48" s="2" t="str">
        <f t="shared" si="4"/>
        <v/>
      </c>
    </row>
    <row r="49" spans="2:16">
      <c r="B49" s="4" t="s">
        <v>102</v>
      </c>
      <c r="C49" s="4" t="s">
        <v>101</v>
      </c>
      <c r="D49" s="7">
        <v>12.58</v>
      </c>
      <c r="E49" s="6"/>
      <c r="F49" s="6">
        <f t="shared" si="1"/>
        <v>0</v>
      </c>
      <c r="G49" s="6"/>
      <c r="H49" s="6"/>
      <c r="I49" s="6">
        <f t="shared" si="0"/>
        <v>0</v>
      </c>
      <c r="J49" s="4"/>
      <c r="K49" s="1"/>
      <c r="L49" s="1"/>
      <c r="M49" s="1"/>
      <c r="N49" s="3" t="str">
        <f t="shared" si="2"/>
        <v/>
      </c>
      <c r="O49" s="2" t="str">
        <f t="shared" si="3"/>
        <v/>
      </c>
      <c r="P49" s="2" t="str">
        <f t="shared" si="4"/>
        <v/>
      </c>
    </row>
    <row r="50" spans="2:16">
      <c r="B50" s="4" t="s">
        <v>104</v>
      </c>
      <c r="C50" s="4" t="s">
        <v>103</v>
      </c>
      <c r="D50" s="7">
        <v>86.73</v>
      </c>
      <c r="E50" s="6"/>
      <c r="F50" s="6">
        <f t="shared" si="1"/>
        <v>0</v>
      </c>
      <c r="G50" s="6"/>
      <c r="H50" s="6"/>
      <c r="I50" s="6">
        <f t="shared" si="0"/>
        <v>0</v>
      </c>
      <c r="J50" s="4"/>
      <c r="K50" s="1"/>
      <c r="L50" s="1"/>
      <c r="M50" s="1"/>
      <c r="N50" s="3" t="str">
        <f t="shared" si="2"/>
        <v/>
      </c>
      <c r="O50" s="2" t="str">
        <f t="shared" si="3"/>
        <v/>
      </c>
      <c r="P50" s="2" t="str">
        <f t="shared" si="4"/>
        <v/>
      </c>
    </row>
    <row r="51" spans="2:16">
      <c r="B51" s="4" t="s">
        <v>106</v>
      </c>
      <c r="C51" s="4" t="s">
        <v>105</v>
      </c>
      <c r="D51" s="7">
        <v>11.61</v>
      </c>
      <c r="E51" s="6"/>
      <c r="F51" s="6">
        <f t="shared" si="1"/>
        <v>0</v>
      </c>
      <c r="G51" s="6"/>
      <c r="H51" s="6"/>
      <c r="I51" s="6">
        <f t="shared" si="0"/>
        <v>0</v>
      </c>
      <c r="J51" s="4"/>
      <c r="K51" s="1"/>
      <c r="L51" s="1"/>
      <c r="M51" s="1"/>
      <c r="N51" s="3" t="str">
        <f t="shared" si="2"/>
        <v/>
      </c>
      <c r="O51" s="2" t="str">
        <f t="shared" si="3"/>
        <v/>
      </c>
      <c r="P51" s="2" t="str">
        <f t="shared" si="4"/>
        <v/>
      </c>
    </row>
    <row r="52" spans="2:16">
      <c r="B52" s="4" t="s">
        <v>108</v>
      </c>
      <c r="C52" s="4" t="s">
        <v>107</v>
      </c>
      <c r="D52" s="7">
        <v>61.05</v>
      </c>
      <c r="E52" s="6"/>
      <c r="F52" s="6">
        <f t="shared" si="1"/>
        <v>0</v>
      </c>
      <c r="G52" s="6"/>
      <c r="H52" s="6"/>
      <c r="I52" s="6">
        <f t="shared" si="0"/>
        <v>0</v>
      </c>
      <c r="J52" s="4"/>
      <c r="K52" s="1"/>
      <c r="L52" s="1"/>
      <c r="M52" s="1"/>
      <c r="N52" s="3" t="str">
        <f t="shared" si="2"/>
        <v/>
      </c>
      <c r="O52" s="2" t="str">
        <f t="shared" si="3"/>
        <v/>
      </c>
      <c r="P52" s="2" t="str">
        <f t="shared" si="4"/>
        <v/>
      </c>
    </row>
    <row r="53" spans="2:16">
      <c r="B53" s="4" t="s">
        <v>110</v>
      </c>
      <c r="C53" s="4" t="s">
        <v>109</v>
      </c>
      <c r="D53" s="7">
        <v>126.48</v>
      </c>
      <c r="E53" s="6"/>
      <c r="F53" s="6">
        <f t="shared" si="1"/>
        <v>0</v>
      </c>
      <c r="G53" s="6"/>
      <c r="H53" s="6"/>
      <c r="I53" s="6">
        <f t="shared" si="0"/>
        <v>0</v>
      </c>
      <c r="J53" s="4"/>
      <c r="K53" s="1"/>
      <c r="L53" s="1"/>
      <c r="M53" s="1"/>
      <c r="N53" s="3" t="str">
        <f t="shared" si="2"/>
        <v/>
      </c>
      <c r="O53" s="2" t="str">
        <f t="shared" si="3"/>
        <v/>
      </c>
      <c r="P53" s="2" t="str">
        <f t="shared" si="4"/>
        <v/>
      </c>
    </row>
    <row r="54" spans="2:16">
      <c r="B54" s="4" t="s">
        <v>112</v>
      </c>
      <c r="C54" s="4" t="s">
        <v>111</v>
      </c>
      <c r="D54" s="7">
        <v>45.87</v>
      </c>
      <c r="E54" s="6"/>
      <c r="F54" s="6">
        <f t="shared" si="1"/>
        <v>0</v>
      </c>
      <c r="G54" s="6"/>
      <c r="H54" s="6"/>
      <c r="I54" s="6">
        <f t="shared" si="0"/>
        <v>0</v>
      </c>
      <c r="J54" s="4"/>
      <c r="K54" s="1"/>
      <c r="L54" s="1"/>
      <c r="M54" s="1"/>
      <c r="N54" s="3" t="str">
        <f t="shared" si="2"/>
        <v/>
      </c>
      <c r="O54" s="2" t="str">
        <f t="shared" si="3"/>
        <v/>
      </c>
      <c r="P54" s="2" t="str">
        <f t="shared" si="4"/>
        <v/>
      </c>
    </row>
    <row r="55" spans="2:16">
      <c r="B55" s="4" t="s">
        <v>114</v>
      </c>
      <c r="C55" s="4" t="s">
        <v>113</v>
      </c>
      <c r="D55" s="7">
        <v>75.31</v>
      </c>
      <c r="E55" s="6"/>
      <c r="F55" s="6">
        <f t="shared" si="1"/>
        <v>0</v>
      </c>
      <c r="G55" s="6"/>
      <c r="H55" s="6"/>
      <c r="I55" s="6">
        <f t="shared" si="0"/>
        <v>0</v>
      </c>
      <c r="J55" s="4"/>
      <c r="K55" s="1"/>
      <c r="L55" s="1"/>
      <c r="M55" s="1"/>
      <c r="N55" s="3" t="str">
        <f t="shared" si="2"/>
        <v/>
      </c>
      <c r="O55" s="2" t="str">
        <f t="shared" si="3"/>
        <v/>
      </c>
      <c r="P55" s="2" t="str">
        <f t="shared" si="4"/>
        <v/>
      </c>
    </row>
    <row r="56" spans="2:16">
      <c r="B56" s="4" t="s">
        <v>116</v>
      </c>
      <c r="C56" s="4" t="s">
        <v>115</v>
      </c>
      <c r="D56" s="7">
        <v>14.82</v>
      </c>
      <c r="E56" s="6"/>
      <c r="F56" s="6">
        <f t="shared" si="1"/>
        <v>0</v>
      </c>
      <c r="G56" s="6"/>
      <c r="H56" s="6"/>
      <c r="I56" s="6">
        <f t="shared" si="0"/>
        <v>0</v>
      </c>
      <c r="J56" s="4"/>
      <c r="K56" s="1"/>
      <c r="L56" s="1"/>
      <c r="M56" s="1"/>
      <c r="N56" s="3" t="str">
        <f t="shared" si="2"/>
        <v/>
      </c>
      <c r="O56" s="2" t="str">
        <f t="shared" si="3"/>
        <v/>
      </c>
      <c r="P56" s="2" t="str">
        <f t="shared" si="4"/>
        <v/>
      </c>
    </row>
    <row r="57" spans="2:16">
      <c r="B57" s="4" t="s">
        <v>118</v>
      </c>
      <c r="C57" s="4" t="s">
        <v>117</v>
      </c>
      <c r="D57" s="7">
        <v>22.35</v>
      </c>
      <c r="E57" s="6"/>
      <c r="F57" s="6">
        <f t="shared" si="1"/>
        <v>0</v>
      </c>
      <c r="G57" s="6"/>
      <c r="H57" s="6"/>
      <c r="I57" s="6">
        <f t="shared" si="0"/>
        <v>0</v>
      </c>
      <c r="J57" s="4"/>
      <c r="K57" s="1"/>
      <c r="L57" s="1"/>
      <c r="M57" s="1"/>
      <c r="N57" s="3" t="str">
        <f t="shared" si="2"/>
        <v/>
      </c>
      <c r="O57" s="2" t="str">
        <f t="shared" si="3"/>
        <v/>
      </c>
      <c r="P57" s="2" t="str">
        <f t="shared" si="4"/>
        <v/>
      </c>
    </row>
    <row r="58" spans="2:16">
      <c r="B58" s="4" t="s">
        <v>120</v>
      </c>
      <c r="C58" s="4" t="s">
        <v>119</v>
      </c>
      <c r="D58" s="7">
        <v>33.46</v>
      </c>
      <c r="E58" s="6"/>
      <c r="F58" s="6">
        <f t="shared" si="1"/>
        <v>0</v>
      </c>
      <c r="G58" s="6"/>
      <c r="H58" s="6"/>
      <c r="I58" s="6">
        <f t="shared" si="0"/>
        <v>0</v>
      </c>
      <c r="J58" s="4"/>
      <c r="K58" s="1"/>
      <c r="L58" s="1"/>
      <c r="M58" s="1"/>
      <c r="N58" s="3" t="str">
        <f t="shared" si="2"/>
        <v/>
      </c>
      <c r="O58" s="2" t="str">
        <f t="shared" si="3"/>
        <v/>
      </c>
      <c r="P58" s="2" t="str">
        <f t="shared" si="4"/>
        <v/>
      </c>
    </row>
    <row r="59" spans="2:16">
      <c r="B59" s="4" t="s">
        <v>122</v>
      </c>
      <c r="C59" s="4" t="s">
        <v>121</v>
      </c>
      <c r="D59" s="7">
        <v>10.94</v>
      </c>
      <c r="E59" s="6"/>
      <c r="F59" s="6">
        <f t="shared" si="1"/>
        <v>0</v>
      </c>
      <c r="G59" s="6"/>
      <c r="H59" s="6"/>
      <c r="I59" s="6">
        <f t="shared" si="0"/>
        <v>0</v>
      </c>
      <c r="J59" s="4"/>
      <c r="K59" s="1"/>
      <c r="L59" s="1"/>
      <c r="M59" s="1"/>
      <c r="N59" s="3" t="str">
        <f t="shared" si="2"/>
        <v/>
      </c>
      <c r="O59" s="2" t="str">
        <f t="shared" si="3"/>
        <v/>
      </c>
      <c r="P59" s="2" t="str">
        <f t="shared" si="4"/>
        <v/>
      </c>
    </row>
    <row r="60" spans="2:16">
      <c r="B60" s="4" t="s">
        <v>124</v>
      </c>
      <c r="C60" s="4" t="s">
        <v>123</v>
      </c>
      <c r="D60" s="7">
        <v>35.6</v>
      </c>
      <c r="E60" s="6"/>
      <c r="F60" s="6">
        <f t="shared" si="1"/>
        <v>0</v>
      </c>
      <c r="G60" s="6"/>
      <c r="H60" s="6"/>
      <c r="I60" s="6">
        <f t="shared" si="0"/>
        <v>0</v>
      </c>
      <c r="J60" s="4"/>
      <c r="K60" s="1"/>
      <c r="L60" s="1"/>
      <c r="M60" s="1"/>
      <c r="N60" s="3" t="str">
        <f t="shared" si="2"/>
        <v/>
      </c>
      <c r="O60" s="2" t="str">
        <f t="shared" si="3"/>
        <v/>
      </c>
      <c r="P60" s="2" t="str">
        <f t="shared" si="4"/>
        <v/>
      </c>
    </row>
    <row r="61" spans="2:16">
      <c r="B61" s="4" t="s">
        <v>126</v>
      </c>
      <c r="C61" s="4" t="s">
        <v>125</v>
      </c>
      <c r="E61" s="6"/>
      <c r="F61" s="6">
        <f t="shared" si="1"/>
        <v>0</v>
      </c>
      <c r="G61" s="6"/>
      <c r="H61" s="6"/>
      <c r="I61" s="6">
        <f t="shared" si="0"/>
        <v>0</v>
      </c>
      <c r="J61" s="4"/>
      <c r="K61" s="1"/>
      <c r="L61" s="1"/>
      <c r="M61" s="1"/>
      <c r="N61" s="3" t="str">
        <f t="shared" si="2"/>
        <v/>
      </c>
      <c r="O61" s="2" t="str">
        <f t="shared" si="3"/>
        <v/>
      </c>
      <c r="P61" s="2" t="str">
        <f t="shared" si="4"/>
        <v/>
      </c>
    </row>
    <row r="62" spans="2:16">
      <c r="B62" s="4" t="s">
        <v>128</v>
      </c>
      <c r="C62" s="4" t="s">
        <v>127</v>
      </c>
      <c r="D62" s="7">
        <v>16.52</v>
      </c>
      <c r="E62" s="6"/>
      <c r="F62" s="6">
        <f t="shared" si="1"/>
        <v>0</v>
      </c>
      <c r="G62" s="6"/>
      <c r="H62" s="6"/>
      <c r="I62" s="6">
        <f t="shared" si="0"/>
        <v>0</v>
      </c>
      <c r="J62" s="4"/>
      <c r="K62" s="1"/>
      <c r="L62" s="1"/>
      <c r="M62" s="1"/>
      <c r="N62" s="3" t="str">
        <f t="shared" si="2"/>
        <v/>
      </c>
      <c r="O62" s="2" t="str">
        <f t="shared" si="3"/>
        <v/>
      </c>
      <c r="P62" s="2" t="str">
        <f t="shared" si="4"/>
        <v/>
      </c>
    </row>
    <row r="63" spans="2:16">
      <c r="B63" s="4" t="s">
        <v>130</v>
      </c>
      <c r="C63" s="4" t="s">
        <v>129</v>
      </c>
      <c r="D63" s="7">
        <v>25.02</v>
      </c>
      <c r="E63" s="6"/>
      <c r="F63" s="6">
        <f t="shared" si="1"/>
        <v>0</v>
      </c>
      <c r="G63" s="6"/>
      <c r="H63" s="6"/>
      <c r="I63" s="6">
        <f t="shared" si="0"/>
        <v>0</v>
      </c>
      <c r="J63" s="4"/>
      <c r="K63" s="1"/>
      <c r="L63" s="1"/>
      <c r="M63" s="1"/>
      <c r="N63" s="3" t="str">
        <f t="shared" si="2"/>
        <v/>
      </c>
      <c r="O63" s="2" t="str">
        <f t="shared" si="3"/>
        <v/>
      </c>
      <c r="P63" s="2" t="str">
        <f t="shared" si="4"/>
        <v/>
      </c>
    </row>
    <row r="64" spans="2:16">
      <c r="B64" s="4" t="s">
        <v>132</v>
      </c>
      <c r="C64" s="4" t="s">
        <v>131</v>
      </c>
      <c r="D64" s="7">
        <v>29.02</v>
      </c>
      <c r="E64" s="6"/>
      <c r="F64" s="6">
        <f t="shared" si="1"/>
        <v>0</v>
      </c>
      <c r="G64" s="6"/>
      <c r="H64" s="6"/>
      <c r="I64" s="6">
        <f t="shared" si="0"/>
        <v>0</v>
      </c>
      <c r="J64" s="4"/>
      <c r="K64" s="1"/>
      <c r="L64" s="1"/>
      <c r="M64" s="1"/>
      <c r="N64" s="3" t="str">
        <f t="shared" si="2"/>
        <v/>
      </c>
      <c r="O64" s="2" t="str">
        <f t="shared" si="3"/>
        <v/>
      </c>
      <c r="P64" s="2" t="str">
        <f t="shared" si="4"/>
        <v/>
      </c>
    </row>
    <row r="65" spans="2:20">
      <c r="B65" s="4" t="s">
        <v>134</v>
      </c>
      <c r="C65" s="4" t="s">
        <v>133</v>
      </c>
      <c r="D65" s="7">
        <v>6.06</v>
      </c>
      <c r="E65" s="6"/>
      <c r="F65" s="6">
        <f t="shared" si="1"/>
        <v>0</v>
      </c>
      <c r="G65" s="6"/>
      <c r="H65" s="6"/>
      <c r="I65" s="6">
        <f t="shared" si="0"/>
        <v>0</v>
      </c>
      <c r="J65" s="4"/>
      <c r="K65" s="1"/>
      <c r="L65" s="1"/>
      <c r="M65" s="1"/>
      <c r="N65" s="3" t="str">
        <f t="shared" si="2"/>
        <v/>
      </c>
      <c r="O65" s="2" t="str">
        <f t="shared" si="3"/>
        <v/>
      </c>
      <c r="P65" s="2" t="str">
        <f t="shared" si="4"/>
        <v/>
      </c>
    </row>
    <row r="66" spans="2:20">
      <c r="B66" s="4" t="s">
        <v>136</v>
      </c>
      <c r="C66" s="4" t="s">
        <v>135</v>
      </c>
      <c r="D66" s="7">
        <v>64.7</v>
      </c>
      <c r="E66" s="6"/>
      <c r="F66" s="6">
        <f t="shared" si="1"/>
        <v>0</v>
      </c>
      <c r="G66" s="6"/>
      <c r="H66" s="6"/>
      <c r="I66" s="6">
        <f t="shared" ref="I66:I100" si="5">+F66-G66+H66</f>
        <v>0</v>
      </c>
      <c r="J66" s="4"/>
      <c r="K66" s="1"/>
      <c r="L66" s="1"/>
      <c r="M66" s="1"/>
      <c r="N66" s="3" t="str">
        <f t="shared" si="2"/>
        <v/>
      </c>
      <c r="O66" s="2" t="str">
        <f t="shared" si="3"/>
        <v/>
      </c>
      <c r="P66" s="2" t="str">
        <f t="shared" si="4"/>
        <v/>
      </c>
    </row>
    <row r="67" spans="2:20">
      <c r="B67" s="4" t="s">
        <v>138</v>
      </c>
      <c r="C67" s="4" t="s">
        <v>137</v>
      </c>
      <c r="D67" s="7">
        <v>40.630000000000003</v>
      </c>
      <c r="E67" s="6"/>
      <c r="F67" s="6">
        <f t="shared" ref="F67:F101" si="6">+D67*E67</f>
        <v>0</v>
      </c>
      <c r="G67" s="6"/>
      <c r="H67" s="6"/>
      <c r="I67" s="6">
        <f t="shared" si="5"/>
        <v>0</v>
      </c>
      <c r="J67" s="4"/>
      <c r="K67" s="1"/>
      <c r="L67" s="1"/>
      <c r="M67" s="1"/>
      <c r="N67" s="3" t="str">
        <f t="shared" si="2"/>
        <v/>
      </c>
      <c r="O67" s="2" t="str">
        <f t="shared" si="3"/>
        <v/>
      </c>
      <c r="P67" s="2" t="str">
        <f t="shared" si="4"/>
        <v/>
      </c>
    </row>
    <row r="68" spans="2:20">
      <c r="B68" s="4" t="s">
        <v>140</v>
      </c>
      <c r="C68" s="4" t="s">
        <v>139</v>
      </c>
      <c r="D68" s="7">
        <v>13.41</v>
      </c>
      <c r="E68" s="6"/>
      <c r="F68" s="6">
        <f t="shared" si="6"/>
        <v>0</v>
      </c>
      <c r="G68" s="6"/>
      <c r="H68" s="6"/>
      <c r="I68" s="6">
        <f t="shared" si="5"/>
        <v>0</v>
      </c>
      <c r="J68" s="4"/>
      <c r="K68" s="1"/>
      <c r="L68" s="1"/>
      <c r="M68" s="1"/>
      <c r="N68" s="3" t="str">
        <f t="shared" ref="N68:N100" si="7">IFERROR(IF(M68 = "", L68/K68-1, M68/L68-1), "")</f>
        <v/>
      </c>
      <c r="O68" s="2" t="str">
        <f t="shared" ref="O68:O100" si="8">IFERROR(IF(M68 = "", I68/L68,  I68/M68), "")</f>
        <v/>
      </c>
      <c r="P68" s="2" t="str">
        <f t="shared" ref="P68:P101" si="9">IFERROR(IF(M68 = "", F68/L68, F68/M68), "")</f>
        <v/>
      </c>
    </row>
    <row r="69" spans="2:20">
      <c r="B69" s="4" t="s">
        <v>142</v>
      </c>
      <c r="C69" s="4" t="s">
        <v>141</v>
      </c>
      <c r="D69" s="7">
        <v>48.2</v>
      </c>
      <c r="E69" s="6"/>
      <c r="F69" s="6">
        <f t="shared" si="6"/>
        <v>0</v>
      </c>
      <c r="G69" s="6"/>
      <c r="H69" s="6"/>
      <c r="I69" s="6">
        <f t="shared" si="5"/>
        <v>0</v>
      </c>
      <c r="J69" s="4"/>
      <c r="K69" s="1"/>
      <c r="L69" s="1"/>
      <c r="M69" s="1"/>
      <c r="N69" s="3" t="str">
        <f t="shared" si="7"/>
        <v/>
      </c>
      <c r="O69" s="2" t="str">
        <f t="shared" si="8"/>
        <v/>
      </c>
      <c r="P69" s="2" t="str">
        <f t="shared" si="9"/>
        <v/>
      </c>
    </row>
    <row r="70" spans="2:20">
      <c r="B70" s="4" t="s">
        <v>144</v>
      </c>
      <c r="C70" s="4" t="s">
        <v>143</v>
      </c>
      <c r="D70" s="7">
        <v>58.82</v>
      </c>
      <c r="E70" s="6"/>
      <c r="F70" s="6">
        <f t="shared" si="6"/>
        <v>0</v>
      </c>
      <c r="G70" s="6"/>
      <c r="H70" s="6"/>
      <c r="I70" s="6">
        <f t="shared" si="5"/>
        <v>0</v>
      </c>
      <c r="J70" s="4"/>
      <c r="K70" s="1"/>
      <c r="L70" s="1"/>
      <c r="M70" s="1"/>
      <c r="N70" s="3" t="str">
        <f t="shared" si="7"/>
        <v/>
      </c>
      <c r="O70" s="2" t="str">
        <f t="shared" si="8"/>
        <v/>
      </c>
      <c r="P70" s="2" t="str">
        <f t="shared" si="9"/>
        <v/>
      </c>
    </row>
    <row r="71" spans="2:20">
      <c r="B71" s="4" t="s">
        <v>146</v>
      </c>
      <c r="C71" s="4" t="s">
        <v>145</v>
      </c>
      <c r="D71" s="7">
        <v>23.5</v>
      </c>
      <c r="E71" s="6">
        <f>129.23873+3.499992</f>
        <v>132.738722</v>
      </c>
      <c r="F71" s="6">
        <f t="shared" si="6"/>
        <v>3119.3599669999999</v>
      </c>
      <c r="G71" s="6">
        <f>125.094+599.233</f>
        <v>724.327</v>
      </c>
      <c r="H71" s="6">
        <v>0</v>
      </c>
      <c r="I71" s="6">
        <f t="shared" si="5"/>
        <v>2395.0329670000001</v>
      </c>
      <c r="J71" s="4">
        <v>252.75899999999999</v>
      </c>
      <c r="K71" s="1">
        <v>266.79500000000002</v>
      </c>
      <c r="L71" s="1">
        <v>310.58199999999999</v>
      </c>
      <c r="M71" s="1"/>
      <c r="N71" s="3">
        <f t="shared" si="7"/>
        <v>0.16412226615941061</v>
      </c>
      <c r="O71" s="2">
        <f t="shared" si="8"/>
        <v>7.7114351990778607</v>
      </c>
      <c r="P71" s="2">
        <f t="shared" si="9"/>
        <v>10.043595465931702</v>
      </c>
      <c r="R71" s="3">
        <f>178.56/310.582</f>
        <v>0.57492063287634187</v>
      </c>
      <c r="S71" s="3">
        <f>214.167/L71</f>
        <v>0.68956668448268088</v>
      </c>
      <c r="T71" s="3">
        <f>201.365/L71</f>
        <v>0.64834729636617705</v>
      </c>
    </row>
    <row r="72" spans="2:20">
      <c r="B72" s="4" t="s">
        <v>148</v>
      </c>
      <c r="C72" s="4" t="s">
        <v>147</v>
      </c>
      <c r="D72" s="7">
        <v>62.46</v>
      </c>
      <c r="E72" s="6"/>
      <c r="F72" s="6">
        <f t="shared" si="6"/>
        <v>0</v>
      </c>
      <c r="G72" s="6"/>
      <c r="H72" s="6"/>
      <c r="I72" s="6">
        <f t="shared" si="5"/>
        <v>0</v>
      </c>
      <c r="J72" s="4"/>
      <c r="K72" s="1"/>
      <c r="L72" s="1"/>
      <c r="M72" s="1"/>
      <c r="N72" s="3" t="str">
        <f t="shared" si="7"/>
        <v/>
      </c>
      <c r="O72" s="2" t="str">
        <f t="shared" si="8"/>
        <v/>
      </c>
      <c r="P72" s="2" t="str">
        <f t="shared" si="9"/>
        <v/>
      </c>
    </row>
    <row r="73" spans="2:20">
      <c r="B73" s="4" t="s">
        <v>150</v>
      </c>
      <c r="C73" s="4" t="s">
        <v>149</v>
      </c>
      <c r="D73" s="7">
        <v>24.28</v>
      </c>
      <c r="E73" s="6"/>
      <c r="F73" s="6">
        <f t="shared" si="6"/>
        <v>0</v>
      </c>
      <c r="G73" s="6"/>
      <c r="H73" s="6"/>
      <c r="I73" s="6">
        <f t="shared" si="5"/>
        <v>0</v>
      </c>
      <c r="J73" s="4"/>
      <c r="K73" s="1"/>
      <c r="L73" s="1"/>
      <c r="M73" s="1"/>
      <c r="N73" s="3" t="str">
        <f t="shared" si="7"/>
        <v/>
      </c>
      <c r="O73" s="2" t="str">
        <f t="shared" si="8"/>
        <v/>
      </c>
      <c r="P73" s="2" t="str">
        <f t="shared" si="9"/>
        <v/>
      </c>
    </row>
    <row r="74" spans="2:20">
      <c r="B74" s="4" t="s">
        <v>152</v>
      </c>
      <c r="C74" s="4" t="s">
        <v>151</v>
      </c>
      <c r="D74" s="7">
        <v>26.94</v>
      </c>
      <c r="E74" s="6">
        <f>80.917329+9.804538</f>
        <v>90.721867000000003</v>
      </c>
      <c r="F74" s="6">
        <f t="shared" si="6"/>
        <v>2444.0470969800003</v>
      </c>
      <c r="G74" s="6">
        <v>242.81100000000001</v>
      </c>
      <c r="H74" s="6">
        <f>181.252+1347.881</f>
        <v>1529.133</v>
      </c>
      <c r="I74" s="6">
        <f t="shared" si="5"/>
        <v>3730.36909698</v>
      </c>
      <c r="J74" s="4">
        <v>1988.33</v>
      </c>
      <c r="K74" s="1">
        <v>2202.4290000000001</v>
      </c>
      <c r="L74" s="1">
        <v>2400.395</v>
      </c>
      <c r="M74" s="1"/>
      <c r="N74" s="3">
        <f t="shared" si="7"/>
        <v>8.9885303907640157E-2</v>
      </c>
      <c r="O74" s="2">
        <f t="shared" si="8"/>
        <v>1.5540646839291032</v>
      </c>
      <c r="P74" s="2">
        <f t="shared" si="9"/>
        <v>1.0181853807310881</v>
      </c>
      <c r="Q74" s="1">
        <f>483.276-24.994</f>
        <v>458.28200000000004</v>
      </c>
      <c r="R74" s="3">
        <f>1694.888/2400.395</f>
        <v>0.70608712316097977</v>
      </c>
      <c r="S74" s="3">
        <f>266.447/L74</f>
        <v>0.11100131436701043</v>
      </c>
      <c r="T74" s="3">
        <f>329.323/L74</f>
        <v>0.13719533660085109</v>
      </c>
    </row>
    <row r="75" spans="2:20">
      <c r="B75" s="4" t="s">
        <v>154</v>
      </c>
      <c r="C75" s="4" t="s">
        <v>153</v>
      </c>
      <c r="D75" s="7">
        <v>14.61</v>
      </c>
      <c r="E75" s="6"/>
      <c r="F75" s="6">
        <f t="shared" si="6"/>
        <v>0</v>
      </c>
      <c r="G75" s="6"/>
      <c r="H75" s="6"/>
      <c r="I75" s="6">
        <f t="shared" si="5"/>
        <v>0</v>
      </c>
      <c r="J75" s="4"/>
      <c r="K75" s="1"/>
      <c r="L75" s="1"/>
      <c r="M75" s="1"/>
      <c r="N75" s="3" t="str">
        <f t="shared" si="7"/>
        <v/>
      </c>
      <c r="O75" s="2" t="str">
        <f t="shared" si="8"/>
        <v/>
      </c>
      <c r="P75" s="2" t="str">
        <f t="shared" si="9"/>
        <v/>
      </c>
    </row>
    <row r="76" spans="2:20">
      <c r="B76" s="4" t="s">
        <v>156</v>
      </c>
      <c r="C76" s="4" t="s">
        <v>155</v>
      </c>
      <c r="D76" s="7">
        <v>9.42</v>
      </c>
      <c r="E76" s="6"/>
      <c r="F76" s="6">
        <f t="shared" si="6"/>
        <v>0</v>
      </c>
      <c r="G76" s="6"/>
      <c r="H76" s="6"/>
      <c r="I76" s="6">
        <f t="shared" si="5"/>
        <v>0</v>
      </c>
      <c r="J76" s="4"/>
      <c r="K76" s="1"/>
      <c r="L76" s="1"/>
      <c r="M76" s="1"/>
      <c r="N76" s="3" t="str">
        <f t="shared" si="7"/>
        <v/>
      </c>
      <c r="O76" s="2" t="str">
        <f t="shared" si="8"/>
        <v/>
      </c>
      <c r="P76" s="2" t="str">
        <f t="shared" si="9"/>
        <v/>
      </c>
    </row>
    <row r="77" spans="2:20">
      <c r="B77" s="4" t="s">
        <v>158</v>
      </c>
      <c r="C77" s="4" t="s">
        <v>157</v>
      </c>
      <c r="D77" s="7">
        <v>74.19</v>
      </c>
      <c r="E77" s="6"/>
      <c r="F77" s="6">
        <f t="shared" si="6"/>
        <v>0</v>
      </c>
      <c r="G77" s="6"/>
      <c r="H77" s="6"/>
      <c r="I77" s="6">
        <f t="shared" si="5"/>
        <v>0</v>
      </c>
      <c r="J77" s="4"/>
      <c r="K77" s="1"/>
      <c r="L77" s="1"/>
      <c r="M77" s="1"/>
      <c r="N77" s="3" t="str">
        <f t="shared" si="7"/>
        <v/>
      </c>
      <c r="O77" s="2" t="str">
        <f t="shared" si="8"/>
        <v/>
      </c>
      <c r="P77" s="2" t="str">
        <f t="shared" si="9"/>
        <v/>
      </c>
    </row>
    <row r="78" spans="2:20">
      <c r="B78" s="4" t="s">
        <v>160</v>
      </c>
      <c r="C78" s="4" t="s">
        <v>159</v>
      </c>
      <c r="D78" s="7">
        <v>25.02</v>
      </c>
      <c r="E78" s="6"/>
      <c r="F78" s="6">
        <f t="shared" si="6"/>
        <v>0</v>
      </c>
      <c r="G78" s="6"/>
      <c r="H78" s="6"/>
      <c r="I78" s="6">
        <f t="shared" si="5"/>
        <v>0</v>
      </c>
      <c r="J78" s="4"/>
      <c r="K78" s="1"/>
      <c r="L78" s="1"/>
      <c r="M78" s="1"/>
      <c r="N78" s="3" t="str">
        <f t="shared" si="7"/>
        <v/>
      </c>
      <c r="O78" s="2" t="str">
        <f t="shared" si="8"/>
        <v/>
      </c>
      <c r="P78" s="2" t="str">
        <f t="shared" si="9"/>
        <v/>
      </c>
    </row>
    <row r="79" spans="2:20">
      <c r="B79" s="4" t="s">
        <v>162</v>
      </c>
      <c r="C79" s="4" t="s">
        <v>161</v>
      </c>
      <c r="D79" s="7">
        <v>13.28</v>
      </c>
      <c r="E79" s="6"/>
      <c r="F79" s="6">
        <f t="shared" si="6"/>
        <v>0</v>
      </c>
      <c r="G79" s="6"/>
      <c r="H79" s="6"/>
      <c r="I79" s="6">
        <f t="shared" si="5"/>
        <v>0</v>
      </c>
      <c r="J79" s="4"/>
      <c r="K79" s="1"/>
      <c r="L79" s="1"/>
      <c r="M79" s="1"/>
      <c r="N79" s="3" t="str">
        <f t="shared" si="7"/>
        <v/>
      </c>
      <c r="O79" s="2" t="str">
        <f t="shared" si="8"/>
        <v/>
      </c>
      <c r="P79" s="2" t="str">
        <f t="shared" si="9"/>
        <v/>
      </c>
    </row>
    <row r="80" spans="2:20">
      <c r="B80" s="4" t="s">
        <v>164</v>
      </c>
      <c r="C80" s="4" t="s">
        <v>163</v>
      </c>
      <c r="D80" s="7">
        <v>63.32</v>
      </c>
      <c r="E80" s="6"/>
      <c r="F80" s="6">
        <f t="shared" si="6"/>
        <v>0</v>
      </c>
      <c r="G80" s="6"/>
      <c r="H80" s="6"/>
      <c r="I80" s="6">
        <f t="shared" si="5"/>
        <v>0</v>
      </c>
      <c r="J80" s="4"/>
      <c r="K80" s="1"/>
      <c r="L80" s="1"/>
      <c r="M80" s="1"/>
      <c r="N80" s="3" t="str">
        <f t="shared" si="7"/>
        <v/>
      </c>
      <c r="O80" s="2" t="str">
        <f t="shared" si="8"/>
        <v/>
      </c>
      <c r="P80" s="2" t="str">
        <f t="shared" si="9"/>
        <v/>
      </c>
    </row>
    <row r="81" spans="2:23">
      <c r="B81" s="4" t="s">
        <v>166</v>
      </c>
      <c r="C81" s="4" t="s">
        <v>165</v>
      </c>
      <c r="E81" s="6"/>
      <c r="F81" s="6">
        <f t="shared" si="6"/>
        <v>0</v>
      </c>
      <c r="G81" s="6"/>
      <c r="H81" s="6"/>
      <c r="I81" s="6">
        <f t="shared" si="5"/>
        <v>0</v>
      </c>
      <c r="J81" s="4"/>
      <c r="K81" s="1"/>
      <c r="L81" s="1"/>
      <c r="M81" s="1"/>
      <c r="N81" s="3" t="str">
        <f t="shared" si="7"/>
        <v/>
      </c>
      <c r="O81" s="2" t="str">
        <f t="shared" si="8"/>
        <v/>
      </c>
      <c r="P81" s="2" t="str">
        <f t="shared" si="9"/>
        <v/>
      </c>
    </row>
    <row r="82" spans="2:23">
      <c r="B82" s="4" t="s">
        <v>168</v>
      </c>
      <c r="C82" s="4" t="s">
        <v>167</v>
      </c>
      <c r="D82" s="7">
        <v>12.11</v>
      </c>
      <c r="E82" s="6"/>
      <c r="F82" s="6">
        <f t="shared" si="6"/>
        <v>0</v>
      </c>
      <c r="G82" s="6"/>
      <c r="H82" s="6"/>
      <c r="I82" s="6">
        <f t="shared" si="5"/>
        <v>0</v>
      </c>
      <c r="J82" s="4"/>
      <c r="K82" s="1"/>
      <c r="L82" s="1"/>
      <c r="M82" s="1"/>
      <c r="N82" s="3" t="str">
        <f t="shared" si="7"/>
        <v/>
      </c>
      <c r="O82" s="2" t="str">
        <f t="shared" si="8"/>
        <v/>
      </c>
      <c r="P82" s="2" t="str">
        <f t="shared" si="9"/>
        <v/>
      </c>
    </row>
    <row r="83" spans="2:23">
      <c r="B83" s="4" t="s">
        <v>170</v>
      </c>
      <c r="C83" s="4" t="s">
        <v>169</v>
      </c>
      <c r="D83" s="7">
        <v>14.01</v>
      </c>
      <c r="E83" s="6"/>
      <c r="F83" s="6">
        <f t="shared" si="6"/>
        <v>0</v>
      </c>
      <c r="G83" s="6"/>
      <c r="H83" s="6"/>
      <c r="I83" s="6">
        <f t="shared" si="5"/>
        <v>0</v>
      </c>
      <c r="J83" s="4"/>
      <c r="K83" s="1"/>
      <c r="L83" s="1"/>
      <c r="M83" s="1"/>
      <c r="N83" s="3" t="str">
        <f t="shared" si="7"/>
        <v/>
      </c>
      <c r="O83" s="2" t="str">
        <f t="shared" si="8"/>
        <v/>
      </c>
      <c r="P83" s="2" t="str">
        <f t="shared" si="9"/>
        <v/>
      </c>
    </row>
    <row r="84" spans="2:23">
      <c r="B84" s="4" t="s">
        <v>172</v>
      </c>
      <c r="C84" s="4" t="s">
        <v>171</v>
      </c>
      <c r="D84" s="7">
        <v>19.66</v>
      </c>
      <c r="E84" s="6"/>
      <c r="F84" s="6">
        <f t="shared" si="6"/>
        <v>0</v>
      </c>
      <c r="G84" s="6"/>
      <c r="H84" s="6"/>
      <c r="I84" s="6">
        <f t="shared" si="5"/>
        <v>0</v>
      </c>
      <c r="J84" s="4"/>
      <c r="K84" s="1"/>
      <c r="L84" s="1"/>
      <c r="M84" s="1"/>
      <c r="N84" s="3" t="str">
        <f t="shared" si="7"/>
        <v/>
      </c>
      <c r="O84" s="2" t="str">
        <f t="shared" si="8"/>
        <v/>
      </c>
      <c r="P84" s="2" t="str">
        <f t="shared" si="9"/>
        <v/>
      </c>
    </row>
    <row r="85" spans="2:23">
      <c r="B85" s="4" t="s">
        <v>174</v>
      </c>
      <c r="C85" s="4" t="s">
        <v>173</v>
      </c>
      <c r="D85" s="7">
        <v>16.25</v>
      </c>
      <c r="E85" s="6">
        <v>0</v>
      </c>
      <c r="F85" s="6">
        <f t="shared" si="6"/>
        <v>0</v>
      </c>
      <c r="G85" s="6">
        <v>0</v>
      </c>
      <c r="H85" s="6">
        <v>0</v>
      </c>
      <c r="I85" s="6">
        <f t="shared" si="5"/>
        <v>0</v>
      </c>
      <c r="J85" s="4"/>
      <c r="K85" s="1"/>
      <c r="L85" s="1"/>
      <c r="M85" s="1"/>
      <c r="N85" s="3" t="str">
        <f t="shared" si="7"/>
        <v/>
      </c>
      <c r="O85" s="2" t="str">
        <f t="shared" si="8"/>
        <v/>
      </c>
      <c r="P85" s="2" t="str">
        <f t="shared" si="9"/>
        <v/>
      </c>
    </row>
    <row r="86" spans="2:23">
      <c r="B86" s="4" t="s">
        <v>176</v>
      </c>
      <c r="C86" s="4" t="s">
        <v>175</v>
      </c>
      <c r="D86" s="7">
        <v>9.9499999999999993</v>
      </c>
      <c r="E86" s="6"/>
      <c r="F86" s="6">
        <f t="shared" si="6"/>
        <v>0</v>
      </c>
      <c r="G86" s="6"/>
      <c r="H86" s="6"/>
      <c r="I86" s="6">
        <f t="shared" si="5"/>
        <v>0</v>
      </c>
      <c r="J86" s="4"/>
      <c r="K86" s="1"/>
      <c r="L86" s="1"/>
      <c r="M86" s="1"/>
      <c r="N86" s="3" t="str">
        <f t="shared" si="7"/>
        <v/>
      </c>
      <c r="O86" s="2" t="str">
        <f t="shared" si="8"/>
        <v/>
      </c>
      <c r="P86" s="2" t="str">
        <f t="shared" si="9"/>
        <v/>
      </c>
    </row>
    <row r="87" spans="2:23">
      <c r="B87" s="4" t="s">
        <v>178</v>
      </c>
      <c r="C87" s="4" t="s">
        <v>177</v>
      </c>
      <c r="D87" s="7">
        <v>11.16</v>
      </c>
      <c r="E87" s="6"/>
      <c r="F87" s="6">
        <f t="shared" si="6"/>
        <v>0</v>
      </c>
      <c r="G87" s="6"/>
      <c r="H87" s="6"/>
      <c r="I87" s="6">
        <f t="shared" si="5"/>
        <v>0</v>
      </c>
      <c r="J87" s="4"/>
      <c r="K87" s="1"/>
      <c r="L87" s="1"/>
      <c r="M87" s="1"/>
      <c r="N87" s="3" t="str">
        <f t="shared" si="7"/>
        <v/>
      </c>
      <c r="O87" s="2" t="str">
        <f t="shared" si="8"/>
        <v/>
      </c>
      <c r="P87" s="2" t="str">
        <f t="shared" si="9"/>
        <v/>
      </c>
    </row>
    <row r="88" spans="2:23">
      <c r="B88" s="4" t="s">
        <v>180</v>
      </c>
      <c r="C88" s="4" t="s">
        <v>179</v>
      </c>
      <c r="D88" s="7">
        <v>24.35</v>
      </c>
      <c r="E88" s="6"/>
      <c r="F88" s="6">
        <f t="shared" si="6"/>
        <v>0</v>
      </c>
      <c r="G88" s="6"/>
      <c r="H88" s="6"/>
      <c r="I88" s="6">
        <f t="shared" si="5"/>
        <v>0</v>
      </c>
      <c r="J88" s="4"/>
      <c r="K88" s="1"/>
      <c r="L88" s="1"/>
      <c r="M88" s="1"/>
      <c r="N88" s="3" t="str">
        <f t="shared" si="7"/>
        <v/>
      </c>
      <c r="O88" s="2" t="str">
        <f t="shared" si="8"/>
        <v/>
      </c>
      <c r="P88" s="2" t="str">
        <f t="shared" si="9"/>
        <v/>
      </c>
    </row>
    <row r="89" spans="2:23">
      <c r="B89" s="4" t="s">
        <v>182</v>
      </c>
      <c r="C89" s="4" t="s">
        <v>181</v>
      </c>
      <c r="D89" s="7">
        <v>23.7</v>
      </c>
      <c r="E89" s="6"/>
      <c r="F89" s="6">
        <f t="shared" si="6"/>
        <v>0</v>
      </c>
      <c r="G89" s="6"/>
      <c r="H89" s="6"/>
      <c r="I89" s="6">
        <f t="shared" si="5"/>
        <v>0</v>
      </c>
      <c r="J89" s="4"/>
      <c r="K89" s="1"/>
      <c r="L89" s="1"/>
      <c r="M89" s="1"/>
      <c r="N89" s="3" t="str">
        <f t="shared" si="7"/>
        <v/>
      </c>
      <c r="O89" s="2" t="str">
        <f t="shared" si="8"/>
        <v/>
      </c>
      <c r="P89" s="2" t="str">
        <f t="shared" si="9"/>
        <v/>
      </c>
    </row>
    <row r="90" spans="2:23">
      <c r="B90" s="4" t="s">
        <v>184</v>
      </c>
      <c r="C90" s="4" t="s">
        <v>183</v>
      </c>
      <c r="D90" s="7">
        <v>41.99</v>
      </c>
      <c r="E90" s="6"/>
      <c r="F90" s="6">
        <f t="shared" si="6"/>
        <v>0</v>
      </c>
      <c r="G90" s="6"/>
      <c r="H90" s="6"/>
      <c r="I90" s="6">
        <f t="shared" si="5"/>
        <v>0</v>
      </c>
      <c r="J90" s="4"/>
      <c r="K90" s="1"/>
      <c r="L90" s="1"/>
      <c r="M90" s="1"/>
      <c r="N90" s="3" t="str">
        <f t="shared" si="7"/>
        <v/>
      </c>
      <c r="O90" s="2" t="str">
        <f t="shared" si="8"/>
        <v/>
      </c>
      <c r="P90" s="2" t="str">
        <f t="shared" si="9"/>
        <v/>
      </c>
    </row>
    <row r="91" spans="2:23">
      <c r="B91" s="4" t="s">
        <v>186</v>
      </c>
      <c r="C91" s="4" t="s">
        <v>185</v>
      </c>
      <c r="D91" s="7">
        <v>43.75</v>
      </c>
      <c r="E91" s="6"/>
      <c r="F91" s="6">
        <f t="shared" si="6"/>
        <v>0</v>
      </c>
      <c r="G91" s="6"/>
      <c r="H91" s="6"/>
      <c r="I91" s="6">
        <f t="shared" si="5"/>
        <v>0</v>
      </c>
      <c r="J91" s="4"/>
      <c r="K91" s="1"/>
      <c r="L91" s="1"/>
      <c r="M91" s="1"/>
      <c r="N91" s="3" t="str">
        <f t="shared" si="7"/>
        <v/>
      </c>
      <c r="O91" s="2" t="str">
        <f t="shared" si="8"/>
        <v/>
      </c>
      <c r="P91" s="2" t="str">
        <f t="shared" si="9"/>
        <v/>
      </c>
    </row>
    <row r="92" spans="2:23">
      <c r="B92" s="4" t="s">
        <v>188</v>
      </c>
      <c r="C92" s="4" t="s">
        <v>187</v>
      </c>
      <c r="D92" s="7">
        <v>86.06</v>
      </c>
      <c r="E92" s="6"/>
      <c r="F92" s="6">
        <f t="shared" si="6"/>
        <v>0</v>
      </c>
      <c r="G92" s="6"/>
      <c r="H92" s="6"/>
      <c r="I92" s="6">
        <f t="shared" si="5"/>
        <v>0</v>
      </c>
      <c r="J92" s="4"/>
      <c r="K92" s="1"/>
      <c r="L92" s="1"/>
      <c r="M92" s="1"/>
      <c r="N92" s="3" t="str">
        <f t="shared" si="7"/>
        <v/>
      </c>
      <c r="O92" s="2" t="str">
        <f t="shared" si="8"/>
        <v/>
      </c>
      <c r="P92" s="2" t="str">
        <f t="shared" si="9"/>
        <v/>
      </c>
    </row>
    <row r="93" spans="2:23">
      <c r="B93" s="4" t="s">
        <v>190</v>
      </c>
      <c r="C93" s="4" t="s">
        <v>189</v>
      </c>
      <c r="D93" s="7">
        <v>6.31</v>
      </c>
      <c r="E93" s="6"/>
      <c r="F93" s="6">
        <f t="shared" si="6"/>
        <v>0</v>
      </c>
      <c r="G93" s="6"/>
      <c r="H93" s="6"/>
      <c r="I93" s="6">
        <f t="shared" si="5"/>
        <v>0</v>
      </c>
      <c r="J93" s="4"/>
      <c r="K93" s="1"/>
      <c r="L93" s="1"/>
      <c r="M93" s="1"/>
      <c r="N93" s="3" t="str">
        <f t="shared" si="7"/>
        <v/>
      </c>
      <c r="O93" s="2" t="str">
        <f t="shared" si="8"/>
        <v/>
      </c>
      <c r="P93" s="2" t="str">
        <f t="shared" si="9"/>
        <v/>
      </c>
    </row>
    <row r="94" spans="2:23">
      <c r="B94" s="4" t="s">
        <v>192</v>
      </c>
      <c r="C94" s="4" t="s">
        <v>191</v>
      </c>
      <c r="D94" s="7">
        <v>21.18</v>
      </c>
      <c r="E94" s="6">
        <v>48</v>
      </c>
      <c r="F94" s="6">
        <f t="shared" si="6"/>
        <v>1016.64</v>
      </c>
      <c r="G94" s="6">
        <v>162</v>
      </c>
      <c r="H94" s="6">
        <v>271</v>
      </c>
      <c r="I94" s="6">
        <f t="shared" si="5"/>
        <v>1125.6399999999999</v>
      </c>
      <c r="J94" s="4">
        <v>276</v>
      </c>
      <c r="K94" s="1">
        <v>304</v>
      </c>
      <c r="L94" s="1">
        <v>330</v>
      </c>
      <c r="M94" s="1"/>
      <c r="N94" s="3">
        <f t="shared" si="7"/>
        <v>8.5526315789473673E-2</v>
      </c>
      <c r="O94" s="2">
        <f t="shared" si="8"/>
        <v>3.4110303030303029</v>
      </c>
      <c r="P94" s="2">
        <f t="shared" si="9"/>
        <v>3.0807272727272728</v>
      </c>
    </row>
    <row r="95" spans="2:23">
      <c r="B95" s="5" t="s">
        <v>194</v>
      </c>
      <c r="C95" s="4" t="s">
        <v>193</v>
      </c>
      <c r="D95" s="7">
        <v>86</v>
      </c>
      <c r="E95" s="4">
        <v>11</v>
      </c>
      <c r="F95" s="4">
        <f t="shared" si="6"/>
        <v>946</v>
      </c>
      <c r="G95" s="4">
        <v>150</v>
      </c>
      <c r="H95" s="4">
        <v>119</v>
      </c>
      <c r="I95" s="4">
        <f t="shared" si="5"/>
        <v>915</v>
      </c>
      <c r="J95" s="4"/>
      <c r="K95" s="4">
        <v>423</v>
      </c>
      <c r="L95" s="4">
        <v>546</v>
      </c>
      <c r="M95" s="4"/>
      <c r="N95" s="3">
        <f t="shared" si="7"/>
        <v>0.29078014184397172</v>
      </c>
      <c r="O95" s="2">
        <f t="shared" si="8"/>
        <v>1.6758241758241759</v>
      </c>
      <c r="P95" s="2">
        <f t="shared" si="9"/>
        <v>1.7326007326007327</v>
      </c>
      <c r="W95" t="s">
        <v>229</v>
      </c>
    </row>
    <row r="96" spans="2:23">
      <c r="B96" s="5" t="s">
        <v>196</v>
      </c>
      <c r="C96" s="4" t="s">
        <v>195</v>
      </c>
      <c r="D96" s="7">
        <v>6.76</v>
      </c>
      <c r="E96" s="4">
        <v>140.30000000000001</v>
      </c>
      <c r="F96" s="4">
        <f t="shared" si="6"/>
        <v>948.428</v>
      </c>
      <c r="G96" s="4">
        <v>308.2</v>
      </c>
      <c r="H96" s="4">
        <v>344.5</v>
      </c>
      <c r="I96" s="4">
        <f t="shared" si="5"/>
        <v>984.72800000000007</v>
      </c>
      <c r="J96" s="4">
        <v>432.7</v>
      </c>
      <c r="K96" s="4">
        <v>506</v>
      </c>
      <c r="L96" s="4">
        <v>543.70000000000005</v>
      </c>
      <c r="M96" s="4">
        <v>580</v>
      </c>
      <c r="N96" s="3">
        <f t="shared" si="7"/>
        <v>6.6764759977928856E-2</v>
      </c>
      <c r="O96" s="2">
        <f t="shared" si="8"/>
        <v>1.6978068965517243</v>
      </c>
      <c r="P96" s="2">
        <f t="shared" si="9"/>
        <v>1.6352206896551724</v>
      </c>
      <c r="Q96" s="1">
        <v>-11</v>
      </c>
      <c r="R96" s="3">
        <v>0.54</v>
      </c>
      <c r="S96" s="3">
        <v>0.38</v>
      </c>
      <c r="T96" s="3">
        <v>0.3</v>
      </c>
      <c r="U96" s="2">
        <f>440.195/104.456</f>
        <v>4.2141667304893922</v>
      </c>
      <c r="W96" t="s">
        <v>228</v>
      </c>
    </row>
    <row r="97" spans="2:23">
      <c r="B97" s="5" t="s">
        <v>198</v>
      </c>
      <c r="C97" s="4" t="s">
        <v>197</v>
      </c>
      <c r="D97" s="7">
        <v>3.69</v>
      </c>
      <c r="E97" s="4">
        <v>256</v>
      </c>
      <c r="F97" s="4">
        <f t="shared" si="6"/>
        <v>944.64</v>
      </c>
      <c r="G97" s="4">
        <v>98</v>
      </c>
      <c r="H97" s="4">
        <v>0</v>
      </c>
      <c r="I97" s="4">
        <f t="shared" si="5"/>
        <v>846.64</v>
      </c>
      <c r="J97" s="4">
        <v>235</v>
      </c>
      <c r="K97" s="4">
        <v>157</v>
      </c>
      <c r="L97" s="4">
        <v>162</v>
      </c>
      <c r="M97" s="4"/>
      <c r="N97" s="3">
        <f t="shared" si="7"/>
        <v>3.1847133757961776E-2</v>
      </c>
      <c r="O97" s="2">
        <f t="shared" si="8"/>
        <v>5.2261728395061731</v>
      </c>
      <c r="P97" s="2">
        <f t="shared" si="9"/>
        <v>5.8311111111111114</v>
      </c>
      <c r="R97" s="3">
        <v>0.44</v>
      </c>
      <c r="S97" s="3">
        <v>0.22</v>
      </c>
      <c r="T97" s="3">
        <v>0.28000000000000003</v>
      </c>
      <c r="W97" t="s">
        <v>227</v>
      </c>
    </row>
    <row r="98" spans="2:23">
      <c r="B98" s="5" t="s">
        <v>200</v>
      </c>
      <c r="C98" s="4" t="s">
        <v>199</v>
      </c>
      <c r="D98" s="7">
        <v>5.38</v>
      </c>
      <c r="E98" s="4">
        <v>165</v>
      </c>
      <c r="F98" s="4">
        <f t="shared" si="6"/>
        <v>887.69999999999993</v>
      </c>
      <c r="G98" s="4">
        <v>325</v>
      </c>
      <c r="H98" s="4">
        <v>0</v>
      </c>
      <c r="I98" s="4">
        <f t="shared" si="5"/>
        <v>562.69999999999993</v>
      </c>
      <c r="J98" s="4">
        <v>433</v>
      </c>
      <c r="K98" s="4">
        <v>417</v>
      </c>
      <c r="L98" s="4">
        <v>417</v>
      </c>
      <c r="M98" s="4">
        <v>417</v>
      </c>
      <c r="N98" s="3">
        <f t="shared" si="7"/>
        <v>0</v>
      </c>
      <c r="O98" s="2">
        <f t="shared" si="8"/>
        <v>1.3494004796163068</v>
      </c>
      <c r="P98" s="2">
        <f t="shared" si="9"/>
        <v>2.1287769784172661</v>
      </c>
      <c r="Q98" s="1">
        <v>57</v>
      </c>
      <c r="R98" s="3">
        <v>0.78</v>
      </c>
      <c r="S98" s="3">
        <v>0.28999999999999998</v>
      </c>
      <c r="T98" s="3">
        <v>0.26</v>
      </c>
      <c r="U98" s="2">
        <f>374.656/222.423</f>
        <v>1.6844301173889391</v>
      </c>
      <c r="W98" t="s">
        <v>226</v>
      </c>
    </row>
    <row r="99" spans="2:23">
      <c r="B99" s="5" t="s">
        <v>202</v>
      </c>
      <c r="C99" s="4" t="s">
        <v>201</v>
      </c>
      <c r="D99" s="7">
        <v>21.63</v>
      </c>
      <c r="E99" s="4">
        <v>39</v>
      </c>
      <c r="F99" s="4">
        <f t="shared" si="6"/>
        <v>843.56999999999994</v>
      </c>
      <c r="G99" s="4">
        <f>90.594+24.291</f>
        <v>114.88499999999999</v>
      </c>
      <c r="H99" s="4">
        <v>0</v>
      </c>
      <c r="I99" s="4">
        <f t="shared" si="5"/>
        <v>728.68499999999995</v>
      </c>
      <c r="J99" s="4">
        <v>149</v>
      </c>
      <c r="K99" s="4">
        <v>166</v>
      </c>
      <c r="L99" s="4">
        <v>179</v>
      </c>
      <c r="M99" s="4">
        <v>206</v>
      </c>
      <c r="N99" s="3">
        <f t="shared" si="7"/>
        <v>0.15083798882681565</v>
      </c>
      <c r="O99" s="2">
        <f t="shared" si="8"/>
        <v>3.5373058252427181</v>
      </c>
      <c r="P99" s="2">
        <f t="shared" si="9"/>
        <v>4.0949999999999998</v>
      </c>
      <c r="Q99" s="1">
        <v>-7</v>
      </c>
      <c r="R99" s="3">
        <v>0.7</v>
      </c>
      <c r="S99" s="3">
        <v>0.3</v>
      </c>
      <c r="T99" s="3">
        <v>0.3</v>
      </c>
      <c r="U99" s="2">
        <f>315.289/60.542</f>
        <v>5.2077731161838061</v>
      </c>
      <c r="W99" t="s">
        <v>224</v>
      </c>
    </row>
    <row r="100" spans="2:23">
      <c r="B100" s="5" t="s">
        <v>204</v>
      </c>
      <c r="C100" s="4" t="s">
        <v>203</v>
      </c>
      <c r="D100" s="7">
        <v>12.96</v>
      </c>
      <c r="E100" s="4">
        <v>63.1</v>
      </c>
      <c r="F100" s="4">
        <f t="shared" si="6"/>
        <v>817.77600000000007</v>
      </c>
      <c r="G100" s="4">
        <v>205</v>
      </c>
      <c r="H100" s="4">
        <v>0</v>
      </c>
      <c r="I100" s="4">
        <f t="shared" si="5"/>
        <v>612.77600000000007</v>
      </c>
      <c r="J100" s="4">
        <v>197</v>
      </c>
      <c r="K100" s="4">
        <v>223</v>
      </c>
      <c r="L100" s="4">
        <v>289</v>
      </c>
      <c r="M100" s="4"/>
      <c r="N100" s="3">
        <f t="shared" si="7"/>
        <v>0.29596412556053808</v>
      </c>
      <c r="O100" s="2">
        <f t="shared" si="8"/>
        <v>2.1203321799307959</v>
      </c>
      <c r="P100" s="2">
        <f t="shared" si="9"/>
        <v>2.8296747404844291</v>
      </c>
      <c r="Q100" s="1">
        <v>49</v>
      </c>
      <c r="R100" s="3">
        <v>0.46</v>
      </c>
      <c r="S100" s="3">
        <v>0.19</v>
      </c>
      <c r="T100" s="3">
        <v>0.08</v>
      </c>
      <c r="U100" s="2">
        <f>440.804/145.451</f>
        <v>3.0306013709084159</v>
      </c>
      <c r="V100" s="4">
        <f>+L100/376</f>
        <v>0.7686170212765957</v>
      </c>
      <c r="W100" t="s">
        <v>223</v>
      </c>
    </row>
    <row r="101" spans="2:23">
      <c r="B101" s="4" t="s">
        <v>206</v>
      </c>
      <c r="C101" s="4" t="s">
        <v>205</v>
      </c>
      <c r="E101" s="4"/>
      <c r="F101" s="4">
        <f t="shared" si="6"/>
        <v>0</v>
      </c>
      <c r="G101" s="4"/>
      <c r="H101" s="4"/>
      <c r="I101" s="4">
        <f>+F101-G101+H101</f>
        <v>0</v>
      </c>
      <c r="J101" s="4"/>
      <c r="K101" s="4"/>
      <c r="L101" s="4"/>
      <c r="M101" s="4"/>
      <c r="P101" s="2" t="str">
        <f t="shared" si="9"/>
        <v/>
      </c>
    </row>
    <row r="102" spans="2:23">
      <c r="E102" s="1"/>
      <c r="F102" s="1"/>
      <c r="G102" s="1"/>
      <c r="H102" s="1"/>
      <c r="I102" s="1"/>
      <c r="J102" s="1"/>
      <c r="K102" s="1"/>
      <c r="L102" s="1"/>
      <c r="M102" s="1"/>
    </row>
  </sheetData>
  <hyperlinks>
    <hyperlink ref="B100" r:id="rId1" xr:uid="{47FBABB1-9F25-4846-AF14-9A2C690EDFDB}"/>
    <hyperlink ref="B99" r:id="rId2" xr:uid="{73A29368-EBD3-E04F-B408-3AE098FE1211}"/>
    <hyperlink ref="B98" r:id="rId3" xr:uid="{C629E93E-0CC5-7B49-95FE-45256BF3AAAE}"/>
    <hyperlink ref="B97" r:id="rId4" xr:uid="{256EF724-C27C-7E48-A6CB-EDA65365D70B}"/>
    <hyperlink ref="B96" r:id="rId5" xr:uid="{AF5CFD7A-0F9C-F949-958F-9802FF99783B}"/>
    <hyperlink ref="B95" r:id="rId6" xr:uid="{AE935D42-A50A-EF4D-9DFC-A9F183BA427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2025-03-12T14:47:40Z</dcterms:created>
  <dcterms:modified xsi:type="dcterms:W3CDTF">2025-03-27T06:30:23Z</dcterms:modified>
</cp:coreProperties>
</file>