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.hedley\My Drive\Education\USYD - PhD\Paper 3 PBT kidney donors economic evaluation\Submission to Transplantation May 2022\"/>
    </mc:Choice>
  </mc:AlternateContent>
  <xr:revisionPtr revIDLastSave="0" documentId="13_ncr:1_{E5EDA3CA-3CCF-459E-8F29-04492A0EF0EF}" xr6:coauthVersionLast="47" xr6:coauthVersionMax="47" xr10:uidLastSave="{00000000-0000-0000-0000-000000000000}"/>
  <bookViews>
    <workbookView xWindow="28680" yWindow="-120" windowWidth="29040" windowHeight="15840" xr2:uid="{29129AE0-7F1D-4660-82D1-37146C0AF6FE}"/>
  </bookViews>
  <sheets>
    <sheet name="Consumer price index (CPI)" sheetId="14" r:id="rId1"/>
    <sheet name="Drug proportions" sheetId="2" r:id="rId2"/>
    <sheet name="Drug doses" sheetId="12" r:id="rId3"/>
    <sheet name="Drug unit costs" sheetId="3" r:id="rId4"/>
    <sheet name="Drug utilisation and costs" sheetId="4" r:id="rId5"/>
    <sheet name="Doctor visits" sheetId="8" r:id="rId6"/>
    <sheet name="Transplant surgery" sheetId="1" r:id="rId7"/>
    <sheet name="Nephrectomy" sheetId="15" r:id="rId8"/>
    <sheet name="Dialysis costs" sheetId="5" r:id="rId9"/>
    <sheet name="Cancer costs" sheetId="6" r:id="rId10"/>
    <sheet name="Cost of each health state" sheetId="9" r:id="rId11"/>
    <sheet name="Cost of each transition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9" l="1"/>
  <c r="F9" i="9"/>
  <c r="F10" i="9"/>
  <c r="F11" i="9"/>
  <c r="F7" i="9"/>
  <c r="F6" i="9"/>
  <c r="E8" i="9"/>
  <c r="E9" i="9"/>
  <c r="E10" i="9"/>
  <c r="E11" i="9"/>
  <c r="E7" i="9"/>
  <c r="E6" i="9"/>
  <c r="D11" i="9"/>
  <c r="D10" i="9"/>
  <c r="D9" i="9"/>
  <c r="D8" i="9"/>
  <c r="D7" i="9"/>
  <c r="D6" i="9"/>
  <c r="C11" i="9"/>
  <c r="C10" i="9"/>
  <c r="C9" i="9"/>
  <c r="C8" i="9"/>
  <c r="C7" i="9"/>
  <c r="C6" i="9"/>
  <c r="C7" i="13" l="1"/>
  <c r="E9" i="15"/>
  <c r="E8" i="15"/>
  <c r="E7" i="15"/>
  <c r="E6" i="15"/>
  <c r="D9" i="15"/>
  <c r="E13" i="1"/>
  <c r="C6" i="13" l="1"/>
  <c r="C5" i="13"/>
  <c r="D16" i="6"/>
  <c r="D15" i="6"/>
  <c r="D14" i="6"/>
  <c r="D13" i="6"/>
  <c r="E13" i="6" s="1"/>
  <c r="F13" i="6" s="1"/>
  <c r="D12" i="6"/>
  <c r="D7" i="6"/>
  <c r="D8" i="6"/>
  <c r="D9" i="6"/>
  <c r="D10" i="6"/>
  <c r="E10" i="6" s="1"/>
  <c r="F10" i="6" s="1"/>
  <c r="D6" i="6"/>
  <c r="E6" i="6" s="1"/>
  <c r="F6" i="6" s="1"/>
  <c r="D26" i="5"/>
  <c r="D33" i="5" s="1"/>
  <c r="D27" i="5"/>
  <c r="D34" i="5" s="1"/>
  <c r="D25" i="5"/>
  <c r="D32" i="5" s="1"/>
  <c r="F28" i="14"/>
  <c r="F27" i="14"/>
  <c r="F26" i="14"/>
  <c r="F25" i="14"/>
  <c r="F24" i="14"/>
  <c r="F23" i="14"/>
  <c r="F22" i="14"/>
  <c r="E15" i="1" s="1"/>
  <c r="F12" i="14"/>
  <c r="F7" i="14"/>
  <c r="F6" i="14"/>
  <c r="F34" i="14"/>
  <c r="F33" i="14"/>
  <c r="F32" i="14"/>
  <c r="E11" i="1" s="1"/>
  <c r="F31" i="14"/>
  <c r="F30" i="14"/>
  <c r="F29" i="14"/>
  <c r="F19" i="14"/>
  <c r="E12" i="1" s="1"/>
  <c r="F18" i="14"/>
  <c r="F17" i="14"/>
  <c r="F16" i="14"/>
  <c r="F15" i="14"/>
  <c r="F14" i="14"/>
  <c r="F13" i="14"/>
  <c r="F11" i="14"/>
  <c r="F10" i="14"/>
  <c r="F9" i="14"/>
  <c r="F8" i="14"/>
  <c r="F12" i="6"/>
  <c r="F7" i="6"/>
  <c r="E16" i="6"/>
  <c r="F16" i="6" s="1"/>
  <c r="E15" i="6"/>
  <c r="F15" i="6" s="1"/>
  <c r="E14" i="6"/>
  <c r="F14" i="6" s="1"/>
  <c r="E12" i="6"/>
  <c r="E7" i="6"/>
  <c r="E8" i="6"/>
  <c r="F8" i="6" s="1"/>
  <c r="E9" i="6"/>
  <c r="F9" i="6" s="1"/>
  <c r="C33" i="5"/>
  <c r="C34" i="5"/>
  <c r="C32" i="5"/>
  <c r="C6" i="5"/>
  <c r="C8" i="5" s="1"/>
  <c r="D15" i="5"/>
  <c r="B20" i="5" s="1"/>
  <c r="E8" i="1"/>
  <c r="D13" i="1"/>
  <c r="D8" i="1"/>
  <c r="E29" i="8"/>
  <c r="D29" i="8"/>
  <c r="D30" i="8" s="1"/>
  <c r="C29" i="8"/>
  <c r="C28" i="8"/>
  <c r="C11" i="8"/>
  <c r="E30" i="8"/>
  <c r="E26" i="8"/>
  <c r="E25" i="8"/>
  <c r="D25" i="8"/>
  <c r="D26" i="8" s="1"/>
  <c r="C24" i="8"/>
  <c r="C26" i="8" s="1"/>
  <c r="D12" i="4"/>
  <c r="E32" i="4"/>
  <c r="F32" i="4"/>
  <c r="E30" i="4"/>
  <c r="F30" i="4"/>
  <c r="E29" i="4"/>
  <c r="D30" i="4"/>
  <c r="D31" i="4"/>
  <c r="D29" i="4"/>
  <c r="D16" i="4"/>
  <c r="F15" i="4"/>
  <c r="E15" i="4"/>
  <c r="D15" i="4"/>
  <c r="E14" i="4"/>
  <c r="D14" i="4"/>
  <c r="G16" i="3"/>
  <c r="G15" i="3"/>
  <c r="G14" i="3"/>
  <c r="D8" i="4"/>
  <c r="G10" i="3"/>
  <c r="G11" i="3"/>
  <c r="G12" i="3"/>
  <c r="D62" i="2"/>
  <c r="D61" i="2"/>
  <c r="D60" i="2"/>
  <c r="D57" i="2"/>
  <c r="D56" i="2"/>
  <c r="D55" i="2"/>
  <c r="D42" i="2"/>
  <c r="D41" i="2"/>
  <c r="D40" i="2"/>
  <c r="D37" i="2"/>
  <c r="D36" i="2"/>
  <c r="D35" i="2"/>
  <c r="D21" i="2"/>
  <c r="D22" i="2"/>
  <c r="D20" i="2"/>
  <c r="D16" i="2"/>
  <c r="D17" i="2"/>
  <c r="D15" i="2"/>
  <c r="C28" i="2"/>
  <c r="D46" i="2" s="1"/>
  <c r="E11" i="4" s="1"/>
  <c r="C27" i="2"/>
  <c r="C26" i="2"/>
  <c r="C25" i="2"/>
  <c r="D7" i="2"/>
  <c r="D6" i="2"/>
  <c r="D7" i="4" s="1"/>
  <c r="D35" i="5" l="1"/>
  <c r="D36" i="5" s="1"/>
  <c r="E7" i="1"/>
  <c r="E10" i="1"/>
  <c r="E6" i="1"/>
  <c r="C8" i="3"/>
  <c r="G8" i="3" s="1"/>
  <c r="D23" i="4" s="1"/>
  <c r="C7" i="3"/>
  <c r="G7" i="3" s="1"/>
  <c r="D22" i="4" s="1"/>
  <c r="C20" i="5"/>
  <c r="D20" i="5" s="1"/>
  <c r="D7" i="5"/>
  <c r="D5" i="5"/>
  <c r="D6" i="5"/>
  <c r="C30" i="8"/>
  <c r="E26" i="4"/>
  <c r="D65" i="2"/>
  <c r="F10" i="4" s="1"/>
  <c r="F25" i="4" s="1"/>
  <c r="D66" i="2"/>
  <c r="F11" i="4" s="1"/>
  <c r="F26" i="4" s="1"/>
  <c r="D67" i="2"/>
  <c r="F12" i="4" s="1"/>
  <c r="F27" i="4" s="1"/>
  <c r="D45" i="2"/>
  <c r="E10" i="4" s="1"/>
  <c r="E25" i="4" s="1"/>
  <c r="D47" i="2"/>
  <c r="E12" i="4" s="1"/>
  <c r="E27" i="4" s="1"/>
  <c r="D25" i="2"/>
  <c r="D10" i="4" s="1"/>
  <c r="D25" i="4" s="1"/>
  <c r="D27" i="2"/>
  <c r="D27" i="4" s="1"/>
  <c r="D26" i="2"/>
  <c r="D11" i="4" s="1"/>
  <c r="D26" i="4" s="1"/>
  <c r="D32" i="4" l="1"/>
  <c r="D8" i="5"/>
</calcChain>
</file>

<file path=xl/sharedStrings.xml><?xml version="1.0" encoding="utf-8"?>
<sst xmlns="http://schemas.openxmlformats.org/spreadsheetml/2006/main" count="464" uniqueCount="203">
  <si>
    <t>Estimate</t>
  </si>
  <si>
    <t>Drug</t>
  </si>
  <si>
    <t>Tacrolimus</t>
  </si>
  <si>
    <t>Prednisolone</t>
  </si>
  <si>
    <t>Total new transplants</t>
  </si>
  <si>
    <t>-</t>
  </si>
  <si>
    <t>Total</t>
  </si>
  <si>
    <t>Dose</t>
  </si>
  <si>
    <t>Cost</t>
  </si>
  <si>
    <t>Unit cost</t>
  </si>
  <si>
    <t>Total cost</t>
  </si>
  <si>
    <t>Price</t>
  </si>
  <si>
    <t>mg</t>
  </si>
  <si>
    <t>Qty</t>
  </si>
  <si>
    <t>Unit</t>
  </si>
  <si>
    <t>g</t>
  </si>
  <si>
    <t>Annual cost</t>
  </si>
  <si>
    <t>Separations</t>
  </si>
  <si>
    <t>Kidney transplant</t>
  </si>
  <si>
    <t>N</t>
  </si>
  <si>
    <t>Proportion</t>
  </si>
  <si>
    <t>Average</t>
  </si>
  <si>
    <t>Haemodialysis</t>
  </si>
  <si>
    <t>Public</t>
  </si>
  <si>
    <t>Private</t>
  </si>
  <si>
    <t>Years after diagnosis</t>
  </si>
  <si>
    <t>Year 1</t>
  </si>
  <si>
    <t>Year 2</t>
  </si>
  <si>
    <t>Year 3</t>
  </si>
  <si>
    <t>Year 4</t>
  </si>
  <si>
    <t>Deceased donor transplant</t>
  </si>
  <si>
    <t>Living donor transplant</t>
  </si>
  <si>
    <t>Prophylaxis</t>
  </si>
  <si>
    <t>Basiliximab</t>
  </si>
  <si>
    <t>Thymoglobulin</t>
  </si>
  <si>
    <t>Mycophenolate</t>
  </si>
  <si>
    <t>Deceased donors</t>
  </si>
  <si>
    <t>Living donors</t>
  </si>
  <si>
    <t>All</t>
  </si>
  <si>
    <t>Source</t>
  </si>
  <si>
    <t>Source: ANZDATA Annual Report 2020 - Chapter 7</t>
  </si>
  <si>
    <t>Table 7.13 (Anti-CD25, 2019)</t>
  </si>
  <si>
    <t>Table 7.13 (T cell depleting polyclonal Ab, 2019)</t>
  </si>
  <si>
    <t>Immunnosuppression, initial (major drugs only)</t>
  </si>
  <si>
    <t>Table 7.14.1 (TAC, 2019)</t>
  </si>
  <si>
    <t>Table 7.14.1 (MMF + MPA, 2019)</t>
  </si>
  <si>
    <t>Table 7.14.1 (PRE, 2019)</t>
  </si>
  <si>
    <t>Table 7.15.1 (TAC, 2019)</t>
  </si>
  <si>
    <t>Table 7.15.1 (PRE, 2019)</t>
  </si>
  <si>
    <t>Table 7.15.1 (MMF + MPA, 2019)</t>
  </si>
  <si>
    <t>Table 7.14.1 (TAC, 2018)</t>
  </si>
  <si>
    <t>Table 7.14.1 (PRE, 2018)</t>
  </si>
  <si>
    <t>Table 7.14.1 (MMF + MPA, 2018)</t>
  </si>
  <si>
    <t>Table 7.15.1 (TAC, 2018)</t>
  </si>
  <si>
    <t>Table 7.15.1 (MMF + MPA, 2018)</t>
  </si>
  <si>
    <t>Table 7.15.1 (PRE, 2018)</t>
  </si>
  <si>
    <t>Table 7.14.1 (TAC, 2017)</t>
  </si>
  <si>
    <t>Table 7.14.1 (PRE, 2017)</t>
  </si>
  <si>
    <t>Table 7.14.1 (MMF + MPA, 2017)</t>
  </si>
  <si>
    <t>Table 7.15.1 (TAC, 2017)</t>
  </si>
  <si>
    <t>Table 7.15.1 (MMF + MPA, 2017)</t>
  </si>
  <si>
    <t>Table 7.15.1 (PRE, 2017)</t>
  </si>
  <si>
    <t>Total transplants</t>
  </si>
  <si>
    <t>Induction (major drugs only)</t>
  </si>
  <si>
    <t>Dosage</t>
  </si>
  <si>
    <t>2g per day</t>
  </si>
  <si>
    <t>Commence at 0.15mg/kg/day, reduce to one-third (0.05mg/kg/day) at 12 months</t>
  </si>
  <si>
    <t>Review of the Australian organ donation, retrieval and transplantation system - Final report, 2018</t>
  </si>
  <si>
    <t>course</t>
  </si>
  <si>
    <t>Review of the Australian organ donation, retrieval and transplantation system - Final report, 2018 (adjusted to 2021 AUD)</t>
  </si>
  <si>
    <t>Drug unit costs</t>
  </si>
  <si>
    <t>Anti-Thymocyte Globulin</t>
  </si>
  <si>
    <t>1 course</t>
  </si>
  <si>
    <t>PBS General Schedule Tacrolimus 1mg capsule (10th December 2021)</t>
  </si>
  <si>
    <t>PBS General Schedule Mycophenolate 500mg tablet (10th December 2021)</t>
  </si>
  <si>
    <t>PBS General Schedule Prednisolone 5mg tablet (10th December 2021)</t>
  </si>
  <si>
    <t>Mycophenolate Product Information (10th December 2021)</t>
  </si>
  <si>
    <t>Prednisolone Product Information (10th December 2021), Expert opinion</t>
  </si>
  <si>
    <t>Tacrolimus Product Information (10th December 2021), expert opinion</t>
  </si>
  <si>
    <t>Average patient weight (kg)</t>
  </si>
  <si>
    <t>Expert opinion</t>
  </si>
  <si>
    <t>Utilisation</t>
  </si>
  <si>
    <t>Drug utilisation and cost</t>
  </si>
  <si>
    <t>Immunnosuppression, at 12 months (major drugs only)</t>
  </si>
  <si>
    <t>Immunnosuppression, at 24 months (major drugs only)</t>
  </si>
  <si>
    <t>20mg/day for 1 month, then ween down by 2.5mg/week until 10mg/day, then 5mg/day at 12 months</t>
  </si>
  <si>
    <t>Initial (first 3 months)</t>
  </si>
  <si>
    <t>Months 4-12 (per 3 months)</t>
  </si>
  <si>
    <t>Subsequent (per 3 months)</t>
  </si>
  <si>
    <t>Prohpylaxis</t>
  </si>
  <si>
    <t>Valganciclovir</t>
  </si>
  <si>
    <t>Trimethoprim + sulfamethoxazole</t>
  </si>
  <si>
    <t>Nystatin</t>
  </si>
  <si>
    <t>Valganciclovir Product Information (13th December 2021), expert opinion</t>
  </si>
  <si>
    <t>450mg/day for 200 days</t>
  </si>
  <si>
    <t>Half table (80mg trimethoprim + 400mg sulfamethoxazole) per day, ongoing</t>
  </si>
  <si>
    <t>Induction</t>
  </si>
  <si>
    <t>Immunosuppression</t>
  </si>
  <si>
    <t>Trimethoprim + sulfamethoxazole product information (13th December 2021), expert opinion</t>
  </si>
  <si>
    <t>Nystatin product information (13th December 2021), expert opinion</t>
  </si>
  <si>
    <t>1 bottle (50 x 500,000 unit tables)</t>
  </si>
  <si>
    <t>Immunnosuppression</t>
  </si>
  <si>
    <t>tablet</t>
  </si>
  <si>
    <t>PBS S100 HSD Public Valganciclovir 450mg tablet (13th December 2021)</t>
  </si>
  <si>
    <t>PBS Genereal Schedule Trimethoprim 160mg + sulfamethoxazole 800mg tablet (13th December 2021)</t>
  </si>
  <si>
    <t>bottle</t>
  </si>
  <si>
    <t>PBS General Schedule Nystatin 500 000 units tablet (13th December 2021)</t>
  </si>
  <si>
    <t>Initial nephrologist visit</t>
  </si>
  <si>
    <t>Susbequent nephrologist visits</t>
  </si>
  <si>
    <t>Dialysis</t>
  </si>
  <si>
    <t>Transplant</t>
  </si>
  <si>
    <t>Proportion of transplant patients taking each drug at each timepoint</t>
  </si>
  <si>
    <t>Drug doses for transplant patients</t>
  </si>
  <si>
    <t>Service</t>
  </si>
  <si>
    <t>Doctor visits for patients on dialysis and transplant</t>
  </si>
  <si>
    <t>MBS Item 104 (13th December 2021)</t>
  </si>
  <si>
    <t>MBS Item 116, 75% benefit (13th December 2021)</t>
  </si>
  <si>
    <t>Living donor organ retrieval</t>
  </si>
  <si>
    <t>Procedure</t>
  </si>
  <si>
    <t>Deceased organ donor retrieval</t>
  </si>
  <si>
    <t>2018-2019 National Hospital Cost Data Collection, AR-DRG L10A (adjusted to 2021 AUD)</t>
  </si>
  <si>
    <t>2018-2019 National Hospital Cost Data Collection, AR-DRG L10B  (adjusted to 2021 AUD)</t>
  </si>
  <si>
    <t>2018-2019 National Hospital Cost Data Collection, AR-DRG L04A  (adjusted to 2021 AUD)</t>
  </si>
  <si>
    <t>2018-2019 National Hospital Cost Data Collection, AR-DRG L04C  (adjusted to 2021 AUD)</t>
  </si>
  <si>
    <t>Hospital procedures related to transplant surgery</t>
  </si>
  <si>
    <t>Kidney Transplant, Age &lt;=16 Years or Major Complexity</t>
  </si>
  <si>
    <t>Kidney Transplant, Age &gt;=17 Years and Minor Complexity</t>
  </si>
  <si>
    <t>Kidney, Ureter and Major Bladder Interventions for Non-Neoplasm, Major Comp</t>
  </si>
  <si>
    <t>Kidney, Ureter and Major Bladder Interventions for Non-Neoplasm, Interm Comp</t>
  </si>
  <si>
    <t>Kidney, Ureter and Major Bladder Interventions for Non-Neoplasm, Minor Comp</t>
  </si>
  <si>
    <t>Total Cost</t>
  </si>
  <si>
    <t>Final cost</t>
  </si>
  <si>
    <t>Dialysis utilisation and cost</t>
  </si>
  <si>
    <t>Dialysis modality</t>
  </si>
  <si>
    <t>Home haemodialysis</t>
  </si>
  <si>
    <t>Home peritoneal dialysis</t>
  </si>
  <si>
    <t>ANZDATA Annual Report 2020, Chapter 4 Table 4.1</t>
  </si>
  <si>
    <t>Hospital haemodialysis</t>
  </si>
  <si>
    <t>ANZDATA Annual Report 2020, Chapter 5 Table 5.3</t>
  </si>
  <si>
    <t>Hospital type</t>
  </si>
  <si>
    <t>2018-2019 National Hospital Cost Data Collection, AR-DRG L04B  (adjusted to 2021 AUD)</t>
  </si>
  <si>
    <t>2018-2019 National Hospital Cost Data Collection, Public sector AR-DRG L61Z</t>
  </si>
  <si>
    <t>2018-2019 National Hospital Cost Data Collection, Private sector AR-DRG L61Z</t>
  </si>
  <si>
    <t>Number of separations for hospital haemodialysis</t>
  </si>
  <si>
    <t>Average annual utilisation of hospital haemodialysis</t>
  </si>
  <si>
    <t>Number of separations in 2018-2019 (NHCDC), divided by the number of prevelent patients in 2019 (ANZDATA)</t>
  </si>
  <si>
    <t>Total separations</t>
  </si>
  <si>
    <t>Annual utilisation</t>
  </si>
  <si>
    <t>Prevalent patients</t>
  </si>
  <si>
    <t>Cost of each modality</t>
  </si>
  <si>
    <t>2018-2019 National Hospital Cost Data Collection, Public sector AR-DRG L61Z (adjusted to 2021 AUD)</t>
  </si>
  <si>
    <t>Total cost of dialysis</t>
  </si>
  <si>
    <t>Cost of treating cancer</t>
  </si>
  <si>
    <t>Any cancer</t>
  </si>
  <si>
    <t>Transmitted cancer</t>
  </si>
  <si>
    <t>Year 5+</t>
  </si>
  <si>
    <t>Adjusted cost</t>
  </si>
  <si>
    <t>Cost per 3 months</t>
  </si>
  <si>
    <t>Cost of each health state</t>
  </si>
  <si>
    <t>De-novo cancer</t>
  </si>
  <si>
    <t>Timepoint</t>
  </si>
  <si>
    <t>Months 4-12</t>
  </si>
  <si>
    <t>Months 13-24</t>
  </si>
  <si>
    <t>Months 25-36</t>
  </si>
  <si>
    <t>Months 37-48</t>
  </si>
  <si>
    <t>Months 49+</t>
  </si>
  <si>
    <t>Annual</t>
  </si>
  <si>
    <t>Cost of each transition</t>
  </si>
  <si>
    <t>To health state</t>
  </si>
  <si>
    <t>Transplant failure (transmission)</t>
  </si>
  <si>
    <t>Quarterly consumer price index (CPI) for Health</t>
  </si>
  <si>
    <t>Quarter</t>
  </si>
  <si>
    <t>Index</t>
  </si>
  <si>
    <t>Year</t>
  </si>
  <si>
    <r>
      <rPr>
        <b/>
        <sz val="11"/>
        <color theme="1"/>
        <rFont val="Calibri"/>
        <family val="2"/>
        <scheme val="minor"/>
      </rPr>
      <t xml:space="preserve">Source: </t>
    </r>
    <r>
      <rPr>
        <sz val="11"/>
        <color theme="1"/>
        <rFont val="Calibri"/>
        <family val="2"/>
        <scheme val="minor"/>
      </rPr>
      <t>Australian Bureau of Statistics Consumer Price Index (640102)</t>
    </r>
  </si>
  <si>
    <t>Financial year</t>
  </si>
  <si>
    <t>2018-2019</t>
  </si>
  <si>
    <t>2010-2011</t>
  </si>
  <si>
    <t>2011-2012</t>
  </si>
  <si>
    <t>2012-2013</t>
  </si>
  <si>
    <t>2013-2014</t>
  </si>
  <si>
    <t>2014-2015</t>
  </si>
  <si>
    <t>2015-2016</t>
  </si>
  <si>
    <t>2016-2017</t>
  </si>
  <si>
    <t>2017-2018</t>
  </si>
  <si>
    <t>2019-2020</t>
  </si>
  <si>
    <t>2020-2021</t>
  </si>
  <si>
    <t>Cass et al., 2010 (costs from 2008-2009 adjusted to 2021 AUD)</t>
  </si>
  <si>
    <t>2008-2009</t>
  </si>
  <si>
    <t>2009-2010</t>
  </si>
  <si>
    <t>Independent hospital pricing authority (IHPA) home delivered dialysis costing study 2014, Table 1 (2013-2014 costs adjusted to 2021 AUD)</t>
  </si>
  <si>
    <t>Goldsbury et al., 2018, Table 1 Overall 0-1 year post diagnosis (2013 costs adjusted to 2021 AUD)</t>
  </si>
  <si>
    <t>Goldsbury et al., 2018, Table 1 Overall 1-2 years post diagnosis (2013 costs adjusted to 2021 AUD)</t>
  </si>
  <si>
    <t>Goldsbury et al., 2018, Table 1 Overall 2-3 years post diagnosis (2013 costs adjusted to 2021 AUD)</t>
  </si>
  <si>
    <t>Goldsbury et al., 2018, Table 1 Overall 3-4 years post diagnosis (2013 costs adjusted to 2021 AUD)</t>
  </si>
  <si>
    <t>Goldsbury et al., 2018, Table 1 Overall 4-5 years post diagnosis (2013 costs adjusted to 2021 AUD)</t>
  </si>
  <si>
    <t>Goldsbury et al., 2018, Table 1 Kidney 0-1 year post diagnosis (2013 costs adjusted to 2021 AUD)</t>
  </si>
  <si>
    <t>Goldsbury et al., 2018, Table 1 Kidney 1-2 years post diagnosis (2013 costs adjusted to 2021 AUD)</t>
  </si>
  <si>
    <t>Goldsbury et al., 2018, Table 1 Kidney 2-3 years post diagnosis (2013 costs adjusted to 2021 AUD)</t>
  </si>
  <si>
    <t>Goldsbury et al., 2018, Table 1 Kidney 3-4 years post diagnosis (2013 costs adjusted to 2021 AUD)</t>
  </si>
  <si>
    <t>Goldsbury et al., 2018, Table 1 Kidney 4-5 years post diagnosis (2013 costs adjusted to 2021 AUD)</t>
  </si>
  <si>
    <t>Hospital procedures related to nephrectomy</t>
  </si>
  <si>
    <t>Nephrectomy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</si>
</sst>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;[Red]\-&quot;$&quot;#,##0.00"/>
    <numFmt numFmtId="164" formatCode="&quot;$&quot;#,##0.00000;[Red]\-&quot;$&quot;#,##0.00000"/>
    <numFmt numFmtId="165" formatCode="mmm\-yyyy"/>
    <numFmt numFmtId="166" formatCode="#,##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1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2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1" fillId="0" borderId="0" xfId="0" applyFont="1" applyAlignment="1">
      <alignment horizontal="left" vertical="top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0" fillId="0" borderId="3" xfId="0" applyBorder="1" applyAlignment="1">
      <alignment horizontal="left" vertical="top"/>
    </xf>
    <xf numFmtId="8" fontId="0" fillId="0" borderId="0" xfId="0" applyNumberFormat="1" applyAlignment="1">
      <alignment horizontal="left" vertical="top"/>
    </xf>
    <xf numFmtId="0" fontId="0" fillId="0" borderId="0" xfId="0" applyBorder="1" applyAlignment="1">
      <alignment horizontal="center" vertical="top"/>
    </xf>
    <xf numFmtId="8" fontId="0" fillId="0" borderId="1" xfId="0" applyNumberFormat="1" applyBorder="1" applyAlignment="1">
      <alignment horizontal="left" vertical="top"/>
    </xf>
    <xf numFmtId="4" fontId="0" fillId="0" borderId="0" xfId="0" applyNumberFormat="1" applyAlignment="1">
      <alignment horizontal="center" vertical="top"/>
    </xf>
    <xf numFmtId="8" fontId="0" fillId="0" borderId="1" xfId="0" applyNumberFormat="1" applyBorder="1" applyAlignment="1">
      <alignment horizontal="center" vertical="top"/>
    </xf>
    <xf numFmtId="8" fontId="0" fillId="0" borderId="0" xfId="0" applyNumberFormat="1" applyBorder="1" applyAlignment="1">
      <alignment horizontal="center" vertical="top"/>
    </xf>
    <xf numFmtId="0" fontId="0" fillId="0" borderId="2" xfId="0" applyFont="1" applyBorder="1" applyAlignment="1">
      <alignment horizontal="center" vertical="center"/>
    </xf>
    <xf numFmtId="8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3" fontId="1" fillId="0" borderId="0" xfId="0" applyNumberFormat="1" applyFont="1"/>
    <xf numFmtId="0" fontId="1" fillId="0" borderId="0" xfId="0" applyFont="1" applyBorder="1" applyAlignment="1">
      <alignment horizontal="center"/>
    </xf>
    <xf numFmtId="3" fontId="0" fillId="0" borderId="0" xfId="0" applyNumberFormat="1" applyFont="1" applyAlignment="1">
      <alignment horizontal="center"/>
    </xf>
    <xf numFmtId="8" fontId="0" fillId="0" borderId="0" xfId="0" applyNumberFormat="1" applyFont="1" applyAlignment="1">
      <alignment horizontal="center"/>
    </xf>
    <xf numFmtId="3" fontId="0" fillId="0" borderId="0" xfId="0" applyNumberFormat="1" applyFont="1" applyBorder="1" applyAlignment="1">
      <alignment horizontal="center"/>
    </xf>
    <xf numFmtId="8" fontId="0" fillId="0" borderId="0" xfId="0" applyNumberFormat="1" applyFont="1" applyBorder="1" applyAlignment="1">
      <alignment horizontal="center"/>
    </xf>
    <xf numFmtId="8" fontId="0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horizontal="left" vertical="top"/>
    </xf>
    <xf numFmtId="4" fontId="0" fillId="0" borderId="0" xfId="0" applyNumberFormat="1" applyBorder="1" applyAlignment="1">
      <alignment horizontal="center" vertical="top"/>
    </xf>
    <xf numFmtId="3" fontId="0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8" fontId="0" fillId="0" borderId="0" xfId="0" applyNumberFormat="1" applyBorder="1" applyAlignment="1">
      <alignment horizontal="center"/>
    </xf>
    <xf numFmtId="8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8" fontId="0" fillId="0" borderId="2" xfId="0" applyNumberFormat="1" applyBorder="1" applyAlignment="1">
      <alignment horizontal="center"/>
    </xf>
    <xf numFmtId="0" fontId="1" fillId="0" borderId="1" xfId="0" applyFont="1" applyBorder="1"/>
    <xf numFmtId="8" fontId="0" fillId="0" borderId="1" xfId="0" applyNumberFormat="1" applyFill="1" applyBorder="1" applyAlignment="1">
      <alignment horizontal="center"/>
    </xf>
    <xf numFmtId="8" fontId="0" fillId="0" borderId="1" xfId="0" applyNumberFormat="1" applyFont="1" applyBorder="1" applyAlignment="1">
      <alignment horizontal="center"/>
    </xf>
    <xf numFmtId="0" fontId="0" fillId="0" borderId="0" xfId="0" applyBorder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4" fontId="0" fillId="0" borderId="0" xfId="0" applyNumberFormat="1" applyFont="1" applyAlignment="1">
      <alignment horizontal="center"/>
    </xf>
    <xf numFmtId="0" fontId="0" fillId="0" borderId="0" xfId="0" applyAlignment="1">
      <alignment horizontal="left" vertical="top" indent="1"/>
    </xf>
    <xf numFmtId="0" fontId="0" fillId="0" borderId="0" xfId="0" applyBorder="1" applyAlignment="1">
      <alignment horizontal="left" vertical="top" indent="1"/>
    </xf>
    <xf numFmtId="0" fontId="1" fillId="0" borderId="0" xfId="0" applyFont="1" applyBorder="1" applyAlignment="1">
      <alignment horizontal="left" vertical="top"/>
    </xf>
    <xf numFmtId="0" fontId="1" fillId="0" borderId="3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Border="1"/>
    <xf numFmtId="0" fontId="0" fillId="0" borderId="0" xfId="0" applyFill="1" applyBorder="1" applyAlignment="1">
      <alignment horizontal="center" vertical="top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left" vertical="top"/>
    </xf>
    <xf numFmtId="0" fontId="0" fillId="0" borderId="2" xfId="0" applyFont="1" applyBorder="1" applyAlignment="1">
      <alignment horizontal="center" vertical="top"/>
    </xf>
    <xf numFmtId="0" fontId="0" fillId="0" borderId="0" xfId="0" applyFont="1" applyBorder="1" applyAlignment="1">
      <alignment horizontal="left" vertical="top"/>
    </xf>
    <xf numFmtId="0" fontId="1" fillId="0" borderId="2" xfId="0" applyFont="1" applyBorder="1" applyAlignment="1">
      <alignment horizontal="center" vertical="center"/>
    </xf>
    <xf numFmtId="4" fontId="0" fillId="0" borderId="0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top"/>
    </xf>
    <xf numFmtId="8" fontId="0" fillId="0" borderId="0" xfId="0" applyNumberFormat="1" applyBorder="1" applyAlignment="1">
      <alignment horizontal="left" vertical="top"/>
    </xf>
    <xf numFmtId="0" fontId="0" fillId="0" borderId="0" xfId="0" applyFill="1" applyBorder="1" applyAlignment="1">
      <alignment vertical="top"/>
    </xf>
    <xf numFmtId="164" fontId="0" fillId="0" borderId="0" xfId="0" applyNumberFormat="1" applyAlignment="1">
      <alignment horizontal="left" vertical="top"/>
    </xf>
    <xf numFmtId="8" fontId="1" fillId="0" borderId="1" xfId="0" applyNumberFormat="1" applyFont="1" applyBorder="1" applyAlignment="1">
      <alignment horizontal="center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0" fontId="0" fillId="0" borderId="1" xfId="0" applyBorder="1" applyAlignment="1">
      <alignment horizontal="left" vertical="top" wrapText="1"/>
    </xf>
    <xf numFmtId="8" fontId="1" fillId="0" borderId="3" xfId="0" applyNumberFormat="1" applyFont="1" applyBorder="1" applyAlignment="1">
      <alignment horizontal="left" vertical="top"/>
    </xf>
    <xf numFmtId="164" fontId="0" fillId="0" borderId="0" xfId="0" applyNumberFormat="1" applyBorder="1" applyAlignment="1">
      <alignment horizontal="left" vertical="top"/>
    </xf>
    <xf numFmtId="0" fontId="1" fillId="0" borderId="0" xfId="0" applyFont="1" applyFill="1" applyBorder="1" applyAlignment="1">
      <alignment horizontal="center" vertical="top"/>
    </xf>
    <xf numFmtId="0" fontId="4" fillId="0" borderId="3" xfId="0" applyFont="1" applyBorder="1"/>
    <xf numFmtId="4" fontId="0" fillId="0" borderId="1" xfId="0" applyNumberFormat="1" applyFont="1" applyBorder="1" applyAlignment="1">
      <alignment horizontal="center" vertical="center"/>
    </xf>
    <xf numFmtId="0" fontId="0" fillId="0" borderId="2" xfId="0" applyFill="1" applyBorder="1" applyAlignment="1">
      <alignment vertical="top"/>
    </xf>
    <xf numFmtId="4" fontId="0" fillId="0" borderId="2" xfId="0" applyNumberFormat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0" fontId="0" fillId="0" borderId="0" xfId="0" applyAlignment="1">
      <alignment horizontal="center" vertical="top"/>
    </xf>
    <xf numFmtId="9" fontId="0" fillId="0" borderId="0" xfId="0" applyNumberFormat="1" applyAlignment="1">
      <alignment horizontal="center" vertical="top"/>
    </xf>
    <xf numFmtId="0" fontId="0" fillId="0" borderId="1" xfId="0" applyBorder="1" applyAlignment="1">
      <alignment horizontal="center" vertical="top"/>
    </xf>
    <xf numFmtId="9" fontId="0" fillId="0" borderId="1" xfId="0" applyNumberFormat="1" applyBorder="1" applyAlignment="1">
      <alignment horizontal="center" vertical="top"/>
    </xf>
    <xf numFmtId="0" fontId="0" fillId="0" borderId="0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indent="1"/>
    </xf>
    <xf numFmtId="0" fontId="0" fillId="0" borderId="0" xfId="0" applyFill="1" applyAlignment="1">
      <alignment horizontal="left" vertical="top" indent="1"/>
    </xf>
    <xf numFmtId="0" fontId="1" fillId="0" borderId="0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 indent="1"/>
    </xf>
    <xf numFmtId="8" fontId="1" fillId="0" borderId="0" xfId="0" applyNumberFormat="1" applyFont="1" applyBorder="1" applyAlignment="1">
      <alignment horizontal="center" vertical="top"/>
    </xf>
    <xf numFmtId="0" fontId="1" fillId="0" borderId="0" xfId="0" applyFont="1" applyFill="1" applyBorder="1" applyAlignment="1">
      <alignment vertical="top"/>
    </xf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Alignment="1">
      <alignment horizontal="left" indent="1"/>
    </xf>
    <xf numFmtId="0" fontId="0" fillId="0" borderId="1" xfId="0" applyBorder="1" applyAlignment="1">
      <alignment horizontal="left" indent="1"/>
    </xf>
    <xf numFmtId="0" fontId="0" fillId="0" borderId="0" xfId="0" applyBorder="1" applyAlignment="1">
      <alignment horizontal="left" indent="1"/>
    </xf>
    <xf numFmtId="0" fontId="0" fillId="0" borderId="0" xfId="0" applyBorder="1" applyAlignment="1">
      <alignment horizontal="left"/>
    </xf>
    <xf numFmtId="0" fontId="1" fillId="0" borderId="2" xfId="0" applyFont="1" applyBorder="1" applyAlignment="1">
      <alignment horizontal="left"/>
    </xf>
    <xf numFmtId="0" fontId="0" fillId="0" borderId="2" xfId="0" applyBorder="1" applyAlignment="1">
      <alignment horizontal="left" indent="1"/>
    </xf>
    <xf numFmtId="8" fontId="0" fillId="0" borderId="0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0" fontId="0" fillId="0" borderId="0" xfId="0" applyFont="1" applyAlignment="1">
      <alignment horizontal="left"/>
    </xf>
    <xf numFmtId="8" fontId="0" fillId="0" borderId="2" xfId="0" applyNumberFormat="1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1" fillId="0" borderId="2" xfId="0" applyFont="1" applyBorder="1" applyAlignment="1"/>
    <xf numFmtId="0" fontId="1" fillId="0" borderId="3" xfId="0" applyFont="1" applyBorder="1" applyAlignment="1"/>
    <xf numFmtId="0" fontId="0" fillId="0" borderId="2" xfId="0" applyFont="1" applyBorder="1" applyAlignment="1"/>
    <xf numFmtId="0" fontId="1" fillId="0" borderId="0" xfId="0" applyFont="1" applyAlignment="1"/>
    <xf numFmtId="0" fontId="4" fillId="0" borderId="0" xfId="0" applyFont="1" applyAlignment="1"/>
    <xf numFmtId="0" fontId="0" fillId="0" borderId="0" xfId="0" applyFont="1" applyAlignment="1">
      <alignment horizontal="left" indent="1"/>
    </xf>
    <xf numFmtId="0" fontId="0" fillId="0" borderId="0" xfId="0" applyFont="1" applyBorder="1" applyAlignment="1">
      <alignment horizontal="left" indent="1"/>
    </xf>
    <xf numFmtId="0" fontId="0" fillId="0" borderId="1" xfId="0" applyFont="1" applyBorder="1" applyAlignment="1">
      <alignment horizontal="left" indent="1"/>
    </xf>
    <xf numFmtId="3" fontId="0" fillId="0" borderId="1" xfId="0" applyNumberFormat="1" applyFont="1" applyBorder="1" applyAlignment="1">
      <alignment horizontal="center"/>
    </xf>
    <xf numFmtId="0" fontId="1" fillId="0" borderId="2" xfId="0" applyFont="1" applyFill="1" applyBorder="1"/>
    <xf numFmtId="0" fontId="0" fillId="0" borderId="2" xfId="0" applyBorder="1" applyAlignment="1">
      <alignment horizontal="left"/>
    </xf>
    <xf numFmtId="3" fontId="0" fillId="0" borderId="0" xfId="0" applyNumberFormat="1" applyAlignment="1">
      <alignment horizontal="left"/>
    </xf>
    <xf numFmtId="3" fontId="0" fillId="0" borderId="1" xfId="0" applyNumberFormat="1" applyBorder="1" applyAlignment="1">
      <alignment horizontal="left"/>
    </xf>
    <xf numFmtId="16" fontId="0" fillId="0" borderId="0" xfId="0" applyNumberFormat="1" applyAlignment="1">
      <alignment horizontal="left" indent="1"/>
    </xf>
    <xf numFmtId="0" fontId="0" fillId="0" borderId="3" xfId="0" applyFill="1" applyBorder="1"/>
    <xf numFmtId="0" fontId="0" fillId="0" borderId="3" xfId="0" applyBorder="1" applyAlignment="1">
      <alignment horizontal="center"/>
    </xf>
    <xf numFmtId="8" fontId="0" fillId="0" borderId="3" xfId="0" applyNumberFormat="1" applyBorder="1" applyAlignment="1">
      <alignment horizontal="center"/>
    </xf>
    <xf numFmtId="165" fontId="0" fillId="0" borderId="0" xfId="0" applyNumberFormat="1" applyBorder="1" applyAlignment="1">
      <alignment horizontal="left" vertical="top"/>
    </xf>
    <xf numFmtId="166" fontId="0" fillId="0" borderId="0" xfId="0" applyNumberFormat="1" applyBorder="1" applyAlignment="1">
      <alignment horizontal="center" vertical="top"/>
    </xf>
    <xf numFmtId="0" fontId="0" fillId="0" borderId="0" xfId="0" applyFont="1"/>
    <xf numFmtId="165" fontId="0" fillId="0" borderId="1" xfId="0" applyNumberFormat="1" applyBorder="1" applyAlignment="1">
      <alignment horizontal="left" vertical="top"/>
    </xf>
    <xf numFmtId="166" fontId="0" fillId="0" borderId="1" xfId="0" applyNumberFormat="1" applyBorder="1" applyAlignment="1">
      <alignment horizontal="center" vertical="top"/>
    </xf>
    <xf numFmtId="166" fontId="0" fillId="0" borderId="0" xfId="0" applyNumberFormat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8" fontId="0" fillId="0" borderId="2" xfId="0" applyNumberFormat="1" applyBorder="1" applyAlignment="1">
      <alignment horizontal="left"/>
    </xf>
    <xf numFmtId="0" fontId="4" fillId="0" borderId="0" xfId="0" applyFont="1" applyBorder="1" applyAlignment="1">
      <alignment horizontal="left" vertical="top"/>
    </xf>
    <xf numFmtId="4" fontId="1" fillId="0" borderId="3" xfId="0" applyNumberFormat="1" applyFont="1" applyBorder="1" applyAlignment="1">
      <alignment horizontal="center"/>
    </xf>
    <xf numFmtId="8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4">
    <cellStyle name="Hyperlink 2" xfId="3" xr:uid="{E4846737-B188-4410-BB3C-C5B1811A954B}"/>
    <cellStyle name="Hyperlink 3" xfId="2" xr:uid="{3C980D47-209B-4236-AC4C-096B39591675}"/>
    <cellStyle name="Normal" xfId="0" builtinId="0"/>
    <cellStyle name="Normal 2" xfId="1" xr:uid="{D5580C44-46AF-4209-BF9B-C81B21A966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51951-A751-463C-AE4B-24C93F632D99}">
  <dimension ref="B2:F60"/>
  <sheetViews>
    <sheetView showGridLines="0" tabSelected="1" workbookViewId="0"/>
  </sheetViews>
  <sheetFormatPr defaultRowHeight="15" x14ac:dyDescent="0.25"/>
  <cols>
    <col min="2" max="2" width="11.140625" customWidth="1"/>
    <col min="3" max="3" width="6" style="9" bestFit="1" customWidth="1"/>
    <col min="5" max="5" width="13.28515625" style="9" bestFit="1" customWidth="1"/>
    <col min="6" max="6" width="7.7109375" bestFit="1" customWidth="1"/>
  </cols>
  <sheetData>
    <row r="2" spans="2:6" ht="18.75" x14ac:dyDescent="0.3">
      <c r="B2" s="72" t="s">
        <v>170</v>
      </c>
    </row>
    <row r="3" spans="2:6" x14ac:dyDescent="0.25">
      <c r="B3" s="130" t="s">
        <v>174</v>
      </c>
    </row>
    <row r="5" spans="2:6" x14ac:dyDescent="0.25">
      <c r="B5" s="49" t="s">
        <v>171</v>
      </c>
      <c r="C5" s="50" t="s">
        <v>172</v>
      </c>
      <c r="E5" s="50" t="s">
        <v>173</v>
      </c>
      <c r="F5" s="50" t="s">
        <v>172</v>
      </c>
    </row>
    <row r="6" spans="2:6" x14ac:dyDescent="0.25">
      <c r="B6" s="128">
        <v>39508</v>
      </c>
      <c r="C6" s="129">
        <v>84.5</v>
      </c>
      <c r="E6" s="9">
        <v>2008</v>
      </c>
      <c r="F6" s="133">
        <f>ROUND(AVERAGE($C$6:$C$9),1)</f>
        <v>85.7</v>
      </c>
    </row>
    <row r="7" spans="2:6" x14ac:dyDescent="0.25">
      <c r="B7" s="128">
        <v>39600</v>
      </c>
      <c r="C7" s="129">
        <v>86.6</v>
      </c>
      <c r="E7" s="9">
        <v>2009</v>
      </c>
      <c r="F7" s="133">
        <f>ROUND(AVERAGE($C$10:$C$13),1)</f>
        <v>89.9</v>
      </c>
    </row>
    <row r="8" spans="2:6" x14ac:dyDescent="0.25">
      <c r="B8" s="128">
        <v>39692</v>
      </c>
      <c r="C8" s="129">
        <v>86.4</v>
      </c>
      <c r="E8" s="9">
        <v>2010</v>
      </c>
      <c r="F8" s="133">
        <f>ROUND(AVERAGE($C$14:$C$17),1)</f>
        <v>94.4</v>
      </c>
    </row>
    <row r="9" spans="2:6" x14ac:dyDescent="0.25">
      <c r="B9" s="128">
        <v>39783</v>
      </c>
      <c r="C9" s="129">
        <v>85.3</v>
      </c>
      <c r="E9" s="9">
        <v>2011</v>
      </c>
      <c r="F9" s="133">
        <f>ROUND(AVERAGE($C$18:$C$21),1)</f>
        <v>98.1</v>
      </c>
    </row>
    <row r="10" spans="2:6" x14ac:dyDescent="0.25">
      <c r="B10" s="128">
        <v>39873</v>
      </c>
      <c r="C10" s="129">
        <v>89</v>
      </c>
      <c r="E10" s="9">
        <v>2012</v>
      </c>
      <c r="F10" s="133">
        <f>ROUND(AVERAGE($C$22:$C$25),1)</f>
        <v>103.7</v>
      </c>
    </row>
    <row r="11" spans="2:6" x14ac:dyDescent="0.25">
      <c r="B11" s="128">
        <v>39965</v>
      </c>
      <c r="C11" s="129">
        <v>91</v>
      </c>
      <c r="E11" s="9">
        <v>2013</v>
      </c>
      <c r="F11" s="133">
        <f>ROUND(AVERAGE($C$26:$C$29),1)</f>
        <v>109.1</v>
      </c>
    </row>
    <row r="12" spans="2:6" x14ac:dyDescent="0.25">
      <c r="B12" s="128">
        <v>40057</v>
      </c>
      <c r="C12" s="129">
        <v>90.1</v>
      </c>
      <c r="E12" s="9">
        <v>2014</v>
      </c>
      <c r="F12" s="133">
        <f>ROUND(AVERAGE($C$30:$C$33), 1)</f>
        <v>114.1</v>
      </c>
    </row>
    <row r="13" spans="2:6" x14ac:dyDescent="0.25">
      <c r="B13" s="128">
        <v>40148</v>
      </c>
      <c r="C13" s="129">
        <v>89.3</v>
      </c>
      <c r="E13" s="9">
        <v>2015</v>
      </c>
      <c r="F13" s="133">
        <f>ROUND(AVERAGE($C$34:$C$37),1)</f>
        <v>119.4</v>
      </c>
    </row>
    <row r="14" spans="2:6" x14ac:dyDescent="0.25">
      <c r="B14" s="128">
        <v>40238</v>
      </c>
      <c r="C14" s="129">
        <v>93.5</v>
      </c>
      <c r="E14" s="9">
        <v>2016</v>
      </c>
      <c r="F14" s="133">
        <f>ROUND(AVERAGE($C$38:$C$41),1)</f>
        <v>124.4</v>
      </c>
    </row>
    <row r="15" spans="2:6" x14ac:dyDescent="0.25">
      <c r="B15" s="128">
        <v>40330</v>
      </c>
      <c r="C15" s="129">
        <v>95.6</v>
      </c>
      <c r="E15" s="9">
        <v>2017</v>
      </c>
      <c r="F15" s="133">
        <f>ROUND(AVERAGE($C$42:$C$45),1)</f>
        <v>129.19999999999999</v>
      </c>
    </row>
    <row r="16" spans="2:6" x14ac:dyDescent="0.25">
      <c r="B16" s="128">
        <v>40422</v>
      </c>
      <c r="C16" s="129">
        <v>94.9</v>
      </c>
      <c r="E16" s="9">
        <v>2018</v>
      </c>
      <c r="F16" s="133">
        <f>ROUND(AVERAGE($C$46:$C$49),1)</f>
        <v>133.69999999999999</v>
      </c>
    </row>
    <row r="17" spans="2:6" x14ac:dyDescent="0.25">
      <c r="B17" s="128">
        <v>40513</v>
      </c>
      <c r="C17" s="129">
        <v>93.7</v>
      </c>
      <c r="E17" s="9">
        <v>2019</v>
      </c>
      <c r="F17" s="133">
        <f>ROUND(AVERAGE($C$50:$C$53),1)</f>
        <v>137.9</v>
      </c>
    </row>
    <row r="18" spans="2:6" x14ac:dyDescent="0.25">
      <c r="B18" s="128">
        <v>40603</v>
      </c>
      <c r="C18" s="129">
        <v>97.4</v>
      </c>
      <c r="E18" s="9">
        <v>2020</v>
      </c>
      <c r="F18" s="133">
        <f>ROUND(AVERAGE($C$54:$C$57),1)</f>
        <v>140.4</v>
      </c>
    </row>
    <row r="19" spans="2:6" x14ac:dyDescent="0.25">
      <c r="B19" s="128">
        <v>40695</v>
      </c>
      <c r="C19" s="129">
        <v>99.4</v>
      </c>
      <c r="E19" s="13">
        <v>2021</v>
      </c>
      <c r="F19" s="134">
        <f>ROUND(AVERAGE($C$58:$C$60),1)</f>
        <v>146</v>
      </c>
    </row>
    <row r="20" spans="2:6" x14ac:dyDescent="0.25">
      <c r="B20" s="128">
        <v>40787</v>
      </c>
      <c r="C20" s="129">
        <v>98.4</v>
      </c>
      <c r="E20" s="28"/>
      <c r="F20" s="28"/>
    </row>
    <row r="21" spans="2:6" x14ac:dyDescent="0.25">
      <c r="B21" s="128">
        <v>40878</v>
      </c>
      <c r="C21" s="129">
        <v>97.1</v>
      </c>
      <c r="E21" s="50" t="s">
        <v>175</v>
      </c>
      <c r="F21" s="50" t="s">
        <v>172</v>
      </c>
    </row>
    <row r="22" spans="2:6" x14ac:dyDescent="0.25">
      <c r="B22" s="128">
        <v>40969</v>
      </c>
      <c r="C22" s="129">
        <v>101.5</v>
      </c>
      <c r="E22" s="9" t="s">
        <v>188</v>
      </c>
      <c r="F22" s="133">
        <f>ROUND(AVERAGE($C$8:$C$11),1)</f>
        <v>87.9</v>
      </c>
    </row>
    <row r="23" spans="2:6" x14ac:dyDescent="0.25">
      <c r="B23" s="128">
        <v>41061</v>
      </c>
      <c r="C23" s="129">
        <v>103</v>
      </c>
      <c r="E23" s="9" t="s">
        <v>189</v>
      </c>
      <c r="F23" s="133">
        <f>ROUND(AVERAGE($C$12:$C$15),1)</f>
        <v>92.1</v>
      </c>
    </row>
    <row r="24" spans="2:6" x14ac:dyDescent="0.25">
      <c r="B24" s="128">
        <v>41153</v>
      </c>
      <c r="C24" s="129">
        <v>105.5</v>
      </c>
      <c r="E24" s="9" t="s">
        <v>177</v>
      </c>
      <c r="F24" s="133">
        <f>ROUND(AVERAGE($C$16:$C$19),1)</f>
        <v>96.4</v>
      </c>
    </row>
    <row r="25" spans="2:6" x14ac:dyDescent="0.25">
      <c r="B25" s="128">
        <v>41244</v>
      </c>
      <c r="C25" s="129">
        <v>104.6</v>
      </c>
      <c r="E25" s="9" t="s">
        <v>178</v>
      </c>
      <c r="F25" s="133">
        <f>ROUND(AVERAGE($C$20:$C$23),1)</f>
        <v>100</v>
      </c>
    </row>
    <row r="26" spans="2:6" x14ac:dyDescent="0.25">
      <c r="B26" s="128">
        <v>41334</v>
      </c>
      <c r="C26" s="129">
        <v>107.7</v>
      </c>
      <c r="E26" s="9" t="s">
        <v>179</v>
      </c>
      <c r="F26" s="133">
        <f>ROUND(AVERAGE($C$24:$C$27),1)</f>
        <v>106.9</v>
      </c>
    </row>
    <row r="27" spans="2:6" x14ac:dyDescent="0.25">
      <c r="B27" s="128">
        <v>41426</v>
      </c>
      <c r="C27" s="129">
        <v>109.8</v>
      </c>
      <c r="E27" s="9" t="s">
        <v>180</v>
      </c>
      <c r="F27" s="133">
        <f>ROUND(AVERAGE($C$28:$C$31),1)</f>
        <v>111.6</v>
      </c>
    </row>
    <row r="28" spans="2:6" x14ac:dyDescent="0.25">
      <c r="B28" s="128">
        <v>41518</v>
      </c>
      <c r="C28" s="129">
        <v>109.8</v>
      </c>
      <c r="E28" s="9" t="s">
        <v>181</v>
      </c>
      <c r="F28" s="133">
        <f>ROUND(AVERAGE($C$32:$C$35), 1)</f>
        <v>116.5</v>
      </c>
    </row>
    <row r="29" spans="2:6" x14ac:dyDescent="0.25">
      <c r="B29" s="128">
        <v>41609</v>
      </c>
      <c r="C29" s="129">
        <v>109.2</v>
      </c>
      <c r="E29" s="9" t="s">
        <v>182</v>
      </c>
      <c r="F29" s="133">
        <f>ROUND(AVERAGE($C$36:$C$39),1)</f>
        <v>122.1</v>
      </c>
    </row>
    <row r="30" spans="2:6" x14ac:dyDescent="0.25">
      <c r="B30" s="128">
        <v>41699</v>
      </c>
      <c r="C30" s="129">
        <v>112</v>
      </c>
      <c r="E30" s="9" t="s">
        <v>183</v>
      </c>
      <c r="F30" s="133">
        <f>ROUND(AVERAGE($C$40:$C$43),1)</f>
        <v>126.7</v>
      </c>
    </row>
    <row r="31" spans="2:6" x14ac:dyDescent="0.25">
      <c r="B31" s="128">
        <v>41791</v>
      </c>
      <c r="C31" s="129">
        <v>115.2</v>
      </c>
      <c r="E31" s="9" t="s">
        <v>184</v>
      </c>
      <c r="F31" s="133">
        <f>ROUND(AVERAGE($C$44:$C$47),1)</f>
        <v>131.6</v>
      </c>
    </row>
    <row r="32" spans="2:6" x14ac:dyDescent="0.25">
      <c r="B32" s="128">
        <v>41883</v>
      </c>
      <c r="C32" s="129">
        <v>115</v>
      </c>
      <c r="E32" s="9" t="s">
        <v>176</v>
      </c>
      <c r="F32" s="133">
        <f>ROUND(AVERAGE($C$48:$C$51),1)</f>
        <v>135.69999999999999</v>
      </c>
    </row>
    <row r="33" spans="2:6" x14ac:dyDescent="0.25">
      <c r="B33" s="128">
        <v>41974</v>
      </c>
      <c r="C33" s="129">
        <v>114</v>
      </c>
      <c r="E33" s="9" t="s">
        <v>185</v>
      </c>
      <c r="F33" s="133">
        <f>ROUND(AVERAGE($C$52:$C$55),1)</f>
        <v>139.19999999999999</v>
      </c>
    </row>
    <row r="34" spans="2:6" x14ac:dyDescent="0.25">
      <c r="B34" s="128">
        <v>42064</v>
      </c>
      <c r="C34" s="129">
        <v>116.9</v>
      </c>
      <c r="E34" s="13" t="s">
        <v>186</v>
      </c>
      <c r="F34" s="134">
        <f>ROUND(AVERAGE($C$56:$C$59),1)</f>
        <v>143.19999999999999</v>
      </c>
    </row>
    <row r="35" spans="2:6" x14ac:dyDescent="0.25">
      <c r="B35" s="128">
        <v>42156</v>
      </c>
      <c r="C35" s="129">
        <v>120.1</v>
      </c>
      <c r="F35" s="133"/>
    </row>
    <row r="36" spans="2:6" x14ac:dyDescent="0.25">
      <c r="B36" s="128">
        <v>42248</v>
      </c>
      <c r="C36" s="129">
        <v>120.5</v>
      </c>
      <c r="F36" s="133"/>
    </row>
    <row r="37" spans="2:6" x14ac:dyDescent="0.25">
      <c r="B37" s="128">
        <v>42339</v>
      </c>
      <c r="C37" s="129">
        <v>120</v>
      </c>
      <c r="F37" s="133"/>
    </row>
    <row r="38" spans="2:6" x14ac:dyDescent="0.25">
      <c r="B38" s="128">
        <v>42430</v>
      </c>
      <c r="C38" s="129">
        <v>122.3</v>
      </c>
      <c r="F38" s="135"/>
    </row>
    <row r="39" spans="2:6" x14ac:dyDescent="0.25">
      <c r="B39" s="128">
        <v>42522</v>
      </c>
      <c r="C39" s="129">
        <v>125.5</v>
      </c>
      <c r="F39" s="135"/>
    </row>
    <row r="40" spans="2:6" x14ac:dyDescent="0.25">
      <c r="B40" s="128">
        <v>42614</v>
      </c>
      <c r="C40" s="129">
        <v>125.2</v>
      </c>
    </row>
    <row r="41" spans="2:6" x14ac:dyDescent="0.25">
      <c r="B41" s="128">
        <v>42705</v>
      </c>
      <c r="C41" s="129">
        <v>124.4</v>
      </c>
    </row>
    <row r="42" spans="2:6" x14ac:dyDescent="0.25">
      <c r="B42" s="128">
        <v>42795</v>
      </c>
      <c r="C42" s="129">
        <v>126.9</v>
      </c>
    </row>
    <row r="43" spans="2:6" x14ac:dyDescent="0.25">
      <c r="B43" s="128">
        <v>42887</v>
      </c>
      <c r="C43" s="129">
        <v>130.30000000000001</v>
      </c>
    </row>
    <row r="44" spans="2:6" x14ac:dyDescent="0.25">
      <c r="B44" s="128">
        <v>42979</v>
      </c>
      <c r="C44" s="129">
        <v>130.1</v>
      </c>
    </row>
    <row r="45" spans="2:6" x14ac:dyDescent="0.25">
      <c r="B45" s="128">
        <v>43070</v>
      </c>
      <c r="C45" s="129">
        <v>129.4</v>
      </c>
    </row>
    <row r="46" spans="2:6" x14ac:dyDescent="0.25">
      <c r="B46" s="128">
        <v>43160</v>
      </c>
      <c r="C46" s="129">
        <v>132.19999999999999</v>
      </c>
    </row>
    <row r="47" spans="2:6" x14ac:dyDescent="0.25">
      <c r="B47" s="128">
        <v>43252</v>
      </c>
      <c r="C47" s="129">
        <v>134.69999999999999</v>
      </c>
    </row>
    <row r="48" spans="2:6" x14ac:dyDescent="0.25">
      <c r="B48" s="128">
        <v>43344</v>
      </c>
      <c r="C48" s="129">
        <v>134.19999999999999</v>
      </c>
    </row>
    <row r="49" spans="2:3" x14ac:dyDescent="0.25">
      <c r="B49" s="128">
        <v>43435</v>
      </c>
      <c r="C49" s="129">
        <v>133.69999999999999</v>
      </c>
    </row>
    <row r="50" spans="2:3" x14ac:dyDescent="0.25">
      <c r="B50" s="128">
        <v>43525</v>
      </c>
      <c r="C50" s="129">
        <v>136.30000000000001</v>
      </c>
    </row>
    <row r="51" spans="2:3" x14ac:dyDescent="0.25">
      <c r="B51" s="128">
        <v>43617</v>
      </c>
      <c r="C51" s="129">
        <v>138.69999999999999</v>
      </c>
    </row>
    <row r="52" spans="2:3" x14ac:dyDescent="0.25">
      <c r="B52" s="128">
        <v>43709</v>
      </c>
      <c r="C52" s="129">
        <v>138.4</v>
      </c>
    </row>
    <row r="53" spans="2:3" x14ac:dyDescent="0.25">
      <c r="B53" s="128">
        <v>43800</v>
      </c>
      <c r="C53" s="129">
        <v>138</v>
      </c>
    </row>
    <row r="54" spans="2:3" x14ac:dyDescent="0.25">
      <c r="B54" s="128">
        <v>43891</v>
      </c>
      <c r="C54" s="129">
        <v>140.30000000000001</v>
      </c>
    </row>
    <row r="55" spans="2:3" x14ac:dyDescent="0.25">
      <c r="B55" s="128">
        <v>43983</v>
      </c>
      <c r="C55" s="129">
        <v>140</v>
      </c>
    </row>
    <row r="56" spans="2:3" x14ac:dyDescent="0.25">
      <c r="B56" s="128">
        <v>44075</v>
      </c>
      <c r="C56" s="129">
        <v>139.80000000000001</v>
      </c>
    </row>
    <row r="57" spans="2:3" x14ac:dyDescent="0.25">
      <c r="B57" s="128">
        <v>44166</v>
      </c>
      <c r="C57" s="129">
        <v>141.6</v>
      </c>
    </row>
    <row r="58" spans="2:3" x14ac:dyDescent="0.25">
      <c r="B58" s="128">
        <v>44256</v>
      </c>
      <c r="C58" s="129">
        <v>144.5</v>
      </c>
    </row>
    <row r="59" spans="2:3" x14ac:dyDescent="0.25">
      <c r="B59" s="128">
        <v>44348</v>
      </c>
      <c r="C59" s="129">
        <v>146.69999999999999</v>
      </c>
    </row>
    <row r="60" spans="2:3" x14ac:dyDescent="0.25">
      <c r="B60" s="131">
        <v>44440</v>
      </c>
      <c r="C60" s="132">
        <v>146.69999999999999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F5A0A-3BF4-4A8F-AE01-2A28FA5A8AEC}">
  <dimension ref="B2:G16"/>
  <sheetViews>
    <sheetView showGridLines="0" workbookViewId="0"/>
  </sheetViews>
  <sheetFormatPr defaultRowHeight="15" x14ac:dyDescent="0.25"/>
  <cols>
    <col min="2" max="2" width="27.42578125" bestFit="1" customWidth="1"/>
    <col min="3" max="3" width="11.28515625" bestFit="1" customWidth="1"/>
    <col min="4" max="4" width="13.140625" bestFit="1" customWidth="1"/>
    <col min="5" max="5" width="17" bestFit="1" customWidth="1"/>
    <col min="6" max="6" width="17" customWidth="1"/>
    <col min="7" max="7" width="87.85546875" bestFit="1" customWidth="1"/>
  </cols>
  <sheetData>
    <row r="2" spans="2:7" ht="18.75" x14ac:dyDescent="0.3">
      <c r="B2" s="72" t="s">
        <v>152</v>
      </c>
    </row>
    <row r="4" spans="2:7" x14ac:dyDescent="0.25">
      <c r="B4" s="49" t="s">
        <v>25</v>
      </c>
      <c r="C4" s="50" t="s">
        <v>16</v>
      </c>
      <c r="D4" s="50" t="s">
        <v>156</v>
      </c>
      <c r="E4" s="50" t="s">
        <v>157</v>
      </c>
      <c r="F4" s="50" t="s">
        <v>16</v>
      </c>
      <c r="G4" s="49" t="s">
        <v>39</v>
      </c>
    </row>
    <row r="5" spans="2:7" x14ac:dyDescent="0.25">
      <c r="B5" s="57" t="s">
        <v>153</v>
      </c>
      <c r="C5" s="28"/>
      <c r="D5" s="28"/>
      <c r="E5" s="28"/>
      <c r="F5" s="28"/>
      <c r="G5" s="57"/>
    </row>
    <row r="6" spans="2:7" x14ac:dyDescent="0.25">
      <c r="B6" s="100" t="s">
        <v>26</v>
      </c>
      <c r="C6" s="25">
        <v>33944</v>
      </c>
      <c r="D6" s="25">
        <f>C6*('Consumer price index (CPI)'!$F$19/'Consumer price index (CPI)'!$F$11)</f>
        <v>45424.601283226395</v>
      </c>
      <c r="E6" s="25">
        <f>D6/4</f>
        <v>11356.150320806599</v>
      </c>
      <c r="F6" s="25">
        <f>E6*4</f>
        <v>45424.601283226395</v>
      </c>
      <c r="G6" t="s">
        <v>191</v>
      </c>
    </row>
    <row r="7" spans="2:7" x14ac:dyDescent="0.25">
      <c r="B7" s="124" t="s">
        <v>27</v>
      </c>
      <c r="C7" s="25">
        <v>8796</v>
      </c>
      <c r="D7" s="25">
        <f>C7*('Consumer price index (CPI)'!$F$19/'Consumer price index (CPI)'!$F$11)</f>
        <v>11770.999083409715</v>
      </c>
      <c r="E7" s="25">
        <f t="shared" ref="E7:E10" si="0">D7/4</f>
        <v>2942.7497708524288</v>
      </c>
      <c r="F7" s="25">
        <f t="shared" ref="F7:F16" si="1">E7*4</f>
        <v>11770.999083409715</v>
      </c>
      <c r="G7" t="s">
        <v>192</v>
      </c>
    </row>
    <row r="8" spans="2:7" x14ac:dyDescent="0.25">
      <c r="B8" s="100" t="s">
        <v>28</v>
      </c>
      <c r="C8" s="25">
        <v>5624</v>
      </c>
      <c r="D8" s="25">
        <f>C8*('Consumer price index (CPI)'!$F$19/'Consumer price index (CPI)'!$F$11)</f>
        <v>7526.1594867094409</v>
      </c>
      <c r="E8" s="25">
        <f t="shared" si="0"/>
        <v>1881.5398716773602</v>
      </c>
      <c r="F8" s="25">
        <f t="shared" si="1"/>
        <v>7526.1594867094409</v>
      </c>
      <c r="G8" t="s">
        <v>193</v>
      </c>
    </row>
    <row r="9" spans="2:7" x14ac:dyDescent="0.25">
      <c r="B9" s="100" t="s">
        <v>29</v>
      </c>
      <c r="C9" s="25">
        <v>4454</v>
      </c>
      <c r="D9" s="25">
        <f>C9*('Consumer price index (CPI)'!$F$19/'Consumer price index (CPI)'!$F$11)</f>
        <v>5960.4399633363882</v>
      </c>
      <c r="E9" s="25">
        <f t="shared" si="0"/>
        <v>1490.1099908340971</v>
      </c>
      <c r="F9" s="25">
        <f t="shared" si="1"/>
        <v>5960.4399633363882</v>
      </c>
      <c r="G9" t="s">
        <v>194</v>
      </c>
    </row>
    <row r="10" spans="2:7" x14ac:dyDescent="0.25">
      <c r="B10" s="102" t="s">
        <v>155</v>
      </c>
      <c r="C10" s="39">
        <v>3643</v>
      </c>
      <c r="D10" s="25">
        <f>C10*('Consumer price index (CPI)'!$F$19/'Consumer price index (CPI)'!$F$11)</f>
        <v>4875.1420714940423</v>
      </c>
      <c r="E10" s="25">
        <f t="shared" si="0"/>
        <v>1218.7855178735106</v>
      </c>
      <c r="F10" s="25">
        <f t="shared" si="1"/>
        <v>4875.1420714940423</v>
      </c>
      <c r="G10" t="s">
        <v>195</v>
      </c>
    </row>
    <row r="11" spans="2:7" x14ac:dyDescent="0.25">
      <c r="B11" s="57" t="s">
        <v>154</v>
      </c>
    </row>
    <row r="12" spans="2:7" x14ac:dyDescent="0.25">
      <c r="B12" s="100" t="s">
        <v>26</v>
      </c>
      <c r="C12" s="25">
        <v>35882</v>
      </c>
      <c r="D12" s="25">
        <f>C12*('Consumer price index (CPI)'!$F$19/'Consumer price index (CPI)'!$F$11)</f>
        <v>48018.075160403299</v>
      </c>
      <c r="E12" s="25">
        <f>D12/4</f>
        <v>12004.518790100825</v>
      </c>
      <c r="F12" s="39">
        <f t="shared" si="1"/>
        <v>48018.075160403299</v>
      </c>
      <c r="G12" t="s">
        <v>196</v>
      </c>
    </row>
    <row r="13" spans="2:7" x14ac:dyDescent="0.25">
      <c r="B13" s="124" t="s">
        <v>27</v>
      </c>
      <c r="C13" s="25">
        <v>9020</v>
      </c>
      <c r="D13" s="25">
        <f>C13*('Consumer price index (CPI)'!$F$19/'Consumer price index (CPI)'!$F$11)</f>
        <v>12070.760769935838</v>
      </c>
      <c r="E13" s="25">
        <f t="shared" ref="E13:E16" si="2">D13/4</f>
        <v>3017.6901924839594</v>
      </c>
      <c r="F13" s="39">
        <f t="shared" si="1"/>
        <v>12070.760769935838</v>
      </c>
      <c r="G13" t="s">
        <v>197</v>
      </c>
    </row>
    <row r="14" spans="2:7" x14ac:dyDescent="0.25">
      <c r="B14" s="100" t="s">
        <v>28</v>
      </c>
      <c r="C14" s="25">
        <v>9841</v>
      </c>
      <c r="D14" s="25">
        <f>C14*('Consumer price index (CPI)'!$F$19/'Consumer price index (CPI)'!$F$11)</f>
        <v>13169.440879926673</v>
      </c>
      <c r="E14" s="25">
        <f t="shared" si="2"/>
        <v>3292.3602199816683</v>
      </c>
      <c r="F14" s="39">
        <f t="shared" si="1"/>
        <v>13169.440879926673</v>
      </c>
      <c r="G14" t="s">
        <v>198</v>
      </c>
    </row>
    <row r="15" spans="2:7" x14ac:dyDescent="0.25">
      <c r="B15" s="100" t="s">
        <v>29</v>
      </c>
      <c r="C15" s="39">
        <v>7953</v>
      </c>
      <c r="D15" s="25">
        <f>C15*('Consumer price index (CPI)'!$F$19/'Consumer price index (CPI)'!$F$11)</f>
        <v>10642.878093492209</v>
      </c>
      <c r="E15" s="25">
        <f t="shared" si="2"/>
        <v>2660.7195233730522</v>
      </c>
      <c r="F15" s="39">
        <f t="shared" si="1"/>
        <v>10642.878093492209</v>
      </c>
      <c r="G15" t="s">
        <v>199</v>
      </c>
    </row>
    <row r="16" spans="2:7" x14ac:dyDescent="0.25">
      <c r="B16" s="101" t="s">
        <v>155</v>
      </c>
      <c r="C16" s="46">
        <v>9598</v>
      </c>
      <c r="D16" s="40">
        <f>C16*('Consumer price index (CPI)'!$F$19/'Consumer price index (CPI)'!$F$11)</f>
        <v>12844.252978918423</v>
      </c>
      <c r="E16" s="40">
        <f t="shared" si="2"/>
        <v>3211.0632447296057</v>
      </c>
      <c r="F16" s="40">
        <f t="shared" si="1"/>
        <v>12844.252978918423</v>
      </c>
      <c r="G16" s="2" t="s">
        <v>200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AC2CA-37AC-4ED1-8C65-E44F881FB51E}">
  <dimension ref="B2:F11"/>
  <sheetViews>
    <sheetView showGridLines="0" workbookViewId="0"/>
  </sheetViews>
  <sheetFormatPr defaultRowHeight="15" x14ac:dyDescent="0.25"/>
  <cols>
    <col min="2" max="2" width="30" bestFit="1" customWidth="1"/>
    <col min="3" max="3" width="10.140625" bestFit="1" customWidth="1"/>
    <col min="4" max="4" width="10.28515625" bestFit="1" customWidth="1"/>
    <col min="5" max="5" width="14.85546875" bestFit="1" customWidth="1"/>
    <col min="6" max="6" width="18.140625" bestFit="1" customWidth="1"/>
  </cols>
  <sheetData>
    <row r="2" spans="2:6" ht="18.75" x14ac:dyDescent="0.3">
      <c r="B2" s="72" t="s">
        <v>158</v>
      </c>
      <c r="C2" s="9"/>
      <c r="D2" s="9"/>
    </row>
    <row r="3" spans="2:6" x14ac:dyDescent="0.25">
      <c r="C3" s="9"/>
      <c r="D3" s="9"/>
    </row>
    <row r="4" spans="2:6" x14ac:dyDescent="0.25">
      <c r="B4" s="14"/>
      <c r="C4" s="140" t="s">
        <v>157</v>
      </c>
      <c r="D4" s="140"/>
      <c r="E4" s="140"/>
      <c r="F4" s="140"/>
    </row>
    <row r="5" spans="2:6" x14ac:dyDescent="0.25">
      <c r="B5" s="45" t="s">
        <v>160</v>
      </c>
      <c r="C5" s="13" t="s">
        <v>109</v>
      </c>
      <c r="D5" s="13" t="s">
        <v>110</v>
      </c>
      <c r="E5" s="13" t="s">
        <v>159</v>
      </c>
      <c r="F5" s="13" t="s">
        <v>154</v>
      </c>
    </row>
    <row r="6" spans="2:6" x14ac:dyDescent="0.25">
      <c r="B6" t="s">
        <v>86</v>
      </c>
      <c r="C6" s="25">
        <f>'Doctor visits'!C26+'Dialysis costs'!D35</f>
        <v>19717.310430444257</v>
      </c>
      <c r="D6" s="25">
        <f>'Drug utilisation and costs'!D32+'Doctor visits'!C30</f>
        <v>12443.994943879114</v>
      </c>
      <c r="E6" s="25">
        <f>'Cancer costs'!E6</f>
        <v>11356.150320806599</v>
      </c>
      <c r="F6" s="25">
        <f>'Cancer costs'!E12</f>
        <v>12004.518790100825</v>
      </c>
    </row>
    <row r="7" spans="2:6" x14ac:dyDescent="0.25">
      <c r="B7" t="s">
        <v>161</v>
      </c>
      <c r="C7" s="25">
        <f>'Doctor visits'!D26+'Dialysis costs'!D35</f>
        <v>19709.360430444256</v>
      </c>
      <c r="D7" s="25">
        <f>'Drug utilisation and costs'!E32+'Doctor visits'!D30</f>
        <v>2970.755175778876</v>
      </c>
      <c r="E7" s="25">
        <f>'Cancer costs'!E6</f>
        <v>11356.150320806599</v>
      </c>
      <c r="F7" s="25">
        <f>'Cancer costs'!E12</f>
        <v>12004.518790100825</v>
      </c>
    </row>
    <row r="8" spans="2:6" x14ac:dyDescent="0.25">
      <c r="B8" t="s">
        <v>162</v>
      </c>
      <c r="C8" s="25">
        <f>'Doctor visits'!E26+'Dialysis costs'!D35</f>
        <v>19709.360430444256</v>
      </c>
      <c r="D8" s="25">
        <f>'Drug utilisation and costs'!F32+'Doctor visits'!E30</f>
        <v>987.23169987968583</v>
      </c>
      <c r="E8" s="25">
        <f>'Cancer costs'!E7</f>
        <v>2942.7497708524288</v>
      </c>
      <c r="F8" s="25">
        <f>'Cancer costs'!E13</f>
        <v>3017.6901924839594</v>
      </c>
    </row>
    <row r="9" spans="2:6" x14ac:dyDescent="0.25">
      <c r="B9" t="s">
        <v>163</v>
      </c>
      <c r="C9" s="25">
        <f>'Doctor visits'!E26+'Dialysis costs'!D35</f>
        <v>19709.360430444256</v>
      </c>
      <c r="D9" s="25">
        <f>'Drug utilisation and costs'!F32+'Doctor visits'!E30</f>
        <v>987.23169987968583</v>
      </c>
      <c r="E9" s="25">
        <f>'Cancer costs'!E8</f>
        <v>1881.5398716773602</v>
      </c>
      <c r="F9" s="25">
        <f>'Cancer costs'!E14</f>
        <v>3292.3602199816683</v>
      </c>
    </row>
    <row r="10" spans="2:6" x14ac:dyDescent="0.25">
      <c r="B10" t="s">
        <v>164</v>
      </c>
      <c r="C10" s="25">
        <f>'Doctor visits'!E26+'Dialysis costs'!D35</f>
        <v>19709.360430444256</v>
      </c>
      <c r="D10" s="25">
        <f>'Drug utilisation and costs'!F32+'Doctor visits'!E30</f>
        <v>987.23169987968583</v>
      </c>
      <c r="E10" s="25">
        <f>'Cancer costs'!E9</f>
        <v>1490.1099908340971</v>
      </c>
      <c r="F10" s="25">
        <f>'Cancer costs'!E15</f>
        <v>2660.7195233730522</v>
      </c>
    </row>
    <row r="11" spans="2:6" x14ac:dyDescent="0.25">
      <c r="B11" s="2" t="s">
        <v>165</v>
      </c>
      <c r="C11" s="40">
        <f>'Doctor visits'!E26+'Dialysis costs'!D35</f>
        <v>19709.360430444256</v>
      </c>
      <c r="D11" s="40">
        <f>'Drug utilisation and costs'!F32+'Doctor visits'!E30</f>
        <v>987.23169987968583</v>
      </c>
      <c r="E11" s="40">
        <f>'Cancer costs'!E10</f>
        <v>1218.7855178735106</v>
      </c>
      <c r="F11" s="40">
        <f>'Cancer costs'!E16</f>
        <v>3211.0632447296057</v>
      </c>
    </row>
  </sheetData>
  <mergeCells count="1">
    <mergeCell ref="C4:F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92F57-7753-4E67-911B-5B1884E4F255}">
  <dimension ref="B2:C7"/>
  <sheetViews>
    <sheetView showGridLines="0" workbookViewId="0"/>
  </sheetViews>
  <sheetFormatPr defaultRowHeight="15" x14ac:dyDescent="0.25"/>
  <cols>
    <col min="2" max="2" width="30.42578125" bestFit="1" customWidth="1"/>
    <col min="3" max="3" width="10.140625" bestFit="1" customWidth="1"/>
  </cols>
  <sheetData>
    <row r="2" spans="2:3" ht="18.75" x14ac:dyDescent="0.3">
      <c r="B2" s="72" t="s">
        <v>167</v>
      </c>
      <c r="C2" s="9"/>
    </row>
    <row r="3" spans="2:3" x14ac:dyDescent="0.25">
      <c r="C3" s="9"/>
    </row>
    <row r="4" spans="2:3" x14ac:dyDescent="0.25">
      <c r="B4" s="49" t="s">
        <v>168</v>
      </c>
      <c r="C4" s="50" t="s">
        <v>8</v>
      </c>
    </row>
    <row r="5" spans="2:3" x14ac:dyDescent="0.25">
      <c r="B5" t="s">
        <v>31</v>
      </c>
      <c r="C5" s="25">
        <f>'Transplant surgery'!E8+'Transplant surgery'!E13</f>
        <v>62974.417022334506</v>
      </c>
    </row>
    <row r="6" spans="2:3" x14ac:dyDescent="0.25">
      <c r="B6" t="s">
        <v>30</v>
      </c>
      <c r="C6" s="25">
        <f>'Transplant surgery'!E8+'Transplant surgery'!E15</f>
        <v>57479.747049017635</v>
      </c>
    </row>
    <row r="7" spans="2:3" x14ac:dyDescent="0.25">
      <c r="B7" s="2" t="s">
        <v>169</v>
      </c>
      <c r="C7" s="40">
        <f>Nephrectomy!E9</f>
        <v>10477.605126900487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7FFFB-3755-45EA-874C-E2746A0A5244}">
  <dimension ref="B2:H76"/>
  <sheetViews>
    <sheetView showGridLines="0" zoomScaleNormal="100" workbookViewId="0"/>
  </sheetViews>
  <sheetFormatPr defaultRowHeight="15" x14ac:dyDescent="0.25"/>
  <cols>
    <col min="2" max="2" width="48.28515625" style="4" bestFit="1" customWidth="1"/>
    <col min="3" max="3" width="5" style="4" bestFit="1" customWidth="1"/>
    <col min="4" max="4" width="10.5703125" style="4" bestFit="1" customWidth="1"/>
    <col min="5" max="5" width="43.85546875" style="4" bestFit="1" customWidth="1"/>
    <col min="6" max="6" width="6.140625" style="4" bestFit="1" customWidth="1"/>
    <col min="7" max="7" width="10.140625" style="4" customWidth="1"/>
    <col min="8" max="8" width="10.140625" style="4" bestFit="1" customWidth="1"/>
    <col min="9" max="9" width="49.28515625" bestFit="1" customWidth="1"/>
  </cols>
  <sheetData>
    <row r="2" spans="2:8" ht="18.75" x14ac:dyDescent="0.25">
      <c r="B2" s="137" t="s">
        <v>111</v>
      </c>
      <c r="C2" s="137"/>
      <c r="D2" s="137"/>
      <c r="E2" s="137"/>
      <c r="F2" s="137"/>
      <c r="G2" s="137"/>
      <c r="H2" s="137"/>
    </row>
    <row r="3" spans="2:8" ht="18.75" x14ac:dyDescent="0.25">
      <c r="B3" s="66"/>
      <c r="C3" s="66"/>
      <c r="D3" s="66"/>
      <c r="E3" s="66"/>
      <c r="F3" s="66"/>
      <c r="G3" s="66"/>
      <c r="H3" s="66"/>
    </row>
    <row r="4" spans="2:8" x14ac:dyDescent="0.25">
      <c r="B4" s="7" t="s">
        <v>63</v>
      </c>
      <c r="E4" s="6"/>
    </row>
    <row r="5" spans="2:8" x14ac:dyDescent="0.25">
      <c r="B5" s="3" t="s">
        <v>1</v>
      </c>
      <c r="C5" s="63" t="s">
        <v>19</v>
      </c>
      <c r="D5" s="63" t="s">
        <v>20</v>
      </c>
      <c r="E5" s="3" t="s">
        <v>39</v>
      </c>
      <c r="F5" s="19"/>
      <c r="G5" s="59"/>
      <c r="H5" s="59"/>
    </row>
    <row r="6" spans="2:8" x14ac:dyDescent="0.25">
      <c r="B6" s="62" t="s">
        <v>33</v>
      </c>
      <c r="C6" s="59">
        <v>850</v>
      </c>
      <c r="D6" s="64">
        <f>C6/C$8</f>
        <v>0.76992753623188404</v>
      </c>
      <c r="E6" s="6" t="s">
        <v>41</v>
      </c>
      <c r="F6" s="19"/>
      <c r="G6" s="59"/>
      <c r="H6" s="59"/>
    </row>
    <row r="7" spans="2:8" x14ac:dyDescent="0.25">
      <c r="B7" s="6" t="s">
        <v>71</v>
      </c>
      <c r="C7" s="59">
        <v>139</v>
      </c>
      <c r="D7" s="64">
        <f>C7/C$8</f>
        <v>0.12590579710144928</v>
      </c>
      <c r="E7" s="6" t="s">
        <v>42</v>
      </c>
      <c r="F7" s="19"/>
      <c r="G7" s="59"/>
      <c r="H7" s="59"/>
    </row>
    <row r="8" spans="2:8" x14ac:dyDescent="0.25">
      <c r="B8" s="35" t="s">
        <v>4</v>
      </c>
      <c r="C8" s="24">
        <v>1104</v>
      </c>
      <c r="D8" s="24"/>
      <c r="E8" s="35"/>
      <c r="F8" s="19"/>
      <c r="G8" s="59"/>
      <c r="H8" s="59"/>
    </row>
    <row r="9" spans="2:8" x14ac:dyDescent="0.25">
      <c r="B9" s="60" t="s">
        <v>40</v>
      </c>
    </row>
    <row r="10" spans="2:8" x14ac:dyDescent="0.25">
      <c r="B10" s="60"/>
    </row>
    <row r="11" spans="2:8" x14ac:dyDescent="0.25">
      <c r="B11" s="60"/>
    </row>
    <row r="12" spans="2:8" x14ac:dyDescent="0.25">
      <c r="B12" s="54" t="s">
        <v>43</v>
      </c>
    </row>
    <row r="13" spans="2:8" x14ac:dyDescent="0.25">
      <c r="B13" s="3" t="s">
        <v>1</v>
      </c>
      <c r="C13" s="63" t="s">
        <v>19</v>
      </c>
      <c r="D13" s="63" t="s">
        <v>20</v>
      </c>
      <c r="E13" s="65" t="s">
        <v>39</v>
      </c>
    </row>
    <row r="14" spans="2:8" x14ac:dyDescent="0.25">
      <c r="B14" s="54" t="s">
        <v>36</v>
      </c>
      <c r="C14" s="59"/>
      <c r="D14" s="59"/>
      <c r="E14" s="59"/>
    </row>
    <row r="15" spans="2:8" x14ac:dyDescent="0.25">
      <c r="B15" s="52" t="s">
        <v>2</v>
      </c>
      <c r="C15" s="19">
        <v>742</v>
      </c>
      <c r="D15" s="36">
        <f>C15/C$18</f>
        <v>0.95865633074935397</v>
      </c>
      <c r="E15" s="6" t="s">
        <v>44</v>
      </c>
    </row>
    <row r="16" spans="2:8" x14ac:dyDescent="0.25">
      <c r="B16" s="52" t="s">
        <v>35</v>
      </c>
      <c r="C16" s="19">
        <v>740</v>
      </c>
      <c r="D16" s="36">
        <f t="shared" ref="D16:D17" si="0">C16/C$18</f>
        <v>0.95607235142118863</v>
      </c>
      <c r="E16" s="6" t="s">
        <v>45</v>
      </c>
    </row>
    <row r="17" spans="2:5" x14ac:dyDescent="0.25">
      <c r="B17" s="53" t="s">
        <v>3</v>
      </c>
      <c r="C17" s="19">
        <v>734</v>
      </c>
      <c r="D17" s="36">
        <f t="shared" si="0"/>
        <v>0.94832041343669249</v>
      </c>
      <c r="E17" s="6" t="s">
        <v>46</v>
      </c>
    </row>
    <row r="18" spans="2:5" x14ac:dyDescent="0.25">
      <c r="B18" s="35" t="s">
        <v>62</v>
      </c>
      <c r="C18" s="34">
        <v>774</v>
      </c>
      <c r="D18" s="34" t="s">
        <v>5</v>
      </c>
      <c r="E18" s="34"/>
    </row>
    <row r="19" spans="2:5" x14ac:dyDescent="0.25">
      <c r="B19" s="54" t="s">
        <v>37</v>
      </c>
      <c r="C19" s="59"/>
      <c r="D19" s="59"/>
      <c r="E19" s="59"/>
    </row>
    <row r="20" spans="2:5" x14ac:dyDescent="0.25">
      <c r="B20" s="52" t="s">
        <v>2</v>
      </c>
      <c r="C20" s="19">
        <v>193</v>
      </c>
      <c r="D20" s="36">
        <f>C20/C$23</f>
        <v>0.9061032863849765</v>
      </c>
      <c r="E20" s="6" t="s">
        <v>47</v>
      </c>
    </row>
    <row r="21" spans="2:5" x14ac:dyDescent="0.25">
      <c r="B21" s="52" t="s">
        <v>35</v>
      </c>
      <c r="C21" s="19">
        <v>198</v>
      </c>
      <c r="D21" s="36">
        <f t="shared" ref="D21:D22" si="1">C21/C$23</f>
        <v>0.92957746478873238</v>
      </c>
      <c r="E21" s="6" t="s">
        <v>49</v>
      </c>
    </row>
    <row r="22" spans="2:5" x14ac:dyDescent="0.25">
      <c r="B22" s="53" t="s">
        <v>3</v>
      </c>
      <c r="C22" s="19">
        <v>199</v>
      </c>
      <c r="D22" s="36">
        <f t="shared" si="1"/>
        <v>0.93427230046948362</v>
      </c>
      <c r="E22" s="6" t="s">
        <v>48</v>
      </c>
    </row>
    <row r="23" spans="2:5" x14ac:dyDescent="0.25">
      <c r="B23" s="35" t="s">
        <v>62</v>
      </c>
      <c r="C23" s="34">
        <v>213</v>
      </c>
      <c r="D23" s="34" t="s">
        <v>5</v>
      </c>
      <c r="E23" s="61"/>
    </row>
    <row r="24" spans="2:5" x14ac:dyDescent="0.25">
      <c r="B24" s="54" t="s">
        <v>38</v>
      </c>
      <c r="C24" s="59"/>
      <c r="D24" s="59"/>
      <c r="E24" s="59"/>
    </row>
    <row r="25" spans="2:5" x14ac:dyDescent="0.25">
      <c r="B25" s="52" t="s">
        <v>2</v>
      </c>
      <c r="C25" s="19">
        <f>SUM(C15,C20)</f>
        <v>935</v>
      </c>
      <c r="D25" s="36">
        <f>C25/C$28</f>
        <v>0.94731509625126642</v>
      </c>
      <c r="E25" s="6" t="s">
        <v>5</v>
      </c>
    </row>
    <row r="26" spans="2:5" x14ac:dyDescent="0.25">
      <c r="B26" s="52" t="s">
        <v>35</v>
      </c>
      <c r="C26" s="19">
        <f t="shared" ref="C26" si="2">SUM(C16,C21)</f>
        <v>938</v>
      </c>
      <c r="D26" s="36">
        <f t="shared" ref="D26:D27" si="3">C26/C$28</f>
        <v>0.95035460992907805</v>
      </c>
      <c r="E26" s="6" t="s">
        <v>5</v>
      </c>
    </row>
    <row r="27" spans="2:5" x14ac:dyDescent="0.25">
      <c r="B27" s="53" t="s">
        <v>3</v>
      </c>
      <c r="C27" s="19">
        <f t="shared" ref="C27" si="4">SUM(C17,C22)</f>
        <v>933</v>
      </c>
      <c r="D27" s="36">
        <f t="shared" si="3"/>
        <v>0.94528875379939215</v>
      </c>
      <c r="E27" s="6" t="s">
        <v>5</v>
      </c>
    </row>
    <row r="28" spans="2:5" x14ac:dyDescent="0.25">
      <c r="B28" s="35" t="s">
        <v>62</v>
      </c>
      <c r="C28" s="34">
        <f t="shared" ref="C28" si="5">SUM(C18,C23)</f>
        <v>987</v>
      </c>
      <c r="D28" s="34" t="s">
        <v>5</v>
      </c>
      <c r="E28" s="34"/>
    </row>
    <row r="29" spans="2:5" x14ac:dyDescent="0.25">
      <c r="B29" s="60" t="s">
        <v>40</v>
      </c>
      <c r="C29" s="19"/>
      <c r="D29" s="19"/>
      <c r="E29" s="19"/>
    </row>
    <row r="32" spans="2:5" x14ac:dyDescent="0.25">
      <c r="B32" s="54" t="s">
        <v>83</v>
      </c>
    </row>
    <row r="33" spans="2:5" x14ac:dyDescent="0.25">
      <c r="B33" s="3" t="s">
        <v>1</v>
      </c>
      <c r="C33" s="63" t="s">
        <v>19</v>
      </c>
      <c r="D33" s="63" t="s">
        <v>20</v>
      </c>
      <c r="E33" s="65" t="s">
        <v>39</v>
      </c>
    </row>
    <row r="34" spans="2:5" x14ac:dyDescent="0.25">
      <c r="B34" s="54" t="s">
        <v>36</v>
      </c>
      <c r="C34" s="59"/>
      <c r="D34" s="59"/>
      <c r="E34" s="59"/>
    </row>
    <row r="35" spans="2:5" x14ac:dyDescent="0.25">
      <c r="B35" s="52" t="s">
        <v>2</v>
      </c>
      <c r="C35" s="19">
        <v>661</v>
      </c>
      <c r="D35" s="36">
        <f>C35/C$18</f>
        <v>0.85400516795865633</v>
      </c>
      <c r="E35" s="6" t="s">
        <v>50</v>
      </c>
    </row>
    <row r="36" spans="2:5" x14ac:dyDescent="0.25">
      <c r="B36" s="52" t="s">
        <v>35</v>
      </c>
      <c r="C36" s="19">
        <v>610</v>
      </c>
      <c r="D36" s="36">
        <f t="shared" ref="D36:D37" si="6">C36/C$18</f>
        <v>0.78811369509043927</v>
      </c>
      <c r="E36" s="6" t="s">
        <v>52</v>
      </c>
    </row>
    <row r="37" spans="2:5" x14ac:dyDescent="0.25">
      <c r="B37" s="53" t="s">
        <v>3</v>
      </c>
      <c r="C37" s="19">
        <v>676</v>
      </c>
      <c r="D37" s="36">
        <f t="shared" si="6"/>
        <v>0.87338501291989667</v>
      </c>
      <c r="E37" s="6" t="s">
        <v>51</v>
      </c>
    </row>
    <row r="38" spans="2:5" x14ac:dyDescent="0.25">
      <c r="B38" s="35" t="s">
        <v>62</v>
      </c>
      <c r="C38" s="34">
        <v>777</v>
      </c>
      <c r="D38" s="34" t="s">
        <v>5</v>
      </c>
      <c r="E38" s="34"/>
    </row>
    <row r="39" spans="2:5" x14ac:dyDescent="0.25">
      <c r="B39" s="54" t="s">
        <v>37</v>
      </c>
      <c r="C39" s="59"/>
      <c r="D39" s="59"/>
      <c r="E39" s="59"/>
    </row>
    <row r="40" spans="2:5" x14ac:dyDescent="0.25">
      <c r="B40" s="52" t="s">
        <v>2</v>
      </c>
      <c r="C40" s="19">
        <v>171</v>
      </c>
      <c r="D40" s="36">
        <f>C40/C$23</f>
        <v>0.80281690140845074</v>
      </c>
      <c r="E40" s="6" t="s">
        <v>53</v>
      </c>
    </row>
    <row r="41" spans="2:5" x14ac:dyDescent="0.25">
      <c r="B41" s="52" t="s">
        <v>35</v>
      </c>
      <c r="C41" s="19">
        <v>162</v>
      </c>
      <c r="D41" s="36">
        <f t="shared" ref="D41:D42" si="7">C41/C$23</f>
        <v>0.76056338028169013</v>
      </c>
      <c r="E41" s="6" t="s">
        <v>54</v>
      </c>
    </row>
    <row r="42" spans="2:5" x14ac:dyDescent="0.25">
      <c r="B42" s="53" t="s">
        <v>3</v>
      </c>
      <c r="C42" s="19">
        <v>181</v>
      </c>
      <c r="D42" s="36">
        <f t="shared" si="7"/>
        <v>0.84976525821596249</v>
      </c>
      <c r="E42" s="6" t="s">
        <v>55</v>
      </c>
    </row>
    <row r="43" spans="2:5" x14ac:dyDescent="0.25">
      <c r="B43" s="35" t="s">
        <v>62</v>
      </c>
      <c r="C43" s="34">
        <v>213</v>
      </c>
      <c r="D43" s="34" t="s">
        <v>5</v>
      </c>
      <c r="E43" s="61"/>
    </row>
    <row r="44" spans="2:5" x14ac:dyDescent="0.25">
      <c r="B44" s="54" t="s">
        <v>38</v>
      </c>
      <c r="C44" s="59"/>
      <c r="D44" s="59"/>
      <c r="E44" s="59"/>
    </row>
    <row r="45" spans="2:5" x14ac:dyDescent="0.25">
      <c r="B45" s="52" t="s">
        <v>2</v>
      </c>
      <c r="C45" s="19">
        <v>832</v>
      </c>
      <c r="D45" s="36">
        <f>C45/C$28</f>
        <v>0.84295845997973662</v>
      </c>
      <c r="E45" s="6" t="s">
        <v>5</v>
      </c>
    </row>
    <row r="46" spans="2:5" x14ac:dyDescent="0.25">
      <c r="B46" s="52" t="s">
        <v>35</v>
      </c>
      <c r="C46" s="19">
        <v>772</v>
      </c>
      <c r="D46" s="36">
        <f t="shared" ref="D46:D47" si="8">C46/C$28</f>
        <v>0.78216818642350561</v>
      </c>
      <c r="E46" s="6" t="s">
        <v>5</v>
      </c>
    </row>
    <row r="47" spans="2:5" x14ac:dyDescent="0.25">
      <c r="B47" s="53" t="s">
        <v>3</v>
      </c>
      <c r="C47" s="19">
        <v>857</v>
      </c>
      <c r="D47" s="36">
        <f t="shared" si="8"/>
        <v>0.86828774062816616</v>
      </c>
      <c r="E47" s="6" t="s">
        <v>5</v>
      </c>
    </row>
    <row r="48" spans="2:5" x14ac:dyDescent="0.25">
      <c r="B48" s="35" t="s">
        <v>62</v>
      </c>
      <c r="C48" s="34">
        <v>990</v>
      </c>
      <c r="D48" s="34" t="s">
        <v>5</v>
      </c>
      <c r="E48" s="34"/>
    </row>
    <row r="49" spans="2:5" x14ac:dyDescent="0.25">
      <c r="B49" s="60" t="s">
        <v>40</v>
      </c>
    </row>
    <row r="52" spans="2:5" x14ac:dyDescent="0.25">
      <c r="B52" s="54" t="s">
        <v>84</v>
      </c>
    </row>
    <row r="53" spans="2:5" x14ac:dyDescent="0.25">
      <c r="B53" s="3" t="s">
        <v>1</v>
      </c>
      <c r="C53" s="63" t="s">
        <v>19</v>
      </c>
      <c r="D53" s="63" t="s">
        <v>20</v>
      </c>
      <c r="E53" s="65" t="s">
        <v>39</v>
      </c>
    </row>
    <row r="54" spans="2:5" x14ac:dyDescent="0.25">
      <c r="B54" s="54" t="s">
        <v>36</v>
      </c>
      <c r="C54" s="59"/>
      <c r="D54" s="59"/>
      <c r="E54" s="59"/>
    </row>
    <row r="55" spans="2:5" x14ac:dyDescent="0.25">
      <c r="B55" s="52" t="s">
        <v>2</v>
      </c>
      <c r="C55" s="19">
        <v>532</v>
      </c>
      <c r="D55" s="36">
        <f>C55/C$18</f>
        <v>0.6873385012919897</v>
      </c>
      <c r="E55" s="6" t="s">
        <v>56</v>
      </c>
    </row>
    <row r="56" spans="2:5" x14ac:dyDescent="0.25">
      <c r="B56" s="52" t="s">
        <v>35</v>
      </c>
      <c r="C56" s="19">
        <v>489</v>
      </c>
      <c r="D56" s="36">
        <f t="shared" ref="D56:D57" si="9">C56/C$18</f>
        <v>0.63178294573643412</v>
      </c>
      <c r="E56" s="6" t="s">
        <v>58</v>
      </c>
    </row>
    <row r="57" spans="2:5" x14ac:dyDescent="0.25">
      <c r="B57" s="53" t="s">
        <v>3</v>
      </c>
      <c r="C57" s="19">
        <v>562</v>
      </c>
      <c r="D57" s="36">
        <f t="shared" si="9"/>
        <v>0.72609819121447028</v>
      </c>
      <c r="E57" s="6" t="s">
        <v>57</v>
      </c>
    </row>
    <row r="58" spans="2:5" x14ac:dyDescent="0.25">
      <c r="B58" s="35" t="s">
        <v>62</v>
      </c>
      <c r="C58" s="34">
        <v>652</v>
      </c>
      <c r="D58" s="34" t="s">
        <v>5</v>
      </c>
      <c r="E58" s="34"/>
    </row>
    <row r="59" spans="2:5" x14ac:dyDescent="0.25">
      <c r="B59" s="54" t="s">
        <v>37</v>
      </c>
      <c r="C59" s="59"/>
      <c r="D59" s="59"/>
      <c r="E59" s="59"/>
    </row>
    <row r="60" spans="2:5" x14ac:dyDescent="0.25">
      <c r="B60" s="52" t="s">
        <v>2</v>
      </c>
      <c r="C60" s="19">
        <v>183</v>
      </c>
      <c r="D60" s="36">
        <f>C60/C$23</f>
        <v>0.85915492957746475</v>
      </c>
      <c r="E60" s="6" t="s">
        <v>59</v>
      </c>
    </row>
    <row r="61" spans="2:5" x14ac:dyDescent="0.25">
      <c r="B61" s="52" t="s">
        <v>35</v>
      </c>
      <c r="C61" s="19">
        <v>176</v>
      </c>
      <c r="D61" s="36">
        <f t="shared" ref="D61:D62" si="10">C61/C$23</f>
        <v>0.82629107981220662</v>
      </c>
      <c r="E61" s="6" t="s">
        <v>60</v>
      </c>
    </row>
    <row r="62" spans="2:5" x14ac:dyDescent="0.25">
      <c r="B62" s="53" t="s">
        <v>3</v>
      </c>
      <c r="C62" s="19">
        <v>193</v>
      </c>
      <c r="D62" s="36">
        <f t="shared" si="10"/>
        <v>0.9061032863849765</v>
      </c>
      <c r="E62" s="6" t="s">
        <v>61</v>
      </c>
    </row>
    <row r="63" spans="2:5" x14ac:dyDescent="0.25">
      <c r="B63" s="35" t="s">
        <v>62</v>
      </c>
      <c r="C63" s="34">
        <v>232</v>
      </c>
      <c r="D63" s="34" t="s">
        <v>5</v>
      </c>
      <c r="E63" s="61"/>
    </row>
    <row r="64" spans="2:5" x14ac:dyDescent="0.25">
      <c r="B64" s="54" t="s">
        <v>38</v>
      </c>
      <c r="C64" s="59"/>
      <c r="D64" s="59"/>
      <c r="E64" s="59"/>
    </row>
    <row r="65" spans="2:5" x14ac:dyDescent="0.25">
      <c r="B65" s="52" t="s">
        <v>2</v>
      </c>
      <c r="C65" s="19">
        <v>715</v>
      </c>
      <c r="D65" s="36">
        <f>C65/C$28</f>
        <v>0.72441742654508612</v>
      </c>
      <c r="E65" s="6" t="s">
        <v>5</v>
      </c>
    </row>
    <row r="66" spans="2:5" x14ac:dyDescent="0.25">
      <c r="B66" s="52" t="s">
        <v>35</v>
      </c>
      <c r="C66" s="19">
        <v>665</v>
      </c>
      <c r="D66" s="36">
        <f t="shared" ref="D66:D67" si="11">C66/C$28</f>
        <v>0.67375886524822692</v>
      </c>
      <c r="E66" s="6" t="s">
        <v>5</v>
      </c>
    </row>
    <row r="67" spans="2:5" x14ac:dyDescent="0.25">
      <c r="B67" s="53" t="s">
        <v>3</v>
      </c>
      <c r="C67" s="19">
        <v>755</v>
      </c>
      <c r="D67" s="36">
        <f t="shared" si="11"/>
        <v>0.7649442755825735</v>
      </c>
      <c r="E67" s="6" t="s">
        <v>5</v>
      </c>
    </row>
    <row r="68" spans="2:5" x14ac:dyDescent="0.25">
      <c r="B68" s="35" t="s">
        <v>62</v>
      </c>
      <c r="C68" s="34">
        <v>884</v>
      </c>
      <c r="D68" s="34" t="s">
        <v>5</v>
      </c>
      <c r="E68" s="34"/>
    </row>
    <row r="69" spans="2:5" x14ac:dyDescent="0.25">
      <c r="B69" s="60" t="s">
        <v>40</v>
      </c>
    </row>
    <row r="72" spans="2:5" x14ac:dyDescent="0.25">
      <c r="B72" s="7" t="s">
        <v>89</v>
      </c>
    </row>
    <row r="73" spans="2:5" x14ac:dyDescent="0.25">
      <c r="B73" s="3" t="s">
        <v>1</v>
      </c>
      <c r="C73" s="63" t="s">
        <v>19</v>
      </c>
      <c r="D73" s="63" t="s">
        <v>20</v>
      </c>
      <c r="E73" s="65" t="s">
        <v>39</v>
      </c>
    </row>
    <row r="74" spans="2:5" x14ac:dyDescent="0.25">
      <c r="B74" s="4" t="s">
        <v>90</v>
      </c>
      <c r="C74" s="82" t="s">
        <v>5</v>
      </c>
      <c r="D74" s="83">
        <v>1</v>
      </c>
      <c r="E74" s="4" t="s">
        <v>80</v>
      </c>
    </row>
    <row r="75" spans="2:5" x14ac:dyDescent="0.25">
      <c r="B75" s="4" t="s">
        <v>91</v>
      </c>
      <c r="C75" s="82" t="s">
        <v>5</v>
      </c>
      <c r="D75" s="83">
        <v>1</v>
      </c>
      <c r="E75" s="4" t="s">
        <v>80</v>
      </c>
    </row>
    <row r="76" spans="2:5" x14ac:dyDescent="0.25">
      <c r="B76" s="5" t="s">
        <v>92</v>
      </c>
      <c r="C76" s="84" t="s">
        <v>5</v>
      </c>
      <c r="D76" s="85">
        <v>1</v>
      </c>
      <c r="E76" s="5" t="s">
        <v>80</v>
      </c>
    </row>
  </sheetData>
  <mergeCells count="1">
    <mergeCell ref="B2:H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02648-769F-4DB5-AEF6-3C4DE2DF3144}">
  <dimension ref="B2:D20"/>
  <sheetViews>
    <sheetView showGridLines="0" workbookViewId="0"/>
  </sheetViews>
  <sheetFormatPr defaultRowHeight="15" x14ac:dyDescent="0.25"/>
  <cols>
    <col min="2" max="2" width="33" bestFit="1" customWidth="1"/>
    <col min="3" max="3" width="92" bestFit="1" customWidth="1"/>
    <col min="4" max="4" width="89.140625" bestFit="1" customWidth="1"/>
    <col min="5" max="5" width="16.85546875" bestFit="1" customWidth="1"/>
  </cols>
  <sheetData>
    <row r="2" spans="2:4" ht="18.75" x14ac:dyDescent="0.3">
      <c r="B2" s="72" t="s">
        <v>112</v>
      </c>
    </row>
    <row r="3" spans="2:4" ht="18.75" x14ac:dyDescent="0.3">
      <c r="B3" s="72"/>
    </row>
    <row r="4" spans="2:4" x14ac:dyDescent="0.25">
      <c r="B4" s="17"/>
      <c r="C4" s="17"/>
      <c r="D4" s="17"/>
    </row>
    <row r="5" spans="2:4" x14ac:dyDescent="0.25">
      <c r="B5" s="12" t="s">
        <v>1</v>
      </c>
      <c r="C5" s="12" t="s">
        <v>64</v>
      </c>
      <c r="D5" s="12" t="s">
        <v>39</v>
      </c>
    </row>
    <row r="6" spans="2:4" x14ac:dyDescent="0.25">
      <c r="B6" s="54" t="s">
        <v>96</v>
      </c>
      <c r="C6" s="54"/>
      <c r="D6" s="54"/>
    </row>
    <row r="7" spans="2:4" x14ac:dyDescent="0.25">
      <c r="B7" s="53" t="s">
        <v>33</v>
      </c>
      <c r="C7" s="15" t="s">
        <v>72</v>
      </c>
      <c r="D7" s="69" t="s">
        <v>67</v>
      </c>
    </row>
    <row r="8" spans="2:4" x14ac:dyDescent="0.25">
      <c r="B8" s="53" t="s">
        <v>34</v>
      </c>
      <c r="C8" s="6" t="s">
        <v>72</v>
      </c>
      <c r="D8" s="69" t="s">
        <v>67</v>
      </c>
    </row>
    <row r="9" spans="2:4" x14ac:dyDescent="0.25">
      <c r="B9" s="54" t="s">
        <v>97</v>
      </c>
      <c r="C9" s="6"/>
      <c r="D9" s="69"/>
    </row>
    <row r="10" spans="2:4" x14ac:dyDescent="0.25">
      <c r="B10" s="87" t="s">
        <v>2</v>
      </c>
      <c r="C10" s="6" t="s">
        <v>66</v>
      </c>
      <c r="D10" s="4" t="s">
        <v>78</v>
      </c>
    </row>
    <row r="11" spans="2:4" x14ac:dyDescent="0.25">
      <c r="B11" s="88" t="s">
        <v>35</v>
      </c>
      <c r="C11" s="4" t="s">
        <v>65</v>
      </c>
      <c r="D11" s="4" t="s">
        <v>76</v>
      </c>
    </row>
    <row r="12" spans="2:4" x14ac:dyDescent="0.25">
      <c r="B12" s="87" t="s">
        <v>3</v>
      </c>
      <c r="C12" s="86" t="s">
        <v>85</v>
      </c>
      <c r="D12" s="6" t="s">
        <v>77</v>
      </c>
    </row>
    <row r="13" spans="2:4" x14ac:dyDescent="0.25">
      <c r="B13" s="89" t="s">
        <v>32</v>
      </c>
      <c r="C13" s="86"/>
      <c r="D13" s="6"/>
    </row>
    <row r="14" spans="2:4" x14ac:dyDescent="0.25">
      <c r="B14" s="53" t="s">
        <v>90</v>
      </c>
      <c r="C14" s="86" t="s">
        <v>94</v>
      </c>
      <c r="D14" s="6" t="s">
        <v>93</v>
      </c>
    </row>
    <row r="15" spans="2:4" x14ac:dyDescent="0.25">
      <c r="B15" s="52" t="s">
        <v>91</v>
      </c>
      <c r="C15" s="86" t="s">
        <v>95</v>
      </c>
      <c r="D15" s="6" t="s">
        <v>98</v>
      </c>
    </row>
    <row r="16" spans="2:4" x14ac:dyDescent="0.25">
      <c r="B16" s="90" t="s">
        <v>92</v>
      </c>
      <c r="C16" s="73" t="s">
        <v>100</v>
      </c>
      <c r="D16" s="5" t="s">
        <v>99</v>
      </c>
    </row>
    <row r="19" spans="2:3" x14ac:dyDescent="0.25">
      <c r="B19" s="76" t="s">
        <v>79</v>
      </c>
      <c r="C19" s="7" t="s">
        <v>39</v>
      </c>
    </row>
    <row r="20" spans="2:3" x14ac:dyDescent="0.25">
      <c r="B20" s="58">
        <v>70</v>
      </c>
      <c r="C20" t="s">
        <v>80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A675-ABD0-439F-9B1D-631CB7453EA8}">
  <dimension ref="B2:J16"/>
  <sheetViews>
    <sheetView showGridLines="0" zoomScaleNormal="100" workbookViewId="0"/>
  </sheetViews>
  <sheetFormatPr defaultRowHeight="15" x14ac:dyDescent="0.25"/>
  <cols>
    <col min="1" max="1" width="9.140625" style="4"/>
    <col min="2" max="2" width="33" style="4" bestFit="1" customWidth="1"/>
    <col min="3" max="3" width="10.140625" style="4" bestFit="1" customWidth="1"/>
    <col min="4" max="4" width="4.140625" style="4" bestFit="1" customWidth="1"/>
    <col min="5" max="5" width="5.42578125" style="4" bestFit="1" customWidth="1"/>
    <col min="6" max="6" width="6.85546875" style="4" bestFit="1" customWidth="1"/>
    <col min="7" max="7" width="10.140625" style="4" bestFit="1" customWidth="1"/>
    <col min="8" max="8" width="110.42578125" style="18" bestFit="1" customWidth="1"/>
    <col min="9" max="16384" width="9.140625" style="4"/>
  </cols>
  <sheetData>
    <row r="2" spans="2:10" ht="18.75" x14ac:dyDescent="0.25">
      <c r="B2" s="71" t="s">
        <v>70</v>
      </c>
    </row>
    <row r="4" spans="2:10" x14ac:dyDescent="0.25">
      <c r="B4" s="17"/>
      <c r="C4" s="17"/>
      <c r="D4" s="17"/>
      <c r="E4" s="17"/>
      <c r="F4" s="17"/>
      <c r="G4" s="17"/>
      <c r="H4" s="74"/>
      <c r="I4" s="16"/>
    </row>
    <row r="5" spans="2:10" x14ac:dyDescent="0.25">
      <c r="B5" s="12" t="s">
        <v>1</v>
      </c>
      <c r="C5" s="12" t="s">
        <v>11</v>
      </c>
      <c r="D5" s="12" t="s">
        <v>13</v>
      </c>
      <c r="E5" s="12" t="s">
        <v>7</v>
      </c>
      <c r="F5" s="12" t="s">
        <v>14</v>
      </c>
      <c r="G5" s="70" t="s">
        <v>9</v>
      </c>
      <c r="H5" s="12" t="s">
        <v>39</v>
      </c>
    </row>
    <row r="6" spans="2:10" x14ac:dyDescent="0.25">
      <c r="B6" s="54" t="s">
        <v>96</v>
      </c>
      <c r="C6" s="54"/>
      <c r="D6" s="54"/>
      <c r="E6" s="54"/>
      <c r="F6" s="54"/>
      <c r="G6" s="91"/>
      <c r="H6" s="54"/>
    </row>
    <row r="7" spans="2:10" x14ac:dyDescent="0.25">
      <c r="B7" s="53" t="s">
        <v>33</v>
      </c>
      <c r="C7" s="18">
        <f>6666 * ('Consumer price index (CPI)'!$F$19/'Consumer price index (CPI)'!$F$16)</f>
        <v>7279.2520568436812</v>
      </c>
      <c r="D7" s="4">
        <v>1</v>
      </c>
      <c r="E7" s="4">
        <v>1</v>
      </c>
      <c r="F7" s="4" t="s">
        <v>68</v>
      </c>
      <c r="G7" s="23">
        <f>C7/(D7*E7)</f>
        <v>7279.2520568436812</v>
      </c>
      <c r="H7" s="69" t="s">
        <v>69</v>
      </c>
    </row>
    <row r="8" spans="2:10" x14ac:dyDescent="0.25">
      <c r="B8" s="53" t="s">
        <v>71</v>
      </c>
      <c r="C8" s="18">
        <f>10000 * ('Consumer price index (CPI)'!$F$19/'Consumer price index (CPI)'!$F$16)</f>
        <v>10919.970082273749</v>
      </c>
      <c r="D8" s="6">
        <v>1</v>
      </c>
      <c r="E8" s="6">
        <v>1</v>
      </c>
      <c r="F8" s="6" t="s">
        <v>68</v>
      </c>
      <c r="G8" s="23">
        <f t="shared" ref="G8:G16" si="0">C8/(D8*E8)</f>
        <v>10919.970082273749</v>
      </c>
      <c r="H8" s="69" t="s">
        <v>69</v>
      </c>
    </row>
    <row r="9" spans="2:10" x14ac:dyDescent="0.25">
      <c r="B9" s="54" t="s">
        <v>101</v>
      </c>
      <c r="C9" s="18"/>
      <c r="D9" s="6"/>
      <c r="E9" s="6"/>
      <c r="F9" s="6"/>
      <c r="G9" s="23"/>
      <c r="H9" s="69"/>
    </row>
    <row r="10" spans="2:10" x14ac:dyDescent="0.25">
      <c r="B10" s="87" t="s">
        <v>2</v>
      </c>
      <c r="C10" s="67">
        <v>254.78</v>
      </c>
      <c r="D10" s="6">
        <v>100</v>
      </c>
      <c r="E10" s="6">
        <v>1</v>
      </c>
      <c r="F10" s="6" t="s">
        <v>12</v>
      </c>
      <c r="G10" s="23">
        <f t="shared" si="0"/>
        <v>2.5478000000000001</v>
      </c>
      <c r="H10" s="75" t="s">
        <v>73</v>
      </c>
      <c r="I10" s="21"/>
      <c r="J10" s="18"/>
    </row>
    <row r="11" spans="2:10" x14ac:dyDescent="0.25">
      <c r="B11" s="88" t="s">
        <v>35</v>
      </c>
      <c r="C11" s="18">
        <v>155.97999999999999</v>
      </c>
      <c r="D11" s="4">
        <v>150</v>
      </c>
      <c r="E11" s="4">
        <v>0.5</v>
      </c>
      <c r="F11" s="4" t="s">
        <v>15</v>
      </c>
      <c r="G11" s="23">
        <f t="shared" si="0"/>
        <v>2.079733333333333</v>
      </c>
      <c r="H11" s="75" t="s">
        <v>74</v>
      </c>
    </row>
    <row r="12" spans="2:10" x14ac:dyDescent="0.25">
      <c r="B12" s="87" t="s">
        <v>3</v>
      </c>
      <c r="C12" s="67">
        <v>15.28</v>
      </c>
      <c r="D12" s="6">
        <v>60</v>
      </c>
      <c r="E12" s="6">
        <v>5</v>
      </c>
      <c r="F12" s="6" t="s">
        <v>12</v>
      </c>
      <c r="G12" s="23">
        <f t="shared" si="0"/>
        <v>5.093333333333333E-2</v>
      </c>
      <c r="H12" s="75" t="s">
        <v>75</v>
      </c>
    </row>
    <row r="13" spans="2:10" x14ac:dyDescent="0.25">
      <c r="B13" s="7" t="s">
        <v>32</v>
      </c>
    </row>
    <row r="14" spans="2:10" x14ac:dyDescent="0.25">
      <c r="B14" s="53" t="s">
        <v>90</v>
      </c>
      <c r="C14" s="18">
        <v>1095.54</v>
      </c>
      <c r="D14" s="4">
        <v>120</v>
      </c>
      <c r="E14" s="4">
        <v>450</v>
      </c>
      <c r="F14" s="4" t="s">
        <v>12</v>
      </c>
      <c r="G14" s="23">
        <f t="shared" si="0"/>
        <v>2.0287777777777776E-2</v>
      </c>
      <c r="H14" s="75" t="s">
        <v>103</v>
      </c>
    </row>
    <row r="15" spans="2:10" x14ac:dyDescent="0.25">
      <c r="B15" s="52" t="s">
        <v>91</v>
      </c>
      <c r="C15" s="18">
        <v>13.98</v>
      </c>
      <c r="D15" s="4">
        <v>10</v>
      </c>
      <c r="E15" s="4">
        <v>1</v>
      </c>
      <c r="F15" s="4" t="s">
        <v>102</v>
      </c>
      <c r="G15" s="23">
        <f t="shared" si="0"/>
        <v>1.3980000000000001</v>
      </c>
      <c r="H15" s="75" t="s">
        <v>104</v>
      </c>
    </row>
    <row r="16" spans="2:10" x14ac:dyDescent="0.25">
      <c r="B16" s="90" t="s">
        <v>92</v>
      </c>
      <c r="C16" s="20">
        <v>21.25</v>
      </c>
      <c r="D16" s="5">
        <v>1</v>
      </c>
      <c r="E16" s="5">
        <v>1</v>
      </c>
      <c r="F16" s="5" t="s">
        <v>105</v>
      </c>
      <c r="G16" s="22">
        <f t="shared" si="0"/>
        <v>21.25</v>
      </c>
      <c r="H16" s="20" t="s">
        <v>106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4D96A-3E1D-48ED-8FEB-B2C662F2F88C}">
  <dimension ref="B2:I32"/>
  <sheetViews>
    <sheetView showGridLines="0" workbookViewId="0">
      <selection activeCell="E30" sqref="E30"/>
    </sheetView>
  </sheetViews>
  <sheetFormatPr defaultRowHeight="15" x14ac:dyDescent="0.25"/>
  <cols>
    <col min="2" max="2" width="33" bestFit="1" customWidth="1"/>
    <col min="3" max="3" width="6.85546875" bestFit="1" customWidth="1"/>
    <col min="4" max="4" width="20.42578125" style="8" bestFit="1" customWidth="1"/>
    <col min="5" max="5" width="25.85546875" style="8" bestFit="1" customWidth="1"/>
    <col min="6" max="6" width="25.5703125" style="8" bestFit="1" customWidth="1"/>
    <col min="7" max="7" width="20.42578125" style="25" bestFit="1" customWidth="1"/>
    <col min="8" max="8" width="25.85546875" style="25" bestFit="1" customWidth="1"/>
    <col min="9" max="9" width="25.5703125" style="25" bestFit="1" customWidth="1"/>
    <col min="14" max="14" width="6.5703125" bestFit="1" customWidth="1"/>
  </cols>
  <sheetData>
    <row r="2" spans="2:6" ht="18.75" x14ac:dyDescent="0.3">
      <c r="B2" s="72" t="s">
        <v>82</v>
      </c>
      <c r="C2" s="72"/>
    </row>
    <row r="3" spans="2:6" ht="18.75" x14ac:dyDescent="0.3">
      <c r="B3" s="72"/>
      <c r="C3" s="72"/>
    </row>
    <row r="4" spans="2:6" ht="18.75" x14ac:dyDescent="0.3">
      <c r="B4" s="77"/>
      <c r="C4" s="77"/>
      <c r="D4" s="138" t="s">
        <v>81</v>
      </c>
      <c r="E4" s="138"/>
      <c r="F4" s="138"/>
    </row>
    <row r="5" spans="2:6" x14ac:dyDescent="0.25">
      <c r="B5" s="12" t="s">
        <v>1</v>
      </c>
      <c r="C5" s="12" t="s">
        <v>14</v>
      </c>
      <c r="D5" s="41" t="s">
        <v>86</v>
      </c>
      <c r="E5" s="78" t="s">
        <v>87</v>
      </c>
      <c r="F5" s="78" t="s">
        <v>88</v>
      </c>
    </row>
    <row r="6" spans="2:6" x14ac:dyDescent="0.25">
      <c r="B6" s="54" t="s">
        <v>96</v>
      </c>
      <c r="C6" s="54"/>
      <c r="D6" s="81"/>
      <c r="E6" s="64"/>
      <c r="F6" s="64"/>
    </row>
    <row r="7" spans="2:6" x14ac:dyDescent="0.25">
      <c r="B7" s="53" t="s">
        <v>33</v>
      </c>
      <c r="C7" t="s">
        <v>68</v>
      </c>
      <c r="D7" s="8">
        <f>1 * 'Drug proportions'!D6</f>
        <v>0.76992753623188404</v>
      </c>
      <c r="E7" s="8" t="s">
        <v>5</v>
      </c>
      <c r="F7" s="8" t="s">
        <v>5</v>
      </c>
    </row>
    <row r="8" spans="2:6" x14ac:dyDescent="0.25">
      <c r="B8" s="53" t="s">
        <v>34</v>
      </c>
      <c r="C8" t="s">
        <v>68</v>
      </c>
      <c r="D8" s="8">
        <f>1 * 'Drug proportions'!D7</f>
        <v>0.12590579710144928</v>
      </c>
      <c r="E8" s="8" t="s">
        <v>5</v>
      </c>
      <c r="F8" s="8" t="s">
        <v>5</v>
      </c>
    </row>
    <row r="9" spans="2:6" x14ac:dyDescent="0.25">
      <c r="B9" s="54" t="s">
        <v>101</v>
      </c>
    </row>
    <row r="10" spans="2:6" x14ac:dyDescent="0.25">
      <c r="B10" s="87" t="s">
        <v>2</v>
      </c>
      <c r="C10" t="s">
        <v>12</v>
      </c>
      <c r="D10" s="8">
        <f>0.15 * 70 * 365.25 * (1/4) * 'Drug proportions'!D25</f>
        <v>908.26795212765956</v>
      </c>
      <c r="E10" s="8">
        <f>0.15 * 70 * 365.25 * (1/4) * 'Drug proportions'!D45</f>
        <v>808.21276595744689</v>
      </c>
      <c r="F10" s="8">
        <f>0.05 * 70 * 365.25 * (1/4) * 'Drug proportions'!D65</f>
        <v>231.51928191489361</v>
      </c>
    </row>
    <row r="11" spans="2:6" x14ac:dyDescent="0.25">
      <c r="B11" s="88" t="s">
        <v>35</v>
      </c>
      <c r="C11" t="s">
        <v>15</v>
      </c>
      <c r="D11" s="8">
        <f>2 * 365.25 * (1/4) * 'Drug proportions'!D26</f>
        <v>173.55851063829789</v>
      </c>
      <c r="E11" s="8">
        <f>2 * 365.25 * (1/4) * 'Drug proportions'!D46</f>
        <v>142.84346504559272</v>
      </c>
      <c r="F11" s="8">
        <f>2 * 365.25 * (1/4) * 'Drug proportions'!D66</f>
        <v>123.04521276595744</v>
      </c>
    </row>
    <row r="12" spans="2:6" x14ac:dyDescent="0.25">
      <c r="B12" s="87" t="s">
        <v>3</v>
      </c>
      <c r="C12" s="48" t="s">
        <v>12</v>
      </c>
      <c r="D12" s="8">
        <f>((20 * 7 * 4) + (17.5 * 7 * 2) + (15 * 7 * 2) + (12.5 * 7 * 2) + (10 * 7 * 3)) *'Drug proportions'!D27</f>
        <v>1323.4042553191491</v>
      </c>
      <c r="E12" s="81">
        <f xml:space="preserve"> 10 * 365.25 * (1/4) * 'Drug proportions'!D47</f>
        <v>792.85524316109422</v>
      </c>
      <c r="F12" s="81">
        <f>5 * 365.25 * (1/4) * 'Drug proportions'!D67</f>
        <v>349.24487082066872</v>
      </c>
    </row>
    <row r="13" spans="2:6" x14ac:dyDescent="0.25">
      <c r="B13" s="92" t="s">
        <v>32</v>
      </c>
      <c r="C13" s="48"/>
      <c r="D13" s="81"/>
      <c r="E13" s="81"/>
      <c r="F13" s="81"/>
    </row>
    <row r="14" spans="2:6" x14ac:dyDescent="0.25">
      <c r="B14" s="53" t="s">
        <v>90</v>
      </c>
      <c r="C14" s="93" t="s">
        <v>12</v>
      </c>
      <c r="D14" s="81">
        <f>450 * 365.25 * (1/4) * 'Drug proportions'!D74</f>
        <v>41090.625</v>
      </c>
      <c r="E14" s="81">
        <f>(450 * (200 - (365.25/4)) * 'Drug proportions'!D74) / 3</f>
        <v>16303.125</v>
      </c>
      <c r="F14" s="81" t="s">
        <v>5</v>
      </c>
    </row>
    <row r="15" spans="2:6" x14ac:dyDescent="0.25">
      <c r="B15" s="52" t="s">
        <v>91</v>
      </c>
      <c r="C15" s="93" t="s">
        <v>102</v>
      </c>
      <c r="D15" s="81">
        <f>0.5 * 365.25 * (1/4) * 'Drug proportions'!D75</f>
        <v>45.65625</v>
      </c>
      <c r="E15" s="81">
        <f>0.5 * 365.25 * (1/4) * 'Drug proportions'!D75</f>
        <v>45.65625</v>
      </c>
      <c r="F15" s="81">
        <f>0.5 * 365.25 * (1/4) * 'Drug proportions'!D75</f>
        <v>45.65625</v>
      </c>
    </row>
    <row r="16" spans="2:6" x14ac:dyDescent="0.25">
      <c r="B16" s="90" t="s">
        <v>92</v>
      </c>
      <c r="C16" s="94" t="s">
        <v>105</v>
      </c>
      <c r="D16" s="41">
        <f>1 * 'Drug proportions'!D76</f>
        <v>1</v>
      </c>
      <c r="E16" s="41" t="s">
        <v>5</v>
      </c>
      <c r="F16" s="41" t="s">
        <v>5</v>
      </c>
    </row>
    <row r="17" spans="2:6" x14ac:dyDescent="0.25">
      <c r="B17" s="68"/>
      <c r="C17" s="48"/>
      <c r="D17" s="81"/>
      <c r="E17" s="81"/>
      <c r="F17" s="81"/>
    </row>
    <row r="19" spans="2:6" ht="18.75" x14ac:dyDescent="0.3">
      <c r="B19" s="77"/>
      <c r="C19" s="77"/>
      <c r="D19" s="139" t="s">
        <v>8</v>
      </c>
      <c r="E19" s="139"/>
      <c r="F19" s="139"/>
    </row>
    <row r="20" spans="2:6" x14ac:dyDescent="0.25">
      <c r="B20" s="12" t="s">
        <v>1</v>
      </c>
      <c r="C20" s="12" t="s">
        <v>14</v>
      </c>
      <c r="D20" s="41" t="s">
        <v>86</v>
      </c>
      <c r="E20" s="78" t="s">
        <v>87</v>
      </c>
      <c r="F20" s="78" t="s">
        <v>88</v>
      </c>
    </row>
    <row r="21" spans="2:6" x14ac:dyDescent="0.25">
      <c r="B21" s="54" t="s">
        <v>96</v>
      </c>
      <c r="C21" s="54"/>
      <c r="D21" s="81"/>
      <c r="E21" s="64"/>
      <c r="F21" s="64"/>
    </row>
    <row r="22" spans="2:6" x14ac:dyDescent="0.25">
      <c r="B22" s="53" t="s">
        <v>33</v>
      </c>
      <c r="C22" t="s">
        <v>68</v>
      </c>
      <c r="D22" s="25">
        <f>D7*'Drug unit costs'!$G7</f>
        <v>5604.4966017365296</v>
      </c>
      <c r="E22" s="25" t="s">
        <v>5</v>
      </c>
      <c r="F22" s="25" t="s">
        <v>5</v>
      </c>
    </row>
    <row r="23" spans="2:6" x14ac:dyDescent="0.25">
      <c r="B23" s="53" t="s">
        <v>34</v>
      </c>
      <c r="C23" t="s">
        <v>68</v>
      </c>
      <c r="D23" s="25">
        <f>D8*'Drug unit costs'!$G8</f>
        <v>1374.887537532655</v>
      </c>
      <c r="E23" s="25" t="s">
        <v>5</v>
      </c>
      <c r="F23" s="25" t="s">
        <v>5</v>
      </c>
    </row>
    <row r="24" spans="2:6" x14ac:dyDescent="0.25">
      <c r="B24" s="54" t="s">
        <v>101</v>
      </c>
      <c r="D24" s="25"/>
      <c r="E24" s="25"/>
      <c r="F24" s="25"/>
    </row>
    <row r="25" spans="2:6" x14ac:dyDescent="0.25">
      <c r="B25" s="87" t="s">
        <v>2</v>
      </c>
      <c r="C25" t="s">
        <v>12</v>
      </c>
      <c r="D25" s="25">
        <f>D10*'Drug unit costs'!$G10</f>
        <v>2314.0850884308511</v>
      </c>
      <c r="E25" s="25">
        <f>E10*'Drug unit costs'!$G10</f>
        <v>2059.1644851063834</v>
      </c>
      <c r="F25" s="25">
        <f>F10*'Drug unit costs'!$G10</f>
        <v>589.8648264627659</v>
      </c>
    </row>
    <row r="26" spans="2:6" x14ac:dyDescent="0.25">
      <c r="B26" s="88" t="s">
        <v>35</v>
      </c>
      <c r="C26" t="s">
        <v>15</v>
      </c>
      <c r="D26" s="25">
        <f>D11*'Drug unit costs'!$G11</f>
        <v>360.95541985815601</v>
      </c>
      <c r="E26" s="25">
        <f>E11*'Drug unit costs'!$G11</f>
        <v>297.07631570415401</v>
      </c>
      <c r="F26" s="25">
        <f>F11*'Drug unit costs'!$G11</f>
        <v>255.90123049645385</v>
      </c>
    </row>
    <row r="27" spans="2:6" x14ac:dyDescent="0.25">
      <c r="B27" s="87" t="s">
        <v>3</v>
      </c>
      <c r="C27" s="48" t="s">
        <v>12</v>
      </c>
      <c r="D27" s="25">
        <f>D12*'Drug unit costs'!$G12</f>
        <v>67.405390070921996</v>
      </c>
      <c r="E27" s="25">
        <f>E12*'Drug unit costs'!$G12</f>
        <v>40.382760385005064</v>
      </c>
      <c r="F27" s="25">
        <f>F12*'Drug unit costs'!$G12</f>
        <v>17.78820542046606</v>
      </c>
    </row>
    <row r="28" spans="2:6" x14ac:dyDescent="0.25">
      <c r="B28" s="92" t="s">
        <v>32</v>
      </c>
      <c r="C28" s="48"/>
      <c r="D28" s="25"/>
      <c r="E28" s="25"/>
      <c r="F28" s="25"/>
    </row>
    <row r="29" spans="2:6" x14ac:dyDescent="0.25">
      <c r="B29" s="53" t="s">
        <v>90</v>
      </c>
      <c r="C29" s="93" t="s">
        <v>12</v>
      </c>
      <c r="D29" s="25">
        <f>D14*'Drug unit costs'!G14</f>
        <v>833.63746874999993</v>
      </c>
      <c r="E29" s="25">
        <f>E14*'Drug unit costs'!G14</f>
        <v>330.75417708333333</v>
      </c>
      <c r="F29" s="25" t="s">
        <v>5</v>
      </c>
    </row>
    <row r="30" spans="2:6" x14ac:dyDescent="0.25">
      <c r="B30" s="52" t="s">
        <v>91</v>
      </c>
      <c r="C30" s="93" t="s">
        <v>102</v>
      </c>
      <c r="D30" s="25">
        <f>D15*'Drug unit costs'!G15</f>
        <v>63.827437500000009</v>
      </c>
      <c r="E30" s="25">
        <f>E15*'Drug unit costs'!G15</f>
        <v>63.827437500000009</v>
      </c>
      <c r="F30" s="25">
        <f>F15*'Drug unit costs'!G15</f>
        <v>63.827437500000009</v>
      </c>
    </row>
    <row r="31" spans="2:6" x14ac:dyDescent="0.25">
      <c r="B31" s="90" t="s">
        <v>92</v>
      </c>
      <c r="C31" s="93" t="s">
        <v>105</v>
      </c>
      <c r="D31" s="25">
        <f>D16*'Drug unit costs'!G16</f>
        <v>21.25</v>
      </c>
      <c r="E31" s="25" t="s">
        <v>5</v>
      </c>
      <c r="F31" s="25" t="s">
        <v>5</v>
      </c>
    </row>
    <row r="32" spans="2:6" x14ac:dyDescent="0.25">
      <c r="B32" s="79" t="s">
        <v>6</v>
      </c>
      <c r="C32" s="42"/>
      <c r="D32" s="44">
        <f>SUM(D21:D31)</f>
        <v>10640.544943879113</v>
      </c>
      <c r="E32" s="44">
        <f t="shared" ref="E32:F32" si="0">SUM(E21:E31)</f>
        <v>2791.2051757788759</v>
      </c>
      <c r="F32" s="44">
        <f t="shared" si="0"/>
        <v>927.38169987968581</v>
      </c>
    </row>
  </sheetData>
  <mergeCells count="2">
    <mergeCell ref="D4:F4"/>
    <mergeCell ref="D19:F1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4F0A8-EEFC-493C-9442-687E57D41D10}">
  <dimension ref="B2:F32"/>
  <sheetViews>
    <sheetView showGridLines="0" workbookViewId="0"/>
  </sheetViews>
  <sheetFormatPr defaultRowHeight="15" x14ac:dyDescent="0.25"/>
  <cols>
    <col min="2" max="2" width="60.5703125" bestFit="1" customWidth="1"/>
    <col min="3" max="3" width="20.42578125" style="9" bestFit="1" customWidth="1"/>
    <col min="4" max="4" width="45.28515625" style="9" bestFit="1" customWidth="1"/>
    <col min="5" max="5" width="25.5703125" style="9" bestFit="1" customWidth="1"/>
    <col min="6" max="6" width="14.140625" style="96" bestFit="1" customWidth="1"/>
  </cols>
  <sheetData>
    <row r="2" spans="2:6" ht="18.75" x14ac:dyDescent="0.3">
      <c r="B2" s="72" t="s">
        <v>114</v>
      </c>
    </row>
    <row r="4" spans="2:6" ht="18.75" x14ac:dyDescent="0.3">
      <c r="B4" s="77"/>
      <c r="C4" s="138" t="s">
        <v>81</v>
      </c>
      <c r="D4" s="138"/>
      <c r="E4" s="138"/>
      <c r="F4" s="98"/>
    </row>
    <row r="5" spans="2:6" x14ac:dyDescent="0.25">
      <c r="B5" s="12" t="s">
        <v>113</v>
      </c>
      <c r="C5" s="41" t="s">
        <v>86</v>
      </c>
      <c r="D5" s="78" t="s">
        <v>87</v>
      </c>
      <c r="E5" s="78" t="s">
        <v>88</v>
      </c>
      <c r="F5" s="95" t="s">
        <v>39</v>
      </c>
    </row>
    <row r="6" spans="2:6" x14ac:dyDescent="0.25">
      <c r="B6" s="54" t="s">
        <v>109</v>
      </c>
      <c r="C6" s="81"/>
      <c r="D6" s="64"/>
      <c r="E6" s="64"/>
      <c r="F6" s="99"/>
    </row>
    <row r="7" spans="2:6" x14ac:dyDescent="0.25">
      <c r="B7" s="100" t="s">
        <v>107</v>
      </c>
      <c r="C7" s="9">
        <v>1</v>
      </c>
      <c r="D7" s="9" t="s">
        <v>5</v>
      </c>
      <c r="E7" s="9" t="s">
        <v>5</v>
      </c>
      <c r="F7" s="96" t="s">
        <v>80</v>
      </c>
    </row>
    <row r="8" spans="2:6" x14ac:dyDescent="0.25">
      <c r="B8" s="102" t="s">
        <v>108</v>
      </c>
      <c r="C8" s="11" t="s">
        <v>5</v>
      </c>
      <c r="D8" s="11">
        <v>1</v>
      </c>
      <c r="E8" s="11">
        <v>1</v>
      </c>
      <c r="F8" s="96" t="s">
        <v>80</v>
      </c>
    </row>
    <row r="9" spans="2:6" x14ac:dyDescent="0.25">
      <c r="B9" s="54" t="s">
        <v>110</v>
      </c>
      <c r="C9" s="11"/>
      <c r="D9" s="11"/>
      <c r="E9" s="11"/>
      <c r="F9" s="103"/>
    </row>
    <row r="10" spans="2:6" x14ac:dyDescent="0.25">
      <c r="B10" s="100" t="s">
        <v>107</v>
      </c>
      <c r="C10" s="11">
        <v>1</v>
      </c>
      <c r="D10" s="11" t="s">
        <v>5</v>
      </c>
      <c r="E10" s="11" t="s">
        <v>5</v>
      </c>
      <c r="F10" s="96" t="s">
        <v>80</v>
      </c>
    </row>
    <row r="11" spans="2:6" x14ac:dyDescent="0.25">
      <c r="B11" s="101" t="s">
        <v>108</v>
      </c>
      <c r="C11" s="13">
        <f xml:space="preserve"> (7 * 2 - 1) + (3.5 * 2) + (1 * 9)</f>
        <v>29</v>
      </c>
      <c r="D11" s="13">
        <v>3</v>
      </c>
      <c r="E11" s="13">
        <v>1</v>
      </c>
      <c r="F11" s="97" t="s">
        <v>80</v>
      </c>
    </row>
    <row r="12" spans="2:6" x14ac:dyDescent="0.25">
      <c r="B12" s="102"/>
      <c r="C12" s="11"/>
      <c r="D12" s="11"/>
      <c r="E12" s="11"/>
      <c r="F12" s="103"/>
    </row>
    <row r="13" spans="2:6" x14ac:dyDescent="0.25">
      <c r="B13" s="102"/>
      <c r="C13" s="11"/>
      <c r="D13" s="11"/>
      <c r="E13" s="11"/>
      <c r="F13" s="103"/>
    </row>
    <row r="15" spans="2:6" x14ac:dyDescent="0.25">
      <c r="B15" s="3" t="s">
        <v>113</v>
      </c>
      <c r="C15" s="50" t="s">
        <v>9</v>
      </c>
      <c r="D15" s="104" t="s">
        <v>39</v>
      </c>
    </row>
    <row r="16" spans="2:6" x14ac:dyDescent="0.25">
      <c r="B16" t="s">
        <v>107</v>
      </c>
      <c r="C16" s="30">
        <v>67.8</v>
      </c>
      <c r="D16" s="96" t="s">
        <v>115</v>
      </c>
    </row>
    <row r="17" spans="2:5" x14ac:dyDescent="0.25">
      <c r="B17" s="2" t="s">
        <v>108</v>
      </c>
      <c r="C17" s="47">
        <v>59.85</v>
      </c>
      <c r="D17" s="97" t="s">
        <v>116</v>
      </c>
    </row>
    <row r="21" spans="2:5" ht="18.75" x14ac:dyDescent="0.3">
      <c r="B21" s="77"/>
      <c r="C21" s="138" t="s">
        <v>10</v>
      </c>
      <c r="D21" s="138"/>
      <c r="E21" s="138"/>
    </row>
    <row r="22" spans="2:5" x14ac:dyDescent="0.25">
      <c r="B22" s="12" t="s">
        <v>113</v>
      </c>
      <c r="C22" s="41" t="s">
        <v>86</v>
      </c>
      <c r="D22" s="78" t="s">
        <v>87</v>
      </c>
      <c r="E22" s="78" t="s">
        <v>88</v>
      </c>
    </row>
    <row r="23" spans="2:5" x14ac:dyDescent="0.25">
      <c r="B23" s="54" t="s">
        <v>109</v>
      </c>
      <c r="C23" s="81"/>
      <c r="D23" s="64"/>
      <c r="E23" s="64"/>
    </row>
    <row r="24" spans="2:5" x14ac:dyDescent="0.25">
      <c r="B24" s="100" t="s">
        <v>107</v>
      </c>
      <c r="C24" s="39">
        <f>C7*C16</f>
        <v>67.8</v>
      </c>
      <c r="D24" s="106" t="s">
        <v>5</v>
      </c>
      <c r="E24" s="106" t="s">
        <v>5</v>
      </c>
    </row>
    <row r="25" spans="2:5" x14ac:dyDescent="0.25">
      <c r="B25" s="102" t="s">
        <v>108</v>
      </c>
      <c r="C25" s="39" t="s">
        <v>5</v>
      </c>
      <c r="D25" s="106">
        <f>D8*C17</f>
        <v>59.85</v>
      </c>
      <c r="E25" s="106">
        <f>E8*C17</f>
        <v>59.85</v>
      </c>
    </row>
    <row r="26" spans="2:5" x14ac:dyDescent="0.25">
      <c r="B26" s="105" t="s">
        <v>6</v>
      </c>
      <c r="C26" s="44">
        <f>SUM(C24:C25)</f>
        <v>67.8</v>
      </c>
      <c r="D26" s="44">
        <f t="shared" ref="D26:E26" si="0">SUM(D24:D25)</f>
        <v>59.85</v>
      </c>
      <c r="E26" s="44">
        <f t="shared" si="0"/>
        <v>59.85</v>
      </c>
    </row>
    <row r="27" spans="2:5" x14ac:dyDescent="0.25">
      <c r="B27" s="54" t="s">
        <v>110</v>
      </c>
      <c r="C27" s="39"/>
      <c r="D27" s="106"/>
      <c r="E27" s="106"/>
    </row>
    <row r="28" spans="2:5" x14ac:dyDescent="0.25">
      <c r="B28" s="100" t="s">
        <v>107</v>
      </c>
      <c r="C28" s="25">
        <f>C10*C16</f>
        <v>67.8</v>
      </c>
      <c r="D28" s="25" t="s">
        <v>5</v>
      </c>
      <c r="E28" s="25" t="s">
        <v>5</v>
      </c>
    </row>
    <row r="29" spans="2:5" x14ac:dyDescent="0.25">
      <c r="B29" s="101" t="s">
        <v>108</v>
      </c>
      <c r="C29" s="40">
        <f>C11*C17</f>
        <v>1735.65</v>
      </c>
      <c r="D29" s="40">
        <f>D11*C17</f>
        <v>179.55</v>
      </c>
      <c r="E29" s="40">
        <f>E11*C17</f>
        <v>59.85</v>
      </c>
    </row>
    <row r="30" spans="2:5" x14ac:dyDescent="0.25">
      <c r="B30" s="42" t="s">
        <v>6</v>
      </c>
      <c r="C30" s="44">
        <f>SUM(C28:C29)</f>
        <v>1803.45</v>
      </c>
      <c r="D30" s="44">
        <f t="shared" ref="D30" si="1">SUM(D28:D29)</f>
        <v>179.55</v>
      </c>
      <c r="E30" s="44">
        <f t="shared" ref="E30" si="2">SUM(E28:E29)</f>
        <v>59.85</v>
      </c>
    </row>
    <row r="32" spans="2:5" x14ac:dyDescent="0.25">
      <c r="D32" s="25"/>
    </row>
  </sheetData>
  <mergeCells count="2">
    <mergeCell ref="C21:E21"/>
    <mergeCell ref="C4:E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5C6DF-38B1-4B20-B65B-E401E899C9A5}">
  <dimension ref="B2:G15"/>
  <sheetViews>
    <sheetView showGridLines="0" zoomScaleNormal="100" workbookViewId="0"/>
  </sheetViews>
  <sheetFormatPr defaultRowHeight="15" x14ac:dyDescent="0.25"/>
  <cols>
    <col min="1" max="1" width="9.140625" style="1"/>
    <col min="2" max="2" width="75.85546875" style="114" bestFit="1" customWidth="1"/>
    <col min="3" max="3" width="11.42578125" style="1" bestFit="1" customWidth="1"/>
    <col min="4" max="5" width="10.140625" style="1" bestFit="1" customWidth="1"/>
    <col min="6" max="6" width="79.42578125" style="1" bestFit="1" customWidth="1"/>
    <col min="7" max="7" width="6.5703125" style="1" bestFit="1" customWidth="1"/>
    <col min="8" max="8" width="4" style="1" bestFit="1" customWidth="1"/>
    <col min="9" max="9" width="4.5703125" style="1" bestFit="1" customWidth="1"/>
    <col min="10" max="11" width="10.140625" style="1" bestFit="1" customWidth="1"/>
    <col min="12" max="16384" width="9.140625" style="1"/>
  </cols>
  <sheetData>
    <row r="2" spans="2:7" ht="18.75" x14ac:dyDescent="0.3">
      <c r="B2" s="115" t="s">
        <v>124</v>
      </c>
    </row>
    <row r="4" spans="2:7" x14ac:dyDescent="0.25">
      <c r="B4" s="111" t="s">
        <v>118</v>
      </c>
      <c r="C4" s="50" t="s">
        <v>17</v>
      </c>
      <c r="D4" s="50" t="s">
        <v>130</v>
      </c>
      <c r="E4" s="50" t="s">
        <v>131</v>
      </c>
      <c r="F4" s="104" t="s">
        <v>39</v>
      </c>
    </row>
    <row r="5" spans="2:7" x14ac:dyDescent="0.25">
      <c r="B5" s="112" t="s">
        <v>18</v>
      </c>
      <c r="C5" s="55"/>
      <c r="D5" s="55"/>
      <c r="E5" s="55"/>
      <c r="F5" s="99"/>
    </row>
    <row r="6" spans="2:7" x14ac:dyDescent="0.25">
      <c r="B6" s="116" t="s">
        <v>125</v>
      </c>
      <c r="C6" s="29">
        <v>398</v>
      </c>
      <c r="D6" s="30">
        <v>62872.094984000003</v>
      </c>
      <c r="E6" s="30">
        <f>D6*('Consumer price index (CPI)'!$F$19/'Consumer price index (CPI)'!$F$32)</f>
        <v>67644.258420515849</v>
      </c>
      <c r="F6" s="108" t="s">
        <v>120</v>
      </c>
    </row>
    <row r="7" spans="2:7" x14ac:dyDescent="0.25">
      <c r="B7" s="116" t="s">
        <v>126</v>
      </c>
      <c r="C7" s="29">
        <v>740</v>
      </c>
      <c r="D7" s="30">
        <v>41221.144729</v>
      </c>
      <c r="E7" s="30">
        <f>D7*('Consumer price index (CPI)'!$F$19/'Consumer price index (CPI)'!$F$32)</f>
        <v>44349.942007619749</v>
      </c>
      <c r="F7" s="108" t="s">
        <v>121</v>
      </c>
    </row>
    <row r="8" spans="2:7" x14ac:dyDescent="0.25">
      <c r="B8" s="113" t="s">
        <v>21</v>
      </c>
      <c r="C8" s="37"/>
      <c r="D8" s="33">
        <f>SUMPRODUCT(C6:C7,D6:D7)/SUM(C6:C7)</f>
        <v>48793.26968637258</v>
      </c>
      <c r="E8" s="33">
        <f>D8*(146/135.7)</f>
        <v>52496.811895434017</v>
      </c>
      <c r="F8" s="109"/>
    </row>
    <row r="9" spans="2:7" x14ac:dyDescent="0.25">
      <c r="B9" s="114" t="s">
        <v>117</v>
      </c>
      <c r="C9" s="56"/>
      <c r="D9" s="56"/>
      <c r="E9" s="56"/>
      <c r="F9" s="56"/>
    </row>
    <row r="10" spans="2:7" x14ac:dyDescent="0.25">
      <c r="B10" s="116" t="s">
        <v>127</v>
      </c>
      <c r="C10" s="29">
        <v>1598</v>
      </c>
      <c r="D10" s="30">
        <v>30719.437701999999</v>
      </c>
      <c r="E10" s="30">
        <f>D10*('Consumer price index (CPI)'!$F$19/'Consumer price index (CPI)'!$F$32)</f>
        <v>33051.126783286658</v>
      </c>
      <c r="F10" s="108" t="s">
        <v>122</v>
      </c>
    </row>
    <row r="11" spans="2:7" x14ac:dyDescent="0.25">
      <c r="B11" s="116" t="s">
        <v>128</v>
      </c>
      <c r="C11" s="29">
        <v>3282</v>
      </c>
      <c r="D11" s="30">
        <v>11174.811524000001</v>
      </c>
      <c r="E11" s="30">
        <f>D11*('Consumer price index (CPI)'!$F$19/'Consumer price index (CPI)'!$F$32)</f>
        <v>12023.010187943995</v>
      </c>
      <c r="F11" s="108" t="s">
        <v>140</v>
      </c>
    </row>
    <row r="12" spans="2:7" x14ac:dyDescent="0.25">
      <c r="B12" s="117" t="s">
        <v>129</v>
      </c>
      <c r="C12" s="31">
        <v>10210</v>
      </c>
      <c r="D12" s="32">
        <v>5992.9030552000004</v>
      </c>
      <c r="E12" s="30">
        <f>D12*('Consumer price index (CPI)'!$F$19/'Consumer price index (CPI)'!$F$32)</f>
        <v>6447.7807373559326</v>
      </c>
      <c r="F12" s="110" t="s">
        <v>123</v>
      </c>
      <c r="G12" s="27"/>
    </row>
    <row r="13" spans="2:7" x14ac:dyDescent="0.25">
      <c r="B13" s="113" t="s">
        <v>21</v>
      </c>
      <c r="C13" s="37"/>
      <c r="D13" s="33">
        <f>SUMPRODUCT(C10:C12,D10:D12)/SUM(C10:C12)</f>
        <v>9738.4316145232606</v>
      </c>
      <c r="E13" s="33">
        <f>D13*('Consumer price index (CPI)'!$F$19/'Consumer price index (CPI)'!$F$32)</f>
        <v>10477.605126900487</v>
      </c>
      <c r="F13" s="109"/>
      <c r="G13" s="27"/>
    </row>
    <row r="14" spans="2:7" x14ac:dyDescent="0.25">
      <c r="B14" s="114" t="s">
        <v>119</v>
      </c>
      <c r="C14" s="56"/>
      <c r="D14" s="56"/>
      <c r="E14" s="56"/>
      <c r="F14" s="56"/>
      <c r="G14" s="27"/>
    </row>
    <row r="15" spans="2:7" x14ac:dyDescent="0.25">
      <c r="B15" s="118" t="s">
        <v>0</v>
      </c>
      <c r="C15" s="119" t="s">
        <v>5</v>
      </c>
      <c r="D15" s="47">
        <v>3000</v>
      </c>
      <c r="E15" s="47">
        <f>D15*('Consumer price index (CPI)'!$F$19/'Consumer price index (CPI)'!$F$22)</f>
        <v>4982.9351535836176</v>
      </c>
      <c r="F15" s="107" t="s">
        <v>187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E848A-DEFD-4C51-B89E-BA66EE407D8F}">
  <dimension ref="B2:G9"/>
  <sheetViews>
    <sheetView showGridLines="0" workbookViewId="0"/>
  </sheetViews>
  <sheetFormatPr defaultRowHeight="15" x14ac:dyDescent="0.25"/>
  <cols>
    <col min="1" max="1" width="9.140625" style="1"/>
    <col min="2" max="2" width="75.85546875" style="1" bestFit="1" customWidth="1"/>
    <col min="3" max="3" width="11.42578125" style="1" bestFit="1" customWidth="1"/>
    <col min="4" max="5" width="10.140625" style="1" bestFit="1" customWidth="1"/>
    <col min="6" max="6" width="79.42578125" style="1" bestFit="1" customWidth="1"/>
    <col min="7" max="7" width="6.5703125" style="1" bestFit="1" customWidth="1"/>
    <col min="8" max="8" width="4" style="1" bestFit="1" customWidth="1"/>
    <col min="9" max="9" width="4.5703125" style="1" bestFit="1" customWidth="1"/>
    <col min="10" max="11" width="10.140625" style="1" bestFit="1" customWidth="1"/>
    <col min="12" max="16384" width="9.140625" style="1"/>
  </cols>
  <sheetData>
    <row r="2" spans="2:7" ht="18.75" x14ac:dyDescent="0.3">
      <c r="B2" s="72" t="s">
        <v>201</v>
      </c>
    </row>
    <row r="4" spans="2:7" x14ac:dyDescent="0.25">
      <c r="B4" s="49" t="s">
        <v>118</v>
      </c>
      <c r="C4" s="50" t="s">
        <v>17</v>
      </c>
      <c r="D4" s="50" t="s">
        <v>130</v>
      </c>
      <c r="E4" s="50" t="s">
        <v>131</v>
      </c>
      <c r="F4" s="104" t="s">
        <v>39</v>
      </c>
    </row>
    <row r="5" spans="2:7" x14ac:dyDescent="0.25">
      <c r="B5" s="1" t="s">
        <v>202</v>
      </c>
      <c r="C5" s="56"/>
      <c r="D5" s="56"/>
      <c r="E5" s="56"/>
      <c r="F5" s="56"/>
    </row>
    <row r="6" spans="2:7" x14ac:dyDescent="0.25">
      <c r="B6" s="100" t="s">
        <v>127</v>
      </c>
      <c r="C6" s="26">
        <v>1598</v>
      </c>
      <c r="D6" s="25">
        <v>30719.437701999999</v>
      </c>
      <c r="E6" s="30">
        <f>D6*('Consumer price index (CPI)'!$F$19/'Consumer price index (CPI)'!$F$32)</f>
        <v>33051.126783286658</v>
      </c>
      <c r="F6" s="96" t="s">
        <v>122</v>
      </c>
    </row>
    <row r="7" spans="2:7" x14ac:dyDescent="0.25">
      <c r="B7" s="100" t="s">
        <v>128</v>
      </c>
      <c r="C7" s="26">
        <v>3282</v>
      </c>
      <c r="D7" s="25">
        <v>11174.811524000001</v>
      </c>
      <c r="E7" s="30">
        <f>D7*('Consumer price index (CPI)'!$F$19/'Consumer price index (CPI)'!$F$32)</f>
        <v>12023.010187943995</v>
      </c>
      <c r="F7" s="96" t="s">
        <v>140</v>
      </c>
    </row>
    <row r="8" spans="2:7" x14ac:dyDescent="0.25">
      <c r="B8" s="100" t="s">
        <v>129</v>
      </c>
      <c r="C8" s="26">
        <v>10210</v>
      </c>
      <c r="D8" s="25">
        <v>5992.9030552000004</v>
      </c>
      <c r="E8" s="30">
        <f>D8*('Consumer price index (CPI)'!$F$19/'Consumer price index (CPI)'!$F$32)</f>
        <v>6447.7807373559326</v>
      </c>
      <c r="F8" s="96" t="s">
        <v>123</v>
      </c>
      <c r="G8" s="27"/>
    </row>
    <row r="9" spans="2:7" x14ac:dyDescent="0.25">
      <c r="B9" s="42" t="s">
        <v>21</v>
      </c>
      <c r="C9" s="38"/>
      <c r="D9" s="44">
        <f>SUMPRODUCT(C6:C8,D6:D8)/SUM(C6:C8)</f>
        <v>9738.4316145232606</v>
      </c>
      <c r="E9" s="33">
        <f>D9*('Consumer price index (CPI)'!$F$19/'Consumer price index (CPI)'!$F$32)</f>
        <v>10477.605126900487</v>
      </c>
      <c r="F9" s="136"/>
      <c r="G9" s="2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82674-0510-49F1-8A0D-9CEC6D7FBA06}">
  <dimension ref="B2:E37"/>
  <sheetViews>
    <sheetView showGridLines="0" workbookViewId="0">
      <selection activeCell="D35" sqref="D35"/>
    </sheetView>
  </sheetViews>
  <sheetFormatPr defaultRowHeight="15" x14ac:dyDescent="0.25"/>
  <cols>
    <col min="2" max="2" width="48.42578125" bestFit="1" customWidth="1"/>
    <col min="3" max="3" width="17.5703125" style="9" bestFit="1" customWidth="1"/>
    <col min="4" max="4" width="17" style="9" bestFit="1" customWidth="1"/>
    <col min="5" max="5" width="125.140625" bestFit="1" customWidth="1"/>
  </cols>
  <sheetData>
    <row r="2" spans="2:5" ht="18.75" x14ac:dyDescent="0.3">
      <c r="B2" s="72" t="s">
        <v>132</v>
      </c>
    </row>
    <row r="4" spans="2:5" x14ac:dyDescent="0.25">
      <c r="B4" s="49" t="s">
        <v>133</v>
      </c>
      <c r="C4" s="50" t="s">
        <v>19</v>
      </c>
      <c r="D4" s="50" t="s">
        <v>20</v>
      </c>
      <c r="E4" s="49" t="s">
        <v>39</v>
      </c>
    </row>
    <row r="5" spans="2:5" x14ac:dyDescent="0.25">
      <c r="B5" t="s">
        <v>134</v>
      </c>
      <c r="C5" s="26">
        <v>1074</v>
      </c>
      <c r="D5" s="51">
        <f>C5/C$8</f>
        <v>7.7094250233292652E-2</v>
      </c>
      <c r="E5" t="s">
        <v>136</v>
      </c>
    </row>
    <row r="6" spans="2:5" x14ac:dyDescent="0.25">
      <c r="B6" t="s">
        <v>137</v>
      </c>
      <c r="C6" s="26">
        <f>11544 - 1074</f>
        <v>10470</v>
      </c>
      <c r="D6" s="51">
        <f t="shared" ref="D6:D7" si="0">C6/C$8</f>
        <v>0.75156126624075803</v>
      </c>
      <c r="E6" t="s">
        <v>136</v>
      </c>
    </row>
    <row r="7" spans="2:5" x14ac:dyDescent="0.25">
      <c r="B7" t="s">
        <v>135</v>
      </c>
      <c r="C7" s="26">
        <v>2387</v>
      </c>
      <c r="D7" s="51">
        <f t="shared" si="0"/>
        <v>0.17134448352594933</v>
      </c>
      <c r="E7" t="s">
        <v>138</v>
      </c>
    </row>
    <row r="8" spans="2:5" x14ac:dyDescent="0.25">
      <c r="B8" s="42" t="s">
        <v>6</v>
      </c>
      <c r="C8" s="38">
        <f>SUM(C5:C7)</f>
        <v>13931</v>
      </c>
      <c r="D8" s="80">
        <f>SUM(D5:D7)</f>
        <v>1</v>
      </c>
      <c r="E8" s="42"/>
    </row>
    <row r="11" spans="2:5" x14ac:dyDescent="0.25">
      <c r="B11" s="1" t="s">
        <v>143</v>
      </c>
      <c r="C11" s="10"/>
    </row>
    <row r="12" spans="2:5" x14ac:dyDescent="0.25">
      <c r="B12" s="49" t="s">
        <v>118</v>
      </c>
      <c r="C12" s="50" t="s">
        <v>139</v>
      </c>
      <c r="D12" s="50" t="s">
        <v>17</v>
      </c>
      <c r="E12" s="120" t="s">
        <v>39</v>
      </c>
    </row>
    <row r="13" spans="2:5" x14ac:dyDescent="0.25">
      <c r="B13" t="s">
        <v>22</v>
      </c>
      <c r="C13" s="9" t="s">
        <v>23</v>
      </c>
      <c r="D13" s="26">
        <v>1201517</v>
      </c>
      <c r="E13" s="108" t="s">
        <v>141</v>
      </c>
    </row>
    <row r="14" spans="2:5" x14ac:dyDescent="0.25">
      <c r="B14" t="s">
        <v>22</v>
      </c>
      <c r="C14" s="9" t="s">
        <v>24</v>
      </c>
      <c r="D14" s="26">
        <v>130393</v>
      </c>
      <c r="E14" s="108" t="s">
        <v>142</v>
      </c>
    </row>
    <row r="15" spans="2:5" x14ac:dyDescent="0.25">
      <c r="B15" s="42" t="s">
        <v>6</v>
      </c>
      <c r="C15" s="43"/>
      <c r="D15" s="38">
        <f>SUM(D13:D14)</f>
        <v>1331910</v>
      </c>
      <c r="E15" s="42"/>
    </row>
    <row r="18" spans="2:5" x14ac:dyDescent="0.25">
      <c r="B18" s="1" t="s">
        <v>144</v>
      </c>
    </row>
    <row r="19" spans="2:5" x14ac:dyDescent="0.25">
      <c r="B19" s="50" t="s">
        <v>146</v>
      </c>
      <c r="C19" s="50" t="s">
        <v>148</v>
      </c>
      <c r="D19" s="50" t="s">
        <v>147</v>
      </c>
      <c r="E19" s="104" t="s">
        <v>39</v>
      </c>
    </row>
    <row r="20" spans="2:5" x14ac:dyDescent="0.25">
      <c r="B20" s="38">
        <f>D15</f>
        <v>1331910</v>
      </c>
      <c r="C20" s="38">
        <f>C6</f>
        <v>10470</v>
      </c>
      <c r="D20" s="80">
        <f>B20/C20</f>
        <v>127.21203438395415</v>
      </c>
      <c r="E20" s="121" t="s">
        <v>145</v>
      </c>
    </row>
    <row r="21" spans="2:5" x14ac:dyDescent="0.25">
      <c r="E21" s="96"/>
    </row>
    <row r="22" spans="2:5" x14ac:dyDescent="0.25">
      <c r="E22" s="96"/>
    </row>
    <row r="23" spans="2:5" x14ac:dyDescent="0.25">
      <c r="B23" s="1" t="s">
        <v>149</v>
      </c>
    </row>
    <row r="24" spans="2:5" x14ac:dyDescent="0.25">
      <c r="B24" s="49" t="s">
        <v>133</v>
      </c>
      <c r="C24" s="50" t="s">
        <v>9</v>
      </c>
      <c r="D24" s="50" t="s">
        <v>131</v>
      </c>
      <c r="E24" s="104" t="s">
        <v>39</v>
      </c>
    </row>
    <row r="25" spans="2:5" x14ac:dyDescent="0.25">
      <c r="B25" t="s">
        <v>134</v>
      </c>
      <c r="C25" s="39">
        <v>56890</v>
      </c>
      <c r="D25" s="25">
        <f>C25*('Consumer price index (CPI)'!$F$19/'Consumer price index (CPI)'!$F$27)</f>
        <v>74425.985663082436</v>
      </c>
      <c r="E25" s="122" t="s">
        <v>190</v>
      </c>
    </row>
    <row r="26" spans="2:5" x14ac:dyDescent="0.25">
      <c r="B26" t="s">
        <v>137</v>
      </c>
      <c r="C26" s="25">
        <v>606</v>
      </c>
      <c r="D26" s="25">
        <f>C26*('Consumer price index (CPI)'!$F$19/'Consumer price index (CPI)'!$F$32)</f>
        <v>651.99705232129702</v>
      </c>
      <c r="E26" s="108" t="s">
        <v>150</v>
      </c>
    </row>
    <row r="27" spans="2:5" x14ac:dyDescent="0.25">
      <c r="B27" s="2" t="s">
        <v>135</v>
      </c>
      <c r="C27" s="40">
        <v>46950</v>
      </c>
      <c r="D27" s="40">
        <f>C27*('Consumer price index (CPI)'!$F$19/'Consumer price index (CPI)'!$F$27)</f>
        <v>61422.043010752692</v>
      </c>
      <c r="E27" s="123" t="s">
        <v>190</v>
      </c>
    </row>
    <row r="30" spans="2:5" x14ac:dyDescent="0.25">
      <c r="B30" s="1" t="s">
        <v>151</v>
      </c>
    </row>
    <row r="31" spans="2:5" x14ac:dyDescent="0.25">
      <c r="B31" s="49" t="s">
        <v>133</v>
      </c>
      <c r="C31" s="50" t="s">
        <v>20</v>
      </c>
      <c r="D31" s="50" t="s">
        <v>157</v>
      </c>
      <c r="E31" s="28"/>
    </row>
    <row r="32" spans="2:5" x14ac:dyDescent="0.25">
      <c r="B32" t="s">
        <v>134</v>
      </c>
      <c r="C32" s="8">
        <f>D5</f>
        <v>7.7094250233292652E-2</v>
      </c>
      <c r="D32" s="25">
        <f>D25/4</f>
        <v>18606.496415770609</v>
      </c>
      <c r="E32" s="39"/>
    </row>
    <row r="33" spans="2:5" x14ac:dyDescent="0.25">
      <c r="B33" t="s">
        <v>137</v>
      </c>
      <c r="C33" s="8">
        <f t="shared" ref="C33:C34" si="1">D6</f>
        <v>0.75156126624075803</v>
      </c>
      <c r="D33" s="25">
        <f>(D20*D26)/4</f>
        <v>20735.467859533397</v>
      </c>
      <c r="E33" s="39"/>
    </row>
    <row r="34" spans="2:5" x14ac:dyDescent="0.25">
      <c r="B34" s="48" t="s">
        <v>135</v>
      </c>
      <c r="C34" s="81">
        <f t="shared" si="1"/>
        <v>0.17134448352594933</v>
      </c>
      <c r="D34" s="39">
        <f>D27/4</f>
        <v>15355.510752688173</v>
      </c>
      <c r="E34" s="39"/>
    </row>
    <row r="35" spans="2:5" x14ac:dyDescent="0.25">
      <c r="B35" s="125" t="s">
        <v>21</v>
      </c>
      <c r="C35" s="126"/>
      <c r="D35" s="127">
        <f>SUMPRODUCT(C32:C34,D32:D34)</f>
        <v>19649.510430444258</v>
      </c>
      <c r="E35" s="39"/>
    </row>
    <row r="36" spans="2:5" x14ac:dyDescent="0.25">
      <c r="B36" s="94" t="s">
        <v>166</v>
      </c>
      <c r="C36" s="13"/>
      <c r="D36" s="40">
        <f>D35*4</f>
        <v>78598.04172177703</v>
      </c>
    </row>
    <row r="37" spans="2:5" x14ac:dyDescent="0.25">
      <c r="D37" s="2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Consumer price index (CPI)</vt:lpstr>
      <vt:lpstr>Drug proportions</vt:lpstr>
      <vt:lpstr>Drug doses</vt:lpstr>
      <vt:lpstr>Drug unit costs</vt:lpstr>
      <vt:lpstr>Drug utilisation and costs</vt:lpstr>
      <vt:lpstr>Doctor visits</vt:lpstr>
      <vt:lpstr>Transplant surgery</vt:lpstr>
      <vt:lpstr>Nephrectomy</vt:lpstr>
      <vt:lpstr>Dialysis costs</vt:lpstr>
      <vt:lpstr>Cancer costs</vt:lpstr>
      <vt:lpstr>Cost of each health state</vt:lpstr>
      <vt:lpstr>Cost of each transition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Hedley</dc:creator>
  <cp:lastModifiedBy>James Hedley</cp:lastModifiedBy>
  <dcterms:created xsi:type="dcterms:W3CDTF">2021-11-29T23:24:04Z</dcterms:created>
  <dcterms:modified xsi:type="dcterms:W3CDTF">2022-05-23T00:31:08Z</dcterms:modified>
</cp:coreProperties>
</file>