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labyer/Projects/HuBMAP-pancreas-POC/documentation/"/>
    </mc:Choice>
  </mc:AlternateContent>
  <xr:revisionPtr revIDLastSave="0" documentId="13_ncr:1_{D42FB5D6-93F0-744B-9F28-16CFA032C30C}" xr6:coauthVersionLast="47" xr6:coauthVersionMax="47" xr10:uidLastSave="{00000000-0000-0000-0000-000000000000}"/>
  <bookViews>
    <workbookView xWindow="260" yWindow="2820" windowWidth="27640" windowHeight="18660" xr2:uid="{53CD13EA-8367-E74D-804D-A7BEB8B110C4}"/>
  </bookViews>
  <sheets>
    <sheet name="Instructions" sheetId="1" r:id="rId1"/>
    <sheet name="Pancreas 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2" l="1"/>
  <c r="F22" i="2"/>
  <c r="D22" i="2"/>
  <c r="D23" i="2"/>
  <c r="I6" i="2"/>
  <c r="G6" i="2" s="1"/>
  <c r="I7" i="2"/>
  <c r="G7" i="2" s="1"/>
  <c r="I9" i="2"/>
  <c r="F28" i="2" s="1"/>
  <c r="I10" i="2"/>
  <c r="I11" i="2"/>
  <c r="I18" i="2"/>
  <c r="G18" i="2" s="1"/>
  <c r="I20" i="2"/>
  <c r="G20" i="2" s="1"/>
  <c r="I22" i="2"/>
  <c r="G22" i="2" s="1"/>
  <c r="I23" i="2"/>
  <c r="F33" i="2" s="1"/>
  <c r="F11" i="2"/>
  <c r="B11" i="2"/>
  <c r="D16" i="2"/>
  <c r="B6" i="2"/>
  <c r="E6" i="2" s="1"/>
  <c r="C6" i="2" s="1"/>
  <c r="B27" i="2" s="1"/>
  <c r="B9" i="2"/>
  <c r="E9" i="2" s="1"/>
  <c r="E28" i="2" s="1"/>
  <c r="H23" i="2"/>
  <c r="C33" i="2" s="1"/>
  <c r="H21" i="2"/>
  <c r="H16" i="2"/>
  <c r="C30" i="2" s="1"/>
  <c r="D11" i="2"/>
  <c r="E11" i="2" s="1"/>
  <c r="E29" i="2" s="1"/>
  <c r="E4" i="2"/>
  <c r="C4" i="2" s="1"/>
  <c r="E5" i="2"/>
  <c r="C5" i="2" s="1"/>
  <c r="E12" i="2"/>
  <c r="E13" i="2"/>
  <c r="C13" i="2" s="1"/>
  <c r="E15" i="2"/>
  <c r="E16" i="2"/>
  <c r="E30" i="2" s="1"/>
  <c r="E17" i="2"/>
  <c r="C17" i="2" s="1"/>
  <c r="E22" i="2"/>
  <c r="E32" i="2" s="1"/>
  <c r="E23" i="2"/>
  <c r="E33" i="2" s="1"/>
  <c r="B3" i="2"/>
  <c r="D3" i="2"/>
  <c r="F3" i="2"/>
  <c r="I3" i="2" s="1"/>
  <c r="H3" i="2"/>
  <c r="B4" i="2"/>
  <c r="D4" i="2"/>
  <c r="F4" i="2"/>
  <c r="H4" i="2"/>
  <c r="I4" i="2" s="1"/>
  <c r="G4" i="2" s="1"/>
  <c r="B5" i="2"/>
  <c r="D5" i="2"/>
  <c r="F5" i="2"/>
  <c r="I5" i="2" s="1"/>
  <c r="G5" i="2" s="1"/>
  <c r="H5" i="2"/>
  <c r="D6" i="2"/>
  <c r="F6" i="2"/>
  <c r="H6" i="2"/>
  <c r="C27" i="2" s="1"/>
  <c r="B7" i="2"/>
  <c r="E7" i="2" s="1"/>
  <c r="C7" i="2" s="1"/>
  <c r="D7" i="2"/>
  <c r="F7" i="2"/>
  <c r="H7" i="2"/>
  <c r="B8" i="2"/>
  <c r="E8" i="2" s="1"/>
  <c r="C8" i="2" s="1"/>
  <c r="D8" i="2"/>
  <c r="F8" i="2"/>
  <c r="H8" i="2"/>
  <c r="D9" i="2"/>
  <c r="F9" i="2"/>
  <c r="H9" i="2"/>
  <c r="C28" i="2" s="1"/>
  <c r="B10" i="2"/>
  <c r="E10" i="2" s="1"/>
  <c r="C10" i="2" s="1"/>
  <c r="D10" i="2"/>
  <c r="F10" i="2"/>
  <c r="H10" i="2"/>
  <c r="H11" i="2"/>
  <c r="C29" i="2" s="1"/>
  <c r="G11" i="2"/>
  <c r="B12" i="2"/>
  <c r="D12" i="2"/>
  <c r="F12" i="2"/>
  <c r="I12" i="2" s="1"/>
  <c r="G12" i="2" s="1"/>
  <c r="H12" i="2"/>
  <c r="B13" i="2"/>
  <c r="D13" i="2"/>
  <c r="F13" i="2"/>
  <c r="I13" i="2" s="1"/>
  <c r="H13" i="2"/>
  <c r="B14" i="2"/>
  <c r="E14" i="2" s="1"/>
  <c r="C14" i="2" s="1"/>
  <c r="D14" i="2"/>
  <c r="F14" i="2"/>
  <c r="I14" i="2" s="1"/>
  <c r="G14" i="2" s="1"/>
  <c r="H14" i="2"/>
  <c r="B15" i="2"/>
  <c r="D15" i="2"/>
  <c r="F15" i="2"/>
  <c r="I15" i="2" s="1"/>
  <c r="G15" i="2" s="1"/>
  <c r="H15" i="2"/>
  <c r="B16" i="2"/>
  <c r="B30" i="2"/>
  <c r="F16" i="2"/>
  <c r="I16" i="2" s="1"/>
  <c r="F30" i="2" s="1"/>
  <c r="B17" i="2"/>
  <c r="D17" i="2"/>
  <c r="F17" i="2"/>
  <c r="H17" i="2"/>
  <c r="B18" i="2"/>
  <c r="E18" i="2" s="1"/>
  <c r="D18" i="2"/>
  <c r="F18" i="2"/>
  <c r="H18" i="2"/>
  <c r="B19" i="2"/>
  <c r="E19" i="2" s="1"/>
  <c r="C19" i="2" s="1"/>
  <c r="D19" i="2"/>
  <c r="F19" i="2"/>
  <c r="H19" i="2"/>
  <c r="B20" i="2"/>
  <c r="E20" i="2" s="1"/>
  <c r="C20" i="2" s="1"/>
  <c r="D20" i="2"/>
  <c r="F20" i="2"/>
  <c r="H20" i="2"/>
  <c r="B21" i="2"/>
  <c r="E21" i="2" s="1"/>
  <c r="D21" i="2"/>
  <c r="F21" i="2"/>
  <c r="I21" i="2" s="1"/>
  <c r="C31" i="2"/>
  <c r="B22" i="2"/>
  <c r="B32" i="2"/>
  <c r="H22" i="2"/>
  <c r="D30" i="2"/>
  <c r="D29" i="2"/>
  <c r="D28" i="2"/>
  <c r="D33" i="2"/>
  <c r="D32" i="2"/>
  <c r="D31" i="2"/>
  <c r="D27" i="2"/>
  <c r="B33" i="2"/>
  <c r="F31" i="2" l="1"/>
  <c r="G21" i="2"/>
  <c r="C21" i="2"/>
  <c r="B31" i="2" s="1"/>
  <c r="E31" i="2"/>
  <c r="G17" i="2"/>
  <c r="I8" i="2"/>
  <c r="G8" i="2" s="1"/>
  <c r="I19" i="2"/>
  <c r="G19" i="2" s="1"/>
  <c r="B29" i="2"/>
  <c r="C18" i="2"/>
  <c r="G10" i="2"/>
  <c r="I17" i="2"/>
  <c r="E3" i="2"/>
  <c r="C3" i="2" s="1"/>
  <c r="C23" i="2"/>
  <c r="G3" i="2"/>
  <c r="F32" i="2"/>
  <c r="G23" i="2"/>
  <c r="F27" i="2"/>
  <c r="G16" i="2"/>
  <c r="G13" i="2"/>
  <c r="E27" i="2"/>
  <c r="C11" i="2"/>
  <c r="C15" i="2"/>
  <c r="C12" i="2"/>
  <c r="C9" i="2"/>
  <c r="B28" i="2" s="1"/>
  <c r="C22" i="2"/>
  <c r="F29" i="2"/>
  <c r="C16" i="2"/>
  <c r="G9" i="2"/>
  <c r="C32" i="2"/>
</calcChain>
</file>

<file path=xl/sharedStrings.xml><?xml version="1.0" encoding="utf-8"?>
<sst xmlns="http://schemas.openxmlformats.org/spreadsheetml/2006/main" count="32" uniqueCount="30">
  <si>
    <t>x width</t>
  </si>
  <si>
    <t>y height</t>
  </si>
  <si>
    <t>z depth</t>
  </si>
  <si>
    <t>x start</t>
  </si>
  <si>
    <t>x stop</t>
  </si>
  <si>
    <t>y start</t>
  </si>
  <si>
    <t>y stop</t>
  </si>
  <si>
    <t>x mid</t>
  </si>
  <si>
    <t>y mid</t>
  </si>
  <si>
    <t>20C</t>
  </si>
  <si>
    <t>4A</t>
  </si>
  <si>
    <t>7A</t>
  </si>
  <si>
    <t>14A</t>
  </si>
  <si>
    <t>19A</t>
  </si>
  <si>
    <t>z start</t>
  </si>
  <si>
    <t>x delta</t>
  </si>
  <si>
    <t>y delta</t>
  </si>
  <si>
    <t>z delta</t>
  </si>
  <si>
    <t>Process for calculating slice dimensions</t>
  </si>
  <si>
    <t>2. Determine whether each block should start at the midpoint or beginning of each slice along each dimension, and input formulas in the Input section accordingly</t>
  </si>
  <si>
    <t>4. Add the .obj files generated from this process to app/assets/obj</t>
  </si>
  <si>
    <t>5. Add block metadata to app/assets/obj/obj-files.csv if this is the first time using these blocks</t>
  </si>
  <si>
    <t>Whole Slice Measurements</t>
  </si>
  <si>
    <t>block</t>
  </si>
  <si>
    <t>slice</t>
  </si>
  <si>
    <t>Block Data For Input</t>
  </si>
  <si>
    <t>1. Measure the start and end points for each slice along each dimension in the model and add them to the "Slice Measurements" section. Grey columns are calculated using formulas.</t>
  </si>
  <si>
    <t>6. Adjust slice measurements and block formulas if needed</t>
  </si>
  <si>
    <t>3. Paste the values in the Input section into a file formatted for use with BlockToObj (see block_sample.txt for file example, https://github.com/jamescarson3/BlockToObj for BlocktoObj repo)</t>
  </si>
  <si>
    <t>0. If creating data for a new pancreas, copy the Pancreas 1 worksheet into a new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</si>
</sst>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6"/>
      <color theme="1"/>
      <name val="Aptos Narrow"/>
      <scheme val="minor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4" xfId="0" applyBorder="1"/>
    <xf numFmtId="0" fontId="0" fillId="2" borderId="0" xfId="0" applyFill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7" xfId="0" applyFill="1" applyBorder="1"/>
    <xf numFmtId="0" fontId="0" fillId="0" borderId="8" xfId="0" applyBorder="1"/>
    <xf numFmtId="0" fontId="1" fillId="0" borderId="4" xfId="0" applyFont="1" applyBorder="1"/>
    <xf numFmtId="0" fontId="1" fillId="0" borderId="0" xfId="0" applyFont="1"/>
    <xf numFmtId="0" fontId="1" fillId="2" borderId="0" xfId="0" applyFont="1" applyFill="1"/>
    <xf numFmtId="0" fontId="1" fillId="0" borderId="5" xfId="0" applyFont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335CD-6884-D741-9E75-4BCFF294BA09}">
  <dimension ref="A1:A8"/>
  <sheetViews>
    <sheetView tabSelected="1" workbookViewId="0">
      <selection activeCell="A3" sqref="A3"/>
    </sheetView>
  </sheetViews>
  <sheetFormatPr baseColWidth="10" defaultRowHeight="16" x14ac:dyDescent="0.2"/>
  <cols>
    <col min="1" max="1" width="174.83203125" bestFit="1" customWidth="1"/>
  </cols>
  <sheetData>
    <row r="1" spans="1:1" s="1" customFormat="1" ht="22" x14ac:dyDescent="0.3">
      <c r="A1" s="1" t="s">
        <v>18</v>
      </c>
    </row>
    <row r="2" spans="1:1" s="3" customFormat="1" ht="19" x14ac:dyDescent="0.25">
      <c r="A2" s="2" t="s">
        <v>29</v>
      </c>
    </row>
    <row r="3" spans="1:1" s="2" customFormat="1" ht="19" x14ac:dyDescent="0.25">
      <c r="A3" s="2" t="s">
        <v>26</v>
      </c>
    </row>
    <row r="4" spans="1:1" s="2" customFormat="1" ht="19" x14ac:dyDescent="0.25">
      <c r="A4" s="2" t="s">
        <v>19</v>
      </c>
    </row>
    <row r="5" spans="1:1" s="2" customFormat="1" ht="19" x14ac:dyDescent="0.25">
      <c r="A5" s="2" t="s">
        <v>28</v>
      </c>
    </row>
    <row r="6" spans="1:1" s="2" customFormat="1" ht="19" x14ac:dyDescent="0.25">
      <c r="A6" s="2" t="s">
        <v>20</v>
      </c>
    </row>
    <row r="7" spans="1:1" s="2" customFormat="1" ht="19" x14ac:dyDescent="0.25">
      <c r="A7" s="2" t="s">
        <v>21</v>
      </c>
    </row>
    <row r="8" spans="1:1" ht="19" x14ac:dyDescent="0.25">
      <c r="A8" s="2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5C78-D21A-9045-82B3-4220FEC1F740}">
  <dimension ref="A1:J33"/>
  <sheetViews>
    <sheetView workbookViewId="0">
      <selection activeCell="I32" sqref="I32"/>
    </sheetView>
  </sheetViews>
  <sheetFormatPr baseColWidth="10" defaultRowHeight="16" x14ac:dyDescent="0.2"/>
  <sheetData>
    <row r="1" spans="1:10" ht="19" x14ac:dyDescent="0.25">
      <c r="A1" s="15" t="s">
        <v>22</v>
      </c>
      <c r="B1" s="16"/>
      <c r="C1" s="16"/>
      <c r="D1" s="16"/>
      <c r="E1" s="16"/>
      <c r="F1" s="16"/>
      <c r="G1" s="16"/>
      <c r="H1" s="16"/>
      <c r="I1" s="16"/>
      <c r="J1" s="17"/>
    </row>
    <row r="2" spans="1:10" x14ac:dyDescent="0.2">
      <c r="A2" s="11" t="s">
        <v>24</v>
      </c>
      <c r="B2" s="12" t="s">
        <v>3</v>
      </c>
      <c r="C2" s="13" t="s">
        <v>7</v>
      </c>
      <c r="D2" s="12" t="s">
        <v>4</v>
      </c>
      <c r="E2" s="13" t="s">
        <v>0</v>
      </c>
      <c r="F2" s="12" t="s">
        <v>5</v>
      </c>
      <c r="G2" s="13" t="s">
        <v>8</v>
      </c>
      <c r="H2" s="12" t="s">
        <v>6</v>
      </c>
      <c r="I2" s="13" t="s">
        <v>1</v>
      </c>
      <c r="J2" s="14" t="s">
        <v>2</v>
      </c>
    </row>
    <row r="3" spans="1:10" x14ac:dyDescent="0.2">
      <c r="A3" s="4">
        <v>1</v>
      </c>
      <c r="B3">
        <f>620</f>
        <v>620</v>
      </c>
      <c r="C3" s="5">
        <f>B3-(E3/2)</f>
        <v>453.5</v>
      </c>
      <c r="D3">
        <f>287</f>
        <v>287</v>
      </c>
      <c r="E3" s="5">
        <f>B3-D3</f>
        <v>333</v>
      </c>
      <c r="F3">
        <f>495</f>
        <v>495</v>
      </c>
      <c r="G3" s="5">
        <f>F3-(I3/2)</f>
        <v>372.5</v>
      </c>
      <c r="H3">
        <f>250</f>
        <v>250</v>
      </c>
      <c r="I3" s="5">
        <f>F3-H3</f>
        <v>245</v>
      </c>
      <c r="J3" s="6">
        <v>106</v>
      </c>
    </row>
    <row r="4" spans="1:10" x14ac:dyDescent="0.2">
      <c r="A4" s="4">
        <v>2</v>
      </c>
      <c r="B4">
        <f>634</f>
        <v>634</v>
      </c>
      <c r="C4" s="5">
        <f t="shared" ref="C4:C23" si="0">B4-(E4/2)</f>
        <v>446.5</v>
      </c>
      <c r="D4">
        <f>259</f>
        <v>259</v>
      </c>
      <c r="E4" s="5">
        <f t="shared" ref="E4:E23" si="1">B4-D4</f>
        <v>375</v>
      </c>
      <c r="F4">
        <f>548</f>
        <v>548</v>
      </c>
      <c r="G4" s="5">
        <f t="shared" ref="G4:G23" si="2">F4-(I4/2)</f>
        <v>365</v>
      </c>
      <c r="H4">
        <f>182</f>
        <v>182</v>
      </c>
      <c r="I4" s="5">
        <f t="shared" ref="I4:I23" si="3">F4-H4</f>
        <v>366</v>
      </c>
      <c r="J4" s="6">
        <v>106</v>
      </c>
    </row>
    <row r="5" spans="1:10" x14ac:dyDescent="0.2">
      <c r="A5" s="4">
        <v>3</v>
      </c>
      <c r="B5">
        <f>651</f>
        <v>651</v>
      </c>
      <c r="C5" s="5">
        <f t="shared" si="0"/>
        <v>448</v>
      </c>
      <c r="D5">
        <f>245</f>
        <v>245</v>
      </c>
      <c r="E5" s="5">
        <f t="shared" si="1"/>
        <v>406</v>
      </c>
      <c r="F5">
        <f>651</f>
        <v>651</v>
      </c>
      <c r="G5" s="5">
        <f t="shared" si="2"/>
        <v>401</v>
      </c>
      <c r="H5">
        <f>151</f>
        <v>151</v>
      </c>
      <c r="I5" s="5">
        <f t="shared" si="3"/>
        <v>500</v>
      </c>
      <c r="J5" s="6">
        <v>106</v>
      </c>
    </row>
    <row r="6" spans="1:10" x14ac:dyDescent="0.2">
      <c r="A6" s="4">
        <v>4</v>
      </c>
      <c r="B6">
        <f>692</f>
        <v>692</v>
      </c>
      <c r="C6" s="5">
        <f t="shared" si="0"/>
        <v>434.5</v>
      </c>
      <c r="D6">
        <f>177</f>
        <v>177</v>
      </c>
      <c r="E6" s="5">
        <f t="shared" si="1"/>
        <v>515</v>
      </c>
      <c r="F6">
        <f>665</f>
        <v>665</v>
      </c>
      <c r="G6" s="5">
        <f t="shared" si="2"/>
        <v>399</v>
      </c>
      <c r="H6">
        <f>133</f>
        <v>133</v>
      </c>
      <c r="I6" s="5">
        <f t="shared" si="3"/>
        <v>532</v>
      </c>
      <c r="J6" s="6">
        <v>106</v>
      </c>
    </row>
    <row r="7" spans="1:10" x14ac:dyDescent="0.2">
      <c r="A7" s="4">
        <v>5</v>
      </c>
      <c r="B7">
        <f>686</f>
        <v>686</v>
      </c>
      <c r="C7" s="5">
        <f t="shared" si="0"/>
        <v>425</v>
      </c>
      <c r="D7">
        <f>164</f>
        <v>164</v>
      </c>
      <c r="E7" s="5">
        <f t="shared" si="1"/>
        <v>522</v>
      </c>
      <c r="F7">
        <f>678</f>
        <v>678</v>
      </c>
      <c r="G7" s="5">
        <f t="shared" si="2"/>
        <v>399</v>
      </c>
      <c r="H7">
        <f>120</f>
        <v>120</v>
      </c>
      <c r="I7" s="5">
        <f t="shared" si="3"/>
        <v>558</v>
      </c>
      <c r="J7" s="6">
        <v>106</v>
      </c>
    </row>
    <row r="8" spans="1:10" x14ac:dyDescent="0.2">
      <c r="A8" s="4">
        <v>6</v>
      </c>
      <c r="B8">
        <f>703</f>
        <v>703</v>
      </c>
      <c r="C8" s="5">
        <f t="shared" si="0"/>
        <v>433.5</v>
      </c>
      <c r="D8">
        <f>164</f>
        <v>164</v>
      </c>
      <c r="E8" s="5">
        <f t="shared" si="1"/>
        <v>539</v>
      </c>
      <c r="F8">
        <f>703</f>
        <v>703</v>
      </c>
      <c r="G8" s="5">
        <f t="shared" si="2"/>
        <v>405</v>
      </c>
      <c r="H8">
        <f>107</f>
        <v>107</v>
      </c>
      <c r="I8" s="5">
        <f t="shared" si="3"/>
        <v>596</v>
      </c>
      <c r="J8" s="6">
        <v>106</v>
      </c>
    </row>
    <row r="9" spans="1:10" x14ac:dyDescent="0.2">
      <c r="A9" s="4">
        <v>7</v>
      </c>
      <c r="B9">
        <f>718</f>
        <v>718</v>
      </c>
      <c r="C9" s="5">
        <f t="shared" si="0"/>
        <v>456.5</v>
      </c>
      <c r="D9">
        <f>195</f>
        <v>195</v>
      </c>
      <c r="E9" s="5">
        <f t="shared" si="1"/>
        <v>523</v>
      </c>
      <c r="F9">
        <f>710</f>
        <v>710</v>
      </c>
      <c r="G9" s="5">
        <f t="shared" si="2"/>
        <v>405.5</v>
      </c>
      <c r="H9">
        <f>101</f>
        <v>101</v>
      </c>
      <c r="I9" s="5">
        <f t="shared" si="3"/>
        <v>609</v>
      </c>
      <c r="J9" s="6">
        <v>106</v>
      </c>
    </row>
    <row r="10" spans="1:10" x14ac:dyDescent="0.2">
      <c r="A10" s="4">
        <v>8</v>
      </c>
      <c r="B10">
        <f>706</f>
        <v>706</v>
      </c>
      <c r="C10" s="5">
        <f t="shared" si="0"/>
        <v>471.5</v>
      </c>
      <c r="D10">
        <f>237</f>
        <v>237</v>
      </c>
      <c r="E10" s="5">
        <f t="shared" si="1"/>
        <v>469</v>
      </c>
      <c r="F10">
        <f>714</f>
        <v>714</v>
      </c>
      <c r="G10" s="5">
        <f t="shared" si="2"/>
        <v>407.5</v>
      </c>
      <c r="H10">
        <f>101</f>
        <v>101</v>
      </c>
      <c r="I10" s="5">
        <f t="shared" si="3"/>
        <v>613</v>
      </c>
      <c r="J10" s="6">
        <v>106</v>
      </c>
    </row>
    <row r="11" spans="1:10" x14ac:dyDescent="0.2">
      <c r="A11" s="4">
        <v>9</v>
      </c>
      <c r="B11">
        <f>724</f>
        <v>724</v>
      </c>
      <c r="C11" s="5">
        <f t="shared" si="0"/>
        <v>479</v>
      </c>
      <c r="D11">
        <f>234</f>
        <v>234</v>
      </c>
      <c r="E11" s="5">
        <f t="shared" si="1"/>
        <v>490</v>
      </c>
      <c r="F11">
        <f>718</f>
        <v>718</v>
      </c>
      <c r="G11" s="5">
        <f t="shared" si="2"/>
        <v>409.5</v>
      </c>
      <c r="H11">
        <f>101</f>
        <v>101</v>
      </c>
      <c r="I11" s="5">
        <f t="shared" si="3"/>
        <v>617</v>
      </c>
      <c r="J11" s="6">
        <v>106</v>
      </c>
    </row>
    <row r="12" spans="1:10" x14ac:dyDescent="0.2">
      <c r="A12" s="4">
        <v>10</v>
      </c>
      <c r="B12">
        <f>701</f>
        <v>701</v>
      </c>
      <c r="C12" s="5">
        <f t="shared" si="0"/>
        <v>476</v>
      </c>
      <c r="D12">
        <f>251</f>
        <v>251</v>
      </c>
      <c r="E12" s="5">
        <f t="shared" si="1"/>
        <v>450</v>
      </c>
      <c r="F12">
        <f>677</f>
        <v>677</v>
      </c>
      <c r="G12" s="5">
        <f t="shared" si="2"/>
        <v>389.5</v>
      </c>
      <c r="H12">
        <f>102</f>
        <v>102</v>
      </c>
      <c r="I12" s="5">
        <f t="shared" si="3"/>
        <v>575</v>
      </c>
      <c r="J12" s="6">
        <v>106</v>
      </c>
    </row>
    <row r="13" spans="1:10" x14ac:dyDescent="0.2">
      <c r="A13" s="4">
        <v>11</v>
      </c>
      <c r="B13">
        <f>690</f>
        <v>690</v>
      </c>
      <c r="C13" s="5">
        <f t="shared" si="0"/>
        <v>520</v>
      </c>
      <c r="D13">
        <f>350</f>
        <v>350</v>
      </c>
      <c r="E13" s="5">
        <f t="shared" si="1"/>
        <v>340</v>
      </c>
      <c r="F13">
        <f>678</f>
        <v>678</v>
      </c>
      <c r="G13" s="5">
        <f t="shared" si="2"/>
        <v>397.5</v>
      </c>
      <c r="H13">
        <f>117</f>
        <v>117</v>
      </c>
      <c r="I13" s="5">
        <f t="shared" si="3"/>
        <v>561</v>
      </c>
      <c r="J13" s="6">
        <v>106</v>
      </c>
    </row>
    <row r="14" spans="1:10" x14ac:dyDescent="0.2">
      <c r="A14" s="4">
        <v>12</v>
      </c>
      <c r="B14">
        <f>682</f>
        <v>682</v>
      </c>
      <c r="C14" s="5">
        <f t="shared" si="0"/>
        <v>521.5</v>
      </c>
      <c r="D14">
        <f>361</f>
        <v>361</v>
      </c>
      <c r="E14" s="5">
        <f t="shared" si="1"/>
        <v>321</v>
      </c>
      <c r="F14">
        <f>680</f>
        <v>680</v>
      </c>
      <c r="G14" s="5">
        <f t="shared" si="2"/>
        <v>402</v>
      </c>
      <c r="H14">
        <f>124</f>
        <v>124</v>
      </c>
      <c r="I14" s="5">
        <f t="shared" si="3"/>
        <v>556</v>
      </c>
      <c r="J14" s="6">
        <v>106</v>
      </c>
    </row>
    <row r="15" spans="1:10" x14ac:dyDescent="0.2">
      <c r="A15" s="4">
        <v>13</v>
      </c>
      <c r="B15">
        <f>699</f>
        <v>699</v>
      </c>
      <c r="C15" s="5">
        <f t="shared" si="0"/>
        <v>535</v>
      </c>
      <c r="D15">
        <f>371</f>
        <v>371</v>
      </c>
      <c r="E15" s="5">
        <f t="shared" si="1"/>
        <v>328</v>
      </c>
      <c r="F15">
        <f>678</f>
        <v>678</v>
      </c>
      <c r="G15" s="5">
        <f t="shared" si="2"/>
        <v>401</v>
      </c>
      <c r="H15">
        <f>124</f>
        <v>124</v>
      </c>
      <c r="I15" s="5">
        <f t="shared" si="3"/>
        <v>554</v>
      </c>
      <c r="J15" s="6">
        <v>106</v>
      </c>
    </row>
    <row r="16" spans="1:10" x14ac:dyDescent="0.2">
      <c r="A16" s="4">
        <v>14</v>
      </c>
      <c r="B16">
        <f>719</f>
        <v>719</v>
      </c>
      <c r="C16" s="5">
        <f t="shared" si="0"/>
        <v>528.5</v>
      </c>
      <c r="D16">
        <f>338</f>
        <v>338</v>
      </c>
      <c r="E16" s="5">
        <f t="shared" si="1"/>
        <v>381</v>
      </c>
      <c r="F16">
        <f>670</f>
        <v>670</v>
      </c>
      <c r="G16" s="5">
        <f t="shared" si="2"/>
        <v>403</v>
      </c>
      <c r="H16">
        <f>136</f>
        <v>136</v>
      </c>
      <c r="I16" s="5">
        <f t="shared" si="3"/>
        <v>534</v>
      </c>
      <c r="J16" s="6">
        <v>106</v>
      </c>
    </row>
    <row r="17" spans="1:10" x14ac:dyDescent="0.2">
      <c r="A17" s="4">
        <v>15</v>
      </c>
      <c r="B17">
        <f>739</f>
        <v>739</v>
      </c>
      <c r="C17" s="5">
        <f t="shared" si="0"/>
        <v>537.5</v>
      </c>
      <c r="D17">
        <f>336</f>
        <v>336</v>
      </c>
      <c r="E17" s="5">
        <f t="shared" si="1"/>
        <v>403</v>
      </c>
      <c r="F17">
        <f>666</f>
        <v>666</v>
      </c>
      <c r="G17" s="5">
        <f t="shared" si="2"/>
        <v>406</v>
      </c>
      <c r="H17">
        <f>146</f>
        <v>146</v>
      </c>
      <c r="I17" s="5">
        <f t="shared" si="3"/>
        <v>520</v>
      </c>
      <c r="J17" s="6">
        <v>106</v>
      </c>
    </row>
    <row r="18" spans="1:10" x14ac:dyDescent="0.2">
      <c r="A18" s="4">
        <v>16</v>
      </c>
      <c r="B18">
        <f>754</f>
        <v>754</v>
      </c>
      <c r="C18" s="5">
        <f t="shared" si="0"/>
        <v>538</v>
      </c>
      <c r="D18">
        <f>322</f>
        <v>322</v>
      </c>
      <c r="E18" s="5">
        <f t="shared" si="1"/>
        <v>432</v>
      </c>
      <c r="F18">
        <f>670</f>
        <v>670</v>
      </c>
      <c r="G18" s="5">
        <f t="shared" si="2"/>
        <v>405.5</v>
      </c>
      <c r="H18">
        <f>141</f>
        <v>141</v>
      </c>
      <c r="I18" s="5">
        <f t="shared" si="3"/>
        <v>529</v>
      </c>
      <c r="J18" s="6">
        <v>106</v>
      </c>
    </row>
    <row r="19" spans="1:10" x14ac:dyDescent="0.2">
      <c r="A19" s="4">
        <v>17</v>
      </c>
      <c r="B19">
        <f>776</f>
        <v>776</v>
      </c>
      <c r="C19" s="5">
        <f t="shared" si="0"/>
        <v>547.5</v>
      </c>
      <c r="D19">
        <f>319</f>
        <v>319</v>
      </c>
      <c r="E19" s="5">
        <f t="shared" si="1"/>
        <v>457</v>
      </c>
      <c r="F19">
        <f>703</f>
        <v>703</v>
      </c>
      <c r="G19" s="5">
        <f t="shared" si="2"/>
        <v>410</v>
      </c>
      <c r="H19">
        <f>117</f>
        <v>117</v>
      </c>
      <c r="I19" s="5">
        <f t="shared" si="3"/>
        <v>586</v>
      </c>
      <c r="J19" s="6">
        <v>106</v>
      </c>
    </row>
    <row r="20" spans="1:10" x14ac:dyDescent="0.2">
      <c r="A20" s="4">
        <v>18</v>
      </c>
      <c r="B20">
        <f>793</f>
        <v>793</v>
      </c>
      <c r="C20" s="5">
        <f t="shared" si="0"/>
        <v>556</v>
      </c>
      <c r="D20">
        <f>319</f>
        <v>319</v>
      </c>
      <c r="E20" s="5">
        <f t="shared" si="1"/>
        <v>474</v>
      </c>
      <c r="F20">
        <f>737</f>
        <v>737</v>
      </c>
      <c r="G20" s="5">
        <f t="shared" si="2"/>
        <v>424.5</v>
      </c>
      <c r="H20">
        <f>112</f>
        <v>112</v>
      </c>
      <c r="I20" s="5">
        <f t="shared" si="3"/>
        <v>625</v>
      </c>
      <c r="J20" s="6">
        <v>106</v>
      </c>
    </row>
    <row r="21" spans="1:10" x14ac:dyDescent="0.2">
      <c r="A21" s="4">
        <v>19</v>
      </c>
      <c r="B21">
        <f>793</f>
        <v>793</v>
      </c>
      <c r="C21" s="5">
        <f t="shared" si="0"/>
        <v>557.5</v>
      </c>
      <c r="D21">
        <f>322</f>
        <v>322</v>
      </c>
      <c r="E21" s="5">
        <f t="shared" si="1"/>
        <v>471</v>
      </c>
      <c r="F21">
        <f>743</f>
        <v>743</v>
      </c>
      <c r="G21" s="5">
        <f t="shared" si="2"/>
        <v>425.5</v>
      </c>
      <c r="H21">
        <f>108</f>
        <v>108</v>
      </c>
      <c r="I21" s="5">
        <f t="shared" si="3"/>
        <v>635</v>
      </c>
      <c r="J21" s="6">
        <v>106</v>
      </c>
    </row>
    <row r="22" spans="1:10" x14ac:dyDescent="0.2">
      <c r="A22" s="4">
        <v>20</v>
      </c>
      <c r="B22">
        <f>797</f>
        <v>797</v>
      </c>
      <c r="C22" s="5">
        <f t="shared" si="0"/>
        <v>560.5</v>
      </c>
      <c r="D22">
        <f>324</f>
        <v>324</v>
      </c>
      <c r="E22" s="5">
        <f t="shared" si="1"/>
        <v>473</v>
      </c>
      <c r="F22">
        <f>750</f>
        <v>750</v>
      </c>
      <c r="G22" s="5">
        <f t="shared" si="2"/>
        <v>431.5</v>
      </c>
      <c r="H22">
        <f>113</f>
        <v>113</v>
      </c>
      <c r="I22" s="5">
        <f t="shared" si="3"/>
        <v>637</v>
      </c>
      <c r="J22" s="6">
        <v>106</v>
      </c>
    </row>
    <row r="23" spans="1:10" x14ac:dyDescent="0.2">
      <c r="A23" s="7">
        <v>21</v>
      </c>
      <c r="B23" s="8">
        <f>794</f>
        <v>794</v>
      </c>
      <c r="C23" s="9">
        <f t="shared" si="0"/>
        <v>628</v>
      </c>
      <c r="D23" s="8">
        <f>462</f>
        <v>462</v>
      </c>
      <c r="E23" s="9">
        <f t="shared" si="1"/>
        <v>332</v>
      </c>
      <c r="F23" s="8">
        <v>746</v>
      </c>
      <c r="G23" s="9">
        <f t="shared" si="2"/>
        <v>499</v>
      </c>
      <c r="H23" s="8">
        <f>252</f>
        <v>252</v>
      </c>
      <c r="I23" s="9">
        <f t="shared" si="3"/>
        <v>494</v>
      </c>
      <c r="J23" s="10">
        <v>106</v>
      </c>
    </row>
    <row r="25" spans="1:10" ht="19" x14ac:dyDescent="0.25">
      <c r="A25" s="15" t="s">
        <v>25</v>
      </c>
      <c r="B25" s="16"/>
      <c r="C25" s="16"/>
      <c r="D25" s="16"/>
      <c r="E25" s="16"/>
      <c r="F25" s="16"/>
      <c r="G25" s="17"/>
    </row>
    <row r="26" spans="1:10" x14ac:dyDescent="0.2">
      <c r="A26" s="11" t="s">
        <v>23</v>
      </c>
      <c r="B26" s="12" t="s">
        <v>3</v>
      </c>
      <c r="C26" s="12" t="s">
        <v>5</v>
      </c>
      <c r="D26" s="12" t="s">
        <v>14</v>
      </c>
      <c r="E26" s="12" t="s">
        <v>15</v>
      </c>
      <c r="F26" s="12" t="s">
        <v>16</v>
      </c>
      <c r="G26" s="14" t="s">
        <v>17</v>
      </c>
    </row>
    <row r="27" spans="1:10" x14ac:dyDescent="0.2">
      <c r="A27" s="4" t="s">
        <v>10</v>
      </c>
      <c r="B27">
        <f>C6</f>
        <v>434.5</v>
      </c>
      <c r="C27">
        <f>-H6+20</f>
        <v>-113</v>
      </c>
      <c r="D27">
        <f>106*3</f>
        <v>318</v>
      </c>
      <c r="E27">
        <f>E6/2</f>
        <v>257.5</v>
      </c>
      <c r="F27">
        <f>-(I6/2)-20</f>
        <v>-286</v>
      </c>
      <c r="G27" s="6">
        <v>106</v>
      </c>
    </row>
    <row r="28" spans="1:10" x14ac:dyDescent="0.2">
      <c r="A28" s="4" t="s">
        <v>11</v>
      </c>
      <c r="B28">
        <f>C9</f>
        <v>456.5</v>
      </c>
      <c r="C28">
        <f>-H9+20</f>
        <v>-81</v>
      </c>
      <c r="D28">
        <f>106*6</f>
        <v>636</v>
      </c>
      <c r="E28">
        <f>E9/2</f>
        <v>261.5</v>
      </c>
      <c r="F28">
        <f>-(I9/2)-20</f>
        <v>-324.5</v>
      </c>
      <c r="G28" s="6">
        <v>106</v>
      </c>
    </row>
    <row r="29" spans="1:10" x14ac:dyDescent="0.2">
      <c r="A29" s="4">
        <v>9</v>
      </c>
      <c r="B29">
        <f>D11</f>
        <v>234</v>
      </c>
      <c r="C29">
        <f>-H11+20</f>
        <v>-81</v>
      </c>
      <c r="D29">
        <f>106*8</f>
        <v>848</v>
      </c>
      <c r="E29">
        <f>E11</f>
        <v>490</v>
      </c>
      <c r="F29">
        <f>-I11-20</f>
        <v>-637</v>
      </c>
      <c r="G29" s="6">
        <v>106</v>
      </c>
    </row>
    <row r="30" spans="1:10" x14ac:dyDescent="0.2">
      <c r="A30" s="4" t="s">
        <v>12</v>
      </c>
      <c r="B30">
        <f>D16</f>
        <v>338</v>
      </c>
      <c r="C30">
        <f>-H16</f>
        <v>-136</v>
      </c>
      <c r="D30">
        <f>106*14</f>
        <v>1484</v>
      </c>
      <c r="E30">
        <f>E16</f>
        <v>381</v>
      </c>
      <c r="F30">
        <f>-(I16/2)</f>
        <v>-267</v>
      </c>
      <c r="G30" s="6">
        <v>106</v>
      </c>
    </row>
    <row r="31" spans="1:10" x14ac:dyDescent="0.2">
      <c r="A31" s="4" t="s">
        <v>13</v>
      </c>
      <c r="B31">
        <f>C21</f>
        <v>557.5</v>
      </c>
      <c r="C31">
        <f>-H21</f>
        <v>-108</v>
      </c>
      <c r="D31">
        <f>106*18</f>
        <v>1908</v>
      </c>
      <c r="E31">
        <f>E21/2</f>
        <v>235.5</v>
      </c>
      <c r="F31">
        <f>-(I21/2)</f>
        <v>-317.5</v>
      </c>
      <c r="G31" s="6">
        <v>106</v>
      </c>
    </row>
    <row r="32" spans="1:10" x14ac:dyDescent="0.2">
      <c r="A32" s="4" t="s">
        <v>9</v>
      </c>
      <c r="B32">
        <f>D22</f>
        <v>324</v>
      </c>
      <c r="C32">
        <f>-G22</f>
        <v>-431.5</v>
      </c>
      <c r="D32">
        <f>106*19</f>
        <v>2014</v>
      </c>
      <c r="E32">
        <f>E22/2</f>
        <v>236.5</v>
      </c>
      <c r="F32">
        <f>-(I22/2)</f>
        <v>-318.5</v>
      </c>
      <c r="G32" s="6">
        <v>106</v>
      </c>
    </row>
    <row r="33" spans="1:7" x14ac:dyDescent="0.2">
      <c r="A33" s="7">
        <v>21</v>
      </c>
      <c r="B33" s="8">
        <f>D23</f>
        <v>462</v>
      </c>
      <c r="C33" s="8">
        <f>-H23</f>
        <v>-252</v>
      </c>
      <c r="D33" s="8">
        <f>106*20</f>
        <v>2120</v>
      </c>
      <c r="E33" s="8">
        <f>E23</f>
        <v>332</v>
      </c>
      <c r="F33" s="8">
        <f>-I23</f>
        <v>-494</v>
      </c>
      <c r="G33" s="10">
        <v>106</v>
      </c>
    </row>
  </sheetData>
  <mergeCells count="2">
    <mergeCell ref="A1:J1"/>
    <mergeCell ref="A25:G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Pancreas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Labyer, James</dc:creator>
  <cp:lastModifiedBy>Labyer, James</cp:lastModifiedBy>
  <dcterms:created xsi:type="dcterms:W3CDTF">2024-11-11T15:39:47Z</dcterms:created>
  <dcterms:modified xsi:type="dcterms:W3CDTF">2024-11-11T22:13:52Z</dcterms:modified>
</cp:coreProperties>
</file>