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baker/Documents/nostra/"/>
    </mc:Choice>
  </mc:AlternateContent>
  <bookViews>
    <workbookView xWindow="0" yWindow="460" windowWidth="27240" windowHeight="18380"/>
  </bookViews>
  <sheets>
    <sheet name="Data" sheetId="2" r:id="rId1"/>
    <sheet name="Projections" sheetId="1" r:id="rId2"/>
  </sheets>
  <definedNames>
    <definedName name="ai">Projections!$B$18</definedName>
    <definedName name="capcase">Projections!$B$359</definedName>
    <definedName name="opcase">Projections!$B$358</definedName>
    <definedName name="_xlnm.Print_Area" localSheetId="1">Projections!$A$13:$I$354</definedName>
    <definedName name="transcase">Projections!$B$359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4" i="1" l="1"/>
  <c r="F184" i="1"/>
  <c r="G184" i="1"/>
  <c r="H184" i="1"/>
  <c r="I184" i="1"/>
  <c r="B385" i="1"/>
  <c r="A366" i="1"/>
  <c r="A367" i="1"/>
  <c r="A385" i="1"/>
  <c r="B384" i="1"/>
  <c r="A384" i="1"/>
  <c r="B383" i="1"/>
  <c r="A383" i="1"/>
  <c r="B379" i="1"/>
  <c r="A379" i="1"/>
  <c r="B378" i="1"/>
  <c r="A378" i="1"/>
  <c r="B377" i="1"/>
  <c r="A377" i="1"/>
  <c r="B373" i="1"/>
  <c r="B372" i="1"/>
  <c r="B371" i="1"/>
  <c r="A373" i="1"/>
  <c r="A372" i="1"/>
  <c r="A371" i="1"/>
  <c r="H397" i="1"/>
  <c r="E401" i="1"/>
  <c r="E408" i="1"/>
  <c r="E409" i="1"/>
  <c r="E405" i="1"/>
  <c r="H405" i="1"/>
  <c r="C209" i="1"/>
  <c r="D209" i="1"/>
  <c r="H396" i="1"/>
  <c r="H404" i="1"/>
  <c r="C186" i="1"/>
  <c r="D186" i="1"/>
  <c r="E301" i="1"/>
  <c r="E386" i="1"/>
  <c r="E103" i="1"/>
  <c r="E252" i="1"/>
  <c r="E254" i="1"/>
  <c r="E368" i="1"/>
  <c r="E70" i="1"/>
  <c r="E69" i="1"/>
  <c r="E110" i="1"/>
  <c r="D187" i="1"/>
  <c r="D114" i="1"/>
  <c r="D110" i="1"/>
  <c r="D131" i="1"/>
  <c r="E131" i="1"/>
  <c r="E114" i="1"/>
  <c r="E187" i="1"/>
  <c r="E240" i="1"/>
  <c r="E374" i="1"/>
  <c r="E74" i="1"/>
  <c r="E73" i="1"/>
  <c r="E79" i="1"/>
  <c r="E111" i="1"/>
  <c r="D188" i="1"/>
  <c r="D115" i="1"/>
  <c r="D79" i="1"/>
  <c r="D111" i="1"/>
  <c r="D133" i="1"/>
  <c r="E133" i="1"/>
  <c r="E115" i="1"/>
  <c r="E188" i="1"/>
  <c r="E241" i="1"/>
  <c r="D189" i="1"/>
  <c r="D116" i="1"/>
  <c r="D135" i="1"/>
  <c r="E135" i="1"/>
  <c r="E116" i="1"/>
  <c r="E189" i="1"/>
  <c r="E242" i="1"/>
  <c r="D204" i="1"/>
  <c r="D121" i="1"/>
  <c r="D136" i="1"/>
  <c r="E136" i="1"/>
  <c r="E121" i="1"/>
  <c r="E204" i="1"/>
  <c r="E243" i="1"/>
  <c r="D205" i="1"/>
  <c r="D122" i="1"/>
  <c r="D137" i="1"/>
  <c r="E137" i="1"/>
  <c r="E122" i="1"/>
  <c r="E205" i="1"/>
  <c r="E244" i="1"/>
  <c r="E246" i="1"/>
  <c r="E146" i="1"/>
  <c r="E147" i="1"/>
  <c r="E149" i="1"/>
  <c r="E380" i="1"/>
  <c r="E92" i="1"/>
  <c r="E91" i="1"/>
  <c r="E151" i="1"/>
  <c r="E152" i="1"/>
  <c r="E154" i="1"/>
  <c r="E157" i="1"/>
  <c r="H418" i="1"/>
  <c r="C158" i="1"/>
  <c r="H398" i="1"/>
  <c r="H406" i="1"/>
  <c r="C210" i="1"/>
  <c r="D210" i="1"/>
  <c r="E158" i="1"/>
  <c r="H419" i="1"/>
  <c r="C159" i="1"/>
  <c r="H399" i="1"/>
  <c r="H407" i="1"/>
  <c r="C211" i="1"/>
  <c r="D211" i="1"/>
  <c r="E159" i="1"/>
  <c r="E161" i="1"/>
  <c r="E163" i="1"/>
  <c r="H408" i="1"/>
  <c r="H409" i="1"/>
  <c r="C199" i="1"/>
  <c r="D199" i="1"/>
  <c r="E164" i="1"/>
  <c r="E166" i="1"/>
  <c r="E167" i="1"/>
  <c r="E169" i="1"/>
  <c r="E233" i="1"/>
  <c r="E236" i="1"/>
  <c r="E234" i="1"/>
  <c r="E235" i="1"/>
  <c r="E238" i="1"/>
  <c r="E248" i="1"/>
  <c r="E256" i="1"/>
  <c r="E302" i="1"/>
  <c r="E304" i="1"/>
  <c r="E276" i="1"/>
  <c r="E282" i="1"/>
  <c r="E283" i="1"/>
  <c r="E285" i="1"/>
  <c r="E288" i="1"/>
  <c r="E289" i="1"/>
  <c r="E290" i="1"/>
  <c r="E292" i="1"/>
  <c r="E294" i="1"/>
  <c r="E305" i="1"/>
  <c r="E260" i="1"/>
  <c r="E209" i="1"/>
  <c r="E261" i="1"/>
  <c r="E262" i="1"/>
  <c r="E264" i="1"/>
  <c r="E266" i="1"/>
  <c r="E186" i="1"/>
  <c r="F301" i="1"/>
  <c r="F386" i="1"/>
  <c r="F103" i="1"/>
  <c r="F252" i="1"/>
  <c r="F254" i="1"/>
  <c r="F368" i="1"/>
  <c r="F70" i="1"/>
  <c r="F69" i="1"/>
  <c r="F110" i="1"/>
  <c r="F131" i="1"/>
  <c r="F114" i="1"/>
  <c r="F187" i="1"/>
  <c r="F240" i="1"/>
  <c r="F374" i="1"/>
  <c r="F74" i="1"/>
  <c r="F73" i="1"/>
  <c r="F79" i="1"/>
  <c r="F111" i="1"/>
  <c r="F133" i="1"/>
  <c r="F115" i="1"/>
  <c r="F188" i="1"/>
  <c r="F241" i="1"/>
  <c r="F135" i="1"/>
  <c r="F116" i="1"/>
  <c r="F189" i="1"/>
  <c r="F242" i="1"/>
  <c r="F136" i="1"/>
  <c r="F121" i="1"/>
  <c r="F204" i="1"/>
  <c r="F243" i="1"/>
  <c r="F137" i="1"/>
  <c r="F122" i="1"/>
  <c r="F205" i="1"/>
  <c r="F244" i="1"/>
  <c r="F246" i="1"/>
  <c r="F146" i="1"/>
  <c r="F147" i="1"/>
  <c r="F149" i="1"/>
  <c r="F380" i="1"/>
  <c r="F92" i="1"/>
  <c r="F91" i="1"/>
  <c r="F151" i="1"/>
  <c r="F152" i="1"/>
  <c r="F154" i="1"/>
  <c r="F157" i="1"/>
  <c r="E210" i="1"/>
  <c r="F158" i="1"/>
  <c r="E211" i="1"/>
  <c r="F159" i="1"/>
  <c r="F161" i="1"/>
  <c r="F163" i="1"/>
  <c r="F164" i="1"/>
  <c r="F166" i="1"/>
  <c r="F167" i="1"/>
  <c r="F169" i="1"/>
  <c r="F233" i="1"/>
  <c r="F236" i="1"/>
  <c r="F234" i="1"/>
  <c r="F235" i="1"/>
  <c r="F238" i="1"/>
  <c r="F248" i="1"/>
  <c r="F256" i="1"/>
  <c r="F302" i="1"/>
  <c r="F304" i="1"/>
  <c r="F276" i="1"/>
  <c r="F282" i="1"/>
  <c r="F283" i="1"/>
  <c r="F285" i="1"/>
  <c r="F288" i="1"/>
  <c r="F289" i="1"/>
  <c r="F290" i="1"/>
  <c r="F292" i="1"/>
  <c r="F294" i="1"/>
  <c r="F305" i="1"/>
  <c r="F260" i="1"/>
  <c r="F209" i="1"/>
  <c r="F261" i="1"/>
  <c r="F262" i="1"/>
  <c r="F264" i="1"/>
  <c r="F266" i="1"/>
  <c r="F186" i="1"/>
  <c r="G301" i="1"/>
  <c r="G386" i="1"/>
  <c r="G103" i="1"/>
  <c r="G252" i="1"/>
  <c r="G254" i="1"/>
  <c r="G368" i="1"/>
  <c r="G70" i="1"/>
  <c r="G69" i="1"/>
  <c r="G110" i="1"/>
  <c r="G131" i="1"/>
  <c r="G114" i="1"/>
  <c r="G187" i="1"/>
  <c r="G240" i="1"/>
  <c r="G374" i="1"/>
  <c r="G74" i="1"/>
  <c r="G73" i="1"/>
  <c r="G79" i="1"/>
  <c r="G111" i="1"/>
  <c r="G133" i="1"/>
  <c r="G115" i="1"/>
  <c r="G188" i="1"/>
  <c r="G241" i="1"/>
  <c r="G135" i="1"/>
  <c r="G116" i="1"/>
  <c r="G189" i="1"/>
  <c r="G242" i="1"/>
  <c r="G136" i="1"/>
  <c r="G121" i="1"/>
  <c r="G204" i="1"/>
  <c r="G243" i="1"/>
  <c r="G137" i="1"/>
  <c r="G122" i="1"/>
  <c r="G205" i="1"/>
  <c r="G244" i="1"/>
  <c r="G246" i="1"/>
  <c r="G146" i="1"/>
  <c r="G147" i="1"/>
  <c r="G149" i="1"/>
  <c r="G380" i="1"/>
  <c r="G92" i="1"/>
  <c r="G91" i="1"/>
  <c r="G151" i="1"/>
  <c r="G152" i="1"/>
  <c r="G154" i="1"/>
  <c r="G157" i="1"/>
  <c r="F210" i="1"/>
  <c r="G158" i="1"/>
  <c r="F211" i="1"/>
  <c r="G159" i="1"/>
  <c r="G161" i="1"/>
  <c r="G163" i="1"/>
  <c r="G164" i="1"/>
  <c r="G166" i="1"/>
  <c r="G167" i="1"/>
  <c r="G169" i="1"/>
  <c r="G233" i="1"/>
  <c r="G236" i="1"/>
  <c r="G234" i="1"/>
  <c r="G235" i="1"/>
  <c r="G238" i="1"/>
  <c r="G248" i="1"/>
  <c r="G256" i="1"/>
  <c r="G302" i="1"/>
  <c r="G304" i="1"/>
  <c r="G276" i="1"/>
  <c r="G282" i="1"/>
  <c r="G283" i="1"/>
  <c r="G285" i="1"/>
  <c r="G288" i="1"/>
  <c r="G289" i="1"/>
  <c r="G290" i="1"/>
  <c r="G292" i="1"/>
  <c r="G294" i="1"/>
  <c r="G305" i="1"/>
  <c r="G260" i="1"/>
  <c r="G209" i="1"/>
  <c r="G261" i="1"/>
  <c r="G262" i="1"/>
  <c r="G264" i="1"/>
  <c r="G266" i="1"/>
  <c r="G186" i="1"/>
  <c r="H301" i="1"/>
  <c r="H386" i="1"/>
  <c r="H103" i="1"/>
  <c r="H252" i="1"/>
  <c r="H254" i="1"/>
  <c r="H368" i="1"/>
  <c r="H70" i="1"/>
  <c r="H69" i="1"/>
  <c r="H110" i="1"/>
  <c r="H131" i="1"/>
  <c r="H114" i="1"/>
  <c r="H187" i="1"/>
  <c r="H240" i="1"/>
  <c r="H374" i="1"/>
  <c r="H74" i="1"/>
  <c r="H73" i="1"/>
  <c r="H79" i="1"/>
  <c r="H111" i="1"/>
  <c r="H133" i="1"/>
  <c r="H115" i="1"/>
  <c r="H188" i="1"/>
  <c r="H241" i="1"/>
  <c r="H135" i="1"/>
  <c r="H116" i="1"/>
  <c r="H189" i="1"/>
  <c r="H242" i="1"/>
  <c r="H136" i="1"/>
  <c r="H121" i="1"/>
  <c r="H204" i="1"/>
  <c r="H243" i="1"/>
  <c r="H137" i="1"/>
  <c r="H122" i="1"/>
  <c r="H205" i="1"/>
  <c r="H244" i="1"/>
  <c r="H246" i="1"/>
  <c r="H146" i="1"/>
  <c r="H147" i="1"/>
  <c r="H149" i="1"/>
  <c r="H380" i="1"/>
  <c r="H92" i="1"/>
  <c r="H91" i="1"/>
  <c r="H151" i="1"/>
  <c r="H152" i="1"/>
  <c r="H154" i="1"/>
  <c r="H157" i="1"/>
  <c r="G210" i="1"/>
  <c r="H158" i="1"/>
  <c r="G211" i="1"/>
  <c r="H159" i="1"/>
  <c r="H161" i="1"/>
  <c r="H163" i="1"/>
  <c r="H164" i="1"/>
  <c r="H166" i="1"/>
  <c r="H167" i="1"/>
  <c r="H169" i="1"/>
  <c r="H233" i="1"/>
  <c r="H236" i="1"/>
  <c r="H234" i="1"/>
  <c r="H235" i="1"/>
  <c r="H238" i="1"/>
  <c r="H248" i="1"/>
  <c r="H256" i="1"/>
  <c r="H302" i="1"/>
  <c r="H304" i="1"/>
  <c r="H276" i="1"/>
  <c r="H282" i="1"/>
  <c r="H283" i="1"/>
  <c r="H285" i="1"/>
  <c r="H288" i="1"/>
  <c r="H289" i="1"/>
  <c r="H290" i="1"/>
  <c r="H292" i="1"/>
  <c r="H294" i="1"/>
  <c r="H305" i="1"/>
  <c r="H260" i="1"/>
  <c r="H209" i="1"/>
  <c r="H261" i="1"/>
  <c r="H262" i="1"/>
  <c r="H264" i="1"/>
  <c r="H266" i="1"/>
  <c r="H186" i="1"/>
  <c r="I301" i="1"/>
  <c r="I386" i="1"/>
  <c r="I103" i="1"/>
  <c r="I252" i="1"/>
  <c r="I254" i="1"/>
  <c r="I368" i="1"/>
  <c r="I70" i="1"/>
  <c r="I69" i="1"/>
  <c r="I110" i="1"/>
  <c r="I131" i="1"/>
  <c r="I114" i="1"/>
  <c r="I187" i="1"/>
  <c r="I240" i="1"/>
  <c r="I374" i="1"/>
  <c r="I74" i="1"/>
  <c r="I73" i="1"/>
  <c r="I79" i="1"/>
  <c r="I111" i="1"/>
  <c r="I133" i="1"/>
  <c r="I115" i="1"/>
  <c r="I188" i="1"/>
  <c r="I241" i="1"/>
  <c r="I135" i="1"/>
  <c r="I116" i="1"/>
  <c r="I189" i="1"/>
  <c r="I242" i="1"/>
  <c r="I136" i="1"/>
  <c r="I121" i="1"/>
  <c r="I204" i="1"/>
  <c r="I243" i="1"/>
  <c r="I137" i="1"/>
  <c r="I122" i="1"/>
  <c r="I205" i="1"/>
  <c r="I244" i="1"/>
  <c r="I246" i="1"/>
  <c r="I146" i="1"/>
  <c r="I147" i="1"/>
  <c r="I149" i="1"/>
  <c r="I380" i="1"/>
  <c r="I92" i="1"/>
  <c r="I91" i="1"/>
  <c r="I151" i="1"/>
  <c r="I152" i="1"/>
  <c r="I154" i="1"/>
  <c r="I157" i="1"/>
  <c r="H210" i="1"/>
  <c r="I158" i="1"/>
  <c r="H211" i="1"/>
  <c r="I159" i="1"/>
  <c r="I161" i="1"/>
  <c r="I163" i="1"/>
  <c r="I164" i="1"/>
  <c r="I166" i="1"/>
  <c r="I167" i="1"/>
  <c r="I169" i="1"/>
  <c r="I233" i="1"/>
  <c r="I236" i="1"/>
  <c r="I234" i="1"/>
  <c r="I235" i="1"/>
  <c r="I238" i="1"/>
  <c r="I248" i="1"/>
  <c r="I256" i="1"/>
  <c r="I302" i="1"/>
  <c r="I304" i="1"/>
  <c r="I276" i="1"/>
  <c r="I282" i="1"/>
  <c r="I283" i="1"/>
  <c r="I285" i="1"/>
  <c r="I288" i="1"/>
  <c r="I289" i="1"/>
  <c r="I290" i="1"/>
  <c r="I292" i="1"/>
  <c r="I294" i="1"/>
  <c r="I305" i="1"/>
  <c r="I260" i="1"/>
  <c r="I209" i="1"/>
  <c r="I261" i="1"/>
  <c r="I210" i="1"/>
  <c r="I262" i="1"/>
  <c r="I211" i="1"/>
  <c r="I213" i="1"/>
  <c r="I207" i="1"/>
  <c r="D215" i="1"/>
  <c r="E215" i="1"/>
  <c r="F215" i="1"/>
  <c r="G215" i="1"/>
  <c r="H215" i="1"/>
  <c r="I215" i="1"/>
  <c r="I217" i="1"/>
  <c r="D219" i="1"/>
  <c r="E219" i="1"/>
  <c r="F219" i="1"/>
  <c r="G219" i="1"/>
  <c r="H219" i="1"/>
  <c r="I219" i="1"/>
  <c r="I221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I196" i="1"/>
  <c r="E199" i="1"/>
  <c r="F199" i="1"/>
  <c r="G199" i="1"/>
  <c r="H199" i="1"/>
  <c r="I199" i="1"/>
  <c r="I264" i="1"/>
  <c r="I266" i="1"/>
  <c r="I186" i="1"/>
  <c r="I191" i="1"/>
  <c r="D198" i="1"/>
  <c r="E198" i="1"/>
  <c r="F198" i="1"/>
  <c r="G198" i="1"/>
  <c r="H198" i="1"/>
  <c r="I198" i="1"/>
  <c r="I201" i="1"/>
  <c r="H213" i="1"/>
  <c r="H207" i="1"/>
  <c r="H217" i="1"/>
  <c r="H221" i="1"/>
  <c r="H196" i="1"/>
  <c r="H191" i="1"/>
  <c r="H201" i="1"/>
  <c r="G213" i="1"/>
  <c r="G207" i="1"/>
  <c r="G217" i="1"/>
  <c r="G221" i="1"/>
  <c r="G196" i="1"/>
  <c r="G191" i="1"/>
  <c r="G201" i="1"/>
  <c r="F213" i="1"/>
  <c r="F207" i="1"/>
  <c r="F217" i="1"/>
  <c r="F221" i="1"/>
  <c r="F196" i="1"/>
  <c r="F191" i="1"/>
  <c r="F201" i="1"/>
  <c r="E213" i="1"/>
  <c r="E207" i="1"/>
  <c r="E217" i="1"/>
  <c r="E221" i="1"/>
  <c r="E196" i="1"/>
  <c r="E191" i="1"/>
  <c r="E201" i="1"/>
  <c r="D213" i="1"/>
  <c r="D207" i="1"/>
  <c r="D217" i="1"/>
  <c r="D221" i="1"/>
  <c r="D191" i="1"/>
  <c r="D196" i="1"/>
  <c r="D201" i="1"/>
  <c r="D223" i="1"/>
  <c r="E223" i="1"/>
  <c r="F223" i="1"/>
  <c r="G223" i="1"/>
  <c r="H223" i="1"/>
  <c r="I223" i="1"/>
  <c r="B2" i="1"/>
  <c r="B191" i="1"/>
  <c r="B196" i="1"/>
  <c r="B201" i="1"/>
  <c r="B207" i="1"/>
  <c r="B213" i="1"/>
  <c r="B217" i="1"/>
  <c r="B3" i="1"/>
  <c r="I307" i="1"/>
  <c r="I295" i="1"/>
  <c r="I297" i="1"/>
  <c r="H307" i="1"/>
  <c r="H295" i="1"/>
  <c r="H297" i="1"/>
  <c r="G307" i="1"/>
  <c r="G295" i="1"/>
  <c r="G297" i="1"/>
  <c r="F307" i="1"/>
  <c r="F295" i="1"/>
  <c r="F297" i="1"/>
  <c r="E307" i="1"/>
  <c r="E295" i="1"/>
  <c r="E297" i="1"/>
  <c r="E309" i="1"/>
  <c r="F309" i="1"/>
  <c r="G309" i="1"/>
  <c r="H309" i="1"/>
  <c r="I309" i="1"/>
  <c r="B4" i="1"/>
  <c r="H401" i="1"/>
  <c r="H411" i="1"/>
  <c r="H413" i="1"/>
  <c r="B5" i="1"/>
  <c r="B22" i="1"/>
  <c r="B23" i="1"/>
  <c r="B24" i="1"/>
  <c r="B25" i="1"/>
  <c r="B29" i="1"/>
  <c r="F22" i="1"/>
  <c r="F23" i="1"/>
  <c r="F24" i="1"/>
  <c r="F25" i="1"/>
  <c r="F26" i="1"/>
  <c r="F27" i="1"/>
  <c r="F29" i="1"/>
  <c r="B6" i="1"/>
  <c r="E317" i="1"/>
  <c r="E175" i="1"/>
  <c r="E318" i="1"/>
  <c r="E176" i="1"/>
  <c r="E319" i="1"/>
  <c r="E321" i="1"/>
  <c r="E322" i="1"/>
  <c r="E324" i="1"/>
  <c r="C325" i="1"/>
  <c r="E325" i="1"/>
  <c r="E326" i="1"/>
  <c r="E328" i="1"/>
  <c r="E314" i="1"/>
  <c r="E340" i="1"/>
  <c r="E343" i="1"/>
  <c r="F317" i="1"/>
  <c r="F175" i="1"/>
  <c r="F318" i="1"/>
  <c r="F176" i="1"/>
  <c r="F319" i="1"/>
  <c r="F321" i="1"/>
  <c r="F322" i="1"/>
  <c r="F324" i="1"/>
  <c r="F325" i="1"/>
  <c r="F326" i="1"/>
  <c r="F328" i="1"/>
  <c r="F314" i="1"/>
  <c r="F340" i="1"/>
  <c r="F343" i="1"/>
  <c r="G317" i="1"/>
  <c r="G175" i="1"/>
  <c r="G318" i="1"/>
  <c r="G176" i="1"/>
  <c r="G319" i="1"/>
  <c r="G321" i="1"/>
  <c r="G322" i="1"/>
  <c r="G324" i="1"/>
  <c r="G325" i="1"/>
  <c r="G326" i="1"/>
  <c r="G328" i="1"/>
  <c r="G314" i="1"/>
  <c r="G340" i="1"/>
  <c r="G343" i="1"/>
  <c r="H317" i="1"/>
  <c r="H175" i="1"/>
  <c r="H318" i="1"/>
  <c r="H176" i="1"/>
  <c r="H319" i="1"/>
  <c r="H321" i="1"/>
  <c r="H322" i="1"/>
  <c r="H324" i="1"/>
  <c r="H325" i="1"/>
  <c r="H326" i="1"/>
  <c r="H328" i="1"/>
  <c r="H314" i="1"/>
  <c r="H340" i="1"/>
  <c r="H343" i="1"/>
  <c r="I317" i="1"/>
  <c r="I175" i="1"/>
  <c r="I318" i="1"/>
  <c r="I176" i="1"/>
  <c r="I319" i="1"/>
  <c r="I321" i="1"/>
  <c r="I322" i="1"/>
  <c r="I324" i="1"/>
  <c r="I325" i="1"/>
  <c r="I326" i="1"/>
  <c r="I328" i="1"/>
  <c r="I314" i="1"/>
  <c r="I340" i="1"/>
  <c r="I334" i="1"/>
  <c r="I336" i="1"/>
  <c r="I341" i="1"/>
  <c r="I343" i="1"/>
  <c r="B346" i="1"/>
  <c r="B347" i="1"/>
  <c r="B349" i="1"/>
  <c r="B350" i="1"/>
  <c r="B351" i="1"/>
  <c r="H347" i="1"/>
  <c r="F350" i="1"/>
  <c r="H350" i="1"/>
  <c r="B7" i="1"/>
  <c r="B8" i="1"/>
  <c r="B10" i="1"/>
  <c r="A13" i="1"/>
  <c r="D157" i="1"/>
  <c r="D158" i="1"/>
  <c r="D159" i="1"/>
  <c r="D161" i="1"/>
  <c r="D57" i="1"/>
  <c r="D83" i="1"/>
  <c r="D96" i="1"/>
  <c r="D52" i="1"/>
  <c r="D56" i="1"/>
  <c r="D62" i="1"/>
  <c r="I83" i="1"/>
  <c r="I96" i="1"/>
  <c r="I52" i="1"/>
  <c r="I56" i="1"/>
  <c r="I57" i="1"/>
  <c r="I62" i="1"/>
  <c r="H83" i="1"/>
  <c r="H96" i="1"/>
  <c r="H52" i="1"/>
  <c r="H56" i="1"/>
  <c r="H57" i="1"/>
  <c r="H62" i="1"/>
  <c r="G83" i="1"/>
  <c r="G96" i="1"/>
  <c r="G52" i="1"/>
  <c r="G56" i="1"/>
  <c r="G57" i="1"/>
  <c r="G62" i="1"/>
  <c r="F83" i="1"/>
  <c r="F96" i="1"/>
  <c r="F52" i="1"/>
  <c r="F56" i="1"/>
  <c r="F57" i="1"/>
  <c r="F62" i="1"/>
  <c r="E83" i="1"/>
  <c r="E96" i="1"/>
  <c r="E52" i="1"/>
  <c r="E56" i="1"/>
  <c r="E57" i="1"/>
  <c r="E62" i="1"/>
  <c r="D61" i="1"/>
  <c r="I61" i="1"/>
  <c r="H61" i="1"/>
  <c r="G61" i="1"/>
  <c r="F61" i="1"/>
  <c r="E61" i="1"/>
  <c r="D59" i="1"/>
  <c r="D60" i="1"/>
  <c r="I59" i="1"/>
  <c r="I60" i="1"/>
  <c r="H59" i="1"/>
  <c r="H60" i="1"/>
  <c r="G59" i="1"/>
  <c r="G60" i="1"/>
  <c r="F59" i="1"/>
  <c r="F60" i="1"/>
  <c r="E59" i="1"/>
  <c r="E60" i="1"/>
  <c r="D146" i="1"/>
  <c r="D147" i="1"/>
  <c r="D149" i="1"/>
  <c r="D151" i="1"/>
  <c r="D152" i="1"/>
  <c r="D154" i="1"/>
  <c r="D174" i="1"/>
  <c r="D175" i="1"/>
  <c r="D176" i="1"/>
  <c r="D178" i="1"/>
  <c r="D170" i="1"/>
  <c r="D164" i="1"/>
  <c r="D163" i="1"/>
  <c r="C56" i="1"/>
  <c r="B56" i="1"/>
  <c r="I54" i="1"/>
  <c r="H54" i="1"/>
  <c r="G54" i="1"/>
  <c r="F54" i="1"/>
  <c r="E54" i="1"/>
  <c r="C83" i="1"/>
  <c r="C96" i="1"/>
  <c r="C52" i="1"/>
  <c r="D54" i="1"/>
  <c r="B83" i="1"/>
  <c r="B96" i="1"/>
  <c r="B52" i="1"/>
  <c r="C54" i="1"/>
  <c r="I49" i="1"/>
  <c r="I53" i="1"/>
  <c r="H49" i="1"/>
  <c r="H53" i="1"/>
  <c r="G49" i="1"/>
  <c r="G53" i="1"/>
  <c r="F49" i="1"/>
  <c r="F53" i="1"/>
  <c r="E49" i="1"/>
  <c r="E53" i="1"/>
  <c r="D49" i="1"/>
  <c r="D53" i="1"/>
  <c r="C49" i="1"/>
  <c r="C53" i="1"/>
  <c r="B49" i="1"/>
  <c r="B53" i="1"/>
  <c r="I50" i="1"/>
  <c r="H50" i="1"/>
  <c r="G50" i="1"/>
  <c r="F50" i="1"/>
  <c r="E50" i="1"/>
  <c r="D50" i="1"/>
  <c r="C50" i="1"/>
  <c r="F67" i="1"/>
  <c r="G67" i="1"/>
  <c r="H67" i="1"/>
  <c r="I67" i="1"/>
  <c r="I48" i="1"/>
  <c r="H48" i="1"/>
  <c r="G48" i="1"/>
  <c r="F48" i="1"/>
  <c r="E48" i="1"/>
  <c r="D67" i="1"/>
  <c r="D48" i="1"/>
  <c r="C67" i="1"/>
  <c r="C48" i="1"/>
  <c r="B67" i="1"/>
  <c r="B48" i="1"/>
  <c r="D42" i="1"/>
  <c r="D44" i="1"/>
  <c r="D43" i="1"/>
  <c r="D33" i="1"/>
  <c r="C37" i="1"/>
  <c r="C39" i="1"/>
  <c r="C40" i="1"/>
  <c r="C42" i="1"/>
  <c r="C44" i="1"/>
  <c r="C43" i="1"/>
  <c r="D27" i="1"/>
  <c r="D26" i="1"/>
  <c r="D25" i="1"/>
  <c r="D24" i="1"/>
  <c r="D23" i="1"/>
  <c r="D22" i="1"/>
  <c r="A25" i="1"/>
  <c r="A24" i="1"/>
  <c r="A23" i="1"/>
  <c r="A22" i="1"/>
  <c r="A21" i="1"/>
  <c r="E393" i="1"/>
  <c r="H393" i="1"/>
  <c r="C17" i="1"/>
  <c r="B368" i="1"/>
  <c r="C16" i="1"/>
  <c r="B17" i="1"/>
  <c r="B16" i="1"/>
  <c r="B184" i="1"/>
  <c r="C213" i="1"/>
  <c r="C207" i="1"/>
  <c r="C217" i="1"/>
  <c r="C221" i="1"/>
  <c r="C196" i="1"/>
  <c r="C191" i="1"/>
  <c r="C201" i="1"/>
  <c r="C223" i="1"/>
  <c r="B221" i="1"/>
  <c r="B223" i="1"/>
  <c r="H417" i="1"/>
  <c r="H416" i="1"/>
  <c r="E391" i="1"/>
  <c r="H391" i="1"/>
  <c r="F401" i="1"/>
  <c r="F408" i="1"/>
  <c r="F409" i="1"/>
  <c r="F405" i="1"/>
  <c r="F411" i="1"/>
  <c r="F413" i="1"/>
  <c r="E411" i="1"/>
  <c r="E413" i="1"/>
  <c r="D401" i="1"/>
  <c r="D411" i="1"/>
  <c r="D413" i="1"/>
  <c r="F393" i="1"/>
  <c r="F391" i="1"/>
  <c r="I347" i="1"/>
  <c r="F351" i="1"/>
  <c r="F352" i="1"/>
  <c r="I352" i="1"/>
  <c r="H352" i="1"/>
  <c r="G347" i="1"/>
  <c r="G352" i="1"/>
  <c r="I351" i="1"/>
  <c r="H351" i="1"/>
  <c r="G351" i="1"/>
  <c r="I350" i="1"/>
  <c r="G350" i="1"/>
  <c r="F349" i="1"/>
  <c r="I349" i="1"/>
  <c r="H349" i="1"/>
  <c r="G349" i="1"/>
  <c r="F348" i="1"/>
  <c r="I348" i="1"/>
  <c r="H348" i="1"/>
  <c r="G348" i="1"/>
  <c r="F170" i="1"/>
  <c r="C346" i="1"/>
  <c r="I337" i="1"/>
  <c r="E174" i="1"/>
  <c r="I313" i="1"/>
  <c r="H313" i="1"/>
  <c r="G313" i="1"/>
  <c r="F313" i="1"/>
  <c r="E313" i="1"/>
  <c r="D313" i="1"/>
  <c r="F174" i="1"/>
  <c r="G174" i="1"/>
  <c r="H174" i="1"/>
  <c r="I174" i="1"/>
  <c r="D343" i="1"/>
  <c r="B386" i="1"/>
  <c r="A386" i="1"/>
  <c r="B380" i="1"/>
  <c r="A380" i="1"/>
  <c r="B374" i="1"/>
  <c r="A374" i="1"/>
  <c r="A368" i="1"/>
  <c r="I382" i="1"/>
  <c r="H382" i="1"/>
  <c r="G382" i="1"/>
  <c r="F382" i="1"/>
  <c r="E382" i="1"/>
  <c r="I376" i="1"/>
  <c r="H376" i="1"/>
  <c r="G376" i="1"/>
  <c r="F376" i="1"/>
  <c r="E376" i="1"/>
  <c r="I370" i="1"/>
  <c r="H370" i="1"/>
  <c r="G370" i="1"/>
  <c r="F370" i="1"/>
  <c r="E370" i="1"/>
  <c r="I364" i="1"/>
  <c r="H364" i="1"/>
  <c r="G364" i="1"/>
  <c r="F364" i="1"/>
  <c r="E364" i="1"/>
  <c r="I273" i="1"/>
  <c r="H273" i="1"/>
  <c r="G273" i="1"/>
  <c r="F273" i="1"/>
  <c r="E273" i="1"/>
  <c r="A292" i="1"/>
  <c r="A290" i="1"/>
  <c r="A289" i="1"/>
  <c r="A288" i="1"/>
  <c r="A285" i="1"/>
  <c r="A283" i="1"/>
  <c r="A282" i="1"/>
  <c r="A277" i="1"/>
  <c r="A276" i="1"/>
  <c r="A234" i="1"/>
  <c r="I229" i="1"/>
  <c r="H229" i="1"/>
  <c r="G229" i="1"/>
  <c r="F229" i="1"/>
  <c r="E229" i="1"/>
  <c r="A262" i="1"/>
  <c r="A261" i="1"/>
  <c r="A260" i="1"/>
  <c r="A244" i="1"/>
  <c r="A243" i="1"/>
  <c r="A242" i="1"/>
  <c r="A241" i="1"/>
  <c r="A240" i="1"/>
  <c r="A235" i="1"/>
  <c r="A233" i="1"/>
  <c r="H118" i="1"/>
  <c r="H124" i="1"/>
  <c r="H127" i="1"/>
  <c r="I118" i="1"/>
  <c r="I124" i="1"/>
  <c r="I127" i="1"/>
  <c r="I128" i="1"/>
  <c r="G118" i="1"/>
  <c r="G124" i="1"/>
  <c r="G127" i="1"/>
  <c r="H128" i="1"/>
  <c r="F118" i="1"/>
  <c r="F124" i="1"/>
  <c r="F127" i="1"/>
  <c r="G128" i="1"/>
  <c r="E118" i="1"/>
  <c r="E124" i="1"/>
  <c r="E127" i="1"/>
  <c r="F128" i="1"/>
  <c r="D118" i="1"/>
  <c r="D124" i="1"/>
  <c r="D127" i="1"/>
  <c r="E128" i="1"/>
  <c r="I134" i="1"/>
  <c r="H134" i="1"/>
  <c r="G134" i="1"/>
  <c r="F134" i="1"/>
  <c r="E134" i="1"/>
  <c r="D134" i="1"/>
  <c r="I132" i="1"/>
  <c r="H132" i="1"/>
  <c r="G132" i="1"/>
  <c r="F132" i="1"/>
  <c r="E132" i="1"/>
  <c r="D132" i="1"/>
  <c r="A124" i="1"/>
  <c r="A122" i="1"/>
  <c r="A121" i="1"/>
  <c r="A118" i="1"/>
  <c r="A116" i="1"/>
  <c r="A115" i="1"/>
  <c r="A114" i="1"/>
  <c r="I108" i="1"/>
  <c r="H108" i="1"/>
  <c r="G108" i="1"/>
  <c r="F108" i="1"/>
  <c r="E108" i="1"/>
  <c r="D108" i="1"/>
  <c r="I144" i="1"/>
  <c r="H144" i="1"/>
  <c r="G144" i="1"/>
  <c r="F144" i="1"/>
  <c r="E144" i="1"/>
  <c r="D144" i="1"/>
  <c r="I178" i="1"/>
  <c r="H178" i="1"/>
  <c r="G178" i="1"/>
  <c r="F178" i="1"/>
  <c r="E178" i="1"/>
  <c r="G170" i="1"/>
  <c r="H170" i="1"/>
  <c r="I170" i="1"/>
  <c r="A174" i="1"/>
  <c r="I104" i="1"/>
  <c r="H104" i="1"/>
  <c r="G104" i="1"/>
  <c r="F104" i="1"/>
  <c r="E104" i="1"/>
  <c r="I100" i="1"/>
  <c r="I101" i="1"/>
  <c r="H100" i="1"/>
  <c r="H101" i="1"/>
  <c r="G100" i="1"/>
  <c r="G101" i="1"/>
  <c r="F100" i="1"/>
  <c r="F101" i="1"/>
  <c r="E100" i="1"/>
  <c r="E101" i="1"/>
  <c r="I98" i="1"/>
  <c r="H98" i="1"/>
  <c r="G98" i="1"/>
  <c r="F98" i="1"/>
  <c r="E98" i="1"/>
  <c r="I97" i="1"/>
  <c r="H97" i="1"/>
  <c r="G97" i="1"/>
  <c r="F97" i="1"/>
  <c r="E97" i="1"/>
  <c r="I86" i="1"/>
  <c r="I88" i="1"/>
  <c r="I89" i="1"/>
  <c r="H86" i="1"/>
  <c r="H88" i="1"/>
  <c r="H89" i="1"/>
  <c r="G86" i="1"/>
  <c r="G88" i="1"/>
  <c r="G89" i="1"/>
  <c r="F86" i="1"/>
  <c r="F88" i="1"/>
  <c r="F89" i="1"/>
  <c r="E86" i="1"/>
  <c r="E88" i="1"/>
  <c r="E89" i="1"/>
  <c r="I84" i="1"/>
  <c r="H84" i="1"/>
  <c r="G84" i="1"/>
  <c r="F84" i="1"/>
  <c r="E84" i="1"/>
  <c r="I80" i="1"/>
  <c r="H80" i="1"/>
  <c r="G80" i="1"/>
  <c r="F80" i="1"/>
  <c r="E80" i="1"/>
  <c r="I77" i="1"/>
  <c r="H77" i="1"/>
  <c r="G77" i="1"/>
  <c r="F77" i="1"/>
  <c r="E77" i="1"/>
  <c r="D104" i="1"/>
  <c r="C104" i="1"/>
  <c r="B104" i="1"/>
  <c r="D100" i="1"/>
  <c r="D101" i="1"/>
  <c r="C100" i="1"/>
  <c r="C101" i="1"/>
  <c r="B100" i="1"/>
  <c r="B101" i="1"/>
  <c r="D98" i="1"/>
  <c r="C98" i="1"/>
  <c r="D97" i="1"/>
  <c r="C97" i="1"/>
  <c r="B97" i="1"/>
  <c r="D92" i="1"/>
  <c r="C92" i="1"/>
  <c r="B92" i="1"/>
  <c r="D86" i="1"/>
  <c r="D88" i="1"/>
  <c r="D89" i="1"/>
  <c r="C86" i="1"/>
  <c r="C88" i="1"/>
  <c r="C89" i="1"/>
  <c r="B86" i="1"/>
  <c r="B88" i="1"/>
  <c r="B89" i="1"/>
  <c r="D84" i="1"/>
  <c r="C84" i="1"/>
  <c r="B84" i="1"/>
  <c r="D80" i="1"/>
  <c r="C79" i="1"/>
  <c r="C80" i="1"/>
  <c r="B79" i="1"/>
  <c r="B80" i="1"/>
  <c r="D77" i="1"/>
  <c r="C77" i="1"/>
  <c r="B77" i="1"/>
  <c r="D74" i="1"/>
  <c r="C74" i="1"/>
  <c r="B74" i="1"/>
  <c r="D70" i="1"/>
  <c r="C70" i="1"/>
  <c r="D166" i="1"/>
  <c r="D167" i="1"/>
  <c r="D169" i="1"/>
  <c r="D171" i="1"/>
  <c r="D58" i="1"/>
  <c r="E171" i="1"/>
  <c r="E58" i="1"/>
  <c r="F171" i="1"/>
  <c r="F58" i="1"/>
  <c r="G171" i="1"/>
  <c r="G58" i="1"/>
  <c r="H171" i="1"/>
  <c r="H58" i="1"/>
  <c r="I171" i="1"/>
  <c r="I58" i="1"/>
  <c r="C351" i="1"/>
</calcChain>
</file>

<file path=xl/comments1.xml><?xml version="1.0" encoding="utf-8"?>
<comments xmlns="http://schemas.openxmlformats.org/spreadsheetml/2006/main">
  <authors>
    <author>DealMaven</author>
  </authors>
  <commentList>
    <comment ref="B350" authorId="0">
      <text>
        <r>
          <rPr>
            <b/>
            <sz val="8"/>
            <color indexed="81"/>
            <rFont val="Tahoma"/>
          </rPr>
          <t>DealMaven:
Note: If the # of shares changed in the deal, you'd want the PreDeal shares here.</t>
        </r>
      </text>
    </comment>
    <comment ref="A365" authorId="0">
      <text>
        <r>
          <rPr>
            <b/>
            <sz val="8"/>
            <color indexed="81"/>
            <rFont val="Tahoma"/>
          </rPr>
          <t>DealMaven:</t>
        </r>
        <r>
          <rPr>
            <sz val="8"/>
            <color indexed="81"/>
            <rFont val="Tahoma"/>
          </rPr>
          <t xml:space="preserve">
Link this row to the output of the operating buildup worksheet, if applicable.</t>
        </r>
      </text>
    </comment>
    <comment ref="A371" authorId="0">
      <text>
        <r>
          <rPr>
            <b/>
            <sz val="8"/>
            <color indexed="81"/>
            <rFont val="Tahoma"/>
          </rPr>
          <t>DealMaven:</t>
        </r>
        <r>
          <rPr>
            <sz val="8"/>
            <color indexed="81"/>
            <rFont val="Tahoma"/>
          </rPr>
          <t xml:space="preserve">
Link this row to the output of the operating buildup worksheet, if applicable.</t>
        </r>
      </text>
    </comment>
    <comment ref="A377" authorId="0">
      <text>
        <r>
          <rPr>
            <b/>
            <sz val="8"/>
            <color indexed="81"/>
            <rFont val="Tahoma"/>
          </rPr>
          <t>DealMaven:</t>
        </r>
        <r>
          <rPr>
            <sz val="8"/>
            <color indexed="81"/>
            <rFont val="Tahoma"/>
          </rPr>
          <t xml:space="preserve">
Link this row to the output of the operating buildup worksheet, if applicable.</t>
        </r>
      </text>
    </comment>
    <comment ref="A383" authorId="0">
      <text>
        <r>
          <rPr>
            <b/>
            <sz val="8"/>
            <color indexed="81"/>
            <rFont val="Tahoma"/>
          </rPr>
          <t>DealMaven:</t>
        </r>
        <r>
          <rPr>
            <sz val="8"/>
            <color indexed="81"/>
            <rFont val="Tahoma"/>
          </rPr>
          <t xml:space="preserve">
Link this row to the output of the operating buildup worksheet, if applicable.</t>
        </r>
      </text>
    </comment>
    <comment ref="C391" authorId="0">
      <text>
        <r>
          <rPr>
            <b/>
            <sz val="8"/>
            <color indexed="81"/>
            <rFont val="Tahoma"/>
          </rPr>
          <t>DealMaven:
Used as marker for offset function.
Don't delete column either.  Also, needs to be exactly one column to the left of case one.</t>
        </r>
      </text>
    </comment>
    <comment ref="C393" authorId="0">
      <text>
        <r>
          <rPr>
            <b/>
            <sz val="8"/>
            <color indexed="81"/>
            <rFont val="Tahoma"/>
          </rPr>
          <t>DealMaven:
Used as marker for offset function.
Don't delete column either.  Also, needs to be exactly one column to the left of case one.</t>
        </r>
      </text>
    </comment>
  </commentList>
</comments>
</file>

<file path=xl/sharedStrings.xml><?xml version="1.0" encoding="utf-8"?>
<sst xmlns="http://schemas.openxmlformats.org/spreadsheetml/2006/main" count="475" uniqueCount="225">
  <si>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</si>
  <si>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</si>
  <si>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</si>
  <si>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</si>
  <si>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</si>
  <si>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</si>
  <si>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</si>
  <si>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</si>
  <si>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</si>
  <si>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</si>
  <si>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Gross Profit:</t>
  </si>
  <si>
    <t xml:space="preserve">  Cash Gross Profit</t>
  </si>
  <si>
    <t xml:space="preserve">    Margin</t>
  </si>
  <si>
    <t xml:space="preserve">  Less: Depreciation</t>
  </si>
  <si>
    <t xml:space="preserve">  Total Gross Profit</t>
  </si>
  <si>
    <t>SG&amp;A</t>
  </si>
  <si>
    <t xml:space="preserve">  % Sales</t>
  </si>
  <si>
    <t>Existing Amortization</t>
  </si>
  <si>
    <t>EBITDA</t>
  </si>
  <si>
    <t xml:space="preserve">  Margin</t>
  </si>
  <si>
    <t>Operating Profit (EBIT)</t>
  </si>
  <si>
    <t>Capital Expenditures</t>
  </si>
  <si>
    <t xml:space="preserve">  % of Sales</t>
  </si>
  <si>
    <t>------</t>
  </si>
  <si>
    <t>BALANCE SHEETS</t>
  </si>
  <si>
    <t>ASSETS:</t>
  </si>
  <si>
    <t>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</si>
  <si>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</si>
  <si>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</si>
  <si>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</si>
  <si>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</si>
  <si>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</si>
  <si>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</si>
  <si>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</si>
  <si>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</si>
  <si>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</si>
  <si>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</si>
  <si>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</si>
  <si>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</si>
  <si>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</si>
  <si>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</si>
  <si>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</si>
  <si>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</si>
  <si>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</si>
  <si>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</si>
  <si>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</si>
  <si>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</si>
  <si>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</si>
  <si>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</si>
  <si>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</si>
  <si>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INCOME STATEMENTS</t>
  </si>
  <si>
    <t>COGS</t>
  </si>
  <si>
    <t>Gross Profit</t>
  </si>
  <si>
    <t>Amortization</t>
  </si>
  <si>
    <t>EBIT</t>
  </si>
  <si>
    <t>Interest &amp; Other Expense / (Income):</t>
  </si>
  <si>
    <t>Rate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</si>
  <si>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</si>
  <si>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</si>
  <si>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</si>
  <si>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</si>
  <si>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Interest Income</t>
  </si>
  <si>
    <t>Financing Costs Amortization</t>
  </si>
  <si>
    <t xml:space="preserve">  Pretax Income</t>
  </si>
  <si>
    <t xml:space="preserve"> 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</si>
  <si>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</si>
  <si>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</si>
  <si>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</si>
  <si>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</si>
  <si>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</si>
  <si>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</si>
  <si>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</si>
  <si>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>Pro Forma</t>
  </si>
  <si>
    <t>WORKING CAPITAL ASSUMPTIONS</t>
  </si>
  <si>
    <t>Sales</t>
  </si>
  <si>
    <t>Total COGS</t>
  </si>
  <si>
    <t>Current Assets</t>
  </si>
  <si>
    <t>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</si>
  <si>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</si>
  <si>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</si>
  <si>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</si>
  <si>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</si>
  <si>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</si>
  <si>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</si>
  <si>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</si>
  <si>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</si>
  <si>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</si>
  <si>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</si>
  <si>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</si>
  <si>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</si>
  <si>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</si>
  <si>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</si>
  <si>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</si>
  <si>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</si>
  <si>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 xml:space="preserve">  Working Capital Impact</t>
  </si>
  <si>
    <t>Cash Flow from Operations</t>
  </si>
  <si>
    <t>Investing Activities:</t>
  </si>
  <si>
    <t xml:space="preserve">  Capital Expenditures</t>
  </si>
  <si>
    <t xml:space="preserve">  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</si>
  <si>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</si>
  <si>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</si>
  <si>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</si>
  <si>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</si>
  <si>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DEBT SCHEDULE</t>
  </si>
  <si>
    <t>Scheduled Debt Retirement</t>
  </si>
  <si>
    <t>USES OF FUNDS</t>
  </si>
  <si>
    <t>Required Debt Retirement</t>
  </si>
  <si>
    <t>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</si>
  <si>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</si>
  <si>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</si>
  <si>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</si>
  <si>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</si>
  <si>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</si>
  <si>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</si>
  <si>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</si>
  <si>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</si>
  <si>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</si>
  <si>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</si>
  <si>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Years to Amortize</t>
  </si>
  <si>
    <t>Prepay?</t>
  </si>
  <si>
    <t>LOOKUP SECTION</t>
  </si>
  <si>
    <t>Operating Case</t>
  </si>
  <si>
    <t>Transaction Case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</si>
  <si>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</si>
  <si>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</si>
  <si>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</si>
  <si>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</si>
  <si>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</si>
  <si>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</si>
  <si>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</si>
  <si>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</si>
  <si>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</si>
  <si>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</si>
  <si>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</si>
  <si>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</si>
  <si>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</si>
  <si>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</si>
  <si>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</si>
  <si>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</si>
  <si>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</si>
  <si>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</si>
  <si>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</si>
  <si>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</si>
  <si>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</si>
  <si>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</si>
  <si>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</si>
  <si>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</si>
  <si>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</si>
  <si>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</si>
  <si>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</si>
  <si>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DCF Value per Share</t>
  </si>
  <si>
    <t xml:space="preserve">  DCF Enterprise Value</t>
  </si>
  <si>
    <t>Terminal</t>
  </si>
  <si>
    <t>Growth</t>
  </si>
  <si>
    <t xml:space="preserve">  Equity Value</t>
  </si>
  <si>
    <t xml:space="preserve">  DCF Value per Share</t>
  </si>
  <si>
    <t>Capital Structure Assumptions</t>
  </si>
  <si>
    <t>Active Case</t>
  </si>
  <si>
    <t>Case</t>
  </si>
  <si>
    <t>don't delete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</si>
  <si>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</si>
  <si>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</si>
  <si>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</si>
  <si>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</si>
  <si>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</si>
  <si>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</si>
  <si>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</si>
  <si>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</si>
  <si>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</si>
  <si>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</si>
  <si>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</si>
  <si>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</si>
  <si>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</si>
  <si>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</si>
  <si>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</si>
  <si>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</si>
  <si>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</si>
  <si>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</si>
  <si>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</si>
  <si>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</si>
  <si>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</si>
  <si>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</si>
  <si>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Incr./</t>
  </si>
  <si>
    <t>(Decr.)</t>
  </si>
  <si>
    <t>ProFma</t>
  </si>
  <si>
    <t>Checks</t>
  </si>
  <si>
    <t xml:space="preserve">  Balances?</t>
  </si>
  <si>
    <t xml:space="preserve">  Bal. Sheet All &gt;0</t>
  </si>
  <si>
    <t xml:space="preserve">  Debt Schedule</t>
  </si>
  <si>
    <t xml:space="preserve">  S&amp;U Lookup</t>
  </si>
  <si>
    <t xml:space="preserve">  S&amp;U Cover</t>
  </si>
  <si>
    <t xml:space="preserve">  DCF Variance</t>
  </si>
  <si>
    <t xml:space="preserve">  Average Interest?</t>
  </si>
  <si>
    <t>Warn if off?</t>
  </si>
  <si>
    <t xml:space="preserve">  Overall Check</t>
  </si>
  <si>
    <t>Model Case Triggers</t>
  </si>
  <si>
    <t>Average Interest?</t>
  </si>
  <si>
    <t>Sources and Uses of Funds</t>
  </si>
  <si>
    <t>Summary Valuation</t>
  </si>
  <si>
    <t>Market</t>
  </si>
  <si>
    <t>DCF</t>
  </si>
  <si>
    <t>Stock Price</t>
  </si>
  <si>
    <t>Shares</t>
  </si>
  <si>
    <t>Options</t>
  </si>
  <si>
    <t>Average Strike</t>
  </si>
  <si>
    <t>Diluted Shares</t>
  </si>
  <si>
    <t>Equity Market Value</t>
  </si>
  <si>
    <t>Net Debt (PreDeal)</t>
  </si>
  <si>
    <t>Enterprise Value</t>
  </si>
  <si>
    <t>1999 EBITDA Mult.</t>
  </si>
  <si>
    <t>2000 EBITDA Mult.</t>
  </si>
  <si>
    <t>Summary Financial Results</t>
  </si>
  <si>
    <t>ProForma</t>
  </si>
  <si>
    <t>Interest Expense</t>
  </si>
  <si>
    <t>EPS</t>
  </si>
  <si>
    <t>Net Debt</t>
  </si>
  <si>
    <t>Net Debt / EBITDA</t>
  </si>
  <si>
    <t>EBITDA / Interest</t>
  </si>
  <si>
    <t>EBITDA less Capex / Interest</t>
  </si>
  <si>
    <t xml:space="preserve">  Shares</t>
  </si>
  <si>
    <t xml:space="preserve">  Less: Net Debt</t>
  </si>
  <si>
    <t>Summary DCF Valuation</t>
  </si>
  <si>
    <t>© 1999-2002 by DealMaven, Inc</t>
  </si>
  <si>
    <t>www.dealmaven.com</t>
  </si>
  <si>
    <t>This analysis is provided for teaching purposes only and is provided without any warranties whatsoever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</si>
</sst>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8" formatCode="#,##0.000_);\(#,##0.000\)"/>
    <numFmt numFmtId="171" formatCode="0.00%;\(0.00%\)"/>
    <numFmt numFmtId="172" formatCode="#,##0\ &quot;years&quot;"/>
    <numFmt numFmtId="173" formatCode="0.0\x;\(0.0\x\)"/>
    <numFmt numFmtId="175" formatCode="&quot;yes&quot;;&quot;ERROR&quot;;&quot;no&quot;;&quot;ERROR&quot;"/>
    <numFmt numFmtId="176" formatCode="0.0\x\ &quot;EBITDA&quot;"/>
    <numFmt numFmtId="177" formatCode="0.0\x\ &quot;Proj EPS&quot;"/>
    <numFmt numFmtId="179" formatCode="#,##0.0_);\(#,##0.0\);&quot;-- &quot;"/>
  </numFmts>
  <fonts count="41" x14ac:knownFonts="1">
    <font>
      <sz val="10"/>
      <name val="Times New Roman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i/>
      <u/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sz val="4"/>
      <color indexed="12"/>
      <name val="times new roman"/>
      <family val="1"/>
    </font>
    <font>
      <sz val="4"/>
      <name val="times new roman"/>
      <family val="1"/>
    </font>
    <font>
      <sz val="6"/>
      <color indexed="12"/>
      <name val="times new roman"/>
      <family val="1"/>
    </font>
    <font>
      <i/>
      <sz val="10"/>
      <color indexed="14"/>
      <name val="times new roman"/>
      <family val="1"/>
    </font>
    <font>
      <i/>
      <sz val="8"/>
      <color indexed="12"/>
      <name val="times new roman"/>
      <family val="1"/>
    </font>
    <font>
      <b/>
      <i/>
      <u/>
      <sz val="10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b/>
      <i/>
      <u/>
      <sz val="10"/>
      <color indexed="12"/>
      <name val="Times New Roman"/>
      <family val="1"/>
    </font>
    <font>
      <b/>
      <u/>
      <sz val="16"/>
      <color indexed="14"/>
      <name val="Times New Roman"/>
      <family val="1"/>
    </font>
    <font>
      <i/>
      <sz val="9"/>
      <color indexed="25"/>
      <name val="times new roman"/>
      <family val="1"/>
    </font>
    <font>
      <u/>
      <sz val="6.5"/>
      <color indexed="12"/>
      <name val="times new roman"/>
    </font>
    <font>
      <i/>
      <sz val="9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64" fontId="6" fillId="0" borderId="0" xfId="0" applyNumberFormat="1" applyFont="1" applyAlignment="1">
      <alignment horizontal="centerContinuous"/>
    </xf>
    <xf numFmtId="164" fontId="1" fillId="0" borderId="0" xfId="0" applyNumberFormat="1" applyFont="1" applyAlignment="1">
      <alignment horizontal="centerContinuous"/>
    </xf>
    <xf numFmtId="164" fontId="7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/>
    <xf numFmtId="164" fontId="8" fillId="0" borderId="0" xfId="0" applyNumberFormat="1" applyFont="1"/>
    <xf numFmtId="164" fontId="10" fillId="0" borderId="0" xfId="0" applyNumberFormat="1" applyFont="1"/>
    <xf numFmtId="166" fontId="7" fillId="0" borderId="0" xfId="0" applyNumberFormat="1" applyFont="1"/>
    <xf numFmtId="166" fontId="0" fillId="0" borderId="0" xfId="0" applyNumberFormat="1"/>
    <xf numFmtId="165" fontId="11" fillId="0" borderId="0" xfId="0" applyNumberFormat="1" applyFont="1" applyAlignment="1"/>
    <xf numFmtId="164" fontId="7" fillId="0" borderId="0" xfId="0" applyNumberFormat="1" applyFont="1" applyAlignment="1"/>
    <xf numFmtId="164" fontId="9" fillId="0" borderId="0" xfId="0" applyNumberFormat="1" applyFont="1"/>
    <xf numFmtId="16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12" fillId="0" borderId="0" xfId="0" applyNumberFormat="1" applyFont="1" applyAlignment="1"/>
    <xf numFmtId="166" fontId="12" fillId="0" borderId="0" xfId="0" applyNumberFormat="1" applyFont="1" applyAlignment="1"/>
    <xf numFmtId="164" fontId="10" fillId="0" borderId="0" xfId="0" applyNumberFormat="1" applyFont="1" applyAlignment="1"/>
    <xf numFmtId="164" fontId="6" fillId="0" borderId="0" xfId="0" applyNumberFormat="1" applyFont="1"/>
    <xf numFmtId="164" fontId="4" fillId="0" borderId="0" xfId="0" applyNumberFormat="1" applyFont="1" applyAlignment="1">
      <alignment horizontal="centerContinuous"/>
    </xf>
    <xf numFmtId="0" fontId="10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7" fillId="0" borderId="0" xfId="0" applyFont="1" applyAlignment="1">
      <alignment horizontal="right"/>
    </xf>
    <xf numFmtId="17" fontId="13" fillId="0" borderId="0" xfId="0" applyNumberFormat="1" applyFont="1"/>
    <xf numFmtId="17" fontId="14" fillId="0" borderId="0" xfId="0" applyNumberFormat="1" applyFont="1"/>
    <xf numFmtId="164" fontId="12" fillId="0" borderId="0" xfId="0" applyNumberFormat="1" applyFont="1"/>
    <xf numFmtId="166" fontId="15" fillId="0" borderId="0" xfId="0" applyNumberFormat="1" applyFont="1"/>
    <xf numFmtId="168" fontId="12" fillId="0" borderId="0" xfId="0" applyNumberFormat="1" applyFont="1"/>
    <xf numFmtId="164" fontId="10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164" fontId="0" fillId="0" borderId="0" xfId="0" applyNumberFormat="1" applyBorder="1"/>
    <xf numFmtId="171" fontId="8" fillId="0" borderId="0" xfId="0" applyNumberFormat="1" applyFont="1" applyBorder="1"/>
    <xf numFmtId="164" fontId="12" fillId="0" borderId="0" xfId="0" applyNumberFormat="1" applyFont="1" applyFill="1" applyAlignment="1"/>
    <xf numFmtId="172" fontId="8" fillId="0" borderId="0" xfId="0" applyNumberFormat="1" applyFont="1" applyBorder="1"/>
    <xf numFmtId="168" fontId="7" fillId="0" borderId="0" xfId="0" applyNumberFormat="1" applyFont="1"/>
    <xf numFmtId="168" fontId="12" fillId="0" borderId="0" xfId="0" applyNumberFormat="1" applyFont="1" applyAlignment="1"/>
    <xf numFmtId="7" fontId="12" fillId="0" borderId="0" xfId="0" applyNumberFormat="1" applyFont="1" applyAlignment="1"/>
    <xf numFmtId="164" fontId="12" fillId="0" borderId="0" xfId="0" applyNumberFormat="1" applyFont="1" applyBorder="1" applyAlignment="1"/>
    <xf numFmtId="164" fontId="7" fillId="0" borderId="0" xfId="0" quotePrefix="1" applyNumberFormat="1" applyFont="1" applyBorder="1" applyAlignment="1">
      <alignment horizontal="right"/>
    </xf>
    <xf numFmtId="164" fontId="12" fillId="0" borderId="1" xfId="0" applyNumberFormat="1" applyFont="1" applyBorder="1"/>
    <xf numFmtId="164" fontId="7" fillId="0" borderId="1" xfId="0" applyNumberFormat="1" applyFont="1" applyBorder="1"/>
    <xf numFmtId="164" fontId="10" fillId="0" borderId="1" xfId="0" applyNumberFormat="1" applyFont="1" applyBorder="1"/>
    <xf numFmtId="164" fontId="16" fillId="0" borderId="2" xfId="0" applyNumberFormat="1" applyFont="1" applyBorder="1"/>
    <xf numFmtId="164" fontId="10" fillId="0" borderId="3" xfId="0" applyNumberFormat="1" applyFont="1" applyBorder="1"/>
    <xf numFmtId="164" fontId="0" fillId="0" borderId="3" xfId="0" applyNumberFormat="1" applyBorder="1"/>
    <xf numFmtId="164" fontId="7" fillId="0" borderId="4" xfId="0" applyNumberFormat="1" applyFont="1" applyBorder="1"/>
    <xf numFmtId="164" fontId="10" fillId="0" borderId="5" xfId="0" applyNumberFormat="1" applyFont="1" applyBorder="1"/>
    <xf numFmtId="164" fontId="0" fillId="0" borderId="5" xfId="0" applyNumberFormat="1" applyBorder="1"/>
    <xf numFmtId="166" fontId="12" fillId="0" borderId="5" xfId="0" applyNumberFormat="1" applyFont="1" applyBorder="1" applyAlignment="1"/>
    <xf numFmtId="164" fontId="0" fillId="0" borderId="6" xfId="0" applyNumberFormat="1" applyBorder="1"/>
    <xf numFmtId="164" fontId="12" fillId="0" borderId="7" xfId="0" applyNumberFormat="1" applyFont="1" applyBorder="1" applyAlignment="1"/>
    <xf numFmtId="164" fontId="7" fillId="0" borderId="7" xfId="0" applyNumberFormat="1" applyFont="1" applyBorder="1" applyAlignment="1">
      <alignment horizontal="right"/>
    </xf>
    <xf numFmtId="166" fontId="12" fillId="0" borderId="8" xfId="0" applyNumberFormat="1" applyFont="1" applyBorder="1" applyAlignment="1"/>
    <xf numFmtId="164" fontId="16" fillId="0" borderId="0" xfId="0" applyNumberFormat="1" applyFont="1"/>
    <xf numFmtId="173" fontId="8" fillId="0" borderId="0" xfId="0" applyNumberFormat="1" applyFont="1"/>
    <xf numFmtId="165" fontId="12" fillId="0" borderId="0" xfId="0" applyNumberFormat="1" applyFont="1"/>
    <xf numFmtId="173" fontId="12" fillId="0" borderId="0" xfId="0" applyNumberFormat="1" applyFont="1" applyAlignment="1">
      <alignment horizontal="right"/>
    </xf>
    <xf numFmtId="165" fontId="17" fillId="0" borderId="0" xfId="0" applyNumberFormat="1" applyFont="1" applyAlignment="1"/>
    <xf numFmtId="0" fontId="16" fillId="0" borderId="0" xfId="0" applyNumberFormat="1" applyFont="1"/>
    <xf numFmtId="166" fontId="12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/>
    <xf numFmtId="164" fontId="0" fillId="0" borderId="0" xfId="0" applyNumberFormat="1" applyAlignment="1">
      <alignment horizontal="centerContinuous"/>
    </xf>
    <xf numFmtId="166" fontId="8" fillId="0" borderId="9" xfId="0" applyNumberFormat="1" applyFont="1" applyBorder="1"/>
    <xf numFmtId="166" fontId="9" fillId="0" borderId="10" xfId="0" applyNumberFormat="1" applyFont="1" applyBorder="1"/>
    <xf numFmtId="0" fontId="10" fillId="0" borderId="0" xfId="0" applyFont="1"/>
    <xf numFmtId="0" fontId="13" fillId="0" borderId="11" xfId="0" applyNumberFormat="1" applyFont="1" applyBorder="1" applyAlignment="1">
      <alignment horizontal="center"/>
    </xf>
    <xf numFmtId="164" fontId="7" fillId="0" borderId="0" xfId="0" applyNumberFormat="1" applyFont="1" applyFill="1" applyBorder="1"/>
    <xf numFmtId="164" fontId="7" fillId="0" borderId="0" xfId="0" quotePrefix="1" applyNumberFormat="1" applyFont="1" applyFill="1" applyBorder="1" applyAlignment="1">
      <alignment horizontal="right"/>
    </xf>
    <xf numFmtId="164" fontId="12" fillId="0" borderId="0" xfId="0" applyNumberFormat="1" applyFont="1" applyFill="1" applyBorder="1"/>
    <xf numFmtId="0" fontId="8" fillId="0" borderId="12" xfId="0" applyFont="1" applyFill="1" applyBorder="1" applyAlignment="1">
      <alignment horizontal="center"/>
    </xf>
    <xf numFmtId="164" fontId="17" fillId="0" borderId="0" xfId="0" applyNumberFormat="1" applyFont="1" applyAlignment="1">
      <alignment horizontal="right"/>
    </xf>
    <xf numFmtId="164" fontId="17" fillId="0" borderId="0" xfId="0" applyNumberFormat="1" applyFont="1" applyFill="1" applyAlignment="1">
      <alignment horizontal="right"/>
    </xf>
    <xf numFmtId="164" fontId="19" fillId="0" borderId="0" xfId="0" applyNumberFormat="1" applyFont="1" applyFill="1" applyAlignment="1"/>
    <xf numFmtId="175" fontId="7" fillId="0" borderId="13" xfId="0" applyNumberFormat="1" applyFont="1" applyBorder="1"/>
    <xf numFmtId="175" fontId="7" fillId="0" borderId="14" xfId="0" applyNumberFormat="1" applyFont="1" applyBorder="1"/>
    <xf numFmtId="166" fontId="15" fillId="0" borderId="0" xfId="0" applyNumberFormat="1" applyFont="1" applyAlignment="1"/>
    <xf numFmtId="164" fontId="7" fillId="2" borderId="0" xfId="0" applyNumberFormat="1" applyFont="1" applyFill="1"/>
    <xf numFmtId="164" fontId="7" fillId="0" borderId="0" xfId="0" applyNumberFormat="1" applyFont="1" applyFill="1"/>
    <xf numFmtId="164" fontId="6" fillId="2" borderId="15" xfId="0" applyNumberFormat="1" applyFont="1" applyFill="1" applyBorder="1"/>
    <xf numFmtId="164" fontId="10" fillId="2" borderId="15" xfId="0" applyNumberFormat="1" applyFont="1" applyFill="1" applyBorder="1"/>
    <xf numFmtId="164" fontId="10" fillId="2" borderId="0" xfId="0" applyNumberFormat="1" applyFont="1" applyFill="1"/>
    <xf numFmtId="164" fontId="20" fillId="2" borderId="16" xfId="0" applyNumberFormat="1" applyFont="1" applyFill="1" applyBorder="1"/>
    <xf numFmtId="37" fontId="20" fillId="2" borderId="17" xfId="0" applyNumberFormat="1" applyFont="1" applyFill="1" applyBorder="1"/>
    <xf numFmtId="164" fontId="20" fillId="2" borderId="18" xfId="0" applyNumberFormat="1" applyFont="1" applyFill="1" applyBorder="1"/>
    <xf numFmtId="37" fontId="20" fillId="2" borderId="19" xfId="0" applyNumberFormat="1" applyFont="1" applyFill="1" applyBorder="1"/>
    <xf numFmtId="164" fontId="6" fillId="2" borderId="3" xfId="0" applyNumberFormat="1" applyFont="1" applyFill="1" applyBorder="1"/>
    <xf numFmtId="164" fontId="10" fillId="2" borderId="3" xfId="0" applyNumberFormat="1" applyFont="1" applyFill="1" applyBorder="1"/>
    <xf numFmtId="164" fontId="2" fillId="2" borderId="0" xfId="0" applyNumberFormat="1" applyFont="1" applyFill="1"/>
    <xf numFmtId="0" fontId="14" fillId="2" borderId="0" xfId="0" applyNumberFormat="1" applyFont="1" applyFill="1" applyAlignment="1"/>
    <xf numFmtId="37" fontId="7" fillId="2" borderId="0" xfId="0" applyNumberFormat="1" applyFont="1" applyFill="1"/>
    <xf numFmtId="165" fontId="7" fillId="2" borderId="0" xfId="0" applyNumberFormat="1" applyFont="1" applyFill="1" applyAlignment="1"/>
    <xf numFmtId="37" fontId="12" fillId="2" borderId="0" xfId="0" applyNumberFormat="1" applyFont="1" applyFill="1"/>
    <xf numFmtId="165" fontId="19" fillId="2" borderId="0" xfId="0" applyNumberFormat="1" applyFont="1" applyFill="1"/>
    <xf numFmtId="164" fontId="12" fillId="2" borderId="0" xfId="0" applyNumberFormat="1" applyFont="1" applyFill="1"/>
    <xf numFmtId="165" fontId="7" fillId="2" borderId="0" xfId="0" applyNumberFormat="1" applyFont="1" applyFill="1"/>
    <xf numFmtId="37" fontId="12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/>
    <xf numFmtId="164" fontId="19" fillId="2" borderId="0" xfId="0" applyNumberFormat="1" applyFont="1" applyFill="1" applyAlignment="1"/>
    <xf numFmtId="164" fontId="6" fillId="0" borderId="0" xfId="0" applyNumberFormat="1" applyFont="1" applyFill="1" applyAlignment="1">
      <alignment horizontal="centerContinuous"/>
    </xf>
    <xf numFmtId="164" fontId="2" fillId="0" borderId="0" xfId="0" applyNumberFormat="1" applyFont="1" applyFill="1"/>
    <xf numFmtId="0" fontId="10" fillId="0" borderId="0" xfId="0" applyFont="1" applyFill="1"/>
    <xf numFmtId="164" fontId="7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centerContinuous"/>
    </xf>
    <xf numFmtId="0" fontId="10" fillId="0" borderId="0" xfId="0" applyNumberFormat="1" applyFont="1" applyFill="1"/>
    <xf numFmtId="0" fontId="3" fillId="0" borderId="0" xfId="0" applyNumberFormat="1" applyFont="1" applyFill="1" applyAlignment="1"/>
    <xf numFmtId="0" fontId="23" fillId="0" borderId="0" xfId="0" applyNumberFormat="1" applyFont="1" applyFill="1"/>
    <xf numFmtId="0" fontId="23" fillId="0" borderId="0" xfId="0" applyFont="1" applyFill="1"/>
    <xf numFmtId="0" fontId="24" fillId="0" borderId="0" xfId="0" applyNumberFormat="1" applyFont="1" applyFill="1" applyAlignment="1"/>
    <xf numFmtId="0" fontId="25" fillId="0" borderId="0" xfId="0" applyNumberFormat="1" applyFont="1" applyFill="1" applyAlignment="1"/>
    <xf numFmtId="0" fontId="2" fillId="0" borderId="0" xfId="0" applyNumberFormat="1" applyFont="1" applyFill="1"/>
    <xf numFmtId="0" fontId="3" fillId="0" borderId="0" xfId="0" applyNumberFormat="1" applyFont="1" applyFill="1"/>
    <xf numFmtId="164" fontId="10" fillId="0" borderId="0" xfId="0" applyNumberFormat="1" applyFont="1" applyFill="1"/>
    <xf numFmtId="164" fontId="7" fillId="0" borderId="0" xfId="0" quotePrefix="1" applyNumberFormat="1" applyFont="1" applyFill="1" applyAlignment="1">
      <alignment horizontal="right"/>
    </xf>
    <xf numFmtId="164" fontId="18" fillId="0" borderId="0" xfId="0" applyNumberFormat="1" applyFont="1" applyFill="1"/>
    <xf numFmtId="164" fontId="26" fillId="0" borderId="0" xfId="0" applyNumberFormat="1" applyFont="1" applyFill="1"/>
    <xf numFmtId="166" fontId="19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/>
    <xf numFmtId="164" fontId="6" fillId="0" borderId="0" xfId="0" applyNumberFormat="1" applyFont="1" applyFill="1"/>
    <xf numFmtId="166" fontId="12" fillId="0" borderId="0" xfId="0" applyNumberFormat="1" applyFont="1" applyFill="1" applyAlignment="1"/>
    <xf numFmtId="165" fontId="12" fillId="0" borderId="0" xfId="0" applyNumberFormat="1" applyFont="1" applyFill="1" applyBorder="1"/>
    <xf numFmtId="164" fontId="7" fillId="0" borderId="20" xfId="0" applyNumberFormat="1" applyFont="1" applyFill="1" applyBorder="1"/>
    <xf numFmtId="166" fontId="12" fillId="0" borderId="0" xfId="0" applyNumberFormat="1" applyFont="1" applyFill="1" applyBorder="1"/>
    <xf numFmtId="176" fontId="11" fillId="0" borderId="0" xfId="0" applyNumberFormat="1" applyFont="1" applyFill="1" applyBorder="1" applyAlignment="1">
      <alignment horizontal="centerContinuous"/>
    </xf>
    <xf numFmtId="164" fontId="9" fillId="0" borderId="21" xfId="0" applyNumberFormat="1" applyFont="1" applyFill="1" applyBorder="1" applyAlignment="1">
      <alignment horizontal="centerContinuous"/>
    </xf>
    <xf numFmtId="164" fontId="10" fillId="0" borderId="0" xfId="0" applyNumberFormat="1" applyFont="1" applyFill="1" applyBorder="1"/>
    <xf numFmtId="164" fontId="10" fillId="0" borderId="21" xfId="0" applyNumberFormat="1" applyFont="1" applyFill="1" applyBorder="1"/>
    <xf numFmtId="164" fontId="10" fillId="0" borderId="20" xfId="0" applyNumberFormat="1" applyFont="1" applyFill="1" applyBorder="1"/>
    <xf numFmtId="168" fontId="12" fillId="0" borderId="0" xfId="0" applyNumberFormat="1" applyFont="1" applyFill="1" applyBorder="1"/>
    <xf numFmtId="164" fontId="7" fillId="0" borderId="18" xfId="0" applyNumberFormat="1" applyFont="1" applyFill="1" applyBorder="1"/>
    <xf numFmtId="7" fontId="12" fillId="0" borderId="22" xfId="0" applyNumberFormat="1" applyFont="1" applyFill="1" applyBorder="1"/>
    <xf numFmtId="177" fontId="11" fillId="0" borderId="22" xfId="0" applyNumberFormat="1" applyFont="1" applyFill="1" applyBorder="1" applyAlignment="1">
      <alignment horizontal="centerContinuous"/>
    </xf>
    <xf numFmtId="164" fontId="10" fillId="0" borderId="19" xfId="0" applyNumberFormat="1" applyFont="1" applyFill="1" applyBorder="1" applyAlignment="1">
      <alignment horizontal="centerContinuous"/>
    </xf>
    <xf numFmtId="0" fontId="8" fillId="0" borderId="0" xfId="0" applyNumberFormat="1" applyFont="1" applyFill="1"/>
    <xf numFmtId="165" fontId="7" fillId="0" borderId="0" xfId="0" applyNumberFormat="1" applyFont="1" applyFill="1"/>
    <xf numFmtId="164" fontId="12" fillId="0" borderId="0" xfId="0" applyNumberFormat="1" applyFont="1" applyFill="1"/>
    <xf numFmtId="173" fontId="12" fillId="0" borderId="0" xfId="0" applyNumberFormat="1" applyFont="1" applyFill="1"/>
    <xf numFmtId="164" fontId="8" fillId="0" borderId="0" xfId="0" applyNumberFormat="1" applyFont="1" applyFill="1"/>
    <xf numFmtId="164" fontId="4" fillId="0" borderId="16" xfId="0" applyNumberFormat="1" applyFont="1" applyFill="1" applyBorder="1" applyAlignment="1">
      <alignment horizontal="centerContinuous"/>
    </xf>
    <xf numFmtId="164" fontId="27" fillId="0" borderId="15" xfId="0" applyNumberFormat="1" applyFont="1" applyFill="1" applyBorder="1" applyAlignment="1">
      <alignment horizontal="centerContinuous"/>
    </xf>
    <xf numFmtId="164" fontId="27" fillId="0" borderId="17" xfId="0" applyNumberFormat="1" applyFont="1" applyFill="1" applyBorder="1" applyAlignment="1">
      <alignment horizontal="centerContinuous"/>
    </xf>
    <xf numFmtId="164" fontId="7" fillId="0" borderId="20" xfId="0" applyNumberFormat="1" applyFont="1" applyFill="1" applyBorder="1" applyAlignment="1">
      <alignment horizontal="center"/>
    </xf>
    <xf numFmtId="164" fontId="27" fillId="0" borderId="0" xfId="0" applyNumberFormat="1" applyFont="1" applyFill="1" applyBorder="1" applyAlignment="1">
      <alignment horizontal="centerContinuous"/>
    </xf>
    <xf numFmtId="164" fontId="27" fillId="0" borderId="21" xfId="0" applyNumberFormat="1" applyFont="1" applyFill="1" applyBorder="1" applyAlignment="1">
      <alignment horizontal="centerContinuous"/>
    </xf>
    <xf numFmtId="165" fontId="14" fillId="0" borderId="0" xfId="0" applyNumberFormat="1" applyFont="1" applyFill="1" applyBorder="1"/>
    <xf numFmtId="165" fontId="14" fillId="0" borderId="21" xfId="0" applyNumberFormat="1" applyFont="1" applyFill="1" applyBorder="1"/>
    <xf numFmtId="165" fontId="12" fillId="0" borderId="20" xfId="0" applyNumberFormat="1" applyFont="1" applyFill="1" applyBorder="1"/>
    <xf numFmtId="39" fontId="12" fillId="0" borderId="23" xfId="0" applyNumberFormat="1" applyFont="1" applyFill="1" applyBorder="1"/>
    <xf numFmtId="165" fontId="12" fillId="0" borderId="18" xfId="0" applyNumberFormat="1" applyFont="1" applyFill="1" applyBorder="1"/>
    <xf numFmtId="7" fontId="12" fillId="0" borderId="2" xfId="0" applyNumberFormat="1" applyFont="1" applyFill="1" applyBorder="1"/>
    <xf numFmtId="7" fontId="12" fillId="0" borderId="3" xfId="0" applyNumberFormat="1" applyFont="1" applyFill="1" applyBorder="1"/>
    <xf numFmtId="7" fontId="12" fillId="0" borderId="24" xfId="0" applyNumberFormat="1" applyFont="1" applyFill="1" applyBorder="1"/>
    <xf numFmtId="39" fontId="12" fillId="0" borderId="1" xfId="0" applyNumberFormat="1" applyFont="1" applyFill="1" applyBorder="1"/>
    <xf numFmtId="39" fontId="12" fillId="0" borderId="0" xfId="0" applyNumberFormat="1" applyFont="1" applyFill="1" applyBorder="1"/>
    <xf numFmtId="39" fontId="12" fillId="0" borderId="21" xfId="0" applyNumberFormat="1" applyFont="1" applyFill="1" applyBorder="1"/>
    <xf numFmtId="39" fontId="12" fillId="0" borderId="25" xfId="0" applyNumberFormat="1" applyFont="1" applyFill="1" applyBorder="1"/>
    <xf numFmtId="39" fontId="12" fillId="0" borderId="22" xfId="0" applyNumberFormat="1" applyFont="1" applyFill="1" applyBorder="1"/>
    <xf numFmtId="39" fontId="12" fillId="0" borderId="19" xfId="0" applyNumberFormat="1" applyFont="1" applyFill="1" applyBorder="1"/>
    <xf numFmtId="164" fontId="0" fillId="2" borderId="0" xfId="0" applyNumberFormat="1" applyFill="1"/>
    <xf numFmtId="164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164" fontId="26" fillId="2" borderId="0" xfId="0" applyNumberFormat="1" applyFont="1" applyFill="1"/>
    <xf numFmtId="164" fontId="28" fillId="2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3" fillId="2" borderId="0" xfId="0" applyNumberFormat="1" applyFont="1" applyFill="1" applyAlignment="1">
      <alignment horizontal="center"/>
    </xf>
    <xf numFmtId="164" fontId="29" fillId="2" borderId="0" xfId="0" applyNumberFormat="1" applyFont="1" applyFill="1"/>
    <xf numFmtId="164" fontId="8" fillId="2" borderId="0" xfId="0" applyNumberFormat="1" applyFont="1" applyFill="1" applyAlignment="1">
      <alignment vertical="top"/>
    </xf>
    <xf numFmtId="164" fontId="9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horizontal="center" vertical="top"/>
    </xf>
    <xf numFmtId="164" fontId="11" fillId="2" borderId="0" xfId="0" applyNumberFormat="1" applyFont="1" applyFill="1" applyAlignment="1">
      <alignment vertical="top"/>
    </xf>
    <xf numFmtId="164" fontId="18" fillId="2" borderId="0" xfId="0" applyNumberFormat="1" applyFont="1" applyFill="1"/>
    <xf numFmtId="164" fontId="30" fillId="2" borderId="0" xfId="0" applyNumberFormat="1" applyFont="1" applyFill="1" applyAlignment="1">
      <alignment horizontal="center"/>
    </xf>
    <xf numFmtId="164" fontId="7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19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/>
    <xf numFmtId="164" fontId="17" fillId="2" borderId="0" xfId="0" applyNumberFormat="1" applyFont="1" applyFill="1"/>
    <xf numFmtId="168" fontId="18" fillId="2" borderId="0" xfId="0" applyNumberFormat="1" applyFont="1" applyFill="1"/>
    <xf numFmtId="168" fontId="26" fillId="2" borderId="0" xfId="0" applyNumberFormat="1" applyFont="1" applyFill="1"/>
    <xf numFmtId="168" fontId="19" fillId="2" borderId="0" xfId="0" applyNumberFormat="1" applyFont="1" applyFill="1"/>
    <xf numFmtId="165" fontId="10" fillId="2" borderId="0" xfId="0" applyNumberFormat="1" applyFont="1" applyFill="1"/>
    <xf numFmtId="164" fontId="11" fillId="2" borderId="0" xfId="0" applyNumberFormat="1" applyFont="1" applyFill="1" applyAlignment="1">
      <alignment vertical="top" wrapText="1"/>
    </xf>
    <xf numFmtId="168" fontId="19" fillId="2" borderId="0" xfId="0" applyNumberFormat="1" applyFont="1" applyFill="1" applyAlignment="1"/>
    <xf numFmtId="164" fontId="12" fillId="2" borderId="0" xfId="0" applyNumberFormat="1" applyFont="1" applyFill="1" applyAlignment="1"/>
    <xf numFmtId="165" fontId="19" fillId="2" borderId="0" xfId="0" applyNumberFormat="1" applyFont="1" applyFill="1" applyBorder="1" applyAlignment="1"/>
    <xf numFmtId="164" fontId="19" fillId="2" borderId="0" xfId="0" applyNumberFormat="1" applyFont="1" applyFill="1"/>
    <xf numFmtId="164" fontId="25" fillId="2" borderId="0" xfId="0" applyNumberFormat="1" applyFont="1" applyFill="1" applyAlignment="1">
      <alignment vertical="top" wrapText="1"/>
    </xf>
    <xf numFmtId="166" fontId="7" fillId="0" borderId="0" xfId="0" applyNumberFormat="1" applyFont="1" applyFill="1"/>
    <xf numFmtId="0" fontId="7" fillId="0" borderId="0" xfId="0" applyFont="1" applyAlignment="1">
      <alignment horizontal="centerContinuous"/>
    </xf>
    <xf numFmtId="17" fontId="13" fillId="0" borderId="0" xfId="0" quotePrefix="1" applyNumberFormat="1" applyFont="1" applyAlignment="1">
      <alignment horizontal="centerContinuous"/>
    </xf>
    <xf numFmtId="179" fontId="7" fillId="0" borderId="0" xfId="0" applyNumberFormat="1" applyFont="1"/>
    <xf numFmtId="179" fontId="7" fillId="0" borderId="0" xfId="0" quotePrefix="1" applyNumberFormat="1" applyFont="1" applyAlignment="1">
      <alignment horizontal="right"/>
    </xf>
    <xf numFmtId="179" fontId="12" fillId="0" borderId="0" xfId="0" applyNumberFormat="1" applyFont="1"/>
    <xf numFmtId="179" fontId="0" fillId="0" borderId="0" xfId="0" applyNumberFormat="1"/>
    <xf numFmtId="179" fontId="7" fillId="0" borderId="0" xfId="0" quotePrefix="1" applyNumberFormat="1" applyFont="1" applyFill="1" applyBorder="1" applyAlignment="1">
      <alignment horizontal="right"/>
    </xf>
    <xf numFmtId="179" fontId="12" fillId="0" borderId="0" xfId="0" applyNumberFormat="1" applyFont="1" applyFill="1" applyBorder="1"/>
    <xf numFmtId="166" fontId="12" fillId="0" borderId="0" xfId="0" applyNumberFormat="1" applyFont="1" applyFill="1"/>
    <xf numFmtId="179" fontId="12" fillId="0" borderId="0" xfId="0" applyNumberFormat="1" applyFont="1" applyFill="1"/>
    <xf numFmtId="164" fontId="12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171" fontId="8" fillId="0" borderId="0" xfId="0" applyNumberFormat="1" applyFont="1" applyFill="1" applyBorder="1"/>
    <xf numFmtId="164" fontId="0" fillId="0" borderId="0" xfId="0" applyNumberFormat="1" applyFill="1" applyBorder="1"/>
    <xf numFmtId="171" fontId="31" fillId="0" borderId="0" xfId="0" applyNumberFormat="1" applyFont="1" applyFill="1" applyBorder="1"/>
    <xf numFmtId="164" fontId="6" fillId="2" borderId="0" xfId="0" applyNumberFormat="1" applyFont="1" applyFill="1"/>
    <xf numFmtId="168" fontId="12" fillId="2" borderId="0" xfId="0" applyNumberFormat="1" applyFont="1" applyFill="1"/>
    <xf numFmtId="164" fontId="32" fillId="2" borderId="0" xfId="0" applyNumberFormat="1" applyFont="1" applyFill="1" applyBorder="1" applyAlignment="1">
      <alignment horizontal="center"/>
    </xf>
    <xf numFmtId="175" fontId="32" fillId="2" borderId="0" xfId="0" applyNumberFormat="1" applyFont="1" applyFill="1" applyBorder="1"/>
    <xf numFmtId="168" fontId="7" fillId="2" borderId="0" xfId="0" quotePrefix="1" applyNumberFormat="1" applyFont="1" applyFill="1" applyAlignment="1">
      <alignment horizontal="right"/>
    </xf>
    <xf numFmtId="164" fontId="4" fillId="0" borderId="16" xfId="0" applyNumberFormat="1" applyFont="1" applyBorder="1" applyAlignment="1">
      <alignment horizontal="centerContinuous"/>
    </xf>
    <xf numFmtId="164" fontId="12" fillId="0" borderId="20" xfId="0" applyNumberFormat="1" applyFont="1" applyBorder="1"/>
    <xf numFmtId="37" fontId="12" fillId="0" borderId="0" xfId="0" applyNumberFormat="1" applyFont="1" applyBorder="1"/>
    <xf numFmtId="164" fontId="12" fillId="0" borderId="0" xfId="0" applyNumberFormat="1" applyFont="1" applyBorder="1"/>
    <xf numFmtId="164" fontId="7" fillId="0" borderId="18" xfId="0" applyNumberFormat="1" applyFont="1" applyBorder="1"/>
    <xf numFmtId="175" fontId="7" fillId="0" borderId="22" xfId="0" applyNumberFormat="1" applyFont="1" applyBorder="1"/>
    <xf numFmtId="164" fontId="4" fillId="0" borderId="15" xfId="0" applyNumberFormat="1" applyFont="1" applyBorder="1" applyAlignment="1">
      <alignment horizontal="centerContinuous"/>
    </xf>
    <xf numFmtId="164" fontId="4" fillId="0" borderId="17" xfId="0" applyNumberFormat="1" applyFont="1" applyBorder="1" applyAlignment="1">
      <alignment horizontal="centerContinuous"/>
    </xf>
    <xf numFmtId="164" fontId="33" fillId="0" borderId="20" xfId="0" applyNumberFormat="1" applyFont="1" applyBorder="1"/>
    <xf numFmtId="166" fontId="12" fillId="0" borderId="0" xfId="0" applyNumberFormat="1" applyFont="1" applyBorder="1"/>
    <xf numFmtId="166" fontId="12" fillId="0" borderId="21" xfId="0" applyNumberFormat="1" applyFont="1" applyBorder="1"/>
    <xf numFmtId="164" fontId="12" fillId="0" borderId="21" xfId="0" applyNumberFormat="1" applyFont="1" applyBorder="1"/>
    <xf numFmtId="164" fontId="7" fillId="0" borderId="21" xfId="0" quotePrefix="1" applyNumberFormat="1" applyFont="1" applyBorder="1" applyAlignment="1">
      <alignment horizontal="right"/>
    </xf>
    <xf numFmtId="166" fontId="34" fillId="0" borderId="22" xfId="0" applyNumberFormat="1" applyFont="1" applyBorder="1"/>
    <xf numFmtId="166" fontId="34" fillId="0" borderId="19" xfId="0" applyNumberFormat="1" applyFont="1" applyBorder="1"/>
    <xf numFmtId="164" fontId="13" fillId="0" borderId="0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4" fontId="7" fillId="0" borderId="20" xfId="0" applyNumberFormat="1" applyFont="1" applyBorder="1"/>
    <xf numFmtId="7" fontId="12" fillId="0" borderId="21" xfId="0" applyNumberFormat="1" applyFont="1" applyBorder="1"/>
    <xf numFmtId="168" fontId="12" fillId="0" borderId="0" xfId="0" applyNumberFormat="1" applyFont="1" applyBorder="1"/>
    <xf numFmtId="166" fontId="12" fillId="0" borderId="2" xfId="0" applyNumberFormat="1" applyFont="1" applyBorder="1"/>
    <xf numFmtId="166" fontId="12" fillId="0" borderId="24" xfId="0" applyNumberFormat="1" applyFont="1" applyBorder="1"/>
    <xf numFmtId="173" fontId="12" fillId="0" borderId="1" xfId="0" applyNumberFormat="1" applyFont="1" applyBorder="1"/>
    <xf numFmtId="173" fontId="12" fillId="0" borderId="25" xfId="0" applyNumberFormat="1" applyFont="1" applyBorder="1"/>
    <xf numFmtId="164" fontId="7" fillId="0" borderId="22" xfId="0" applyNumberFormat="1" applyFont="1" applyBorder="1"/>
    <xf numFmtId="168" fontId="7" fillId="2" borderId="0" xfId="0" applyNumberFormat="1" applyFont="1" applyFill="1"/>
    <xf numFmtId="164" fontId="7" fillId="2" borderId="22" xfId="0" applyNumberFormat="1" applyFont="1" applyFill="1" applyBorder="1"/>
    <xf numFmtId="168" fontId="7" fillId="2" borderId="22" xfId="0" applyNumberFormat="1" applyFont="1" applyFill="1" applyBorder="1"/>
    <xf numFmtId="0" fontId="7" fillId="0" borderId="0" xfId="0" applyFont="1"/>
    <xf numFmtId="164" fontId="7" fillId="0" borderId="21" xfId="0" applyNumberFormat="1" applyFont="1" applyBorder="1"/>
    <xf numFmtId="164" fontId="7" fillId="0" borderId="19" xfId="0" applyNumberFormat="1" applyFont="1" applyBorder="1"/>
    <xf numFmtId="164" fontId="36" fillId="0" borderId="0" xfId="0" applyNumberFormat="1" applyFont="1" applyBorder="1"/>
    <xf numFmtId="0" fontId="7" fillId="0" borderId="21" xfId="0" applyFont="1" applyBorder="1"/>
    <xf numFmtId="0" fontId="7" fillId="0" borderId="20" xfId="0" applyNumberFormat="1" applyFont="1" applyBorder="1" applyAlignment="1">
      <alignment horizontal="left"/>
    </xf>
    <xf numFmtId="173" fontId="7" fillId="0" borderId="0" xfId="0" applyNumberFormat="1" applyFont="1" applyBorder="1" applyAlignment="1"/>
    <xf numFmtId="164" fontId="17" fillId="0" borderId="0" xfId="0" applyNumberFormat="1" applyFont="1" applyFill="1"/>
    <xf numFmtId="168" fontId="17" fillId="0" borderId="0" xfId="0" applyNumberFormat="1" applyFont="1" applyFill="1"/>
    <xf numFmtId="7" fontId="7" fillId="0" borderId="0" xfId="0" applyNumberFormat="1" applyFont="1" applyFill="1" applyBorder="1"/>
    <xf numFmtId="168" fontId="7" fillId="0" borderId="0" xfId="0" applyNumberFormat="1" applyFont="1" applyFill="1" applyBorder="1"/>
    <xf numFmtId="173" fontId="12" fillId="0" borderId="21" xfId="0" applyNumberFormat="1" applyFont="1" applyBorder="1"/>
    <xf numFmtId="173" fontId="12" fillId="0" borderId="19" xfId="0" applyNumberFormat="1" applyFont="1" applyBorder="1"/>
    <xf numFmtId="0" fontId="3" fillId="0" borderId="0" xfId="0" applyNumberFormat="1" applyFont="1" applyFill="1" applyBorder="1"/>
    <xf numFmtId="166" fontId="12" fillId="0" borderId="0" xfId="0" applyNumberFormat="1" applyFont="1" applyFill="1" applyBorder="1" applyAlignment="1"/>
    <xf numFmtId="165" fontId="8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/>
    <xf numFmtId="0" fontId="7" fillId="0" borderId="0" xfId="0" applyFont="1" applyFill="1" applyBorder="1"/>
    <xf numFmtId="164" fontId="7" fillId="0" borderId="0" xfId="0" applyNumberFormat="1" applyFont="1" applyFill="1" applyBorder="1" applyAlignment="1"/>
    <xf numFmtId="7" fontId="12" fillId="0" borderId="0" xfId="0" applyNumberFormat="1" applyFont="1" applyFill="1" applyBorder="1" applyAlignment="1"/>
    <xf numFmtId="0" fontId="3" fillId="0" borderId="21" xfId="0" applyNumberFormat="1" applyFont="1" applyFill="1" applyBorder="1"/>
    <xf numFmtId="166" fontId="12" fillId="0" borderId="21" xfId="0" applyNumberFormat="1" applyFont="1" applyFill="1" applyBorder="1" applyAlignment="1"/>
    <xf numFmtId="165" fontId="8" fillId="0" borderId="20" xfId="0" applyNumberFormat="1" applyFont="1" applyFill="1" applyBorder="1"/>
    <xf numFmtId="165" fontId="11" fillId="0" borderId="21" xfId="0" applyNumberFormat="1" applyFont="1" applyFill="1" applyBorder="1" applyAlignment="1">
      <alignment horizontal="right"/>
    </xf>
    <xf numFmtId="164" fontId="7" fillId="0" borderId="21" xfId="0" applyNumberFormat="1" applyFont="1" applyFill="1" applyBorder="1"/>
    <xf numFmtId="164" fontId="12" fillId="0" borderId="21" xfId="0" applyNumberFormat="1" applyFont="1" applyFill="1" applyBorder="1" applyAlignment="1"/>
    <xf numFmtId="165" fontId="11" fillId="0" borderId="21" xfId="0" applyNumberFormat="1" applyFont="1" applyFill="1" applyBorder="1" applyAlignment="1"/>
    <xf numFmtId="7" fontId="12" fillId="0" borderId="21" xfId="0" applyNumberFormat="1" applyFont="1" applyFill="1" applyBorder="1" applyAlignment="1"/>
    <xf numFmtId="164" fontId="35" fillId="0" borderId="0" xfId="0" applyNumberFormat="1" applyFont="1" applyFill="1" applyBorder="1" applyAlignment="1">
      <alignment horizontal="centerContinuous"/>
    </xf>
    <xf numFmtId="164" fontId="35" fillId="0" borderId="0" xfId="0" applyNumberFormat="1" applyFont="1" applyFill="1" applyBorder="1" applyAlignment="1">
      <alignment horizontal="right"/>
    </xf>
    <xf numFmtId="164" fontId="4" fillId="0" borderId="15" xfId="0" applyNumberFormat="1" applyFont="1" applyFill="1" applyBorder="1" applyAlignment="1">
      <alignment horizontal="centerContinuous"/>
    </xf>
    <xf numFmtId="164" fontId="4" fillId="0" borderId="17" xfId="0" applyNumberFormat="1" applyFont="1" applyFill="1" applyBorder="1" applyAlignment="1">
      <alignment horizontal="centerContinuous"/>
    </xf>
    <xf numFmtId="164" fontId="35" fillId="0" borderId="21" xfId="0" applyNumberFormat="1" applyFont="1" applyFill="1" applyBorder="1" applyAlignment="1">
      <alignment horizontal="centerContinuous"/>
    </xf>
    <xf numFmtId="164" fontId="7" fillId="0" borderId="22" xfId="0" applyNumberFormat="1" applyFont="1" applyFill="1" applyBorder="1"/>
    <xf numFmtId="173" fontId="12" fillId="0" borderId="0" xfId="0" applyNumberFormat="1" applyFont="1" applyFill="1" applyBorder="1" applyAlignment="1"/>
    <xf numFmtId="173" fontId="12" fillId="0" borderId="21" xfId="0" applyNumberFormat="1" applyFont="1" applyFill="1" applyBorder="1" applyAlignment="1"/>
    <xf numFmtId="173" fontId="12" fillId="0" borderId="22" xfId="0" applyNumberFormat="1" applyFont="1" applyFill="1" applyBorder="1" applyAlignment="1"/>
    <xf numFmtId="173" fontId="12" fillId="0" borderId="19" xfId="0" applyNumberFormat="1" applyFont="1" applyFill="1" applyBorder="1" applyAlignment="1"/>
    <xf numFmtId="164" fontId="37" fillId="0" borderId="0" xfId="0" applyNumberFormat="1" applyFont="1" applyAlignment="1">
      <alignment horizontal="centerContinuous"/>
    </xf>
    <xf numFmtId="165" fontId="31" fillId="0" borderId="0" xfId="0" applyNumberFormat="1" applyFont="1" applyFill="1" applyAlignment="1"/>
    <xf numFmtId="164" fontId="17" fillId="0" borderId="0" xfId="0" applyNumberFormat="1" applyFont="1" applyFill="1" applyAlignment="1"/>
    <xf numFmtId="164" fontId="38" fillId="2" borderId="0" xfId="1" applyNumberFormat="1" applyFont="1" applyFill="1" applyAlignment="1" applyProtection="1">
      <protection hidden="1"/>
    </xf>
    <xf numFmtId="164" fontId="40" fillId="2" borderId="0" xfId="1" applyNumberFormat="1" applyFont="1" applyFill="1" applyAlignment="1" applyProtection="1"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maven.com/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8</xdr:col>
      <xdr:colOff>406400</xdr:colOff>
      <xdr:row>2</xdr:row>
      <xdr:rowOff>63500</xdr:rowOff>
    </xdr:to>
    <xdr:pic>
      <xdr:nvPicPr>
        <xdr:cNvPr id="1035" name="Picture 1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0"/>
          <a:ext cx="14859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dealmaven.com/" TargetMode="External"/><Relationship Id="rId2" Type="http://schemas.openxmlformats.org/officeDocument/2006/relationships/hyperlink" Target="http://www.dealmav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R423"/>
  <sheetViews>
    <sheetView showGridLines="0" topLeftCell="A64" zoomScale="138" zoomScaleNormal="138" workbookViewId="0">
      <selection activeCell="I20" sqref="I20"/>
    </sheetView>
  </sheetViews>
  <sheetFormatPr baseColWidth="10" defaultColWidth="9.3984375" defaultRowHeight="13" x14ac:dyDescent="0.15"/>
  <cols>
    <col min="1" max="1" width="30.19921875" style="2" customWidth="1"/>
    <col min="2" max="16384" width="9.3984375" style="2"/>
  </cols>
  <sheetData>
    <row r="1" spans="1:10" s="85" customFormat="1" ht="18" x14ac:dyDescent="0.2">
      <c r="A1" s="214" t="s">
        <v>185</v>
      </c>
    </row>
    <row r="2" spans="1:10" s="85" customFormat="1" x14ac:dyDescent="0.15">
      <c r="A2" s="85" t="s">
        <v>186</v>
      </c>
      <c r="B2" s="215">
        <f ca="1">I223</f>
        <v>8.5265128291212022E-14</v>
      </c>
    </row>
    <row r="3" spans="1:10" s="85" customFormat="1" x14ac:dyDescent="0.15">
      <c r="A3" s="85" t="s">
        <v>187</v>
      </c>
      <c r="B3" s="215">
        <f ca="1">IF(MIN(B186:B193,B195:B218,D186:I193,D195:I218)&lt;-0.001,1,0)</f>
        <v>0</v>
      </c>
    </row>
    <row r="4" spans="1:10" s="85" customFormat="1" x14ac:dyDescent="0.15">
      <c r="A4" s="85" t="s">
        <v>188</v>
      </c>
      <c r="B4" s="215">
        <f ca="1">I309</f>
        <v>0</v>
      </c>
      <c r="G4" s="289" t="s">
        <v>222</v>
      </c>
    </row>
    <row r="5" spans="1:10" s="85" customFormat="1" x14ac:dyDescent="0.15">
      <c r="A5" s="85" t="s">
        <v>189</v>
      </c>
      <c r="B5" s="215">
        <f ca="1">H413</f>
        <v>0</v>
      </c>
      <c r="G5" s="290" t="s">
        <v>223</v>
      </c>
    </row>
    <row r="6" spans="1:10" s="85" customFormat="1" x14ac:dyDescent="0.15">
      <c r="A6" s="85" t="s">
        <v>190</v>
      </c>
      <c r="B6" s="215">
        <f ca="1">ABS(B29-F29)</f>
        <v>0</v>
      </c>
      <c r="G6" s="290" t="s">
        <v>224</v>
      </c>
    </row>
    <row r="7" spans="1:10" s="85" customFormat="1" x14ac:dyDescent="0.15">
      <c r="A7" s="85" t="s">
        <v>191</v>
      </c>
      <c r="B7" s="215">
        <f ca="1">ABS(B351-H350)</f>
        <v>0</v>
      </c>
    </row>
    <row r="8" spans="1:10" s="85" customFormat="1" x14ac:dyDescent="0.15">
      <c r="A8" s="85" t="s">
        <v>192</v>
      </c>
      <c r="B8" s="215">
        <f>D8*(1-ai)</f>
        <v>0</v>
      </c>
      <c r="C8" s="216" t="s">
        <v>193</v>
      </c>
      <c r="D8" s="217">
        <v>0</v>
      </c>
    </row>
    <row r="9" spans="1:10" s="85" customFormat="1" x14ac:dyDescent="0.15">
      <c r="B9" s="218" t="s">
        <v>23</v>
      </c>
    </row>
    <row r="10" spans="1:10" s="85" customFormat="1" x14ac:dyDescent="0.15">
      <c r="A10" s="178" t="s">
        <v>194</v>
      </c>
      <c r="B10" s="187">
        <f ca="1">SUM(B2:B9)</f>
        <v>8.5265128291212022E-14</v>
      </c>
    </row>
    <row r="11" spans="1:10" s="85" customFormat="1" x14ac:dyDescent="0.15">
      <c r="B11" s="244"/>
    </row>
    <row r="12" spans="1:10" s="245" customFormat="1" x14ac:dyDescent="0.15">
      <c r="B12" s="246"/>
    </row>
    <row r="13" spans="1:10" s="24" customFormat="1" ht="20" x14ac:dyDescent="0.2">
      <c r="A13" s="286" t="str">
        <f ca="1">IF(ABS(B10)&lt;0.001,"PROJECT MAVEN","ERROR")</f>
        <v>PROJECT MAVEN</v>
      </c>
      <c r="B13" s="7"/>
      <c r="C13" s="7"/>
      <c r="D13" s="7"/>
      <c r="E13" s="7"/>
      <c r="F13" s="7"/>
      <c r="G13" s="7"/>
      <c r="H13" s="7"/>
      <c r="I13" s="7"/>
      <c r="J13" s="247"/>
    </row>
    <row r="14" spans="1:10" s="9" customFormat="1" ht="6" customHeight="1" x14ac:dyDescent="0.15">
      <c r="G14" s="247"/>
      <c r="H14" s="247"/>
      <c r="I14" s="247"/>
    </row>
    <row r="15" spans="1:10" s="9" customFormat="1" ht="16" x14ac:dyDescent="0.3">
      <c r="A15" s="219" t="s">
        <v>195</v>
      </c>
      <c r="B15" s="225"/>
      <c r="C15" s="225"/>
      <c r="D15" s="225"/>
      <c r="E15" s="225"/>
      <c r="F15" s="226"/>
    </row>
    <row r="16" spans="1:10" s="9" customFormat="1" x14ac:dyDescent="0.15">
      <c r="A16" s="236" t="s">
        <v>121</v>
      </c>
      <c r="B16" s="221">
        <f>opcase</f>
        <v>1</v>
      </c>
      <c r="C16" s="222" t="str">
        <f ca="1">B368</f>
        <v>Management Case</v>
      </c>
      <c r="D16" s="37"/>
      <c r="E16" s="37"/>
      <c r="F16" s="248"/>
    </row>
    <row r="17" spans="1:6" s="9" customFormat="1" x14ac:dyDescent="0.15">
      <c r="A17" s="236" t="s">
        <v>122</v>
      </c>
      <c r="B17" s="221">
        <f>transcase</f>
        <v>2</v>
      </c>
      <c r="C17" s="222" t="str">
        <f ca="1">H393</f>
        <v>Refinance w/ $30.0 Term Loan, $70.0 High Yield</v>
      </c>
      <c r="D17" s="37"/>
      <c r="E17" s="37"/>
      <c r="F17" s="248"/>
    </row>
    <row r="18" spans="1:6" s="9" customFormat="1" x14ac:dyDescent="0.15">
      <c r="A18" s="223" t="s">
        <v>196</v>
      </c>
      <c r="B18" s="224">
        <v>0</v>
      </c>
      <c r="C18" s="243"/>
      <c r="D18" s="243"/>
      <c r="E18" s="243"/>
      <c r="F18" s="249"/>
    </row>
    <row r="19" spans="1:6" s="9" customFormat="1" x14ac:dyDescent="0.15"/>
    <row r="20" spans="1:6" s="9" customFormat="1" ht="16" x14ac:dyDescent="0.3">
      <c r="A20" s="219" t="s">
        <v>197</v>
      </c>
      <c r="B20" s="225"/>
      <c r="C20" s="225"/>
      <c r="D20" s="225"/>
      <c r="E20" s="225"/>
      <c r="F20" s="226"/>
    </row>
    <row r="21" spans="1:6" s="9" customFormat="1" x14ac:dyDescent="0.15">
      <c r="A21" s="227" t="str">
        <f>A395</f>
        <v>Sources of Funds</v>
      </c>
      <c r="B21" s="37"/>
      <c r="C21" s="37"/>
      <c r="D21" s="250" t="s">
        <v>168</v>
      </c>
      <c r="E21" s="37"/>
      <c r="F21" s="248"/>
    </row>
    <row r="22" spans="1:6" s="9" customFormat="1" x14ac:dyDescent="0.15">
      <c r="A22" s="220" t="str">
        <f>A396</f>
        <v xml:space="preserve">  Excess Cash</v>
      </c>
      <c r="B22" s="228">
        <f ca="1">H396</f>
        <v>0</v>
      </c>
      <c r="C22" s="37"/>
      <c r="D22" s="222" t="str">
        <f t="shared" ref="D22:D27" si="0">A404</f>
        <v xml:space="preserve">  Fund Cash Blc.</v>
      </c>
      <c r="E22" s="37"/>
      <c r="F22" s="229">
        <f t="shared" ref="F22:F27" ca="1" si="1">H404</f>
        <v>10</v>
      </c>
    </row>
    <row r="23" spans="1:6" s="9" customFormat="1" x14ac:dyDescent="0.15">
      <c r="A23" s="220" t="str">
        <f>A397</f>
        <v xml:space="preserve">  New Revolver</v>
      </c>
      <c r="B23" s="222">
        <f ca="1">H397</f>
        <v>0</v>
      </c>
      <c r="C23" s="37"/>
      <c r="D23" s="222" t="str">
        <f t="shared" si="0"/>
        <v xml:space="preserve">  Repay Revolver</v>
      </c>
      <c r="E23" s="37"/>
      <c r="F23" s="230">
        <f t="shared" ca="1" si="1"/>
        <v>87.15</v>
      </c>
    </row>
    <row r="24" spans="1:6" s="9" customFormat="1" x14ac:dyDescent="0.15">
      <c r="A24" s="220" t="str">
        <f>A398</f>
        <v xml:space="preserve">  New Term Loan</v>
      </c>
      <c r="B24" s="222">
        <f ca="1">H398</f>
        <v>30</v>
      </c>
      <c r="C24" s="37"/>
      <c r="D24" s="222" t="str">
        <f t="shared" si="0"/>
        <v xml:space="preserve">  Repay Term Loan</v>
      </c>
      <c r="E24" s="37"/>
      <c r="F24" s="230">
        <f t="shared" ca="1" si="1"/>
        <v>0</v>
      </c>
    </row>
    <row r="25" spans="1:6" s="9" customFormat="1" x14ac:dyDescent="0.15">
      <c r="A25" s="220" t="str">
        <f>A399</f>
        <v xml:space="preserve">  New Sr. Sub. Notes</v>
      </c>
      <c r="B25" s="222">
        <f ca="1">H399</f>
        <v>70</v>
      </c>
      <c r="C25" s="37"/>
      <c r="D25" s="222" t="str">
        <f t="shared" si="0"/>
        <v xml:space="preserve">  Repay Sr. Sub. Notes</v>
      </c>
      <c r="E25" s="37"/>
      <c r="F25" s="230">
        <f t="shared" ca="1" si="1"/>
        <v>0</v>
      </c>
    </row>
    <row r="26" spans="1:6" s="9" customFormat="1" x14ac:dyDescent="0.15">
      <c r="A26" s="236"/>
      <c r="B26" s="37"/>
      <c r="C26" s="37"/>
      <c r="D26" s="222" t="str">
        <f t="shared" si="0"/>
        <v xml:space="preserve">  Term Loan Fee</v>
      </c>
      <c r="E26" s="37"/>
      <c r="F26" s="230">
        <f t="shared" ca="1" si="1"/>
        <v>0.75</v>
      </c>
    </row>
    <row r="27" spans="1:6" s="9" customFormat="1" x14ac:dyDescent="0.15">
      <c r="A27" s="236"/>
      <c r="B27" s="37"/>
      <c r="C27" s="37"/>
      <c r="D27" s="222" t="str">
        <f t="shared" si="0"/>
        <v xml:space="preserve">  Sr. Sub. Fee</v>
      </c>
      <c r="E27" s="37"/>
      <c r="F27" s="230">
        <f t="shared" ca="1" si="1"/>
        <v>2.1</v>
      </c>
    </row>
    <row r="28" spans="1:6" s="9" customFormat="1" ht="6" customHeight="1" x14ac:dyDescent="0.15">
      <c r="A28" s="236"/>
      <c r="B28" s="46" t="s">
        <v>23</v>
      </c>
      <c r="C28" s="37"/>
      <c r="D28" s="37"/>
      <c r="E28" s="37"/>
      <c r="F28" s="231" t="s">
        <v>23</v>
      </c>
    </row>
    <row r="29" spans="1:6" s="9" customFormat="1" ht="16" x14ac:dyDescent="0.3">
      <c r="A29" s="223" t="s">
        <v>167</v>
      </c>
      <c r="B29" s="232">
        <f ca="1">SUM(B22:B28)</f>
        <v>100</v>
      </c>
      <c r="C29" s="243"/>
      <c r="D29" s="243" t="s">
        <v>175</v>
      </c>
      <c r="E29" s="243"/>
      <c r="F29" s="233">
        <f ca="1">SUM(F22:F28)</f>
        <v>100</v>
      </c>
    </row>
    <row r="30" spans="1:6" s="9" customFormat="1" x14ac:dyDescent="0.15"/>
    <row r="31" spans="1:6" s="9" customFormat="1" ht="16" x14ac:dyDescent="0.3">
      <c r="A31" s="219" t="s">
        <v>198</v>
      </c>
      <c r="B31" s="225"/>
      <c r="C31" s="225"/>
      <c r="D31" s="226"/>
    </row>
    <row r="32" spans="1:6" s="9" customFormat="1" x14ac:dyDescent="0.15">
      <c r="A32" s="236"/>
      <c r="B32" s="37"/>
      <c r="C32" s="234" t="s">
        <v>199</v>
      </c>
      <c r="D32" s="235" t="s">
        <v>200</v>
      </c>
    </row>
    <row r="33" spans="1:9" s="9" customFormat="1" x14ac:dyDescent="0.15">
      <c r="A33" s="236" t="s">
        <v>201</v>
      </c>
      <c r="B33" s="37"/>
      <c r="C33" s="256">
        <v>9.5</v>
      </c>
      <c r="D33" s="237">
        <f ca="1">B351</f>
        <v>12.840554352788967</v>
      </c>
    </row>
    <row r="34" spans="1:9" s="9" customFormat="1" x14ac:dyDescent="0.15">
      <c r="A34" s="236" t="s">
        <v>202</v>
      </c>
      <c r="B34" s="37"/>
      <c r="C34" s="257">
        <v>9.5</v>
      </c>
      <c r="D34" s="251"/>
    </row>
    <row r="35" spans="1:9" s="9" customFormat="1" x14ac:dyDescent="0.15">
      <c r="A35" s="236" t="s">
        <v>203</v>
      </c>
      <c r="B35" s="37"/>
      <c r="C35" s="257">
        <v>1.5</v>
      </c>
      <c r="D35" s="251"/>
    </row>
    <row r="36" spans="1:9" s="9" customFormat="1" x14ac:dyDescent="0.15">
      <c r="A36" s="236" t="s">
        <v>204</v>
      </c>
      <c r="B36" s="37"/>
      <c r="C36" s="256">
        <v>6</v>
      </c>
      <c r="D36" s="251"/>
    </row>
    <row r="37" spans="1:9" s="9" customFormat="1" x14ac:dyDescent="0.15">
      <c r="A37" s="236" t="s">
        <v>205</v>
      </c>
      <c r="B37" s="37"/>
      <c r="C37" s="238">
        <f>C34+IF(C33&gt;C36,C35-C35*C36/C33,0)</f>
        <v>10.052631578947368</v>
      </c>
      <c r="D37" s="251"/>
    </row>
    <row r="38" spans="1:9" s="9" customFormat="1" ht="6" customHeight="1" x14ac:dyDescent="0.15">
      <c r="A38" s="236"/>
      <c r="B38" s="37"/>
      <c r="C38" s="46" t="s">
        <v>23</v>
      </c>
      <c r="D38" s="251"/>
    </row>
    <row r="39" spans="1:9" s="9" customFormat="1" x14ac:dyDescent="0.15">
      <c r="A39" s="236" t="s">
        <v>206</v>
      </c>
      <c r="B39" s="37"/>
      <c r="C39" s="228">
        <f>C37*C33</f>
        <v>95.5</v>
      </c>
      <c r="D39" s="248"/>
    </row>
    <row r="40" spans="1:9" s="9" customFormat="1" x14ac:dyDescent="0.15">
      <c r="A40" s="236" t="s">
        <v>207</v>
      </c>
      <c r="B40" s="37"/>
      <c r="C40" s="222">
        <f>B213-B186</f>
        <v>86</v>
      </c>
      <c r="D40" s="248"/>
    </row>
    <row r="41" spans="1:9" s="9" customFormat="1" ht="6" customHeight="1" x14ac:dyDescent="0.15">
      <c r="A41" s="236"/>
      <c r="B41" s="37"/>
      <c r="C41" s="46" t="s">
        <v>23</v>
      </c>
      <c r="D41" s="248"/>
    </row>
    <row r="42" spans="1:9" s="9" customFormat="1" x14ac:dyDescent="0.15">
      <c r="A42" s="236" t="s">
        <v>208</v>
      </c>
      <c r="B42" s="37"/>
      <c r="C42" s="239">
        <f>SUM(C39:C41)</f>
        <v>181.5</v>
      </c>
      <c r="D42" s="240">
        <f ca="1">B346</f>
        <v>214.40554352788968</v>
      </c>
    </row>
    <row r="43" spans="1:9" s="9" customFormat="1" x14ac:dyDescent="0.15">
      <c r="A43" s="252" t="s">
        <v>209</v>
      </c>
      <c r="B43" s="37"/>
      <c r="C43" s="241">
        <f>C$42/$D$96</f>
        <v>7.9955947136563879</v>
      </c>
      <c r="D43" s="258">
        <f ca="1">D$42/$D$96</f>
        <v>9.4451781289819241</v>
      </c>
    </row>
    <row r="44" spans="1:9" s="9" customFormat="1" x14ac:dyDescent="0.15">
      <c r="A44" s="223" t="s">
        <v>210</v>
      </c>
      <c r="B44" s="243"/>
      <c r="C44" s="242">
        <f ca="1">C$42/$E$96</f>
        <v>7.3595004460303279</v>
      </c>
      <c r="D44" s="259">
        <f ca="1">D$42/$E$96</f>
        <v>8.693761395178397</v>
      </c>
    </row>
    <row r="45" spans="1:9" s="9" customFormat="1" x14ac:dyDescent="0.15"/>
    <row r="46" spans="1:9" s="9" customFormat="1" ht="16" x14ac:dyDescent="0.3">
      <c r="A46" s="146" t="s">
        <v>211</v>
      </c>
      <c r="B46" s="278"/>
      <c r="C46" s="278"/>
      <c r="D46" s="278"/>
      <c r="E46" s="278"/>
      <c r="F46" s="278"/>
      <c r="G46" s="278"/>
      <c r="H46" s="278"/>
      <c r="I46" s="279"/>
    </row>
    <row r="47" spans="1:9" s="9" customFormat="1" ht="16" x14ac:dyDescent="0.3">
      <c r="A47" s="129"/>
      <c r="B47" s="276" t="s">
        <v>0</v>
      </c>
      <c r="C47" s="276"/>
      <c r="D47" s="277" t="s">
        <v>212</v>
      </c>
      <c r="E47" s="276" t="s">
        <v>1</v>
      </c>
      <c r="F47" s="276"/>
      <c r="G47" s="276"/>
      <c r="H47" s="276"/>
      <c r="I47" s="280"/>
    </row>
    <row r="48" spans="1:9" s="9" customFormat="1" x14ac:dyDescent="0.15">
      <c r="A48" s="129"/>
      <c r="B48" s="260">
        <f>B67</f>
        <v>1997</v>
      </c>
      <c r="C48" s="260">
        <f t="shared" ref="C48:I48" si="2">C67</f>
        <v>1998</v>
      </c>
      <c r="D48" s="260">
        <f t="shared" si="2"/>
        <v>1999</v>
      </c>
      <c r="E48" s="260">
        <f t="shared" si="2"/>
        <v>2000</v>
      </c>
      <c r="F48" s="260">
        <f t="shared" si="2"/>
        <v>2001</v>
      </c>
      <c r="G48" s="260">
        <f t="shared" si="2"/>
        <v>2002</v>
      </c>
      <c r="H48" s="260">
        <f t="shared" si="2"/>
        <v>2003</v>
      </c>
      <c r="I48" s="268">
        <f t="shared" si="2"/>
        <v>2004</v>
      </c>
    </row>
    <row r="49" spans="1:10" s="9" customFormat="1" x14ac:dyDescent="0.15">
      <c r="A49" s="129" t="s">
        <v>3</v>
      </c>
      <c r="B49" s="261">
        <f>B69</f>
        <v>110</v>
      </c>
      <c r="C49" s="261">
        <f t="shared" ref="C49:I49" si="3">C69</f>
        <v>115</v>
      </c>
      <c r="D49" s="261">
        <f t="shared" si="3"/>
        <v>118</v>
      </c>
      <c r="E49" s="261">
        <f t="shared" ca="1" si="3"/>
        <v>129.80000000000001</v>
      </c>
      <c r="F49" s="261">
        <f t="shared" ca="1" si="3"/>
        <v>142.78000000000003</v>
      </c>
      <c r="G49" s="261">
        <f t="shared" ca="1" si="3"/>
        <v>157.05800000000005</v>
      </c>
      <c r="H49" s="261">
        <f t="shared" ca="1" si="3"/>
        <v>172.76380000000006</v>
      </c>
      <c r="I49" s="269">
        <f t="shared" ca="1" si="3"/>
        <v>190.04018000000008</v>
      </c>
    </row>
    <row r="50" spans="1:10" s="10" customFormat="1" x14ac:dyDescent="0.15">
      <c r="A50" s="270" t="s">
        <v>4</v>
      </c>
      <c r="B50" s="262"/>
      <c r="C50" s="263">
        <f>C49/B49-1</f>
        <v>4.5454545454545414E-2</v>
      </c>
      <c r="D50" s="263">
        <f t="shared" ref="D50:I50" si="4">D49/C49-1</f>
        <v>2.6086956521739202E-2</v>
      </c>
      <c r="E50" s="263">
        <f t="shared" ca="1" si="4"/>
        <v>0.10000000000000009</v>
      </c>
      <c r="F50" s="263">
        <f t="shared" ca="1" si="4"/>
        <v>0.10000000000000009</v>
      </c>
      <c r="G50" s="263">
        <f t="shared" ca="1" si="4"/>
        <v>0.10000000000000009</v>
      </c>
      <c r="H50" s="263">
        <f t="shared" ca="1" si="4"/>
        <v>0.10000000000000009</v>
      </c>
      <c r="I50" s="271">
        <f t="shared" ca="1" si="4"/>
        <v>0.10000000000000009</v>
      </c>
    </row>
    <row r="51" spans="1:10" s="9" customFormat="1" ht="6" customHeight="1" x14ac:dyDescent="0.15">
      <c r="A51" s="129"/>
      <c r="B51" s="75"/>
      <c r="C51" s="75"/>
      <c r="D51" s="75"/>
      <c r="E51" s="75"/>
      <c r="F51" s="75"/>
      <c r="G51" s="75"/>
      <c r="H51" s="75"/>
      <c r="I51" s="272"/>
    </row>
    <row r="52" spans="1:10" s="9" customFormat="1" x14ac:dyDescent="0.15">
      <c r="A52" s="129" t="s">
        <v>18</v>
      </c>
      <c r="B52" s="206">
        <f>B96</f>
        <v>25.7</v>
      </c>
      <c r="C52" s="206">
        <f t="shared" ref="C52:I52" si="5">C96</f>
        <v>24</v>
      </c>
      <c r="D52" s="206">
        <f t="shared" si="5"/>
        <v>22.7</v>
      </c>
      <c r="E52" s="206">
        <f t="shared" ca="1" si="5"/>
        <v>24.662000000000006</v>
      </c>
      <c r="F52" s="206">
        <f t="shared" ca="1" si="5"/>
        <v>27.128200000000014</v>
      </c>
      <c r="G52" s="206">
        <f t="shared" ca="1" si="5"/>
        <v>29.841020000000007</v>
      </c>
      <c r="H52" s="206">
        <f t="shared" ca="1" si="5"/>
        <v>32.825122000000007</v>
      </c>
      <c r="I52" s="273">
        <f t="shared" ca="1" si="5"/>
        <v>36.107634200000007</v>
      </c>
    </row>
    <row r="53" spans="1:10" s="10" customFormat="1" x14ac:dyDescent="0.15">
      <c r="A53" s="270" t="s">
        <v>19</v>
      </c>
      <c r="B53" s="264">
        <f>B52/B49</f>
        <v>0.23363636363636364</v>
      </c>
      <c r="C53" s="264">
        <f t="shared" ref="C53:I53" si="6">C52/C49</f>
        <v>0.20869565217391303</v>
      </c>
      <c r="D53" s="264">
        <f t="shared" si="6"/>
        <v>0.1923728813559322</v>
      </c>
      <c r="E53" s="264">
        <f t="shared" ca="1" si="6"/>
        <v>0.19000000000000003</v>
      </c>
      <c r="F53" s="264">
        <f t="shared" ca="1" si="6"/>
        <v>0.19000000000000006</v>
      </c>
      <c r="G53" s="264">
        <f t="shared" ca="1" si="6"/>
        <v>0.18999999999999997</v>
      </c>
      <c r="H53" s="264">
        <f t="shared" ca="1" si="6"/>
        <v>0.18999999999999997</v>
      </c>
      <c r="I53" s="274">
        <f t="shared" ca="1" si="6"/>
        <v>0.18999999999999995</v>
      </c>
    </row>
    <row r="54" spans="1:10" s="10" customFormat="1" x14ac:dyDescent="0.15">
      <c r="A54" s="270" t="s">
        <v>4</v>
      </c>
      <c r="B54" s="265"/>
      <c r="C54" s="263">
        <f>C52/B52-1</f>
        <v>-6.6147859922178975E-2</v>
      </c>
      <c r="D54" s="263">
        <f t="shared" ref="D54:I54" si="7">D52/C52-1</f>
        <v>-5.4166666666666696E-2</v>
      </c>
      <c r="E54" s="263">
        <f t="shared" ca="1" si="7"/>
        <v>8.6431718061674268E-2</v>
      </c>
      <c r="F54" s="263">
        <f t="shared" ca="1" si="7"/>
        <v>0.10000000000000031</v>
      </c>
      <c r="G54" s="263">
        <f t="shared" ca="1" si="7"/>
        <v>9.9999999999999645E-2</v>
      </c>
      <c r="H54" s="263">
        <f t="shared" ca="1" si="7"/>
        <v>9.9999999999999867E-2</v>
      </c>
      <c r="I54" s="271">
        <f t="shared" ca="1" si="7"/>
        <v>9.9999999999999867E-2</v>
      </c>
    </row>
    <row r="55" spans="1:10" s="9" customFormat="1" ht="6" customHeight="1" x14ac:dyDescent="0.15">
      <c r="A55" s="129"/>
      <c r="B55" s="75"/>
      <c r="C55" s="75"/>
      <c r="D55" s="75"/>
      <c r="E55" s="75"/>
      <c r="F55" s="75"/>
      <c r="G55" s="75"/>
      <c r="H55" s="75"/>
      <c r="I55" s="272"/>
    </row>
    <row r="56" spans="1:10" s="9" customFormat="1" x14ac:dyDescent="0.15">
      <c r="A56" s="129" t="s">
        <v>130</v>
      </c>
      <c r="B56" s="206">
        <f>B103</f>
        <v>2</v>
      </c>
      <c r="C56" s="206">
        <f t="shared" ref="C56:I56" si="8">C103</f>
        <v>2</v>
      </c>
      <c r="D56" s="206">
        <f t="shared" si="8"/>
        <v>2</v>
      </c>
      <c r="E56" s="206">
        <f t="shared" ca="1" si="8"/>
        <v>2</v>
      </c>
      <c r="F56" s="206">
        <f t="shared" ca="1" si="8"/>
        <v>2</v>
      </c>
      <c r="G56" s="206">
        <f t="shared" ca="1" si="8"/>
        <v>2</v>
      </c>
      <c r="H56" s="206">
        <f t="shared" ca="1" si="8"/>
        <v>2</v>
      </c>
      <c r="I56" s="273">
        <f t="shared" ca="1" si="8"/>
        <v>2</v>
      </c>
    </row>
    <row r="57" spans="1:10" s="9" customFormat="1" x14ac:dyDescent="0.15">
      <c r="A57" s="129" t="s">
        <v>213</v>
      </c>
      <c r="B57" s="75"/>
      <c r="C57" s="75"/>
      <c r="D57" s="206">
        <f t="shared" ref="D57:I57" ca="1" si="9">D161</f>
        <v>10.438000000000001</v>
      </c>
      <c r="E57" s="206">
        <f t="shared" ca="1" si="9"/>
        <v>10.438000000000001</v>
      </c>
      <c r="F57" s="206">
        <f t="shared" ca="1" si="9"/>
        <v>8.7151574285714268</v>
      </c>
      <c r="G57" s="206">
        <f t="shared" ca="1" si="9"/>
        <v>7.9504636859999982</v>
      </c>
      <c r="H57" s="206">
        <f t="shared" ca="1" si="9"/>
        <v>7.7</v>
      </c>
      <c r="I57" s="273">
        <f t="shared" ca="1" si="9"/>
        <v>7.7</v>
      </c>
    </row>
    <row r="58" spans="1:10" s="9" customFormat="1" x14ac:dyDescent="0.15">
      <c r="A58" s="129" t="s">
        <v>214</v>
      </c>
      <c r="B58" s="266"/>
      <c r="C58" s="266"/>
      <c r="D58" s="267">
        <f t="shared" ref="D58:I58" ca="1" si="10">D171</f>
        <v>0.51083428571428569</v>
      </c>
      <c r="E58" s="267">
        <f t="shared" ca="1" si="10"/>
        <v>0.62855428571428607</v>
      </c>
      <c r="F58" s="267">
        <f t="shared" ca="1" si="10"/>
        <v>0.84749684000000092</v>
      </c>
      <c r="G58" s="267">
        <f t="shared" ca="1" si="10"/>
        <v>1.0561476645542862</v>
      </c>
      <c r="H58" s="267">
        <f t="shared" ca="1" si="10"/>
        <v>1.2694846623950176</v>
      </c>
      <c r="I58" s="275">
        <f t="shared" ca="1" si="10"/>
        <v>1.4976000548639263</v>
      </c>
    </row>
    <row r="59" spans="1:10" s="9" customFormat="1" x14ac:dyDescent="0.15">
      <c r="A59" s="129" t="s">
        <v>215</v>
      </c>
      <c r="B59" s="75"/>
      <c r="C59" s="75"/>
      <c r="D59" s="206">
        <f t="shared" ref="D59:I59" ca="1" si="11">D213-D186</f>
        <v>88.85</v>
      </c>
      <c r="E59" s="206">
        <f t="shared" ca="1" si="11"/>
        <v>81.943028571428556</v>
      </c>
      <c r="F59" s="206">
        <f t="shared" ca="1" si="11"/>
        <v>72.946631599999975</v>
      </c>
      <c r="G59" s="206">
        <f t="shared" ca="1" si="11"/>
        <v>61.973726383028549</v>
      </c>
      <c r="H59" s="206">
        <f t="shared" ca="1" si="11"/>
        <v>48.988451187649801</v>
      </c>
      <c r="I59" s="273">
        <f t="shared" ca="1" si="11"/>
        <v>33.855122067581974</v>
      </c>
    </row>
    <row r="60" spans="1:10" s="9" customFormat="1" x14ac:dyDescent="0.15">
      <c r="A60" s="129" t="s">
        <v>216</v>
      </c>
      <c r="B60" s="75"/>
      <c r="C60" s="75"/>
      <c r="D60" s="282">
        <f t="shared" ref="D60:I60" ca="1" si="12">D59/D52</f>
        <v>3.9140969162995591</v>
      </c>
      <c r="E60" s="282">
        <f t="shared" ca="1" si="12"/>
        <v>3.322643280002779</v>
      </c>
      <c r="F60" s="282">
        <f t="shared" ca="1" si="12"/>
        <v>2.6889595181397934</v>
      </c>
      <c r="G60" s="282">
        <f t="shared" ca="1" si="12"/>
        <v>2.0767965164404076</v>
      </c>
      <c r="H60" s="282">
        <f t="shared" ca="1" si="12"/>
        <v>1.4924072845075729</v>
      </c>
      <c r="I60" s="283">
        <f t="shared" ca="1" si="12"/>
        <v>0.937616734457279</v>
      </c>
    </row>
    <row r="61" spans="1:10" s="9" customFormat="1" x14ac:dyDescent="0.15">
      <c r="A61" s="129" t="s">
        <v>217</v>
      </c>
      <c r="B61" s="75"/>
      <c r="C61" s="75"/>
      <c r="D61" s="282">
        <f t="shared" ref="D61:I61" ca="1" si="13">D52/D57</f>
        <v>2.1747461199463496</v>
      </c>
      <c r="E61" s="282">
        <f t="shared" ca="1" si="13"/>
        <v>2.3627131634412728</v>
      </c>
      <c r="F61" s="282">
        <f t="shared" ca="1" si="13"/>
        <v>3.1127607530145123</v>
      </c>
      <c r="G61" s="282">
        <f t="shared" ca="1" si="13"/>
        <v>3.7533685051033152</v>
      </c>
      <c r="H61" s="282">
        <f t="shared" ca="1" si="13"/>
        <v>4.2630028571428582</v>
      </c>
      <c r="I61" s="283">
        <f t="shared" ca="1" si="13"/>
        <v>4.6893031428571437</v>
      </c>
    </row>
    <row r="62" spans="1:10" s="9" customFormat="1" x14ac:dyDescent="0.15">
      <c r="A62" s="137" t="s">
        <v>218</v>
      </c>
      <c r="B62" s="281"/>
      <c r="C62" s="281"/>
      <c r="D62" s="284">
        <f t="shared" ref="D62:I62" ca="1" si="14">(D52-D56)/D57</f>
        <v>1.9831385322858783</v>
      </c>
      <c r="E62" s="284">
        <f t="shared" ca="1" si="14"/>
        <v>2.1711055757808015</v>
      </c>
      <c r="F62" s="284">
        <f t="shared" ca="1" si="14"/>
        <v>2.883275512341374</v>
      </c>
      <c r="G62" s="284">
        <f t="shared" ca="1" si="14"/>
        <v>3.5018108502307062</v>
      </c>
      <c r="H62" s="284">
        <f t="shared" ca="1" si="14"/>
        <v>4.0032625974025979</v>
      </c>
      <c r="I62" s="285">
        <f t="shared" ca="1" si="14"/>
        <v>4.4295628831168843</v>
      </c>
    </row>
    <row r="63" spans="1:10" s="9" customFormat="1" x14ac:dyDescent="0.15">
      <c r="A63" s="37"/>
      <c r="B63" s="37"/>
      <c r="C63" s="37"/>
      <c r="D63" s="253"/>
      <c r="E63" s="253"/>
      <c r="F63" s="253"/>
      <c r="G63" s="253"/>
      <c r="H63" s="253"/>
      <c r="I63" s="253"/>
    </row>
    <row r="64" spans="1:10" s="1" customFormat="1" ht="18" x14ac:dyDescent="0.2">
      <c r="A64" s="7" t="s">
        <v>2</v>
      </c>
      <c r="B64" s="8"/>
      <c r="C64" s="8"/>
      <c r="D64" s="8"/>
      <c r="E64" s="8"/>
      <c r="F64" s="8"/>
      <c r="G64" s="8"/>
      <c r="H64" s="8"/>
      <c r="I64" s="8"/>
      <c r="J64"/>
    </row>
    <row r="66" spans="1:9" ht="16" x14ac:dyDescent="0.3">
      <c r="A66"/>
      <c r="B66" s="5" t="s">
        <v>0</v>
      </c>
      <c r="C66" s="6"/>
      <c r="D66" s="6"/>
      <c r="E66" s="5" t="s">
        <v>1</v>
      </c>
      <c r="F66" s="5"/>
      <c r="G66" s="5"/>
      <c r="H66" s="5"/>
      <c r="I66" s="5"/>
    </row>
    <row r="67" spans="1:9" x14ac:dyDescent="0.15">
      <c r="A67"/>
      <c r="B67" s="4">
        <f>C67-1</f>
        <v>1997</v>
      </c>
      <c r="C67" s="4">
        <f>D67-1</f>
        <v>1998</v>
      </c>
      <c r="D67" s="4">
        <f>E67-1</f>
        <v>1999</v>
      </c>
      <c r="E67" s="3">
        <v>2000</v>
      </c>
      <c r="F67" s="4">
        <f>E67+1</f>
        <v>2001</v>
      </c>
      <c r="G67" s="4">
        <f>F67+1</f>
        <v>2002</v>
      </c>
      <c r="H67" s="4">
        <f>G67+1</f>
        <v>2003</v>
      </c>
      <c r="I67" s="4">
        <f>H67+1</f>
        <v>2004</v>
      </c>
    </row>
    <row r="68" spans="1:9" ht="6" customHeight="1" x14ac:dyDescent="0.15"/>
    <row r="69" spans="1:9" s="15" customFormat="1" x14ac:dyDescent="0.15">
      <c r="A69" s="14" t="s">
        <v>3</v>
      </c>
      <c r="B69" s="14">
        <v>110</v>
      </c>
      <c r="C69" s="14">
        <v>115</v>
      </c>
      <c r="D69" s="14">
        <v>118</v>
      </c>
      <c r="E69" s="22">
        <f ca="1">D69*(1+E70)</f>
        <v>129.80000000000001</v>
      </c>
      <c r="F69" s="22">
        <f ca="1">E69*(1+F70)</f>
        <v>142.78000000000003</v>
      </c>
      <c r="G69" s="22">
        <f ca="1">F69*(1+G70)</f>
        <v>157.05800000000005</v>
      </c>
      <c r="H69" s="22">
        <f ca="1">G69*(1+H70)</f>
        <v>172.76380000000006</v>
      </c>
      <c r="I69" s="22">
        <f ca="1">H69*(1+I70)</f>
        <v>190.04018000000008</v>
      </c>
    </row>
    <row r="70" spans="1:9" s="11" customFormat="1" x14ac:dyDescent="0.15">
      <c r="A70" s="10" t="s">
        <v>4</v>
      </c>
      <c r="C70" s="16">
        <f>C69/B69-1</f>
        <v>4.5454545454545414E-2</v>
      </c>
      <c r="D70" s="16">
        <f>D69/C69-1</f>
        <v>2.6086956521739202E-2</v>
      </c>
      <c r="E70" s="287">
        <f ca="1">E368</f>
        <v>0.1</v>
      </c>
      <c r="F70" s="287">
        <f ca="1">F368</f>
        <v>0.1</v>
      </c>
      <c r="G70" s="287">
        <f ca="1">G368</f>
        <v>0.1</v>
      </c>
      <c r="H70" s="287">
        <f ca="1">H368</f>
        <v>0.1</v>
      </c>
      <c r="I70" s="287">
        <f ca="1">I368</f>
        <v>0.1</v>
      </c>
    </row>
    <row r="71" spans="1:9" ht="6" customHeight="1" x14ac:dyDescent="0.15"/>
    <row r="72" spans="1:9" x14ac:dyDescent="0.15">
      <c r="A72" s="12" t="s">
        <v>5</v>
      </c>
    </row>
    <row r="73" spans="1:9" x14ac:dyDescent="0.15">
      <c r="A73" s="9" t="s">
        <v>6</v>
      </c>
      <c r="B73" s="9">
        <v>76</v>
      </c>
      <c r="C73" s="9">
        <v>82</v>
      </c>
      <c r="D73" s="9">
        <v>86</v>
      </c>
      <c r="E73" s="21">
        <f ca="1">E74*E69</f>
        <v>94.754000000000005</v>
      </c>
      <c r="F73" s="21">
        <f ca="1">F74*F69</f>
        <v>104.22940000000001</v>
      </c>
      <c r="G73" s="21">
        <f ca="1">G74*G69</f>
        <v>114.65234000000004</v>
      </c>
      <c r="H73" s="21">
        <f ca="1">H74*H69</f>
        <v>126.11757400000005</v>
      </c>
      <c r="I73" s="21">
        <f ca="1">I74*I69</f>
        <v>138.72933140000006</v>
      </c>
    </row>
    <row r="74" spans="1:9" s="18" customFormat="1" x14ac:dyDescent="0.15">
      <c r="A74" s="10" t="s">
        <v>7</v>
      </c>
      <c r="B74" s="16">
        <f>B73/B69</f>
        <v>0.69090909090909092</v>
      </c>
      <c r="C74" s="16">
        <f>C73/C69</f>
        <v>0.71304347826086956</v>
      </c>
      <c r="D74" s="16">
        <f>D73/D69</f>
        <v>0.72881355932203384</v>
      </c>
      <c r="E74" s="287">
        <f ca="1">E374</f>
        <v>0.73</v>
      </c>
      <c r="F74" s="287">
        <f ca="1">F374</f>
        <v>0.73</v>
      </c>
      <c r="G74" s="287">
        <f ca="1">G374</f>
        <v>0.73</v>
      </c>
      <c r="H74" s="287">
        <f ca="1">H374</f>
        <v>0.73</v>
      </c>
      <c r="I74" s="287">
        <f ca="1">I374</f>
        <v>0.73</v>
      </c>
    </row>
    <row r="75" spans="1:9" ht="6" customHeight="1" x14ac:dyDescent="0.15">
      <c r="A75" s="13"/>
    </row>
    <row r="76" spans="1:9" x14ac:dyDescent="0.15">
      <c r="A76" s="9" t="s">
        <v>8</v>
      </c>
      <c r="B76" s="17">
        <v>1.5</v>
      </c>
      <c r="C76" s="17">
        <v>1.5</v>
      </c>
      <c r="D76" s="17">
        <v>1.5</v>
      </c>
      <c r="E76" s="17">
        <v>1.5</v>
      </c>
      <c r="F76" s="17">
        <v>1.5</v>
      </c>
      <c r="G76" s="17">
        <v>1.5</v>
      </c>
      <c r="H76" s="17">
        <v>1.5</v>
      </c>
      <c r="I76" s="17">
        <v>1.5</v>
      </c>
    </row>
    <row r="77" spans="1:9" s="18" customFormat="1" x14ac:dyDescent="0.15">
      <c r="A77" s="10" t="s">
        <v>7</v>
      </c>
      <c r="B77" s="16">
        <f t="shared" ref="B77:I77" si="15">B76/B69</f>
        <v>1.3636363636363636E-2</v>
      </c>
      <c r="C77" s="16">
        <f t="shared" si="15"/>
        <v>1.3043478260869565E-2</v>
      </c>
      <c r="D77" s="16">
        <f t="shared" si="15"/>
        <v>1.2711864406779662E-2</v>
      </c>
      <c r="E77" s="16">
        <f t="shared" ca="1" si="15"/>
        <v>1.1556240369799691E-2</v>
      </c>
      <c r="F77" s="16">
        <f t="shared" ca="1" si="15"/>
        <v>1.0505673063454263E-2</v>
      </c>
      <c r="G77" s="16">
        <f t="shared" ca="1" si="15"/>
        <v>9.550611875867511E-3</v>
      </c>
      <c r="H77" s="16">
        <f t="shared" ca="1" si="15"/>
        <v>8.6823744326068285E-3</v>
      </c>
      <c r="I77" s="16">
        <f t="shared" ca="1" si="15"/>
        <v>7.8930676660062069E-3</v>
      </c>
    </row>
    <row r="78" spans="1:9" ht="6" customHeight="1" x14ac:dyDescent="0.15">
      <c r="A78" s="13"/>
      <c r="B78" s="19" t="s">
        <v>23</v>
      </c>
      <c r="C78" s="20" t="s">
        <v>23</v>
      </c>
      <c r="D78" s="20" t="s">
        <v>23</v>
      </c>
      <c r="E78" s="20" t="s">
        <v>23</v>
      </c>
      <c r="F78" s="20" t="s">
        <v>23</v>
      </c>
      <c r="G78" s="20" t="s">
        <v>23</v>
      </c>
      <c r="H78" s="20" t="s">
        <v>23</v>
      </c>
      <c r="I78" s="20" t="s">
        <v>23</v>
      </c>
    </row>
    <row r="79" spans="1:9" x14ac:dyDescent="0.15">
      <c r="A79" s="9" t="s">
        <v>9</v>
      </c>
      <c r="B79" s="21">
        <f t="shared" ref="B79:I79" si="16">B76+B73</f>
        <v>77.5</v>
      </c>
      <c r="C79" s="21">
        <f t="shared" si="16"/>
        <v>83.5</v>
      </c>
      <c r="D79" s="21">
        <f t="shared" si="16"/>
        <v>87.5</v>
      </c>
      <c r="E79" s="21">
        <f t="shared" ca="1" si="16"/>
        <v>96.254000000000005</v>
      </c>
      <c r="F79" s="21">
        <f t="shared" ca="1" si="16"/>
        <v>105.72940000000001</v>
      </c>
      <c r="G79" s="21">
        <f t="shared" ca="1" si="16"/>
        <v>116.15234000000004</v>
      </c>
      <c r="H79" s="21">
        <f t="shared" ca="1" si="16"/>
        <v>127.61757400000005</v>
      </c>
      <c r="I79" s="21">
        <f t="shared" ca="1" si="16"/>
        <v>140.22933140000006</v>
      </c>
    </row>
    <row r="80" spans="1:9" s="18" customFormat="1" x14ac:dyDescent="0.15">
      <c r="A80" s="10" t="s">
        <v>7</v>
      </c>
      <c r="B80" s="16">
        <f t="shared" ref="B80:I80" si="17">B79/B69</f>
        <v>0.70454545454545459</v>
      </c>
      <c r="C80" s="16">
        <f t="shared" si="17"/>
        <v>0.72608695652173916</v>
      </c>
      <c r="D80" s="16">
        <f t="shared" si="17"/>
        <v>0.74152542372881358</v>
      </c>
      <c r="E80" s="16">
        <f t="shared" ca="1" si="17"/>
        <v>0.74155624036979961</v>
      </c>
      <c r="F80" s="16">
        <f t="shared" ca="1" si="17"/>
        <v>0.74050567306345416</v>
      </c>
      <c r="G80" s="16">
        <f t="shared" ca="1" si="17"/>
        <v>0.73955061187586757</v>
      </c>
      <c r="H80" s="16">
        <f t="shared" ca="1" si="17"/>
        <v>0.73868237443260687</v>
      </c>
      <c r="I80" s="16">
        <f t="shared" ca="1" si="17"/>
        <v>0.73789306766600626</v>
      </c>
    </row>
    <row r="81" spans="1:9" ht="6" customHeight="1" x14ac:dyDescent="0.15">
      <c r="A81" s="13"/>
      <c r="D81" s="23"/>
      <c r="E81" s="23"/>
      <c r="F81" s="23"/>
      <c r="G81" s="23"/>
      <c r="H81" s="23"/>
      <c r="I81" s="23"/>
    </row>
    <row r="82" spans="1:9" x14ac:dyDescent="0.15">
      <c r="A82" s="12" t="s">
        <v>10</v>
      </c>
      <c r="D82" s="23"/>
      <c r="E82" s="23"/>
      <c r="F82" s="23"/>
      <c r="G82" s="23"/>
      <c r="H82" s="23"/>
      <c r="I82" s="23"/>
    </row>
    <row r="83" spans="1:9" x14ac:dyDescent="0.15">
      <c r="A83" s="9" t="s">
        <v>11</v>
      </c>
      <c r="B83" s="21">
        <f t="shared" ref="B83:I83" si="18">B69-B73</f>
        <v>34</v>
      </c>
      <c r="C83" s="21">
        <f t="shared" si="18"/>
        <v>33</v>
      </c>
      <c r="D83" s="21">
        <f t="shared" si="18"/>
        <v>32</v>
      </c>
      <c r="E83" s="21">
        <f t="shared" ca="1" si="18"/>
        <v>35.046000000000006</v>
      </c>
      <c r="F83" s="21">
        <f t="shared" ca="1" si="18"/>
        <v>38.550600000000017</v>
      </c>
      <c r="G83" s="21">
        <f t="shared" ca="1" si="18"/>
        <v>42.405660000000012</v>
      </c>
      <c r="H83" s="21">
        <f t="shared" ca="1" si="18"/>
        <v>46.646226000000013</v>
      </c>
      <c r="I83" s="21">
        <f t="shared" ca="1" si="18"/>
        <v>51.310848600000014</v>
      </c>
    </row>
    <row r="84" spans="1:9" s="18" customFormat="1" x14ac:dyDescent="0.15">
      <c r="A84" s="10" t="s">
        <v>12</v>
      </c>
      <c r="B84" s="16">
        <f t="shared" ref="B84:I84" si="19">B83/B69</f>
        <v>0.30909090909090908</v>
      </c>
      <c r="C84" s="16">
        <f t="shared" si="19"/>
        <v>0.28695652173913044</v>
      </c>
      <c r="D84" s="16">
        <f t="shared" si="19"/>
        <v>0.2711864406779661</v>
      </c>
      <c r="E84" s="16">
        <f t="shared" ca="1" si="19"/>
        <v>0.27</v>
      </c>
      <c r="F84" s="16">
        <f t="shared" ca="1" si="19"/>
        <v>0.27000000000000007</v>
      </c>
      <c r="G84" s="16">
        <f t="shared" ca="1" si="19"/>
        <v>0.26999999999999996</v>
      </c>
      <c r="H84" s="16">
        <f t="shared" ca="1" si="19"/>
        <v>0.26999999999999996</v>
      </c>
      <c r="I84" s="16">
        <f t="shared" ca="1" si="19"/>
        <v>0.26999999999999996</v>
      </c>
    </row>
    <row r="85" spans="1:9" ht="6" customHeight="1" x14ac:dyDescent="0.15">
      <c r="A85" s="13"/>
      <c r="D85" s="23"/>
      <c r="E85" s="23"/>
      <c r="F85" s="23"/>
      <c r="G85" s="23"/>
      <c r="H85" s="23"/>
      <c r="I85" s="23"/>
    </row>
    <row r="86" spans="1:9" x14ac:dyDescent="0.15">
      <c r="A86" s="9" t="s">
        <v>13</v>
      </c>
      <c r="B86" s="21">
        <f t="shared" ref="B86:I86" si="20">-B76</f>
        <v>-1.5</v>
      </c>
      <c r="C86" s="21">
        <f t="shared" si="20"/>
        <v>-1.5</v>
      </c>
      <c r="D86" s="21">
        <f t="shared" si="20"/>
        <v>-1.5</v>
      </c>
      <c r="E86" s="21">
        <f t="shared" si="20"/>
        <v>-1.5</v>
      </c>
      <c r="F86" s="21">
        <f t="shared" si="20"/>
        <v>-1.5</v>
      </c>
      <c r="G86" s="21">
        <f t="shared" si="20"/>
        <v>-1.5</v>
      </c>
      <c r="H86" s="21">
        <f t="shared" si="20"/>
        <v>-1.5</v>
      </c>
      <c r="I86" s="21">
        <f t="shared" si="20"/>
        <v>-1.5</v>
      </c>
    </row>
    <row r="87" spans="1:9" ht="6" customHeight="1" x14ac:dyDescent="0.15">
      <c r="A87" s="13"/>
      <c r="B87" s="19" t="s">
        <v>23</v>
      </c>
      <c r="C87" s="20" t="s">
        <v>23</v>
      </c>
      <c r="D87" s="20" t="s">
        <v>23</v>
      </c>
      <c r="E87" s="20" t="s">
        <v>23</v>
      </c>
      <c r="F87" s="20" t="s">
        <v>23</v>
      </c>
      <c r="G87" s="20" t="s">
        <v>23</v>
      </c>
      <c r="H87" s="20" t="s">
        <v>23</v>
      </c>
      <c r="I87" s="20" t="s">
        <v>23</v>
      </c>
    </row>
    <row r="88" spans="1:9" x14ac:dyDescent="0.15">
      <c r="A88" s="9" t="s">
        <v>14</v>
      </c>
      <c r="B88" s="21">
        <f t="shared" ref="B88:I88" si="21">B86+B83</f>
        <v>32.5</v>
      </c>
      <c r="C88" s="21">
        <f t="shared" si="21"/>
        <v>31.5</v>
      </c>
      <c r="D88" s="21">
        <f t="shared" si="21"/>
        <v>30.5</v>
      </c>
      <c r="E88" s="21">
        <f t="shared" ca="1" si="21"/>
        <v>33.546000000000006</v>
      </c>
      <c r="F88" s="21">
        <f t="shared" ca="1" si="21"/>
        <v>37.050600000000017</v>
      </c>
      <c r="G88" s="21">
        <f t="shared" ca="1" si="21"/>
        <v>40.905660000000012</v>
      </c>
      <c r="H88" s="21">
        <f t="shared" ca="1" si="21"/>
        <v>45.146226000000013</v>
      </c>
      <c r="I88" s="21">
        <f t="shared" ca="1" si="21"/>
        <v>49.810848600000014</v>
      </c>
    </row>
    <row r="89" spans="1:9" s="18" customFormat="1" x14ac:dyDescent="0.15">
      <c r="A89" s="10" t="s">
        <v>12</v>
      </c>
      <c r="B89" s="16">
        <f t="shared" ref="B89:I89" si="22">B88/B69</f>
        <v>0.29545454545454547</v>
      </c>
      <c r="C89" s="16">
        <f t="shared" si="22"/>
        <v>0.27391304347826084</v>
      </c>
      <c r="D89" s="16">
        <f t="shared" si="22"/>
        <v>0.25847457627118642</v>
      </c>
      <c r="E89" s="16">
        <f t="shared" ca="1" si="22"/>
        <v>0.25844375963020033</v>
      </c>
      <c r="F89" s="16">
        <f t="shared" ca="1" si="22"/>
        <v>0.25949432693654578</v>
      </c>
      <c r="G89" s="16">
        <f t="shared" ca="1" si="22"/>
        <v>0.26044938812413249</v>
      </c>
      <c r="H89" s="16">
        <f t="shared" ca="1" si="22"/>
        <v>0.26131762556739313</v>
      </c>
      <c r="I89" s="16">
        <f t="shared" ca="1" si="22"/>
        <v>0.26210693233399374</v>
      </c>
    </row>
    <row r="90" spans="1:9" ht="6" customHeight="1" x14ac:dyDescent="0.15">
      <c r="A90" s="13"/>
    </row>
    <row r="91" spans="1:9" x14ac:dyDescent="0.15">
      <c r="A91" s="9" t="s">
        <v>15</v>
      </c>
      <c r="B91" s="9">
        <v>8.3000000000000007</v>
      </c>
      <c r="C91" s="9">
        <v>9</v>
      </c>
      <c r="D91" s="9">
        <v>9.3000000000000007</v>
      </c>
      <c r="E91" s="21">
        <f ca="1">E92*E69</f>
        <v>10.384</v>
      </c>
      <c r="F91" s="21">
        <f ca="1">F92*F69</f>
        <v>11.422400000000003</v>
      </c>
      <c r="G91" s="21">
        <f ca="1">G92*G69</f>
        <v>12.564640000000004</v>
      </c>
      <c r="H91" s="21">
        <f ca="1">H92*H69</f>
        <v>13.821104000000005</v>
      </c>
      <c r="I91" s="21">
        <f ca="1">I92*I69</f>
        <v>15.203214400000007</v>
      </c>
    </row>
    <row r="92" spans="1:9" s="18" customFormat="1" x14ac:dyDescent="0.15">
      <c r="A92" s="10" t="s">
        <v>16</v>
      </c>
      <c r="B92" s="16">
        <f>B91/B69</f>
        <v>7.5454545454545455E-2</v>
      </c>
      <c r="C92" s="16">
        <f>C91/C69</f>
        <v>7.8260869565217397E-2</v>
      </c>
      <c r="D92" s="16">
        <f>D91/D69</f>
        <v>7.8813559322033905E-2</v>
      </c>
      <c r="E92" s="287">
        <f ca="1">E380</f>
        <v>0.08</v>
      </c>
      <c r="F92" s="287">
        <f ca="1">F380</f>
        <v>0.08</v>
      </c>
      <c r="G92" s="287">
        <f ca="1">G380</f>
        <v>0.08</v>
      </c>
      <c r="H92" s="287">
        <f ca="1">H380</f>
        <v>0.08</v>
      </c>
      <c r="I92" s="287">
        <f ca="1">I380</f>
        <v>0.08</v>
      </c>
    </row>
    <row r="93" spans="1:9" ht="6" customHeight="1" x14ac:dyDescent="0.15">
      <c r="A93" s="13"/>
    </row>
    <row r="94" spans="1:9" x14ac:dyDescent="0.15">
      <c r="A94" s="9" t="s">
        <v>17</v>
      </c>
      <c r="B94" s="9">
        <v>1</v>
      </c>
      <c r="C94" s="9">
        <v>1</v>
      </c>
      <c r="D94" s="9">
        <v>1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</row>
    <row r="95" spans="1:9" ht="6" customHeight="1" x14ac:dyDescent="0.15">
      <c r="A95" s="13"/>
    </row>
    <row r="96" spans="1:9" x14ac:dyDescent="0.15">
      <c r="A96" s="9" t="s">
        <v>18</v>
      </c>
      <c r="B96" s="21">
        <f t="shared" ref="B96:I96" si="23">B83-B91</f>
        <v>25.7</v>
      </c>
      <c r="C96" s="21">
        <f t="shared" si="23"/>
        <v>24</v>
      </c>
      <c r="D96" s="21">
        <f t="shared" si="23"/>
        <v>22.7</v>
      </c>
      <c r="E96" s="21">
        <f t="shared" ca="1" si="23"/>
        <v>24.662000000000006</v>
      </c>
      <c r="F96" s="21">
        <f t="shared" ca="1" si="23"/>
        <v>27.128200000000014</v>
      </c>
      <c r="G96" s="21">
        <f t="shared" ca="1" si="23"/>
        <v>29.841020000000007</v>
      </c>
      <c r="H96" s="21">
        <f t="shared" ca="1" si="23"/>
        <v>32.825122000000007</v>
      </c>
      <c r="I96" s="21">
        <f t="shared" ca="1" si="23"/>
        <v>36.107634200000007</v>
      </c>
    </row>
    <row r="97" spans="1:10" s="18" customFormat="1" x14ac:dyDescent="0.15">
      <c r="A97" s="10" t="s">
        <v>19</v>
      </c>
      <c r="B97" s="16">
        <f t="shared" ref="B97:I97" si="24">B96/B69</f>
        <v>0.23363636363636364</v>
      </c>
      <c r="C97" s="16">
        <f t="shared" si="24"/>
        <v>0.20869565217391303</v>
      </c>
      <c r="D97" s="16">
        <f t="shared" si="24"/>
        <v>0.1923728813559322</v>
      </c>
      <c r="E97" s="16">
        <f t="shared" ca="1" si="24"/>
        <v>0.19000000000000003</v>
      </c>
      <c r="F97" s="16">
        <f t="shared" ca="1" si="24"/>
        <v>0.19000000000000006</v>
      </c>
      <c r="G97" s="16">
        <f t="shared" ca="1" si="24"/>
        <v>0.18999999999999997</v>
      </c>
      <c r="H97" s="16">
        <f t="shared" ca="1" si="24"/>
        <v>0.18999999999999997</v>
      </c>
      <c r="I97" s="16">
        <f t="shared" ca="1" si="24"/>
        <v>0.18999999999999995</v>
      </c>
    </row>
    <row r="98" spans="1:10" s="18" customFormat="1" x14ac:dyDescent="0.15">
      <c r="A98" s="10" t="s">
        <v>4</v>
      </c>
      <c r="B98" s="16"/>
      <c r="C98" s="16">
        <f t="shared" ref="C98:I98" si="25">C96/B96-1</f>
        <v>-6.6147859922178975E-2</v>
      </c>
      <c r="D98" s="16">
        <f t="shared" si="25"/>
        <v>-5.4166666666666696E-2</v>
      </c>
      <c r="E98" s="16">
        <f t="shared" ca="1" si="25"/>
        <v>8.6431718061674268E-2</v>
      </c>
      <c r="F98" s="16">
        <f t="shared" ca="1" si="25"/>
        <v>0.10000000000000031</v>
      </c>
      <c r="G98" s="16">
        <f t="shared" ca="1" si="25"/>
        <v>9.9999999999999645E-2</v>
      </c>
      <c r="H98" s="16">
        <f t="shared" ca="1" si="25"/>
        <v>9.9999999999999867E-2</v>
      </c>
      <c r="I98" s="16">
        <f t="shared" ca="1" si="25"/>
        <v>9.9999999999999867E-2</v>
      </c>
    </row>
    <row r="99" spans="1:10" ht="6" customHeight="1" x14ac:dyDescent="0.15">
      <c r="A99" s="9"/>
    </row>
    <row r="100" spans="1:10" x14ac:dyDescent="0.15">
      <c r="A100" s="9" t="s">
        <v>20</v>
      </c>
      <c r="B100" s="21">
        <f t="shared" ref="B100:I100" si="26">B96-B94-B76</f>
        <v>23.2</v>
      </c>
      <c r="C100" s="21">
        <f t="shared" si="26"/>
        <v>21.5</v>
      </c>
      <c r="D100" s="21">
        <f t="shared" si="26"/>
        <v>20.2</v>
      </c>
      <c r="E100" s="21">
        <f t="shared" ca="1" si="26"/>
        <v>22.162000000000006</v>
      </c>
      <c r="F100" s="21">
        <f t="shared" ca="1" si="26"/>
        <v>24.628200000000014</v>
      </c>
      <c r="G100" s="21">
        <f t="shared" ca="1" si="26"/>
        <v>27.341020000000007</v>
      </c>
      <c r="H100" s="21">
        <f t="shared" ca="1" si="26"/>
        <v>30.325122000000007</v>
      </c>
      <c r="I100" s="21">
        <f t="shared" ca="1" si="26"/>
        <v>33.607634200000007</v>
      </c>
    </row>
    <row r="101" spans="1:10" s="18" customFormat="1" x14ac:dyDescent="0.15">
      <c r="A101" s="10" t="s">
        <v>19</v>
      </c>
      <c r="B101" s="16">
        <f t="shared" ref="B101:I101" si="27">B100/B69</f>
        <v>0.21090909090909091</v>
      </c>
      <c r="C101" s="16">
        <f t="shared" si="27"/>
        <v>0.18695652173913044</v>
      </c>
      <c r="D101" s="16">
        <f t="shared" si="27"/>
        <v>0.1711864406779661</v>
      </c>
      <c r="E101" s="16">
        <f t="shared" ca="1" si="27"/>
        <v>0.1707395993836672</v>
      </c>
      <c r="F101" s="16">
        <f t="shared" ca="1" si="27"/>
        <v>0.17249054489424295</v>
      </c>
      <c r="G101" s="16">
        <f t="shared" ca="1" si="27"/>
        <v>0.1740823135402208</v>
      </c>
      <c r="H101" s="16">
        <f t="shared" ca="1" si="27"/>
        <v>0.17552937594565526</v>
      </c>
      <c r="I101" s="16">
        <f t="shared" ca="1" si="27"/>
        <v>0.17684488722332295</v>
      </c>
    </row>
    <row r="102" spans="1:10" ht="6" customHeight="1" x14ac:dyDescent="0.15">
      <c r="A102" s="9"/>
    </row>
    <row r="103" spans="1:10" x14ac:dyDescent="0.15">
      <c r="A103" s="9" t="s">
        <v>21</v>
      </c>
      <c r="B103" s="9">
        <v>2</v>
      </c>
      <c r="C103" s="9">
        <v>2</v>
      </c>
      <c r="D103" s="9">
        <v>2</v>
      </c>
      <c r="E103" s="288">
        <f ca="1">E386</f>
        <v>2</v>
      </c>
      <c r="F103" s="288">
        <f ca="1">F386</f>
        <v>2</v>
      </c>
      <c r="G103" s="288">
        <f ca="1">G386</f>
        <v>2</v>
      </c>
      <c r="H103" s="288">
        <f ca="1">H386</f>
        <v>2</v>
      </c>
      <c r="I103" s="288">
        <f ca="1">I386</f>
        <v>2</v>
      </c>
    </row>
    <row r="104" spans="1:10" s="18" customFormat="1" x14ac:dyDescent="0.15">
      <c r="A104" s="10" t="s">
        <v>22</v>
      </c>
      <c r="B104" s="16">
        <f t="shared" ref="B104:I104" si="28">B103/B69</f>
        <v>1.8181818181818181E-2</v>
      </c>
      <c r="C104" s="16">
        <f t="shared" si="28"/>
        <v>1.7391304347826087E-2</v>
      </c>
      <c r="D104" s="16">
        <f t="shared" si="28"/>
        <v>1.6949152542372881E-2</v>
      </c>
      <c r="E104" s="16">
        <f t="shared" ca="1" si="28"/>
        <v>1.5408320493066254E-2</v>
      </c>
      <c r="F104" s="16">
        <f t="shared" ca="1" si="28"/>
        <v>1.4007564084605684E-2</v>
      </c>
      <c r="G104" s="16">
        <f t="shared" ca="1" si="28"/>
        <v>1.2734149167823347E-2</v>
      </c>
      <c r="H104" s="16">
        <f t="shared" ca="1" si="28"/>
        <v>1.157649924347577E-2</v>
      </c>
      <c r="I104" s="16">
        <f t="shared" ca="1" si="28"/>
        <v>1.0524090221341608E-2</v>
      </c>
    </row>
    <row r="105" spans="1:10" s="1" customFormat="1" ht="18" x14ac:dyDescent="0.2">
      <c r="A105" s="7" t="s">
        <v>73</v>
      </c>
      <c r="B105" s="8"/>
      <c r="C105" s="8"/>
      <c r="D105" s="8"/>
      <c r="E105" s="8"/>
      <c r="F105" s="8"/>
      <c r="G105" s="8"/>
      <c r="H105" s="8"/>
      <c r="I105" s="8"/>
      <c r="J105"/>
    </row>
    <row r="107" spans="1:10" ht="16" x14ac:dyDescent="0.3">
      <c r="A107"/>
      <c r="B107"/>
      <c r="C107"/>
      <c r="D107" s="29" t="s">
        <v>72</v>
      </c>
      <c r="E107" s="5" t="s">
        <v>1</v>
      </c>
      <c r="F107" s="5"/>
      <c r="G107" s="5"/>
      <c r="H107" s="5"/>
      <c r="I107" s="5"/>
    </row>
    <row r="108" spans="1:10" x14ac:dyDescent="0.15">
      <c r="A108"/>
      <c r="B108"/>
      <c r="C108"/>
      <c r="D108" s="4">
        <f t="shared" ref="D108:I108" si="29">D$67</f>
        <v>1999</v>
      </c>
      <c r="E108" s="4">
        <f t="shared" si="29"/>
        <v>2000</v>
      </c>
      <c r="F108" s="4">
        <f t="shared" si="29"/>
        <v>2001</v>
      </c>
      <c r="G108" s="4">
        <f t="shared" si="29"/>
        <v>2002</v>
      </c>
      <c r="H108" s="4">
        <f t="shared" si="29"/>
        <v>2003</v>
      </c>
      <c r="I108" s="4">
        <f t="shared" si="29"/>
        <v>2004</v>
      </c>
    </row>
    <row r="109" spans="1:10" ht="6" customHeight="1" x14ac:dyDescent="0.15"/>
    <row r="110" spans="1:10" s="15" customFormat="1" x14ac:dyDescent="0.15">
      <c r="A110" s="14" t="s">
        <v>74</v>
      </c>
      <c r="D110" s="22">
        <f t="shared" ref="D110:I110" si="30">D69</f>
        <v>118</v>
      </c>
      <c r="E110" s="22">
        <f t="shared" ca="1" si="30"/>
        <v>129.80000000000001</v>
      </c>
      <c r="F110" s="22">
        <f t="shared" ca="1" si="30"/>
        <v>142.78000000000003</v>
      </c>
      <c r="G110" s="22">
        <f t="shared" ca="1" si="30"/>
        <v>157.05800000000005</v>
      </c>
      <c r="H110" s="22">
        <f t="shared" ca="1" si="30"/>
        <v>172.76380000000006</v>
      </c>
      <c r="I110" s="22">
        <f t="shared" ca="1" si="30"/>
        <v>190.04018000000008</v>
      </c>
    </row>
    <row r="111" spans="1:10" x14ac:dyDescent="0.15">
      <c r="A111" s="9" t="s">
        <v>75</v>
      </c>
      <c r="D111" s="21">
        <f t="shared" ref="D111:I111" si="31">D79</f>
        <v>87.5</v>
      </c>
      <c r="E111" s="21">
        <f t="shared" ca="1" si="31"/>
        <v>96.254000000000005</v>
      </c>
      <c r="F111" s="21">
        <f t="shared" ca="1" si="31"/>
        <v>105.72940000000001</v>
      </c>
      <c r="G111" s="21">
        <f t="shared" ca="1" si="31"/>
        <v>116.15234000000004</v>
      </c>
      <c r="H111" s="21">
        <f t="shared" ca="1" si="31"/>
        <v>127.61757400000005</v>
      </c>
      <c r="I111" s="21">
        <f t="shared" ca="1" si="31"/>
        <v>140.22933140000006</v>
      </c>
    </row>
    <row r="112" spans="1:10" x14ac:dyDescent="0.15">
      <c r="A112" s="9"/>
    </row>
    <row r="113" spans="1:9" x14ac:dyDescent="0.15">
      <c r="A113" s="61" t="s">
        <v>76</v>
      </c>
    </row>
    <row r="114" spans="1:9" x14ac:dyDescent="0.15">
      <c r="A114" s="32" t="str">
        <f>"  "&amp;A187</f>
        <v xml:space="preserve">  Accounts Receivable</v>
      </c>
      <c r="D114" s="32">
        <f>D187</f>
        <v>10</v>
      </c>
      <c r="E114" s="21">
        <f ca="1">E131*E110</f>
        <v>11</v>
      </c>
      <c r="F114" s="21">
        <f ca="1">F131*F110</f>
        <v>12.100000000000001</v>
      </c>
      <c r="G114" s="21">
        <f ca="1">G131*G110</f>
        <v>13.310000000000004</v>
      </c>
      <c r="H114" s="21">
        <f ca="1">H131*H110</f>
        <v>14.641000000000004</v>
      </c>
      <c r="I114" s="21">
        <f ca="1">I131*I110</f>
        <v>16.105100000000007</v>
      </c>
    </row>
    <row r="115" spans="1:9" x14ac:dyDescent="0.15">
      <c r="A115" s="32" t="str">
        <f>"  "&amp;A188</f>
        <v xml:space="preserve">  Inventory</v>
      </c>
      <c r="D115" s="32">
        <f>D188</f>
        <v>8</v>
      </c>
      <c r="E115" s="21">
        <f ca="1">E133*E111</f>
        <v>8.8003657142857143</v>
      </c>
      <c r="F115" s="21">
        <f ca="1">F133*F111</f>
        <v>9.6666880000000006</v>
      </c>
      <c r="G115" s="21">
        <f ca="1">G133*G111</f>
        <v>10.619642514285717</v>
      </c>
      <c r="H115" s="21">
        <f ca="1">H133*H111</f>
        <v>11.667892480000004</v>
      </c>
      <c r="I115" s="21">
        <f ca="1">I133*I111</f>
        <v>12.82096744228572</v>
      </c>
    </row>
    <row r="116" spans="1:9" x14ac:dyDescent="0.15">
      <c r="A116" s="32" t="str">
        <f>"  "&amp;A189</f>
        <v xml:space="preserve">  Prepaid Expenses</v>
      </c>
      <c r="D116" s="32">
        <f>D189</f>
        <v>5</v>
      </c>
      <c r="E116" s="21">
        <f ca="1">E135*E111</f>
        <v>5.5002285714285719</v>
      </c>
      <c r="F116" s="21">
        <f ca="1">F135*F111</f>
        <v>6.0416800000000004</v>
      </c>
      <c r="G116" s="21">
        <f ca="1">G135*G111</f>
        <v>6.6372765714285737</v>
      </c>
      <c r="H116" s="21">
        <f ca="1">H135*H111</f>
        <v>7.292432800000002</v>
      </c>
      <c r="I116" s="21">
        <f ca="1">I135*I111</f>
        <v>8.0131046514285753</v>
      </c>
    </row>
    <row r="117" spans="1:9" ht="6" customHeight="1" x14ac:dyDescent="0.15">
      <c r="A117" s="9"/>
      <c r="D117" s="19" t="s">
        <v>23</v>
      </c>
      <c r="E117" s="19" t="s">
        <v>23</v>
      </c>
      <c r="F117" s="19" t="s">
        <v>23</v>
      </c>
      <c r="G117" s="19" t="s">
        <v>23</v>
      </c>
      <c r="H117" s="19" t="s">
        <v>23</v>
      </c>
      <c r="I117" s="19" t="s">
        <v>23</v>
      </c>
    </row>
    <row r="118" spans="1:9" x14ac:dyDescent="0.15">
      <c r="A118" s="32" t="str">
        <f>"    "&amp;A113</f>
        <v xml:space="preserve">    Current Assets</v>
      </c>
      <c r="D118" s="32">
        <f t="shared" ref="D118:I118" si="32">SUM(D114:D117)</f>
        <v>23</v>
      </c>
      <c r="E118" s="21">
        <f t="shared" ca="1" si="32"/>
        <v>25.300594285714286</v>
      </c>
      <c r="F118" s="21">
        <f t="shared" ca="1" si="32"/>
        <v>27.808368000000002</v>
      </c>
      <c r="G118" s="21">
        <f t="shared" ca="1" si="32"/>
        <v>30.566919085714297</v>
      </c>
      <c r="H118" s="21">
        <f t="shared" ca="1" si="32"/>
        <v>33.601325280000012</v>
      </c>
      <c r="I118" s="21">
        <f t="shared" ca="1" si="32"/>
        <v>36.939172093714305</v>
      </c>
    </row>
    <row r="119" spans="1:9" x14ac:dyDescent="0.15">
      <c r="A119" s="9"/>
      <c r="E119" s="23"/>
      <c r="F119" s="23"/>
      <c r="G119" s="23"/>
      <c r="H119" s="23"/>
      <c r="I119" s="23"/>
    </row>
    <row r="120" spans="1:9" x14ac:dyDescent="0.15">
      <c r="A120" s="61" t="s">
        <v>77</v>
      </c>
      <c r="E120" s="23"/>
      <c r="F120" s="23"/>
      <c r="G120" s="23"/>
      <c r="H120" s="23"/>
      <c r="I120" s="23"/>
    </row>
    <row r="121" spans="1:9" x14ac:dyDescent="0.15">
      <c r="A121" s="32" t="str">
        <f>"  "&amp;A204</f>
        <v xml:space="preserve">  Accounts Payable</v>
      </c>
      <c r="D121" s="32">
        <f>D204</f>
        <v>7</v>
      </c>
      <c r="E121" s="21">
        <f ca="1">E136*E111</f>
        <v>7.7003200000000005</v>
      </c>
      <c r="F121" s="21">
        <f ca="1">F136*F111</f>
        <v>8.4583520000000014</v>
      </c>
      <c r="G121" s="21">
        <f ca="1">G136*G111</f>
        <v>9.2921872000000025</v>
      </c>
      <c r="H121" s="21">
        <f ca="1">H136*H111</f>
        <v>10.209405920000004</v>
      </c>
      <c r="I121" s="21">
        <f ca="1">I136*I111</f>
        <v>11.218346512000005</v>
      </c>
    </row>
    <row r="122" spans="1:9" x14ac:dyDescent="0.15">
      <c r="A122" s="32" t="str">
        <f>"  "&amp;A205</f>
        <v xml:space="preserve">  Accrued Expenses</v>
      </c>
      <c r="D122" s="32">
        <f>D205</f>
        <v>6</v>
      </c>
      <c r="E122" s="21">
        <f ca="1">E137*E111</f>
        <v>6.6002742857142866</v>
      </c>
      <c r="F122" s="21">
        <f ca="1">F137*F111</f>
        <v>7.2500160000000013</v>
      </c>
      <c r="G122" s="21">
        <f ca="1">G137*G111</f>
        <v>7.964731885714289</v>
      </c>
      <c r="H122" s="21">
        <f ca="1">H137*H111</f>
        <v>8.7509193600000028</v>
      </c>
      <c r="I122" s="21">
        <f ca="1">I137*I111</f>
        <v>9.6157255817142904</v>
      </c>
    </row>
    <row r="123" spans="1:9" ht="6" customHeight="1" x14ac:dyDescent="0.15">
      <c r="A123" s="9"/>
      <c r="D123" s="19" t="s">
        <v>23</v>
      </c>
      <c r="E123" s="19" t="s">
        <v>23</v>
      </c>
      <c r="F123" s="19" t="s">
        <v>23</v>
      </c>
      <c r="G123" s="19" t="s">
        <v>23</v>
      </c>
      <c r="H123" s="19" t="s">
        <v>23</v>
      </c>
      <c r="I123" s="19" t="s">
        <v>23</v>
      </c>
    </row>
    <row r="124" spans="1:9" x14ac:dyDescent="0.15">
      <c r="A124" s="32" t="str">
        <f>"    "&amp;A120</f>
        <v xml:space="preserve">    Current Liabilities</v>
      </c>
      <c r="D124" s="32">
        <f t="shared" ref="D124:I124" si="33">SUM(D121:D123)</f>
        <v>13</v>
      </c>
      <c r="E124" s="21">
        <f t="shared" ca="1" si="33"/>
        <v>14.300594285714286</v>
      </c>
      <c r="F124" s="21">
        <f t="shared" ca="1" si="33"/>
        <v>15.708368000000004</v>
      </c>
      <c r="G124" s="21">
        <f t="shared" ca="1" si="33"/>
        <v>17.256919085714291</v>
      </c>
      <c r="H124" s="21">
        <f t="shared" ca="1" si="33"/>
        <v>18.960325280000006</v>
      </c>
      <c r="I124" s="21">
        <f t="shared" ca="1" si="33"/>
        <v>20.834072093714298</v>
      </c>
    </row>
    <row r="125" spans="1:9" x14ac:dyDescent="0.15">
      <c r="A125" s="9"/>
    </row>
    <row r="126" spans="1:9" x14ac:dyDescent="0.15">
      <c r="A126" s="61" t="s">
        <v>78</v>
      </c>
    </row>
    <row r="127" spans="1:9" x14ac:dyDescent="0.15">
      <c r="A127" s="9" t="s">
        <v>79</v>
      </c>
      <c r="D127" s="21">
        <f t="shared" ref="D127:I127" si="34">D118-D124</f>
        <v>10</v>
      </c>
      <c r="E127" s="21">
        <f t="shared" ca="1" si="34"/>
        <v>11</v>
      </c>
      <c r="F127" s="21">
        <f t="shared" ca="1" si="34"/>
        <v>12.099999999999998</v>
      </c>
      <c r="G127" s="21">
        <f t="shared" ca="1" si="34"/>
        <v>13.310000000000006</v>
      </c>
      <c r="H127" s="21">
        <f t="shared" ca="1" si="34"/>
        <v>14.641000000000005</v>
      </c>
      <c r="I127" s="21">
        <f t="shared" ca="1" si="34"/>
        <v>16.105100000000007</v>
      </c>
    </row>
    <row r="128" spans="1:9" x14ac:dyDescent="0.15">
      <c r="A128" s="9" t="s">
        <v>80</v>
      </c>
      <c r="E128" s="21">
        <f ca="1">D127-E127</f>
        <v>-1</v>
      </c>
      <c r="F128" s="21">
        <f ca="1">E127-F127</f>
        <v>-1.0999999999999979</v>
      </c>
      <c r="G128" s="21">
        <f ca="1">F127-G127</f>
        <v>-1.210000000000008</v>
      </c>
      <c r="H128" s="21">
        <f ca="1">G127-H127</f>
        <v>-1.3309999999999995</v>
      </c>
      <c r="I128" s="21">
        <f ca="1">H127-I127</f>
        <v>-1.464100000000002</v>
      </c>
    </row>
    <row r="129" spans="1:10" x14ac:dyDescent="0.15">
      <c r="A129" s="9"/>
    </row>
    <row r="130" spans="1:10" x14ac:dyDescent="0.15">
      <c r="A130" s="61" t="s">
        <v>81</v>
      </c>
    </row>
    <row r="131" spans="1:10" x14ac:dyDescent="0.15">
      <c r="A131" s="9" t="s">
        <v>82</v>
      </c>
      <c r="D131" s="63">
        <f>D114/D110</f>
        <v>8.4745762711864403E-2</v>
      </c>
      <c r="E131" s="65">
        <f>D131</f>
        <v>8.4745762711864403E-2</v>
      </c>
      <c r="F131" s="65">
        <f t="shared" ref="F131:I133" si="35">E131</f>
        <v>8.4745762711864403E-2</v>
      </c>
      <c r="G131" s="65">
        <f t="shared" si="35"/>
        <v>8.4745762711864403E-2</v>
      </c>
      <c r="H131" s="65">
        <f t="shared" si="35"/>
        <v>8.4745762711864403E-2</v>
      </c>
      <c r="I131" s="65">
        <f t="shared" si="35"/>
        <v>8.4745762711864403E-2</v>
      </c>
    </row>
    <row r="132" spans="1:10" x14ac:dyDescent="0.15">
      <c r="A132" s="12" t="s">
        <v>83</v>
      </c>
      <c r="D132" s="32">
        <f t="shared" ref="D132:I132" si="36">D114/(D110/365)</f>
        <v>30.932203389830509</v>
      </c>
      <c r="E132" s="32">
        <f t="shared" ca="1" si="36"/>
        <v>30.932203389830505</v>
      </c>
      <c r="F132" s="32">
        <f t="shared" ca="1" si="36"/>
        <v>30.932203389830505</v>
      </c>
      <c r="G132" s="32">
        <f t="shared" ca="1" si="36"/>
        <v>30.932203389830505</v>
      </c>
      <c r="H132" s="32">
        <f t="shared" ca="1" si="36"/>
        <v>30.932203389830505</v>
      </c>
      <c r="I132" s="32">
        <f t="shared" ca="1" si="36"/>
        <v>30.932203389830509</v>
      </c>
    </row>
    <row r="133" spans="1:10" x14ac:dyDescent="0.15">
      <c r="A133" s="9" t="s">
        <v>84</v>
      </c>
      <c r="D133" s="63">
        <f>D115/D111</f>
        <v>9.1428571428571428E-2</v>
      </c>
      <c r="E133" s="65">
        <f>D133</f>
        <v>9.1428571428571428E-2</v>
      </c>
      <c r="F133" s="65">
        <f t="shared" si="35"/>
        <v>9.1428571428571428E-2</v>
      </c>
      <c r="G133" s="65">
        <f t="shared" si="35"/>
        <v>9.1428571428571428E-2</v>
      </c>
      <c r="H133" s="65">
        <f t="shared" si="35"/>
        <v>9.1428571428571428E-2</v>
      </c>
      <c r="I133" s="65">
        <f t="shared" si="35"/>
        <v>9.1428571428571428E-2</v>
      </c>
    </row>
    <row r="134" spans="1:10" x14ac:dyDescent="0.15">
      <c r="A134" s="62" t="s">
        <v>85</v>
      </c>
      <c r="D134" s="64">
        <f t="shared" ref="D134:I134" si="37">IF(ISERROR(D111/D115),"NM",D111/D115)</f>
        <v>10.9375</v>
      </c>
      <c r="E134" s="64">
        <f t="shared" ca="1" si="37"/>
        <v>10.9375</v>
      </c>
      <c r="F134" s="64">
        <f t="shared" ca="1" si="37"/>
        <v>10.9375</v>
      </c>
      <c r="G134" s="64">
        <f t="shared" ca="1" si="37"/>
        <v>10.9375</v>
      </c>
      <c r="H134" s="64">
        <f t="shared" ca="1" si="37"/>
        <v>10.9375</v>
      </c>
      <c r="I134" s="64">
        <f t="shared" ca="1" si="37"/>
        <v>10.9375</v>
      </c>
    </row>
    <row r="135" spans="1:10" x14ac:dyDescent="0.15">
      <c r="A135" s="9" t="s">
        <v>86</v>
      </c>
      <c r="D135" s="63">
        <f>D116/D111</f>
        <v>5.7142857142857141E-2</v>
      </c>
      <c r="E135" s="65">
        <f t="shared" ref="E135:I137" si="38">D135</f>
        <v>5.7142857142857141E-2</v>
      </c>
      <c r="F135" s="65">
        <f t="shared" si="38"/>
        <v>5.7142857142857141E-2</v>
      </c>
      <c r="G135" s="65">
        <f t="shared" si="38"/>
        <v>5.7142857142857141E-2</v>
      </c>
      <c r="H135" s="65">
        <f t="shared" si="38"/>
        <v>5.7142857142857141E-2</v>
      </c>
      <c r="I135" s="65">
        <f t="shared" si="38"/>
        <v>5.7142857142857141E-2</v>
      </c>
    </row>
    <row r="136" spans="1:10" x14ac:dyDescent="0.15">
      <c r="A136" s="9" t="s">
        <v>87</v>
      </c>
      <c r="D136" s="63">
        <f>D121/D111</f>
        <v>0.08</v>
      </c>
      <c r="E136" s="65">
        <f t="shared" si="38"/>
        <v>0.08</v>
      </c>
      <c r="F136" s="65">
        <f t="shared" si="38"/>
        <v>0.08</v>
      </c>
      <c r="G136" s="65">
        <f t="shared" si="38"/>
        <v>0.08</v>
      </c>
      <c r="H136" s="65">
        <f t="shared" si="38"/>
        <v>0.08</v>
      </c>
      <c r="I136" s="65">
        <f t="shared" si="38"/>
        <v>0.08</v>
      </c>
    </row>
    <row r="137" spans="1:10" x14ac:dyDescent="0.15">
      <c r="A137" s="9" t="s">
        <v>88</v>
      </c>
      <c r="D137" s="63">
        <f>D122/D111</f>
        <v>6.8571428571428575E-2</v>
      </c>
      <c r="E137" s="65">
        <f t="shared" si="38"/>
        <v>6.8571428571428575E-2</v>
      </c>
      <c r="F137" s="65">
        <f t="shared" si="38"/>
        <v>6.8571428571428575E-2</v>
      </c>
      <c r="G137" s="65">
        <f t="shared" si="38"/>
        <v>6.8571428571428575E-2</v>
      </c>
      <c r="H137" s="65">
        <f t="shared" si="38"/>
        <v>6.8571428571428575E-2</v>
      </c>
      <c r="I137" s="65">
        <f t="shared" si="38"/>
        <v>6.8571428571428575E-2</v>
      </c>
    </row>
    <row r="141" spans="1:10" s="1" customFormat="1" ht="18" x14ac:dyDescent="0.2">
      <c r="A141" s="7" t="s">
        <v>50</v>
      </c>
      <c r="B141" s="8"/>
      <c r="C141" s="8"/>
      <c r="D141" s="8"/>
      <c r="E141" s="8"/>
      <c r="F141" s="8"/>
      <c r="G141" s="8"/>
      <c r="H141" s="8"/>
      <c r="I141" s="8"/>
      <c r="J141"/>
    </row>
    <row r="143" spans="1:10" ht="16" x14ac:dyDescent="0.3">
      <c r="A143"/>
      <c r="B143"/>
      <c r="C143"/>
      <c r="D143" s="29" t="s">
        <v>72</v>
      </c>
      <c r="E143" s="5" t="s">
        <v>1</v>
      </c>
      <c r="F143" s="5"/>
      <c r="G143" s="5"/>
      <c r="H143" s="5"/>
      <c r="I143" s="5"/>
    </row>
    <row r="144" spans="1:10" x14ac:dyDescent="0.15">
      <c r="A144"/>
      <c r="B144"/>
      <c r="C144"/>
      <c r="D144" s="4">
        <f t="shared" ref="D144:I144" si="39">D$67</f>
        <v>1999</v>
      </c>
      <c r="E144" s="4">
        <f t="shared" si="39"/>
        <v>2000</v>
      </c>
      <c r="F144" s="4">
        <f t="shared" si="39"/>
        <v>2001</v>
      </c>
      <c r="G144" s="4">
        <f t="shared" si="39"/>
        <v>2002</v>
      </c>
      <c r="H144" s="4">
        <f t="shared" si="39"/>
        <v>2003</v>
      </c>
      <c r="I144" s="4">
        <f t="shared" si="39"/>
        <v>2004</v>
      </c>
    </row>
    <row r="145" spans="1:18" ht="6" customHeight="1" x14ac:dyDescent="0.15"/>
    <row r="146" spans="1:18" s="13" customFormat="1" x14ac:dyDescent="0.15">
      <c r="A146" s="37" t="s">
        <v>3</v>
      </c>
      <c r="B146" s="35"/>
      <c r="C146" s="38"/>
      <c r="D146" s="22">
        <f t="shared" ref="D146:I146" si="40">D69</f>
        <v>118</v>
      </c>
      <c r="E146" s="22">
        <f t="shared" ca="1" si="40"/>
        <v>129.80000000000001</v>
      </c>
      <c r="F146" s="22">
        <f t="shared" ca="1" si="40"/>
        <v>142.78000000000003</v>
      </c>
      <c r="G146" s="22">
        <f t="shared" ca="1" si="40"/>
        <v>157.05800000000005</v>
      </c>
      <c r="H146" s="22">
        <f t="shared" ca="1" si="40"/>
        <v>172.76380000000006</v>
      </c>
      <c r="I146" s="22">
        <f t="shared" ca="1" si="40"/>
        <v>190.04018000000008</v>
      </c>
      <c r="J146" s="2"/>
      <c r="K146" s="2"/>
      <c r="L146" s="2"/>
      <c r="M146" s="2"/>
      <c r="N146" s="2"/>
      <c r="O146" s="2"/>
      <c r="P146" s="2"/>
      <c r="Q146" s="2"/>
      <c r="R146" s="2"/>
    </row>
    <row r="147" spans="1:18" s="13" customFormat="1" x14ac:dyDescent="0.15">
      <c r="A147" s="37" t="s">
        <v>51</v>
      </c>
      <c r="B147" s="35"/>
      <c r="C147" s="38"/>
      <c r="D147" s="21">
        <f t="shared" ref="D147:I147" si="41">D79</f>
        <v>87.5</v>
      </c>
      <c r="E147" s="21">
        <f t="shared" ca="1" si="41"/>
        <v>96.254000000000005</v>
      </c>
      <c r="F147" s="21">
        <f t="shared" ca="1" si="41"/>
        <v>105.72940000000001</v>
      </c>
      <c r="G147" s="21">
        <f t="shared" ca="1" si="41"/>
        <v>116.15234000000004</v>
      </c>
      <c r="H147" s="21">
        <f t="shared" ca="1" si="41"/>
        <v>127.61757400000005</v>
      </c>
      <c r="I147" s="21">
        <f t="shared" ca="1" si="41"/>
        <v>140.22933140000006</v>
      </c>
      <c r="J147" s="2"/>
      <c r="K147" s="2"/>
      <c r="L147" s="2"/>
      <c r="M147" s="2"/>
      <c r="N147" s="2"/>
      <c r="O147" s="2"/>
      <c r="P147" s="2"/>
      <c r="Q147" s="2"/>
      <c r="R147" s="2"/>
    </row>
    <row r="148" spans="1:18" s="13" customFormat="1" ht="6" customHeight="1" x14ac:dyDescent="0.15">
      <c r="A148" s="37"/>
      <c r="B148" s="36"/>
      <c r="C148" s="38"/>
      <c r="D148" s="19" t="s">
        <v>23</v>
      </c>
      <c r="E148" s="20" t="s">
        <v>23</v>
      </c>
      <c r="F148" s="20" t="s">
        <v>23</v>
      </c>
      <c r="G148" s="20" t="s">
        <v>23</v>
      </c>
      <c r="H148" s="20" t="s">
        <v>23</v>
      </c>
      <c r="I148" s="20" t="s">
        <v>23</v>
      </c>
      <c r="J148" s="2"/>
      <c r="K148" s="2"/>
      <c r="L148" s="2"/>
      <c r="M148" s="2"/>
      <c r="N148" s="2"/>
      <c r="O148" s="2"/>
      <c r="P148" s="2"/>
      <c r="Q148" s="2"/>
      <c r="R148" s="2"/>
    </row>
    <row r="149" spans="1:18" s="13" customFormat="1" x14ac:dyDescent="0.15">
      <c r="A149" s="37" t="s">
        <v>52</v>
      </c>
      <c r="B149" s="35"/>
      <c r="C149" s="38"/>
      <c r="D149" s="21">
        <f t="shared" ref="D149:I149" si="42">D146-D147</f>
        <v>30.5</v>
      </c>
      <c r="E149" s="21">
        <f t="shared" ca="1" si="42"/>
        <v>33.546000000000006</v>
      </c>
      <c r="F149" s="21">
        <f t="shared" ca="1" si="42"/>
        <v>37.050600000000017</v>
      </c>
      <c r="G149" s="21">
        <f t="shared" ca="1" si="42"/>
        <v>40.905660000000012</v>
      </c>
      <c r="H149" s="21">
        <f t="shared" ca="1" si="42"/>
        <v>45.146226000000013</v>
      </c>
      <c r="I149" s="21">
        <f t="shared" ca="1" si="42"/>
        <v>49.810848600000014</v>
      </c>
      <c r="J149" s="2"/>
      <c r="K149" s="2"/>
      <c r="L149" s="2"/>
      <c r="M149" s="2"/>
      <c r="N149" s="2"/>
      <c r="O149" s="2"/>
      <c r="P149" s="2"/>
      <c r="Q149" s="2"/>
      <c r="R149" s="2"/>
    </row>
    <row r="150" spans="1:18" s="13" customFormat="1" ht="6" customHeight="1" x14ac:dyDescent="0.15">
      <c r="A150" s="37"/>
      <c r="B150" s="35"/>
      <c r="C150" s="38"/>
      <c r="D150" s="23"/>
      <c r="E150" s="23"/>
      <c r="F150" s="23"/>
      <c r="G150" s="23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</row>
    <row r="151" spans="1:18" s="13" customFormat="1" x14ac:dyDescent="0.15">
      <c r="A151" s="37" t="s">
        <v>15</v>
      </c>
      <c r="B151" s="35"/>
      <c r="C151" s="38"/>
      <c r="D151" s="21">
        <f t="shared" ref="D151:I151" si="43">D91</f>
        <v>9.3000000000000007</v>
      </c>
      <c r="E151" s="21">
        <f t="shared" ca="1" si="43"/>
        <v>10.384</v>
      </c>
      <c r="F151" s="21">
        <f t="shared" ca="1" si="43"/>
        <v>11.422400000000003</v>
      </c>
      <c r="G151" s="21">
        <f t="shared" ca="1" si="43"/>
        <v>12.564640000000004</v>
      </c>
      <c r="H151" s="21">
        <f t="shared" ca="1" si="43"/>
        <v>13.821104000000005</v>
      </c>
      <c r="I151" s="21">
        <f t="shared" ca="1" si="43"/>
        <v>15.203214400000007</v>
      </c>
      <c r="J151" s="2"/>
      <c r="K151" s="2"/>
      <c r="L151" s="2"/>
      <c r="M151" s="2"/>
      <c r="N151" s="2"/>
      <c r="O151" s="2"/>
      <c r="P151" s="2"/>
      <c r="Q151" s="2"/>
      <c r="R151" s="2"/>
    </row>
    <row r="152" spans="1:18" s="13" customFormat="1" x14ac:dyDescent="0.15">
      <c r="A152" s="37" t="s">
        <v>53</v>
      </c>
      <c r="B152" s="35"/>
      <c r="C152" s="38"/>
      <c r="D152" s="21">
        <f t="shared" ref="D152:I152" si="44">D94</f>
        <v>1</v>
      </c>
      <c r="E152" s="21">
        <f t="shared" si="44"/>
        <v>1</v>
      </c>
      <c r="F152" s="21">
        <f t="shared" si="44"/>
        <v>1</v>
      </c>
      <c r="G152" s="21">
        <f t="shared" si="44"/>
        <v>1</v>
      </c>
      <c r="H152" s="21">
        <f t="shared" si="44"/>
        <v>1</v>
      </c>
      <c r="I152" s="21">
        <f t="shared" si="44"/>
        <v>1</v>
      </c>
      <c r="J152" s="2"/>
      <c r="K152" s="2"/>
      <c r="L152" s="2"/>
      <c r="M152" s="2"/>
      <c r="N152" s="2"/>
      <c r="O152" s="2"/>
      <c r="P152" s="2"/>
      <c r="Q152" s="2"/>
      <c r="R152" s="2"/>
    </row>
    <row r="153" spans="1:18" s="13" customFormat="1" ht="6" customHeight="1" x14ac:dyDescent="0.15">
      <c r="A153" s="37"/>
      <c r="B153" s="36"/>
      <c r="C153" s="38"/>
      <c r="D153" s="19" t="s">
        <v>23</v>
      </c>
      <c r="E153" s="20" t="s">
        <v>23</v>
      </c>
      <c r="F153" s="20" t="s">
        <v>23</v>
      </c>
      <c r="G153" s="20" t="s">
        <v>23</v>
      </c>
      <c r="H153" s="20" t="s">
        <v>23</v>
      </c>
      <c r="I153" s="20" t="s">
        <v>23</v>
      </c>
      <c r="J153" s="2"/>
      <c r="K153" s="2"/>
      <c r="L153" s="2"/>
      <c r="M153" s="2"/>
      <c r="N153" s="2"/>
      <c r="O153" s="2"/>
      <c r="P153" s="2"/>
      <c r="Q153" s="2"/>
      <c r="R153" s="2"/>
    </row>
    <row r="154" spans="1:18" s="13" customFormat="1" x14ac:dyDescent="0.15">
      <c r="A154" s="37" t="s">
        <v>54</v>
      </c>
      <c r="B154" s="35"/>
      <c r="C154" s="38"/>
      <c r="D154" s="21">
        <f t="shared" ref="D154:I154" si="45">D149-SUM(D151:D153)</f>
        <v>20.2</v>
      </c>
      <c r="E154" s="21">
        <f t="shared" ca="1" si="45"/>
        <v>22.162000000000006</v>
      </c>
      <c r="F154" s="21">
        <f t="shared" ca="1" si="45"/>
        <v>24.628200000000014</v>
      </c>
      <c r="G154" s="21">
        <f t="shared" ca="1" si="45"/>
        <v>27.341020000000007</v>
      </c>
      <c r="H154" s="21">
        <f t="shared" ca="1" si="45"/>
        <v>30.325122000000007</v>
      </c>
      <c r="I154" s="21">
        <f t="shared" ca="1" si="45"/>
        <v>33.607634200000007</v>
      </c>
      <c r="J154" s="2"/>
      <c r="K154" s="2"/>
      <c r="L154" s="2"/>
      <c r="M154" s="2"/>
      <c r="N154" s="2"/>
      <c r="O154" s="2"/>
      <c r="P154" s="2"/>
      <c r="Q154" s="2"/>
      <c r="R154" s="2"/>
    </row>
    <row r="155" spans="1:18" s="13" customFormat="1" x14ac:dyDescent="0.15">
      <c r="A155" s="37"/>
      <c r="B155" s="35"/>
      <c r="C155" s="3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s="13" customFormat="1" x14ac:dyDescent="0.15">
      <c r="A156" s="208" t="s">
        <v>55</v>
      </c>
      <c r="B156" s="133"/>
      <c r="C156" s="209" t="s">
        <v>56</v>
      </c>
      <c r="D156" s="210"/>
      <c r="E156" s="210"/>
      <c r="F156" s="210"/>
      <c r="G156" s="210"/>
      <c r="H156" s="210"/>
      <c r="I156" s="210"/>
      <c r="J156" s="2"/>
      <c r="K156" s="2"/>
      <c r="L156" s="2"/>
      <c r="M156" s="2"/>
      <c r="N156" s="2"/>
      <c r="O156" s="2"/>
      <c r="P156" s="2"/>
      <c r="Q156" s="2"/>
      <c r="R156" s="2"/>
    </row>
    <row r="157" spans="1:18" s="13" customFormat="1" x14ac:dyDescent="0.15">
      <c r="A157" s="75" t="s">
        <v>57</v>
      </c>
      <c r="B157" s="133"/>
      <c r="C157" s="211">
        <v>0.08</v>
      </c>
      <c r="D157" s="254">
        <f ca="1">E157</f>
        <v>0.18799999999999956</v>
      </c>
      <c r="E157" s="40">
        <f t="shared" ref="E157:I159" ca="1" si="46">$C157*IF(ai=1,ROUND((D209+E209)/2,2),D209)</f>
        <v>0.18799999999999956</v>
      </c>
      <c r="F157" s="40">
        <f t="shared" ca="1" si="46"/>
        <v>0</v>
      </c>
      <c r="G157" s="40">
        <f t="shared" ca="1" si="46"/>
        <v>0</v>
      </c>
      <c r="H157" s="40">
        <f t="shared" ca="1" si="46"/>
        <v>0</v>
      </c>
      <c r="I157" s="40">
        <f t="shared" ca="1" si="46"/>
        <v>0</v>
      </c>
      <c r="J157" s="2"/>
      <c r="K157" s="2"/>
      <c r="L157" s="2"/>
      <c r="M157" s="2"/>
      <c r="N157" s="2"/>
      <c r="O157" s="2"/>
      <c r="P157" s="2"/>
      <c r="Q157" s="2"/>
      <c r="R157" s="2"/>
    </row>
    <row r="158" spans="1:18" s="13" customFormat="1" x14ac:dyDescent="0.15">
      <c r="A158" s="75" t="s">
        <v>58</v>
      </c>
      <c r="B158" s="133"/>
      <c r="C158" s="213">
        <f ca="1">H418</f>
        <v>8.5000000000000006E-2</v>
      </c>
      <c r="D158" s="254">
        <f ca="1">E158</f>
        <v>2.5500000000000003</v>
      </c>
      <c r="E158" s="40">
        <f t="shared" ca="1" si="46"/>
        <v>2.5500000000000003</v>
      </c>
      <c r="F158" s="40">
        <f t="shared" ca="1" si="46"/>
        <v>1.0151574285714275</v>
      </c>
      <c r="G158" s="40">
        <f t="shared" ca="1" si="46"/>
        <v>0.25046368599999819</v>
      </c>
      <c r="H158" s="40">
        <f t="shared" ca="1" si="46"/>
        <v>0</v>
      </c>
      <c r="I158" s="40">
        <f t="shared" ca="1" si="46"/>
        <v>0</v>
      </c>
      <c r="J158" s="2"/>
      <c r="K158" s="2"/>
      <c r="L158" s="2"/>
      <c r="M158" s="2"/>
      <c r="N158" s="2"/>
      <c r="O158" s="2"/>
      <c r="P158" s="2"/>
      <c r="Q158" s="2"/>
      <c r="R158" s="2"/>
    </row>
    <row r="159" spans="1:18" s="13" customFormat="1" x14ac:dyDescent="0.15">
      <c r="A159" s="75" t="s">
        <v>59</v>
      </c>
      <c r="B159" s="133"/>
      <c r="C159" s="213">
        <f ca="1">H419</f>
        <v>0.11</v>
      </c>
      <c r="D159" s="254">
        <f ca="1">E159</f>
        <v>7.7</v>
      </c>
      <c r="E159" s="40">
        <f t="shared" ca="1" si="46"/>
        <v>7.7</v>
      </c>
      <c r="F159" s="40">
        <f t="shared" ca="1" si="46"/>
        <v>7.7</v>
      </c>
      <c r="G159" s="40">
        <f t="shared" ca="1" si="46"/>
        <v>7.7</v>
      </c>
      <c r="H159" s="40">
        <f t="shared" ca="1" si="46"/>
        <v>7.7</v>
      </c>
      <c r="I159" s="40">
        <f t="shared" ca="1" si="46"/>
        <v>7.7</v>
      </c>
      <c r="J159" s="2"/>
      <c r="K159" s="2"/>
      <c r="L159" s="2"/>
      <c r="M159" s="2"/>
      <c r="N159" s="2"/>
      <c r="O159" s="2"/>
      <c r="P159" s="2"/>
      <c r="Q159" s="2"/>
      <c r="R159" s="2"/>
    </row>
    <row r="160" spans="1:18" s="13" customFormat="1" ht="6" customHeight="1" x14ac:dyDescent="0.15">
      <c r="A160" s="75"/>
      <c r="B160" s="133"/>
      <c r="C160" s="212"/>
      <c r="D160" s="121" t="s">
        <v>23</v>
      </c>
      <c r="E160" s="121" t="s">
        <v>23</v>
      </c>
      <c r="F160" s="110" t="s">
        <v>23</v>
      </c>
      <c r="G160" s="110" t="s">
        <v>23</v>
      </c>
      <c r="H160" s="110" t="s">
        <v>23</v>
      </c>
      <c r="I160" s="110" t="s">
        <v>23</v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s="13" customFormat="1" x14ac:dyDescent="0.15">
      <c r="A161" s="75" t="s">
        <v>60</v>
      </c>
      <c r="B161" s="133"/>
      <c r="C161" s="212"/>
      <c r="D161" s="40">
        <f t="shared" ref="D161:I161" ca="1" si="47">SUM(D157:D160)</f>
        <v>10.438000000000001</v>
      </c>
      <c r="E161" s="40">
        <f t="shared" ca="1" si="47"/>
        <v>10.438000000000001</v>
      </c>
      <c r="F161" s="40">
        <f t="shared" ca="1" si="47"/>
        <v>8.7151574285714268</v>
      </c>
      <c r="G161" s="40">
        <f t="shared" ca="1" si="47"/>
        <v>7.9504636859999982</v>
      </c>
      <c r="H161" s="40">
        <f t="shared" ca="1" si="47"/>
        <v>7.7</v>
      </c>
      <c r="I161" s="40">
        <f t="shared" ca="1" si="47"/>
        <v>7.7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s="13" customFormat="1" ht="6" customHeight="1" x14ac:dyDescent="0.15">
      <c r="A162" s="37"/>
      <c r="B162" s="35"/>
      <c r="C162" s="3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s="13" customFormat="1" x14ac:dyDescent="0.15">
      <c r="A163" s="37" t="s">
        <v>61</v>
      </c>
      <c r="B163" s="35"/>
      <c r="C163" s="39">
        <v>0.04</v>
      </c>
      <c r="D163" s="254">
        <f ca="1">E163</f>
        <v>-0.54</v>
      </c>
      <c r="E163" s="21">
        <f ca="1">-$C163*D186</f>
        <v>-0.54</v>
      </c>
      <c r="F163" s="21">
        <f ca="1">-$C163*E186</f>
        <v>0</v>
      </c>
      <c r="G163" s="21">
        <f ca="1">-$C163*F186</f>
        <v>0</v>
      </c>
      <c r="H163" s="21">
        <f ca="1">-$C163*G186</f>
        <v>-0.32105094467885809</v>
      </c>
      <c r="I163" s="21">
        <f ca="1">-$C163*H186</f>
        <v>-0.84046195249400801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s="13" customFormat="1" x14ac:dyDescent="0.15">
      <c r="A164" s="37" t="s">
        <v>62</v>
      </c>
      <c r="B164" s="35"/>
      <c r="C164" s="41">
        <v>7</v>
      </c>
      <c r="D164" s="254">
        <f ca="1">E164</f>
        <v>1.1214285714285714</v>
      </c>
      <c r="E164" s="21">
        <f ca="1">$D$199/$C$164</f>
        <v>1.1214285714285714</v>
      </c>
      <c r="F164" s="21">
        <f ca="1">$D$199/$C$164</f>
        <v>1.1214285714285714</v>
      </c>
      <c r="G164" s="21">
        <f ca="1">$D$199/$C$164</f>
        <v>1.1214285714285714</v>
      </c>
      <c r="H164" s="21">
        <f ca="1">$D$199/$C$164</f>
        <v>1.1214285714285714</v>
      </c>
      <c r="I164" s="21">
        <f ca="1">$D$199/$C$164</f>
        <v>1.1214285714285714</v>
      </c>
      <c r="J164" s="2"/>
      <c r="K164" s="2"/>
      <c r="L164" s="2"/>
      <c r="M164" s="2"/>
      <c r="N164" s="2"/>
      <c r="O164" s="2"/>
      <c r="P164" s="2"/>
      <c r="Q164" s="2"/>
      <c r="R164" s="2"/>
    </row>
    <row r="165" spans="1:18" s="13" customFormat="1" ht="6" customHeight="1" x14ac:dyDescent="0.15">
      <c r="A165" s="37"/>
      <c r="B165" s="35"/>
      <c r="C165" s="38"/>
      <c r="D165" s="19" t="s">
        <v>23</v>
      </c>
      <c r="E165" s="19" t="s">
        <v>23</v>
      </c>
      <c r="F165" s="20" t="s">
        <v>23</v>
      </c>
      <c r="G165" s="20" t="s">
        <v>23</v>
      </c>
      <c r="H165" s="20" t="s">
        <v>23</v>
      </c>
      <c r="I165" s="20" t="s">
        <v>23</v>
      </c>
      <c r="J165" s="2"/>
      <c r="K165" s="2"/>
      <c r="L165" s="2"/>
      <c r="M165" s="2"/>
      <c r="N165" s="2"/>
      <c r="O165" s="2"/>
      <c r="P165" s="2"/>
      <c r="Q165" s="2"/>
      <c r="R165" s="2"/>
    </row>
    <row r="166" spans="1:18" s="13" customFormat="1" x14ac:dyDescent="0.15">
      <c r="A166" s="37" t="s">
        <v>63</v>
      </c>
      <c r="B166" s="35"/>
      <c r="C166" s="38"/>
      <c r="D166" s="21">
        <f t="shared" ref="D166:I166" ca="1" si="48">D154-SUM(D161:D165)</f>
        <v>9.1805714285714277</v>
      </c>
      <c r="E166" s="21">
        <f t="shared" ca="1" si="48"/>
        <v>11.142571428571435</v>
      </c>
      <c r="F166" s="21">
        <f t="shared" ca="1" si="48"/>
        <v>14.791614000000015</v>
      </c>
      <c r="G166" s="21">
        <f t="shared" ca="1" si="48"/>
        <v>18.269127742571438</v>
      </c>
      <c r="H166" s="21">
        <f t="shared" ca="1" si="48"/>
        <v>21.824744373250294</v>
      </c>
      <c r="I166" s="21">
        <f t="shared" ca="1" si="48"/>
        <v>25.626667581065441</v>
      </c>
      <c r="J166" s="2"/>
      <c r="K166" s="2"/>
      <c r="L166" s="2"/>
      <c r="M166" s="2"/>
      <c r="N166" s="2"/>
      <c r="O166" s="2"/>
      <c r="P166" s="2"/>
      <c r="Q166" s="2"/>
      <c r="R166" s="2"/>
    </row>
    <row r="167" spans="1:18" s="13" customFormat="1" x14ac:dyDescent="0.15">
      <c r="A167" s="37" t="s">
        <v>64</v>
      </c>
      <c r="B167" s="35"/>
      <c r="C167" s="39">
        <v>0.4</v>
      </c>
      <c r="D167" s="21">
        <f t="shared" ref="D167:I167" ca="1" si="49">$C167*(D166+D152)</f>
        <v>4.0722285714285711</v>
      </c>
      <c r="E167" s="21">
        <f t="shared" ca="1" si="49"/>
        <v>4.8570285714285744</v>
      </c>
      <c r="F167" s="21">
        <f t="shared" ca="1" si="49"/>
        <v>6.3166456000000064</v>
      </c>
      <c r="G167" s="21">
        <f t="shared" ca="1" si="49"/>
        <v>7.7076510970285756</v>
      </c>
      <c r="H167" s="21">
        <f t="shared" ca="1" si="49"/>
        <v>9.1298977493001185</v>
      </c>
      <c r="I167" s="21">
        <f t="shared" ca="1" si="49"/>
        <v>10.650667032426178</v>
      </c>
      <c r="J167" s="2"/>
      <c r="K167" s="2"/>
      <c r="L167" s="2"/>
      <c r="M167" s="2"/>
      <c r="N167" s="2"/>
      <c r="O167" s="2"/>
      <c r="P167" s="2"/>
      <c r="Q167" s="2"/>
      <c r="R167" s="2"/>
    </row>
    <row r="168" spans="1:18" s="13" customFormat="1" x14ac:dyDescent="0.15">
      <c r="A168" s="35"/>
      <c r="B168" s="35"/>
      <c r="C168" s="38"/>
      <c r="D168" s="19" t="s">
        <v>23</v>
      </c>
      <c r="E168" s="19" t="s">
        <v>23</v>
      </c>
      <c r="F168" s="20" t="s">
        <v>23</v>
      </c>
      <c r="G168" s="20" t="s">
        <v>23</v>
      </c>
      <c r="H168" s="20" t="s">
        <v>23</v>
      </c>
      <c r="I168" s="20" t="s">
        <v>23</v>
      </c>
      <c r="J168" s="2"/>
      <c r="K168" s="2"/>
      <c r="L168" s="2"/>
      <c r="M168" s="2"/>
      <c r="N168" s="2"/>
      <c r="O168" s="2"/>
      <c r="P168" s="2"/>
      <c r="Q168" s="2"/>
      <c r="R168" s="2"/>
    </row>
    <row r="169" spans="1:18" s="13" customFormat="1" x14ac:dyDescent="0.15">
      <c r="A169" s="37" t="s">
        <v>65</v>
      </c>
      <c r="B169" s="35"/>
      <c r="C169" s="38"/>
      <c r="D169" s="21">
        <f t="shared" ref="D169:I169" ca="1" si="50">D166-D167</f>
        <v>5.1083428571428566</v>
      </c>
      <c r="E169" s="21">
        <f t="shared" ca="1" si="50"/>
        <v>6.2855428571428602</v>
      </c>
      <c r="F169" s="21">
        <f t="shared" ca="1" si="50"/>
        <v>8.4749684000000087</v>
      </c>
      <c r="G169" s="21">
        <f t="shared" ca="1" si="50"/>
        <v>10.561476645542863</v>
      </c>
      <c r="H169" s="21">
        <f t="shared" ca="1" si="50"/>
        <v>12.694846623950175</v>
      </c>
      <c r="I169" s="21">
        <f t="shared" ca="1" si="50"/>
        <v>14.976000548639263</v>
      </c>
      <c r="J169" s="2"/>
      <c r="K169" s="2"/>
      <c r="L169" s="2"/>
      <c r="M169" s="2"/>
      <c r="N169" s="2"/>
      <c r="O169" s="2"/>
      <c r="P169" s="2"/>
      <c r="Q169" s="2"/>
      <c r="R169" s="2"/>
    </row>
    <row r="170" spans="1:18" s="13" customFormat="1" x14ac:dyDescent="0.15">
      <c r="A170" s="37" t="s">
        <v>66</v>
      </c>
      <c r="B170" s="35"/>
      <c r="C170" s="38"/>
      <c r="D170" s="255">
        <f>E170</f>
        <v>10</v>
      </c>
      <c r="E170" s="42">
        <v>10</v>
      </c>
      <c r="F170" s="43">
        <f>E170</f>
        <v>10</v>
      </c>
      <c r="G170" s="43">
        <f>F170</f>
        <v>10</v>
      </c>
      <c r="H170" s="43">
        <f>G170</f>
        <v>10</v>
      </c>
      <c r="I170" s="43">
        <f>H170</f>
        <v>10</v>
      </c>
      <c r="J170" s="2"/>
      <c r="K170" s="2"/>
      <c r="L170" s="2"/>
      <c r="M170" s="2"/>
      <c r="N170" s="2"/>
      <c r="O170" s="2"/>
      <c r="P170" s="2"/>
      <c r="Q170" s="2"/>
      <c r="R170" s="2"/>
    </row>
    <row r="171" spans="1:18" s="13" customFormat="1" x14ac:dyDescent="0.15">
      <c r="A171" s="37" t="s">
        <v>67</v>
      </c>
      <c r="B171" s="35"/>
      <c r="C171" s="38"/>
      <c r="D171" s="44">
        <f t="shared" ref="D171:I171" ca="1" si="51">D169/D170</f>
        <v>0.51083428571428569</v>
      </c>
      <c r="E171" s="44">
        <f t="shared" ca="1" si="51"/>
        <v>0.62855428571428607</v>
      </c>
      <c r="F171" s="44">
        <f t="shared" ca="1" si="51"/>
        <v>0.84749684000000092</v>
      </c>
      <c r="G171" s="44">
        <f t="shared" ca="1" si="51"/>
        <v>1.0561476645542862</v>
      </c>
      <c r="H171" s="44">
        <f t="shared" ca="1" si="51"/>
        <v>1.2694846623950176</v>
      </c>
      <c r="I171" s="44">
        <f t="shared" ca="1" si="51"/>
        <v>1.4976000548639263</v>
      </c>
      <c r="J171" s="2"/>
      <c r="K171" s="2"/>
      <c r="L171" s="2"/>
      <c r="M171" s="2"/>
      <c r="N171" s="2"/>
      <c r="O171" s="2"/>
      <c r="P171" s="2"/>
      <c r="Q171" s="2"/>
      <c r="R171" s="2"/>
    </row>
    <row r="172" spans="1:18" s="13" customFormat="1" x14ac:dyDescent="0.15">
      <c r="A172" s="35"/>
      <c r="B172" s="35"/>
      <c r="C172" s="3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s="13" customFormat="1" x14ac:dyDescent="0.15">
      <c r="A173" s="50" t="s">
        <v>68</v>
      </c>
      <c r="B173" s="51"/>
      <c r="C173" s="52"/>
      <c r="D173" s="52"/>
      <c r="E173" s="52"/>
      <c r="F173" s="52"/>
      <c r="G173" s="52"/>
      <c r="H173" s="52"/>
      <c r="I173" s="57"/>
      <c r="J173" s="2"/>
      <c r="K173" s="2"/>
      <c r="L173" s="2"/>
      <c r="M173" s="2"/>
      <c r="N173" s="2"/>
      <c r="O173" s="2"/>
      <c r="P173" s="2"/>
      <c r="Q173" s="2"/>
      <c r="R173" s="2"/>
    </row>
    <row r="174" spans="1:18" s="13" customFormat="1" x14ac:dyDescent="0.15">
      <c r="A174" s="47" t="str">
        <f>"  "&amp;A154</f>
        <v xml:space="preserve">  EBIT</v>
      </c>
      <c r="B174" s="35"/>
      <c r="C174" s="38"/>
      <c r="D174" s="45">
        <f t="shared" ref="D174:I174" si="52">D154</f>
        <v>20.2</v>
      </c>
      <c r="E174" s="45">
        <f t="shared" ca="1" si="52"/>
        <v>22.162000000000006</v>
      </c>
      <c r="F174" s="45">
        <f t="shared" ca="1" si="52"/>
        <v>24.628200000000014</v>
      </c>
      <c r="G174" s="45">
        <f t="shared" ca="1" si="52"/>
        <v>27.341020000000007</v>
      </c>
      <c r="H174" s="45">
        <f t="shared" ca="1" si="52"/>
        <v>30.325122000000007</v>
      </c>
      <c r="I174" s="58">
        <f t="shared" ca="1" si="52"/>
        <v>33.607634200000007</v>
      </c>
      <c r="J174" s="2"/>
      <c r="K174" s="2"/>
      <c r="L174" s="2"/>
      <c r="M174" s="2"/>
      <c r="N174" s="2"/>
      <c r="O174" s="2"/>
      <c r="P174" s="2"/>
      <c r="Q174" s="2"/>
      <c r="R174" s="2"/>
    </row>
    <row r="175" spans="1:18" s="13" customFormat="1" x14ac:dyDescent="0.15">
      <c r="A175" s="48" t="s">
        <v>69</v>
      </c>
      <c r="B175" s="35"/>
      <c r="C175" s="38"/>
      <c r="D175" s="45">
        <f t="shared" ref="D175:I175" si="53">D76</f>
        <v>1.5</v>
      </c>
      <c r="E175" s="45">
        <f t="shared" si="53"/>
        <v>1.5</v>
      </c>
      <c r="F175" s="45">
        <f t="shared" si="53"/>
        <v>1.5</v>
      </c>
      <c r="G175" s="45">
        <f t="shared" si="53"/>
        <v>1.5</v>
      </c>
      <c r="H175" s="45">
        <f t="shared" si="53"/>
        <v>1.5</v>
      </c>
      <c r="I175" s="58">
        <f t="shared" si="53"/>
        <v>1.5</v>
      </c>
      <c r="J175" s="2"/>
      <c r="K175" s="2"/>
      <c r="L175" s="2"/>
      <c r="M175" s="2"/>
      <c r="N175" s="2"/>
      <c r="O175" s="2"/>
      <c r="P175" s="2"/>
      <c r="Q175" s="2"/>
      <c r="R175" s="2"/>
    </row>
    <row r="176" spans="1:18" s="13" customFormat="1" x14ac:dyDescent="0.15">
      <c r="A176" s="48" t="s">
        <v>70</v>
      </c>
      <c r="B176" s="35"/>
      <c r="C176" s="38"/>
      <c r="D176" s="45">
        <f t="shared" ref="D176:I176" si="54">D152</f>
        <v>1</v>
      </c>
      <c r="E176" s="45">
        <f t="shared" si="54"/>
        <v>1</v>
      </c>
      <c r="F176" s="45">
        <f t="shared" si="54"/>
        <v>1</v>
      </c>
      <c r="G176" s="45">
        <f t="shared" si="54"/>
        <v>1</v>
      </c>
      <c r="H176" s="45">
        <f t="shared" si="54"/>
        <v>1</v>
      </c>
      <c r="I176" s="58">
        <f t="shared" si="54"/>
        <v>1</v>
      </c>
      <c r="J176" s="2"/>
      <c r="K176" s="2"/>
      <c r="L176" s="2"/>
      <c r="M176" s="2"/>
      <c r="N176" s="2"/>
      <c r="O176" s="2"/>
      <c r="P176" s="2"/>
      <c r="Q176" s="2"/>
      <c r="R176" s="2"/>
    </row>
    <row r="177" spans="1:18" s="13" customFormat="1" ht="6" customHeight="1" x14ac:dyDescent="0.15">
      <c r="A177" s="49"/>
      <c r="B177" s="35"/>
      <c r="C177" s="38"/>
      <c r="D177" s="46" t="s">
        <v>23</v>
      </c>
      <c r="E177" s="46" t="s">
        <v>23</v>
      </c>
      <c r="F177" s="36" t="s">
        <v>23</v>
      </c>
      <c r="G177" s="36" t="s">
        <v>23</v>
      </c>
      <c r="H177" s="36" t="s">
        <v>23</v>
      </c>
      <c r="I177" s="59" t="s">
        <v>23</v>
      </c>
      <c r="J177" s="2"/>
      <c r="K177" s="2"/>
      <c r="L177" s="2"/>
      <c r="M177" s="2"/>
      <c r="N177" s="2"/>
      <c r="O177" s="2"/>
      <c r="P177" s="2"/>
      <c r="Q177" s="2"/>
      <c r="R177" s="2"/>
    </row>
    <row r="178" spans="1:18" s="13" customFormat="1" x14ac:dyDescent="0.15">
      <c r="A178" s="53" t="s">
        <v>71</v>
      </c>
      <c r="B178" s="54"/>
      <c r="C178" s="55"/>
      <c r="D178" s="56">
        <f t="shared" ref="D178:I178" si="55">SUM(D174:D177)</f>
        <v>22.7</v>
      </c>
      <c r="E178" s="56">
        <f t="shared" ca="1" si="55"/>
        <v>24.662000000000006</v>
      </c>
      <c r="F178" s="56">
        <f t="shared" ca="1" si="55"/>
        <v>27.128200000000014</v>
      </c>
      <c r="G178" s="56">
        <f t="shared" ca="1" si="55"/>
        <v>29.841020000000007</v>
      </c>
      <c r="H178" s="56">
        <f t="shared" ca="1" si="55"/>
        <v>32.825122000000007</v>
      </c>
      <c r="I178" s="60">
        <f t="shared" ca="1" si="55"/>
        <v>36.107634200000007</v>
      </c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15">
      <c r="A179" s="9"/>
      <c r="B179" s="9"/>
      <c r="C179" s="9"/>
    </row>
    <row r="180" spans="1:18" x14ac:dyDescent="0.15">
      <c r="A180" s="9"/>
      <c r="B180" s="9"/>
      <c r="C180" s="9"/>
    </row>
    <row r="181" spans="1:18" s="24" customFormat="1" ht="18" x14ac:dyDescent="0.2">
      <c r="A181" s="7" t="s">
        <v>24</v>
      </c>
      <c r="B181" s="7"/>
      <c r="C181" s="7"/>
      <c r="D181" s="7"/>
      <c r="E181" s="7"/>
      <c r="F181" s="7"/>
      <c r="G181" s="7"/>
      <c r="H181" s="7"/>
      <c r="I181" s="7"/>
    </row>
    <row r="182" spans="1:18" s="13" customFormat="1" x14ac:dyDescent="0.15">
      <c r="A182"/>
    </row>
    <row r="183" spans="1:18" s="13" customFormat="1" ht="16" x14ac:dyDescent="0.3">
      <c r="A183"/>
      <c r="B183" s="29" t="s">
        <v>0</v>
      </c>
      <c r="C183" s="196" t="s">
        <v>182</v>
      </c>
      <c r="D183" s="29" t="s">
        <v>184</v>
      </c>
      <c r="E183" s="25" t="s">
        <v>1</v>
      </c>
      <c r="F183" s="25"/>
      <c r="G183" s="25"/>
      <c r="H183" s="25"/>
      <c r="I183" s="25"/>
    </row>
    <row r="184" spans="1:18" s="26" customFormat="1" x14ac:dyDescent="0.15">
      <c r="A184"/>
      <c r="B184" s="31">
        <f>D184</f>
        <v>36525</v>
      </c>
      <c r="C184" s="197" t="s">
        <v>183</v>
      </c>
      <c r="D184" s="30">
        <v>36525</v>
      </c>
      <c r="E184" s="31">
        <f>EOM(D184,12)</f>
        <v>36891</v>
      </c>
      <c r="F184" s="31">
        <f>EOM(E184,12)</f>
        <v>37256</v>
      </c>
      <c r="G184" s="31">
        <f>EOM(F184,12)</f>
        <v>37621</v>
      </c>
      <c r="H184" s="31">
        <f>EOM(G184,12)</f>
        <v>37986</v>
      </c>
      <c r="I184" s="31">
        <f>EOM(H184,12)</f>
        <v>38352</v>
      </c>
    </row>
    <row r="185" spans="1:18" s="13" customFormat="1" x14ac:dyDescent="0.15">
      <c r="A185" s="27" t="s">
        <v>25</v>
      </c>
      <c r="E185" s="28"/>
      <c r="F185" s="28"/>
      <c r="G185" s="28"/>
      <c r="H185" s="28"/>
      <c r="I185" s="28"/>
    </row>
    <row r="186" spans="1:18" x14ac:dyDescent="0.15">
      <c r="A186" s="9" t="s">
        <v>26</v>
      </c>
      <c r="B186" s="195">
        <v>3.5</v>
      </c>
      <c r="C186" s="204">
        <f ca="1">-H396+H404</f>
        <v>10</v>
      </c>
      <c r="D186" s="204">
        <f ca="1">C186+B186</f>
        <v>13.5</v>
      </c>
      <c r="E186" s="22">
        <f ca="1">D186+E266</f>
        <v>0</v>
      </c>
      <c r="F186" s="22">
        <f ca="1">E186+F266</f>
        <v>0</v>
      </c>
      <c r="G186" s="22">
        <f ca="1">F186+G266</f>
        <v>8.0262736169714515</v>
      </c>
      <c r="H186" s="22">
        <f ca="1">G186+H266</f>
        <v>21.011548812350199</v>
      </c>
      <c r="I186" s="22">
        <f ca="1">H186+I266</f>
        <v>36.144877932418026</v>
      </c>
    </row>
    <row r="187" spans="1:18" x14ac:dyDescent="0.15">
      <c r="A187" s="9" t="s">
        <v>27</v>
      </c>
      <c r="B187" s="9">
        <v>10</v>
      </c>
      <c r="C187" s="198">
        <v>0</v>
      </c>
      <c r="D187" s="32">
        <f>C187+B187</f>
        <v>10</v>
      </c>
      <c r="E187" s="21">
        <f t="shared" ref="E187:I189" ca="1" si="56">E114</f>
        <v>11</v>
      </c>
      <c r="F187" s="21">
        <f t="shared" ca="1" si="56"/>
        <v>12.100000000000001</v>
      </c>
      <c r="G187" s="21">
        <f t="shared" ca="1" si="56"/>
        <v>13.310000000000004</v>
      </c>
      <c r="H187" s="21">
        <f t="shared" ca="1" si="56"/>
        <v>14.641000000000004</v>
      </c>
      <c r="I187" s="21">
        <f t="shared" ca="1" si="56"/>
        <v>16.105100000000007</v>
      </c>
    </row>
    <row r="188" spans="1:18" x14ac:dyDescent="0.15">
      <c r="A188" s="9" t="s">
        <v>28</v>
      </c>
      <c r="B188" s="9">
        <v>8</v>
      </c>
      <c r="C188" s="198">
        <v>0</v>
      </c>
      <c r="D188" s="32">
        <f>C188+B188</f>
        <v>8</v>
      </c>
      <c r="E188" s="21">
        <f t="shared" ca="1" si="56"/>
        <v>8.8003657142857143</v>
      </c>
      <c r="F188" s="21">
        <f t="shared" ca="1" si="56"/>
        <v>9.6666880000000006</v>
      </c>
      <c r="G188" s="21">
        <f t="shared" ca="1" si="56"/>
        <v>10.619642514285717</v>
      </c>
      <c r="H188" s="21">
        <f t="shared" ca="1" si="56"/>
        <v>11.667892480000004</v>
      </c>
      <c r="I188" s="21">
        <f t="shared" ca="1" si="56"/>
        <v>12.82096744228572</v>
      </c>
    </row>
    <row r="189" spans="1:18" x14ac:dyDescent="0.15">
      <c r="A189" s="9" t="s">
        <v>29</v>
      </c>
      <c r="B189" s="9">
        <v>5</v>
      </c>
      <c r="C189" s="198">
        <v>0</v>
      </c>
      <c r="D189" s="32">
        <f>C189+B189</f>
        <v>5</v>
      </c>
      <c r="E189" s="21">
        <f t="shared" ca="1" si="56"/>
        <v>5.5002285714285719</v>
      </c>
      <c r="F189" s="21">
        <f t="shared" ca="1" si="56"/>
        <v>6.0416800000000004</v>
      </c>
      <c r="G189" s="21">
        <f t="shared" ca="1" si="56"/>
        <v>6.6372765714285737</v>
      </c>
      <c r="H189" s="21">
        <f t="shared" ca="1" si="56"/>
        <v>7.292432800000002</v>
      </c>
      <c r="I189" s="21">
        <f t="shared" ca="1" si="56"/>
        <v>8.0131046514285753</v>
      </c>
    </row>
    <row r="190" spans="1:18" ht="6" customHeight="1" x14ac:dyDescent="0.15">
      <c r="A190" s="9"/>
      <c r="B190" s="19" t="s">
        <v>23</v>
      </c>
      <c r="C190" s="199" t="s">
        <v>23</v>
      </c>
      <c r="D190" s="19" t="s">
        <v>23</v>
      </c>
      <c r="E190" s="19" t="s">
        <v>23</v>
      </c>
      <c r="F190" s="20" t="s">
        <v>23</v>
      </c>
      <c r="G190" s="20" t="s">
        <v>23</v>
      </c>
      <c r="H190" s="20" t="s">
        <v>23</v>
      </c>
      <c r="I190" s="20" t="s">
        <v>23</v>
      </c>
    </row>
    <row r="191" spans="1:18" x14ac:dyDescent="0.15">
      <c r="A191" s="9" t="s">
        <v>30</v>
      </c>
      <c r="B191" s="32">
        <f t="shared" ref="B191:I191" si="57">SUM(B186:B190)</f>
        <v>26.5</v>
      </c>
      <c r="C191" s="200">
        <f t="shared" ca="1" si="57"/>
        <v>10</v>
      </c>
      <c r="D191" s="32">
        <f t="shared" ca="1" si="57"/>
        <v>36.5</v>
      </c>
      <c r="E191" s="21">
        <f t="shared" ca="1" si="57"/>
        <v>25.300594285714286</v>
      </c>
      <c r="F191" s="21">
        <f t="shared" ca="1" si="57"/>
        <v>27.808368000000002</v>
      </c>
      <c r="G191" s="21">
        <f t="shared" ca="1" si="57"/>
        <v>38.593192702685741</v>
      </c>
      <c r="H191" s="21">
        <f t="shared" ca="1" si="57"/>
        <v>54.612874092350211</v>
      </c>
      <c r="I191" s="21">
        <f t="shared" ca="1" si="57"/>
        <v>73.084050026132331</v>
      </c>
    </row>
    <row r="192" spans="1:18" x14ac:dyDescent="0.15">
      <c r="A192" s="9"/>
      <c r="C192" s="201"/>
      <c r="E192" s="23"/>
      <c r="F192" s="23"/>
      <c r="G192" s="23"/>
      <c r="H192" s="23"/>
      <c r="I192" s="23"/>
    </row>
    <row r="193" spans="1:9" x14ac:dyDescent="0.15">
      <c r="A193" s="9" t="s">
        <v>31</v>
      </c>
      <c r="B193" s="9">
        <v>135</v>
      </c>
      <c r="C193" s="198">
        <v>0</v>
      </c>
      <c r="D193" s="32">
        <f>C193+B193</f>
        <v>135</v>
      </c>
      <c r="E193" s="21">
        <f ca="1">D193+E103</f>
        <v>137</v>
      </c>
      <c r="F193" s="21">
        <f ca="1">E193+F103</f>
        <v>139</v>
      </c>
      <c r="G193" s="21">
        <f ca="1">F193+G103</f>
        <v>141</v>
      </c>
      <c r="H193" s="21">
        <f ca="1">G193+H103</f>
        <v>143</v>
      </c>
      <c r="I193" s="21">
        <f ca="1">H193+I103</f>
        <v>145</v>
      </c>
    </row>
    <row r="194" spans="1:9" x14ac:dyDescent="0.15">
      <c r="A194" s="9" t="s">
        <v>32</v>
      </c>
      <c r="B194" s="9">
        <v>-34</v>
      </c>
      <c r="C194" s="198">
        <v>0</v>
      </c>
      <c r="D194" s="32">
        <f>C194+B194</f>
        <v>-34</v>
      </c>
      <c r="E194" s="21">
        <f>D194-E76</f>
        <v>-35.5</v>
      </c>
      <c r="F194" s="21">
        <f>E194-F76</f>
        <v>-37</v>
      </c>
      <c r="G194" s="21">
        <f>F194-G76</f>
        <v>-38.5</v>
      </c>
      <c r="H194" s="21">
        <f>G194-H76</f>
        <v>-40</v>
      </c>
      <c r="I194" s="21">
        <f>H194-I76</f>
        <v>-41.5</v>
      </c>
    </row>
    <row r="195" spans="1:9" ht="6" customHeight="1" x14ac:dyDescent="0.15">
      <c r="A195" s="9"/>
      <c r="B195" s="19" t="s">
        <v>23</v>
      </c>
      <c r="C195" s="199" t="s">
        <v>23</v>
      </c>
      <c r="D195" s="19" t="s">
        <v>23</v>
      </c>
      <c r="E195" s="19" t="s">
        <v>23</v>
      </c>
      <c r="F195" s="20" t="s">
        <v>23</v>
      </c>
      <c r="G195" s="20" t="s">
        <v>23</v>
      </c>
      <c r="H195" s="20" t="s">
        <v>23</v>
      </c>
      <c r="I195" s="20" t="s">
        <v>23</v>
      </c>
    </row>
    <row r="196" spans="1:9" x14ac:dyDescent="0.15">
      <c r="A196" s="9" t="s">
        <v>33</v>
      </c>
      <c r="B196" s="32">
        <f>SUM(B193:B195)</f>
        <v>101</v>
      </c>
      <c r="C196" s="200">
        <f>SUM(C193:C195)</f>
        <v>0</v>
      </c>
      <c r="D196" s="32">
        <f t="shared" ref="D196:I196" si="58">SUM(D193:D195)</f>
        <v>101</v>
      </c>
      <c r="E196" s="21">
        <f t="shared" ca="1" si="58"/>
        <v>101.5</v>
      </c>
      <c r="F196" s="21">
        <f t="shared" ca="1" si="58"/>
        <v>102</v>
      </c>
      <c r="G196" s="21">
        <f t="shared" ca="1" si="58"/>
        <v>102.5</v>
      </c>
      <c r="H196" s="21">
        <f t="shared" ca="1" si="58"/>
        <v>103</v>
      </c>
      <c r="I196" s="21">
        <f t="shared" ca="1" si="58"/>
        <v>103.5</v>
      </c>
    </row>
    <row r="197" spans="1:9" x14ac:dyDescent="0.15">
      <c r="A197" s="9"/>
      <c r="C197" s="201"/>
      <c r="E197" s="23"/>
      <c r="F197" s="23"/>
      <c r="G197" s="23"/>
      <c r="H197" s="23"/>
      <c r="I197" s="23"/>
    </row>
    <row r="198" spans="1:9" x14ac:dyDescent="0.15">
      <c r="A198" s="9" t="s">
        <v>34</v>
      </c>
      <c r="B198" s="9">
        <v>10</v>
      </c>
      <c r="C198" s="198">
        <v>0</v>
      </c>
      <c r="D198" s="32">
        <f>C198+B198</f>
        <v>10</v>
      </c>
      <c r="E198" s="21">
        <f>D198-E94</f>
        <v>9</v>
      </c>
      <c r="F198" s="21">
        <f>E198-F94</f>
        <v>8</v>
      </c>
      <c r="G198" s="21">
        <f>F198-G94</f>
        <v>7</v>
      </c>
      <c r="H198" s="21">
        <f>G198-H94</f>
        <v>6</v>
      </c>
      <c r="I198" s="21">
        <f>H198-I94</f>
        <v>5</v>
      </c>
    </row>
    <row r="199" spans="1:9" x14ac:dyDescent="0.15">
      <c r="A199" s="9" t="s">
        <v>35</v>
      </c>
      <c r="B199" s="86">
        <v>5</v>
      </c>
      <c r="C199" s="205">
        <f ca="1">H408+H409</f>
        <v>2.85</v>
      </c>
      <c r="D199" s="32">
        <f ca="1">C199+B199</f>
        <v>7.85</v>
      </c>
      <c r="E199" s="21">
        <f ca="1">D199-E164</f>
        <v>6.7285714285714278</v>
      </c>
      <c r="F199" s="21">
        <f ca="1">E199-F164</f>
        <v>5.6071428571428559</v>
      </c>
      <c r="G199" s="21">
        <f ca="1">F199-G164</f>
        <v>4.485714285714284</v>
      </c>
      <c r="H199" s="21">
        <f ca="1">G199-H164</f>
        <v>3.3642857142857125</v>
      </c>
      <c r="I199" s="21">
        <f ca="1">H199-I164</f>
        <v>2.2428571428571411</v>
      </c>
    </row>
    <row r="200" spans="1:9" ht="6" customHeight="1" x14ac:dyDescent="0.15">
      <c r="A200" s="9"/>
      <c r="B200" s="19" t="s">
        <v>23</v>
      </c>
      <c r="C200" s="199" t="s">
        <v>23</v>
      </c>
      <c r="D200" s="19" t="s">
        <v>23</v>
      </c>
      <c r="E200" s="19" t="s">
        <v>23</v>
      </c>
      <c r="F200" s="20" t="s">
        <v>23</v>
      </c>
      <c r="G200" s="20" t="s">
        <v>23</v>
      </c>
      <c r="H200" s="20" t="s">
        <v>23</v>
      </c>
      <c r="I200" s="20" t="s">
        <v>23</v>
      </c>
    </row>
    <row r="201" spans="1:9" ht="16" x14ac:dyDescent="0.3">
      <c r="A201" s="9" t="s">
        <v>36</v>
      </c>
      <c r="B201" s="33">
        <f>SUM(B196:B200,B191)</f>
        <v>142.5</v>
      </c>
      <c r="C201" s="33">
        <f ca="1">SUM(C196:C200,C191)</f>
        <v>12.85</v>
      </c>
      <c r="D201" s="33">
        <f t="shared" ref="D201:I201" ca="1" si="59">SUM(D196:D200,D191)</f>
        <v>155.35</v>
      </c>
      <c r="E201" s="84">
        <f t="shared" ca="1" si="59"/>
        <v>142.52916571428571</v>
      </c>
      <c r="F201" s="84">
        <f t="shared" ca="1" si="59"/>
        <v>143.41551085714286</v>
      </c>
      <c r="G201" s="84">
        <f t="shared" ca="1" si="59"/>
        <v>152.57890698840004</v>
      </c>
      <c r="H201" s="84">
        <f t="shared" ca="1" si="59"/>
        <v>166.97715980663594</v>
      </c>
      <c r="I201" s="84">
        <f t="shared" ca="1" si="59"/>
        <v>183.82690716898946</v>
      </c>
    </row>
    <row r="202" spans="1:9" x14ac:dyDescent="0.15">
      <c r="A202" s="9"/>
      <c r="C202" s="201"/>
      <c r="E202" s="23"/>
      <c r="F202" s="23"/>
      <c r="G202" s="23"/>
      <c r="H202" s="23"/>
      <c r="I202" s="23"/>
    </row>
    <row r="203" spans="1:9" x14ac:dyDescent="0.15">
      <c r="A203" s="27" t="s">
        <v>37</v>
      </c>
      <c r="C203" s="201"/>
      <c r="E203" s="23"/>
      <c r="F203" s="23"/>
      <c r="G203" s="23"/>
      <c r="H203" s="23"/>
      <c r="I203" s="23"/>
    </row>
    <row r="204" spans="1:9" x14ac:dyDescent="0.15">
      <c r="A204" s="9" t="s">
        <v>38</v>
      </c>
      <c r="B204" s="9">
        <v>7</v>
      </c>
      <c r="C204" s="198">
        <v>0</v>
      </c>
      <c r="D204" s="32">
        <f>C204+B204</f>
        <v>7</v>
      </c>
      <c r="E204" s="21">
        <f t="shared" ref="E204:I205" ca="1" si="60">E121</f>
        <v>7.7003200000000005</v>
      </c>
      <c r="F204" s="21">
        <f t="shared" ca="1" si="60"/>
        <v>8.4583520000000014</v>
      </c>
      <c r="G204" s="21">
        <f t="shared" ca="1" si="60"/>
        <v>9.2921872000000025</v>
      </c>
      <c r="H204" s="21">
        <f t="shared" ca="1" si="60"/>
        <v>10.209405920000004</v>
      </c>
      <c r="I204" s="21">
        <f t="shared" ca="1" si="60"/>
        <v>11.218346512000005</v>
      </c>
    </row>
    <row r="205" spans="1:9" x14ac:dyDescent="0.15">
      <c r="A205" s="9" t="s">
        <v>39</v>
      </c>
      <c r="B205" s="9">
        <v>6</v>
      </c>
      <c r="C205" s="198">
        <v>0</v>
      </c>
      <c r="D205" s="32">
        <f>C205+B205</f>
        <v>6</v>
      </c>
      <c r="E205" s="21">
        <f t="shared" ca="1" si="60"/>
        <v>6.6002742857142866</v>
      </c>
      <c r="F205" s="21">
        <f t="shared" ca="1" si="60"/>
        <v>7.2500160000000013</v>
      </c>
      <c r="G205" s="21">
        <f t="shared" ca="1" si="60"/>
        <v>7.964731885714289</v>
      </c>
      <c r="H205" s="21">
        <f t="shared" ca="1" si="60"/>
        <v>8.7509193600000028</v>
      </c>
      <c r="I205" s="21">
        <f t="shared" ca="1" si="60"/>
        <v>9.6157255817142904</v>
      </c>
    </row>
    <row r="206" spans="1:9" ht="6" customHeight="1" x14ac:dyDescent="0.15">
      <c r="A206" s="9"/>
      <c r="B206" s="19" t="s">
        <v>23</v>
      </c>
      <c r="C206" s="199" t="s">
        <v>23</v>
      </c>
      <c r="D206" s="19" t="s">
        <v>23</v>
      </c>
      <c r="E206" s="19" t="s">
        <v>23</v>
      </c>
      <c r="F206" s="20" t="s">
        <v>23</v>
      </c>
      <c r="G206" s="20" t="s">
        <v>23</v>
      </c>
      <c r="H206" s="20" t="s">
        <v>23</v>
      </c>
      <c r="I206" s="20" t="s">
        <v>23</v>
      </c>
    </row>
    <row r="207" spans="1:9" x14ac:dyDescent="0.15">
      <c r="A207" s="9" t="s">
        <v>40</v>
      </c>
      <c r="B207" s="32">
        <f>SUM(B204:B206)</f>
        <v>13</v>
      </c>
      <c r="C207" s="200">
        <f>SUM(C204:C206)</f>
        <v>0</v>
      </c>
      <c r="D207" s="32">
        <f t="shared" ref="D207:I207" si="61">SUM(D204:D206)</f>
        <v>13</v>
      </c>
      <c r="E207" s="21">
        <f t="shared" ca="1" si="61"/>
        <v>14.300594285714286</v>
      </c>
      <c r="F207" s="21">
        <f t="shared" ca="1" si="61"/>
        <v>15.708368000000004</v>
      </c>
      <c r="G207" s="21">
        <f t="shared" ca="1" si="61"/>
        <v>17.256919085714291</v>
      </c>
      <c r="H207" s="21">
        <f t="shared" ca="1" si="61"/>
        <v>18.960325280000006</v>
      </c>
      <c r="I207" s="21">
        <f t="shared" ca="1" si="61"/>
        <v>20.834072093714298</v>
      </c>
    </row>
    <row r="208" spans="1:9" x14ac:dyDescent="0.15">
      <c r="A208" s="9"/>
      <c r="C208" s="201"/>
      <c r="E208" s="23"/>
      <c r="F208" s="23"/>
      <c r="G208" s="23"/>
      <c r="H208" s="23"/>
      <c r="I208" s="23"/>
    </row>
    <row r="209" spans="1:9" x14ac:dyDescent="0.15">
      <c r="A209" s="75" t="s">
        <v>41</v>
      </c>
      <c r="B209" s="75">
        <v>89.5</v>
      </c>
      <c r="C209" s="203">
        <f ca="1">H397-H405</f>
        <v>-87.15</v>
      </c>
      <c r="D209" s="77">
        <f ca="1">C209+B209</f>
        <v>2.3499999999999943</v>
      </c>
      <c r="E209" s="206">
        <f t="shared" ref="E209:I210" ca="1" si="62">D209+E260</f>
        <v>0</v>
      </c>
      <c r="F209" s="206">
        <f t="shared" ca="1" si="62"/>
        <v>0</v>
      </c>
      <c r="G209" s="206">
        <f t="shared" ca="1" si="62"/>
        <v>0</v>
      </c>
      <c r="H209" s="206">
        <f t="shared" ca="1" si="62"/>
        <v>0</v>
      </c>
      <c r="I209" s="206">
        <f t="shared" ca="1" si="62"/>
        <v>0</v>
      </c>
    </row>
    <row r="210" spans="1:9" x14ac:dyDescent="0.15">
      <c r="A210" s="75" t="s">
        <v>42</v>
      </c>
      <c r="B210" s="75">
        <v>0</v>
      </c>
      <c r="C210" s="203">
        <f ca="1">H398-H406</f>
        <v>30</v>
      </c>
      <c r="D210" s="77">
        <f ca="1">C210+B210</f>
        <v>30</v>
      </c>
      <c r="E210" s="206">
        <f t="shared" ca="1" si="62"/>
        <v>11.94302857142856</v>
      </c>
      <c r="F210" s="206">
        <f t="shared" ca="1" si="62"/>
        <v>2.9466315999999786</v>
      </c>
      <c r="G210" s="206">
        <f t="shared" ca="1" si="62"/>
        <v>0</v>
      </c>
      <c r="H210" s="206">
        <f t="shared" ca="1" si="62"/>
        <v>0</v>
      </c>
      <c r="I210" s="206">
        <f t="shared" ca="1" si="62"/>
        <v>0</v>
      </c>
    </row>
    <row r="211" spans="1:9" x14ac:dyDescent="0.15">
      <c r="A211" s="75" t="s">
        <v>43</v>
      </c>
      <c r="B211" s="75">
        <v>0</v>
      </c>
      <c r="C211" s="203">
        <f ca="1">H399-H407</f>
        <v>70</v>
      </c>
      <c r="D211" s="77">
        <f ca="1">C211+B211</f>
        <v>70</v>
      </c>
      <c r="E211" s="206">
        <f ca="1">D211+E262</f>
        <v>70</v>
      </c>
      <c r="F211" s="206">
        <f ca="1">E211+F262</f>
        <v>70</v>
      </c>
      <c r="G211" s="206">
        <f ca="1">F211+G262</f>
        <v>70</v>
      </c>
      <c r="H211" s="206">
        <f ca="1">G211+H262</f>
        <v>70</v>
      </c>
      <c r="I211" s="206">
        <f ca="1">H211+I262</f>
        <v>70</v>
      </c>
    </row>
    <row r="212" spans="1:9" ht="6" customHeight="1" x14ac:dyDescent="0.15">
      <c r="A212" s="75"/>
      <c r="B212" s="76" t="s">
        <v>23</v>
      </c>
      <c r="C212" s="202" t="s">
        <v>23</v>
      </c>
      <c r="D212" s="76" t="s">
        <v>23</v>
      </c>
      <c r="E212" s="76" t="s">
        <v>23</v>
      </c>
      <c r="F212" s="207" t="s">
        <v>23</v>
      </c>
      <c r="G212" s="207" t="s">
        <v>23</v>
      </c>
      <c r="H212" s="207" t="s">
        <v>23</v>
      </c>
      <c r="I212" s="207" t="s">
        <v>23</v>
      </c>
    </row>
    <row r="213" spans="1:9" x14ac:dyDescent="0.15">
      <c r="A213" s="75" t="s">
        <v>44</v>
      </c>
      <c r="B213" s="77">
        <f>SUM(B209:B212)</f>
        <v>89.5</v>
      </c>
      <c r="C213" s="203">
        <f ca="1">SUM(C209:C212)</f>
        <v>12.849999999999994</v>
      </c>
      <c r="D213" s="77">
        <f t="shared" ref="D213:I213" ca="1" si="63">SUM(D209:D212)</f>
        <v>102.35</v>
      </c>
      <c r="E213" s="206">
        <f t="shared" ca="1" si="63"/>
        <v>81.943028571428556</v>
      </c>
      <c r="F213" s="206">
        <f t="shared" ca="1" si="63"/>
        <v>72.946631599999975</v>
      </c>
      <c r="G213" s="206">
        <f t="shared" ca="1" si="63"/>
        <v>70</v>
      </c>
      <c r="H213" s="206">
        <f t="shared" ca="1" si="63"/>
        <v>70</v>
      </c>
      <c r="I213" s="206">
        <f t="shared" ca="1" si="63"/>
        <v>70</v>
      </c>
    </row>
    <row r="214" spans="1:9" x14ac:dyDescent="0.15">
      <c r="A214" s="9"/>
      <c r="C214" s="201"/>
      <c r="E214" s="23"/>
      <c r="F214" s="23"/>
      <c r="G214" s="23"/>
      <c r="H214" s="23"/>
      <c r="I214" s="23"/>
    </row>
    <row r="215" spans="1:9" x14ac:dyDescent="0.15">
      <c r="A215" s="9" t="s">
        <v>45</v>
      </c>
      <c r="B215" s="9">
        <v>2</v>
      </c>
      <c r="C215" s="198">
        <v>0</v>
      </c>
      <c r="D215" s="32">
        <f>C215+B215</f>
        <v>2</v>
      </c>
      <c r="E215" s="21">
        <f>D215</f>
        <v>2</v>
      </c>
      <c r="F215" s="21">
        <f>E215</f>
        <v>2</v>
      </c>
      <c r="G215" s="21">
        <f>F215</f>
        <v>2</v>
      </c>
      <c r="H215" s="21">
        <f>G215</f>
        <v>2</v>
      </c>
      <c r="I215" s="21">
        <f>H215</f>
        <v>2</v>
      </c>
    </row>
    <row r="216" spans="1:9" x14ac:dyDescent="0.15">
      <c r="A216" s="9"/>
      <c r="B216" s="19" t="s">
        <v>23</v>
      </c>
      <c r="C216" s="199" t="s">
        <v>23</v>
      </c>
      <c r="D216" s="19" t="s">
        <v>23</v>
      </c>
      <c r="E216" s="19" t="s">
        <v>23</v>
      </c>
      <c r="F216" s="20" t="s">
        <v>23</v>
      </c>
      <c r="G216" s="20" t="s">
        <v>23</v>
      </c>
      <c r="H216" s="20" t="s">
        <v>23</v>
      </c>
      <c r="I216" s="20" t="s">
        <v>23</v>
      </c>
    </row>
    <row r="217" spans="1:9" x14ac:dyDescent="0.15">
      <c r="A217" s="9" t="s">
        <v>46</v>
      </c>
      <c r="B217" s="32">
        <f>SUM(B213:B216,B207)</f>
        <v>104.5</v>
      </c>
      <c r="C217" s="200">
        <f ca="1">SUM(C213:C216,C207)</f>
        <v>12.849999999999994</v>
      </c>
      <c r="D217" s="32">
        <f t="shared" ref="D217:I217" ca="1" si="64">SUM(D213:D216,D207)</f>
        <v>117.35</v>
      </c>
      <c r="E217" s="21">
        <f t="shared" ca="1" si="64"/>
        <v>98.243622857142839</v>
      </c>
      <c r="F217" s="21">
        <f t="shared" ca="1" si="64"/>
        <v>90.654999599999982</v>
      </c>
      <c r="G217" s="21">
        <f t="shared" ca="1" si="64"/>
        <v>89.256919085714287</v>
      </c>
      <c r="H217" s="21">
        <f t="shared" ca="1" si="64"/>
        <v>90.960325280000006</v>
      </c>
      <c r="I217" s="21">
        <f t="shared" ca="1" si="64"/>
        <v>92.834072093714298</v>
      </c>
    </row>
    <row r="218" spans="1:9" x14ac:dyDescent="0.15">
      <c r="A218" s="9"/>
      <c r="C218" s="201"/>
      <c r="E218" s="23"/>
      <c r="F218" s="23"/>
      <c r="G218" s="23"/>
      <c r="H218" s="23"/>
      <c r="I218" s="23"/>
    </row>
    <row r="219" spans="1:9" x14ac:dyDescent="0.15">
      <c r="A219" s="9" t="s">
        <v>47</v>
      </c>
      <c r="B219" s="9">
        <v>38</v>
      </c>
      <c r="C219" s="198">
        <v>0</v>
      </c>
      <c r="D219" s="32">
        <f>C219+B219</f>
        <v>38</v>
      </c>
      <c r="E219" s="21">
        <f ca="1">D219+E169</f>
        <v>44.285542857142858</v>
      </c>
      <c r="F219" s="21">
        <f ca="1">E219+F169</f>
        <v>52.760511257142866</v>
      </c>
      <c r="G219" s="21">
        <f ca="1">F219+G169</f>
        <v>63.321987902685727</v>
      </c>
      <c r="H219" s="21">
        <f ca="1">G219+H169</f>
        <v>76.016834526635904</v>
      </c>
      <c r="I219" s="21">
        <f ca="1">H219+I169</f>
        <v>90.992835075275167</v>
      </c>
    </row>
    <row r="220" spans="1:9" ht="6" customHeight="1" x14ac:dyDescent="0.15">
      <c r="A220" s="9"/>
      <c r="B220" s="19" t="s">
        <v>23</v>
      </c>
      <c r="C220" s="199" t="s">
        <v>23</v>
      </c>
      <c r="D220" s="19" t="s">
        <v>23</v>
      </c>
      <c r="E220" s="19" t="s">
        <v>23</v>
      </c>
      <c r="F220" s="20" t="s">
        <v>23</v>
      </c>
      <c r="G220" s="20" t="s">
        <v>23</v>
      </c>
      <c r="H220" s="20" t="s">
        <v>23</v>
      </c>
      <c r="I220" s="20" t="s">
        <v>23</v>
      </c>
    </row>
    <row r="221" spans="1:9" ht="16" x14ac:dyDescent="0.3">
      <c r="A221" s="9" t="s">
        <v>48</v>
      </c>
      <c r="B221" s="33">
        <f>SUM(B217:B220)</f>
        <v>142.5</v>
      </c>
      <c r="C221" s="33">
        <f ca="1">SUM(C217:C220)</f>
        <v>12.849999999999994</v>
      </c>
      <c r="D221" s="33">
        <f t="shared" ref="D221:I221" ca="1" si="65">SUM(D217:D220)</f>
        <v>155.35</v>
      </c>
      <c r="E221" s="84">
        <f t="shared" ca="1" si="65"/>
        <v>142.52916571428568</v>
      </c>
      <c r="F221" s="84">
        <f t="shared" ca="1" si="65"/>
        <v>143.41551085714286</v>
      </c>
      <c r="G221" s="84">
        <f t="shared" ca="1" si="65"/>
        <v>152.57890698840001</v>
      </c>
      <c r="H221" s="84">
        <f t="shared" ca="1" si="65"/>
        <v>166.97715980663591</v>
      </c>
      <c r="I221" s="84">
        <f t="shared" ca="1" si="65"/>
        <v>183.82690716898946</v>
      </c>
    </row>
    <row r="222" spans="1:9" x14ac:dyDescent="0.15">
      <c r="A222" s="9"/>
      <c r="E222" s="23"/>
      <c r="F222" s="23"/>
      <c r="G222" s="23"/>
      <c r="H222" s="23"/>
      <c r="I222" s="23"/>
    </row>
    <row r="223" spans="1:9" x14ac:dyDescent="0.15">
      <c r="A223" s="9" t="s">
        <v>49</v>
      </c>
      <c r="B223" s="34">
        <f>ABS(B221-B201)</f>
        <v>0</v>
      </c>
      <c r="C223" s="34">
        <f ca="1">ABS(C221-C201)</f>
        <v>5.3290705182007514E-15</v>
      </c>
      <c r="D223" s="34">
        <f ca="1">ABS(D221-D201)</f>
        <v>0</v>
      </c>
      <c r="E223" s="43">
        <f ca="1">ABS(E221-E201)+D223</f>
        <v>2.8421709430404007E-14</v>
      </c>
      <c r="F223" s="43">
        <f ca="1">ABS(F221-F201)+E223</f>
        <v>2.8421709430404007E-14</v>
      </c>
      <c r="G223" s="43">
        <f ca="1">ABS(G221-G201)+F223</f>
        <v>5.6843418860808015E-14</v>
      </c>
      <c r="H223" s="43">
        <f ca="1">ABS(H221-H201)+G223</f>
        <v>8.5265128291212022E-14</v>
      </c>
      <c r="I223" s="43">
        <f ca="1">ABS(I221-I201)+H223</f>
        <v>8.5265128291212022E-14</v>
      </c>
    </row>
    <row r="226" spans="1:9" s="24" customFormat="1" ht="18" x14ac:dyDescent="0.2">
      <c r="A226" s="7" t="s">
        <v>89</v>
      </c>
      <c r="B226" s="7"/>
      <c r="C226" s="7"/>
      <c r="D226" s="7"/>
      <c r="E226" s="7"/>
      <c r="F226" s="7"/>
      <c r="G226" s="7"/>
      <c r="H226" s="7"/>
      <c r="I226" s="7"/>
    </row>
    <row r="227" spans="1:9" ht="6" customHeight="1" x14ac:dyDescent="0.15">
      <c r="A227" s="9"/>
    </row>
    <row r="228" spans="1:9" ht="16" x14ac:dyDescent="0.3">
      <c r="A228" s="27"/>
      <c r="D228"/>
      <c r="E228" s="25" t="s">
        <v>1</v>
      </c>
      <c r="F228" s="25"/>
      <c r="G228" s="25"/>
      <c r="H228" s="25"/>
      <c r="I228" s="25"/>
    </row>
    <row r="229" spans="1:9" x14ac:dyDescent="0.15">
      <c r="A229" s="26"/>
      <c r="D229"/>
      <c r="E229" s="4">
        <f>E$67</f>
        <v>2000</v>
      </c>
      <c r="F229" s="4">
        <f>F$67</f>
        <v>2001</v>
      </c>
      <c r="G229" s="4">
        <f>G$67</f>
        <v>2002</v>
      </c>
      <c r="H229" s="4">
        <f>H$67</f>
        <v>2003</v>
      </c>
      <c r="I229" s="4">
        <f>I$67</f>
        <v>2004</v>
      </c>
    </row>
    <row r="230" spans="1:9" ht="6" customHeight="1" x14ac:dyDescent="0.15">
      <c r="A230" s="26"/>
    </row>
    <row r="231" spans="1:9" x14ac:dyDescent="0.15">
      <c r="A231" s="66" t="s">
        <v>90</v>
      </c>
    </row>
    <row r="232" spans="1:9" ht="6" customHeight="1" x14ac:dyDescent="0.15">
      <c r="A232" s="61"/>
    </row>
    <row r="233" spans="1:9" x14ac:dyDescent="0.15">
      <c r="A233" s="67" t="str">
        <f>A169</f>
        <v xml:space="preserve">  Net Income</v>
      </c>
      <c r="E233" s="22">
        <f ca="1">E169</f>
        <v>6.2855428571428602</v>
      </c>
      <c r="F233" s="22">
        <f ca="1">F169</f>
        <v>8.4749684000000087</v>
      </c>
      <c r="G233" s="22">
        <f ca="1">G169</f>
        <v>10.561476645542863</v>
      </c>
      <c r="H233" s="22">
        <f ca="1">H169</f>
        <v>12.694846623950175</v>
      </c>
      <c r="I233" s="22">
        <f ca="1">I169</f>
        <v>14.976000548639263</v>
      </c>
    </row>
    <row r="234" spans="1:9" x14ac:dyDescent="0.15">
      <c r="A234" s="32" t="str">
        <f>A76</f>
        <v xml:space="preserve">  Depreciation</v>
      </c>
      <c r="E234" s="21">
        <f>E76</f>
        <v>1.5</v>
      </c>
      <c r="F234" s="21">
        <f>F76</f>
        <v>1.5</v>
      </c>
      <c r="G234" s="21">
        <f>G76</f>
        <v>1.5</v>
      </c>
      <c r="H234" s="21">
        <f>H76</f>
        <v>1.5</v>
      </c>
      <c r="I234" s="21">
        <f>I76</f>
        <v>1.5</v>
      </c>
    </row>
    <row r="235" spans="1:9" x14ac:dyDescent="0.15">
      <c r="A235" s="32" t="str">
        <f>"  "&amp;A152</f>
        <v xml:space="preserve">  Amortization</v>
      </c>
      <c r="E235" s="21">
        <f>E152</f>
        <v>1</v>
      </c>
      <c r="F235" s="21">
        <f>F152</f>
        <v>1</v>
      </c>
      <c r="G235" s="21">
        <f>G152</f>
        <v>1</v>
      </c>
      <c r="H235" s="21">
        <f>H152</f>
        <v>1</v>
      </c>
      <c r="I235" s="21">
        <f>I152</f>
        <v>1</v>
      </c>
    </row>
    <row r="236" spans="1:9" x14ac:dyDescent="0.15">
      <c r="A236" s="9" t="s">
        <v>91</v>
      </c>
      <c r="E236" s="21">
        <f ca="1">E164</f>
        <v>1.1214285714285714</v>
      </c>
      <c r="F236" s="21">
        <f ca="1">F164</f>
        <v>1.1214285714285714</v>
      </c>
      <c r="G236" s="21">
        <f ca="1">G164</f>
        <v>1.1214285714285714</v>
      </c>
      <c r="H236" s="21">
        <f ca="1">H164</f>
        <v>1.1214285714285714</v>
      </c>
      <c r="I236" s="21">
        <f ca="1">I164</f>
        <v>1.1214285714285714</v>
      </c>
    </row>
    <row r="237" spans="1:9" ht="6" customHeight="1" x14ac:dyDescent="0.15">
      <c r="A237" s="9"/>
      <c r="E237" s="19" t="s">
        <v>23</v>
      </c>
      <c r="F237" s="20" t="s">
        <v>23</v>
      </c>
      <c r="G237" s="20" t="s">
        <v>23</v>
      </c>
      <c r="H237" s="20" t="s">
        <v>23</v>
      </c>
      <c r="I237" s="20" t="s">
        <v>23</v>
      </c>
    </row>
    <row r="238" spans="1:9" x14ac:dyDescent="0.15">
      <c r="A238" s="9" t="s">
        <v>92</v>
      </c>
      <c r="E238" s="21">
        <f ca="1">SUM(E233:E237)</f>
        <v>9.906971428571433</v>
      </c>
      <c r="F238" s="21">
        <f ca="1">SUM(F233:F237)</f>
        <v>12.096396971428581</v>
      </c>
      <c r="G238" s="21">
        <f ca="1">SUM(G233:G237)</f>
        <v>14.182905216971434</v>
      </c>
      <c r="H238" s="21">
        <f ca="1">SUM(H233:H237)</f>
        <v>16.316275195378747</v>
      </c>
      <c r="I238" s="21">
        <f ca="1">SUM(I233:I237)</f>
        <v>18.597429120067833</v>
      </c>
    </row>
    <row r="239" spans="1:9" x14ac:dyDescent="0.15">
      <c r="A239" s="12" t="s">
        <v>93</v>
      </c>
    </row>
    <row r="240" spans="1:9" x14ac:dyDescent="0.15">
      <c r="A240" s="32" t="str">
        <f>"  "&amp;A187</f>
        <v xml:space="preserve">  Accounts Receivable</v>
      </c>
      <c r="E240" s="21">
        <f ca="1">D187-E187</f>
        <v>-1</v>
      </c>
      <c r="F240" s="21">
        <f t="shared" ref="F240:I242" ca="1" si="66">E187-F187</f>
        <v>-1.1000000000000014</v>
      </c>
      <c r="G240" s="21">
        <f t="shared" ca="1" si="66"/>
        <v>-1.2100000000000026</v>
      </c>
      <c r="H240" s="21">
        <f t="shared" ca="1" si="66"/>
        <v>-1.3309999999999995</v>
      </c>
      <c r="I240" s="21">
        <f t="shared" ca="1" si="66"/>
        <v>-1.4641000000000037</v>
      </c>
    </row>
    <row r="241" spans="1:9" x14ac:dyDescent="0.15">
      <c r="A241" s="32" t="str">
        <f>"  "&amp;A188</f>
        <v xml:space="preserve">  Inventory</v>
      </c>
      <c r="E241" s="21">
        <f ca="1">D188-E188</f>
        <v>-0.80036571428571435</v>
      </c>
      <c r="F241" s="21">
        <f t="shared" ca="1" si="66"/>
        <v>-0.86632228571428627</v>
      </c>
      <c r="G241" s="21">
        <f t="shared" ca="1" si="66"/>
        <v>-0.95295451428571631</v>
      </c>
      <c r="H241" s="21">
        <f t="shared" ca="1" si="66"/>
        <v>-1.0482499657142874</v>
      </c>
      <c r="I241" s="21">
        <f t="shared" ca="1" si="66"/>
        <v>-1.1530749622857162</v>
      </c>
    </row>
    <row r="242" spans="1:9" x14ac:dyDescent="0.15">
      <c r="A242" s="32" t="str">
        <f>"  "&amp;A189</f>
        <v xml:space="preserve">  Prepaid Expenses</v>
      </c>
      <c r="E242" s="21">
        <f ca="1">D189-E189</f>
        <v>-0.50022857142857191</v>
      </c>
      <c r="F242" s="21">
        <f t="shared" ca="1" si="66"/>
        <v>-0.54145142857142847</v>
      </c>
      <c r="G242" s="21">
        <f t="shared" ca="1" si="66"/>
        <v>-0.59559657142857336</v>
      </c>
      <c r="H242" s="21">
        <f t="shared" ca="1" si="66"/>
        <v>-0.6551562285714283</v>
      </c>
      <c r="I242" s="21">
        <f t="shared" ca="1" si="66"/>
        <v>-0.72067185142857326</v>
      </c>
    </row>
    <row r="243" spans="1:9" x14ac:dyDescent="0.15">
      <c r="A243" s="32" t="str">
        <f>"  "&amp;A204</f>
        <v xml:space="preserve">  Accounts Payable</v>
      </c>
      <c r="E243" s="21">
        <f ca="1">E204-D204</f>
        <v>0.7003200000000005</v>
      </c>
      <c r="F243" s="21">
        <f t="shared" ref="F243:I244" ca="1" si="67">F204-E204</f>
        <v>0.75803200000000093</v>
      </c>
      <c r="G243" s="21">
        <f t="shared" ca="1" si="67"/>
        <v>0.83383520000000111</v>
      </c>
      <c r="H243" s="21">
        <f t="shared" ca="1" si="67"/>
        <v>0.91721872000000104</v>
      </c>
      <c r="I243" s="21">
        <f t="shared" ca="1" si="67"/>
        <v>1.0089405920000019</v>
      </c>
    </row>
    <row r="244" spans="1:9" x14ac:dyDescent="0.15">
      <c r="A244" s="32" t="str">
        <f>"  "&amp;A205</f>
        <v xml:space="preserve">  Accrued Expenses</v>
      </c>
      <c r="E244" s="21">
        <f ca="1">E205-D205</f>
        <v>0.60027428571428665</v>
      </c>
      <c r="F244" s="21">
        <f t="shared" ca="1" si="67"/>
        <v>0.6497417142857147</v>
      </c>
      <c r="G244" s="21">
        <f t="shared" ca="1" si="67"/>
        <v>0.71471588571428768</v>
      </c>
      <c r="H244" s="21">
        <f t="shared" ca="1" si="67"/>
        <v>0.78618747428571378</v>
      </c>
      <c r="I244" s="21">
        <f t="shared" ca="1" si="67"/>
        <v>0.86480622171428756</v>
      </c>
    </row>
    <row r="245" spans="1:9" ht="6" customHeight="1" x14ac:dyDescent="0.15">
      <c r="A245" s="9"/>
      <c r="E245" s="19" t="s">
        <v>23</v>
      </c>
      <c r="F245" s="20" t="s">
        <v>23</v>
      </c>
      <c r="G245" s="20" t="s">
        <v>23</v>
      </c>
      <c r="H245" s="20" t="s">
        <v>23</v>
      </c>
      <c r="I245" s="20" t="s">
        <v>23</v>
      </c>
    </row>
    <row r="246" spans="1:9" x14ac:dyDescent="0.15">
      <c r="A246" s="9" t="s">
        <v>94</v>
      </c>
      <c r="E246" s="21">
        <f ca="1">SUM(E240:E245)</f>
        <v>-0.99999999999999911</v>
      </c>
      <c r="F246" s="21">
        <f ca="1">SUM(F240:F245)</f>
        <v>-1.1000000000000005</v>
      </c>
      <c r="G246" s="21">
        <f ca="1">SUM(G240:G245)</f>
        <v>-1.2100000000000035</v>
      </c>
      <c r="H246" s="21">
        <f ca="1">SUM(H240:H245)</f>
        <v>-1.3310000000000004</v>
      </c>
      <c r="I246" s="21">
        <f ca="1">SUM(I240:I245)</f>
        <v>-1.4641000000000037</v>
      </c>
    </row>
    <row r="247" spans="1:9" ht="6" customHeight="1" x14ac:dyDescent="0.15">
      <c r="A247" s="13"/>
      <c r="E247" s="19" t="s">
        <v>23</v>
      </c>
      <c r="F247" s="20" t="s">
        <v>23</v>
      </c>
      <c r="G247" s="20" t="s">
        <v>23</v>
      </c>
      <c r="H247" s="20" t="s">
        <v>23</v>
      </c>
      <c r="I247" s="20" t="s">
        <v>23</v>
      </c>
    </row>
    <row r="248" spans="1:9" x14ac:dyDescent="0.15">
      <c r="A248" s="9" t="s">
        <v>95</v>
      </c>
      <c r="E248" s="21">
        <f ca="1">SUM(E246,E238)</f>
        <v>8.9069714285714348</v>
      </c>
      <c r="F248" s="21">
        <f ca="1">SUM(F246,F238)</f>
        <v>10.996396971428581</v>
      </c>
      <c r="G248" s="21">
        <f ca="1">SUM(G246,G238)</f>
        <v>12.97290521697143</v>
      </c>
      <c r="H248" s="21">
        <f ca="1">SUM(H246,H238)</f>
        <v>14.985275195378748</v>
      </c>
      <c r="I248" s="21">
        <f ca="1">SUM(I246,I238)</f>
        <v>17.133329120067827</v>
      </c>
    </row>
    <row r="249" spans="1:9" ht="6" customHeight="1" x14ac:dyDescent="0.15">
      <c r="A249" s="13"/>
    </row>
    <row r="250" spans="1:9" x14ac:dyDescent="0.15">
      <c r="A250" s="66" t="s">
        <v>96</v>
      </c>
    </row>
    <row r="251" spans="1:9" ht="6" customHeight="1" x14ac:dyDescent="0.15">
      <c r="A251" s="61"/>
    </row>
    <row r="252" spans="1:9" x14ac:dyDescent="0.15">
      <c r="A252" s="9" t="s">
        <v>97</v>
      </c>
      <c r="E252" s="21">
        <f ca="1">-E103</f>
        <v>-2</v>
      </c>
      <c r="F252" s="21">
        <f ca="1">-F103</f>
        <v>-2</v>
      </c>
      <c r="G252" s="21">
        <f ca="1">-G103</f>
        <v>-2</v>
      </c>
      <c r="H252" s="21">
        <f ca="1">-H103</f>
        <v>-2</v>
      </c>
      <c r="I252" s="21">
        <f ca="1">-I103</f>
        <v>-2</v>
      </c>
    </row>
    <row r="253" spans="1:9" ht="6" customHeight="1" x14ac:dyDescent="0.15">
      <c r="A253" s="9"/>
      <c r="E253" s="19" t="s">
        <v>23</v>
      </c>
      <c r="F253" s="20" t="s">
        <v>23</v>
      </c>
      <c r="G253" s="20" t="s">
        <v>23</v>
      </c>
      <c r="H253" s="20" t="s">
        <v>23</v>
      </c>
      <c r="I253" s="20" t="s">
        <v>23</v>
      </c>
    </row>
    <row r="254" spans="1:9" x14ac:dyDescent="0.15">
      <c r="A254" s="9" t="s">
        <v>98</v>
      </c>
      <c r="E254" s="21">
        <f ca="1">SUM(E252:E253)</f>
        <v>-2</v>
      </c>
      <c r="F254" s="21">
        <f ca="1">SUM(F252:F253)</f>
        <v>-2</v>
      </c>
      <c r="G254" s="21">
        <f ca="1">SUM(G252:G253)</f>
        <v>-2</v>
      </c>
      <c r="H254" s="21">
        <f ca="1">SUM(H252:H253)</f>
        <v>-2</v>
      </c>
      <c r="I254" s="21">
        <f ca="1">SUM(I252:I253)</f>
        <v>-2</v>
      </c>
    </row>
    <row r="255" spans="1:9" ht="6" customHeight="1" x14ac:dyDescent="0.15">
      <c r="A255" s="13"/>
    </row>
    <row r="256" spans="1:9" x14ac:dyDescent="0.15">
      <c r="A256" s="68" t="s">
        <v>99</v>
      </c>
      <c r="E256" s="81">
        <f ca="1">E254+E248</f>
        <v>6.9069714285714348</v>
      </c>
      <c r="F256" s="69">
        <f ca="1">F254+F248</f>
        <v>8.996396971428581</v>
      </c>
      <c r="G256" s="69">
        <f ca="1">G254+G248</f>
        <v>10.97290521697143</v>
      </c>
      <c r="H256" s="69">
        <f ca="1">H254+H248</f>
        <v>12.985275195378748</v>
      </c>
      <c r="I256" s="69">
        <f ca="1">I254+I248</f>
        <v>15.133329120067827</v>
      </c>
    </row>
    <row r="257" spans="1:9" ht="6" customHeight="1" x14ac:dyDescent="0.15">
      <c r="A257" s="13"/>
    </row>
    <row r="258" spans="1:9" x14ac:dyDescent="0.15">
      <c r="A258" s="61" t="s">
        <v>100</v>
      </c>
    </row>
    <row r="259" spans="1:9" ht="6" customHeight="1" x14ac:dyDescent="0.15">
      <c r="A259" s="61"/>
    </row>
    <row r="260" spans="1:9" x14ac:dyDescent="0.15">
      <c r="A260" s="32" t="str">
        <f>A209</f>
        <v>Revolver</v>
      </c>
      <c r="E260" s="21">
        <f ca="1">E305-E288</f>
        <v>-2.3499999999999943</v>
      </c>
      <c r="F260" s="21">
        <f ca="1">F305-F288</f>
        <v>0</v>
      </c>
      <c r="G260" s="21">
        <f ca="1">G305-G288</f>
        <v>0</v>
      </c>
      <c r="H260" s="21">
        <f ca="1">H305-H288</f>
        <v>0</v>
      </c>
      <c r="I260" s="21">
        <f ca="1">I305-I288</f>
        <v>0</v>
      </c>
    </row>
    <row r="261" spans="1:9" x14ac:dyDescent="0.15">
      <c r="A261" s="32" t="str">
        <f>A210</f>
        <v>Term Loan</v>
      </c>
      <c r="E261" s="21">
        <f ca="1">-E282-E289</f>
        <v>-18.05697142857144</v>
      </c>
      <c r="F261" s="21">
        <f t="shared" ref="F261:I262" ca="1" si="68">-F282-F289</f>
        <v>-8.996396971428581</v>
      </c>
      <c r="G261" s="21">
        <f t="shared" ca="1" si="68"/>
        <v>-2.9466315999999786</v>
      </c>
      <c r="H261" s="21">
        <f t="shared" ca="1" si="68"/>
        <v>0</v>
      </c>
      <c r="I261" s="21">
        <f t="shared" ca="1" si="68"/>
        <v>0</v>
      </c>
    </row>
    <row r="262" spans="1:9" x14ac:dyDescent="0.15">
      <c r="A262" s="32" t="str">
        <f>A211</f>
        <v>Sr. Sub. Notes</v>
      </c>
      <c r="E262" s="21">
        <f ca="1">-E283-E290</f>
        <v>0</v>
      </c>
      <c r="F262" s="21">
        <f t="shared" ca="1" si="68"/>
        <v>0</v>
      </c>
      <c r="G262" s="21">
        <f t="shared" ca="1" si="68"/>
        <v>0</v>
      </c>
      <c r="H262" s="21">
        <f t="shared" ca="1" si="68"/>
        <v>0</v>
      </c>
      <c r="I262" s="21">
        <f t="shared" ca="1" si="68"/>
        <v>0</v>
      </c>
    </row>
    <row r="263" spans="1:9" ht="6" customHeight="1" x14ac:dyDescent="0.15">
      <c r="A263" s="9"/>
      <c r="E263" s="19" t="s">
        <v>23</v>
      </c>
      <c r="F263" s="20" t="s">
        <v>23</v>
      </c>
      <c r="G263" s="20" t="s">
        <v>23</v>
      </c>
      <c r="H263" s="20" t="s">
        <v>23</v>
      </c>
      <c r="I263" s="20" t="s">
        <v>23</v>
      </c>
    </row>
    <row r="264" spans="1:9" x14ac:dyDescent="0.15">
      <c r="A264" s="9" t="s">
        <v>101</v>
      </c>
      <c r="E264" s="21">
        <f ca="1">SUM(E260:E263)</f>
        <v>-20.406971428571435</v>
      </c>
      <c r="F264" s="21">
        <f ca="1">SUM(F260:F263)</f>
        <v>-8.996396971428581</v>
      </c>
      <c r="G264" s="21">
        <f ca="1">SUM(G260:G263)</f>
        <v>-2.9466315999999786</v>
      </c>
      <c r="H264" s="21">
        <f ca="1">SUM(H260:H263)</f>
        <v>0</v>
      </c>
      <c r="I264" s="21">
        <f ca="1">SUM(I260:I263)</f>
        <v>0</v>
      </c>
    </row>
    <row r="265" spans="1:9" ht="6" customHeight="1" x14ac:dyDescent="0.15">
      <c r="A265" s="13"/>
    </row>
    <row r="266" spans="1:9" x14ac:dyDescent="0.15">
      <c r="A266" s="68" t="s">
        <v>102</v>
      </c>
      <c r="E266" s="69">
        <f ca="1">E264+E256</f>
        <v>-13.5</v>
      </c>
      <c r="F266" s="69">
        <f ca="1">F264+F256</f>
        <v>0</v>
      </c>
      <c r="G266" s="69">
        <f ca="1">G264+G256</f>
        <v>8.0262736169714515</v>
      </c>
      <c r="H266" s="69">
        <f ca="1">H264+H256</f>
        <v>12.985275195378748</v>
      </c>
      <c r="I266" s="69">
        <f ca="1">I264+I256</f>
        <v>15.133329120067827</v>
      </c>
    </row>
    <row r="270" spans="1:9" ht="18" x14ac:dyDescent="0.2">
      <c r="A270" s="7" t="s">
        <v>103</v>
      </c>
      <c r="B270" s="70"/>
      <c r="C270" s="70"/>
      <c r="D270" s="70"/>
      <c r="E270" s="70"/>
      <c r="F270" s="70"/>
      <c r="G270" s="70"/>
      <c r="H270" s="70"/>
      <c r="I270" s="70"/>
    </row>
    <row r="271" spans="1:9" ht="6" customHeight="1" x14ac:dyDescent="0.15">
      <c r="A271" s="9"/>
    </row>
    <row r="272" spans="1:9" ht="16" x14ac:dyDescent="0.3">
      <c r="A272"/>
      <c r="D272"/>
      <c r="E272" s="25" t="s">
        <v>1</v>
      </c>
      <c r="F272" s="25"/>
      <c r="G272" s="25"/>
      <c r="H272" s="25"/>
      <c r="I272" s="25"/>
    </row>
    <row r="273" spans="1:9" x14ac:dyDescent="0.15">
      <c r="A273"/>
      <c r="D273"/>
      <c r="E273" s="4">
        <f>E$67</f>
        <v>2000</v>
      </c>
      <c r="F273" s="4">
        <f>F$67</f>
        <v>2001</v>
      </c>
      <c r="G273" s="4">
        <f>G$67</f>
        <v>2002</v>
      </c>
      <c r="H273" s="4">
        <f>H$67</f>
        <v>2003</v>
      </c>
      <c r="I273" s="4">
        <f>I$67</f>
        <v>2004</v>
      </c>
    </row>
    <row r="274" spans="1:9" ht="6" customHeight="1" x14ac:dyDescent="0.15">
      <c r="A274" s="26"/>
    </row>
    <row r="275" spans="1:9" x14ac:dyDescent="0.15">
      <c r="A275" s="66" t="s">
        <v>104</v>
      </c>
    </row>
    <row r="276" spans="1:9" x14ac:dyDescent="0.15">
      <c r="A276" s="67" t="str">
        <f>"  "&amp;A210</f>
        <v xml:space="preserve">  Term Loan</v>
      </c>
      <c r="B276" s="71" t="s">
        <v>118</v>
      </c>
      <c r="C276" s="72"/>
      <c r="D276" s="78">
        <v>7</v>
      </c>
      <c r="E276" s="80">
        <f ca="1">IF(ISERROR($D210/$D276),"NM",$D210/$D276)</f>
        <v>4.2857142857142856</v>
      </c>
      <c r="F276" s="79">
        <f ca="1">IF(ISERROR($D210/$D276),"NM",$D210/$D276)</f>
        <v>4.2857142857142856</v>
      </c>
      <c r="G276" s="79">
        <f ca="1">IF(ISERROR($D210/$D276),"NM",$D210/$D276)</f>
        <v>4.2857142857142856</v>
      </c>
      <c r="H276" s="79">
        <f ca="1">IF(ISERROR($D210/$D276),"NM",$D210/$D276)</f>
        <v>4.2857142857142856</v>
      </c>
      <c r="I276" s="79">
        <f ca="1">IF(ISERROR($D210/$D276),"NM",$D210/$D276)</f>
        <v>4.2857142857142856</v>
      </c>
    </row>
    <row r="277" spans="1:9" x14ac:dyDescent="0.15">
      <c r="A277" s="67" t="str">
        <f>"  "&amp;A211</f>
        <v xml:space="preserve">  Sr. Sub. Notes</v>
      </c>
      <c r="B277" s="13"/>
      <c r="C277" s="13"/>
      <c r="D277" s="13"/>
      <c r="E277" s="17">
        <v>0</v>
      </c>
      <c r="F277" s="17">
        <v>0</v>
      </c>
      <c r="G277" s="17">
        <v>0</v>
      </c>
      <c r="H277" s="17">
        <v>0</v>
      </c>
      <c r="I277" s="17">
        <v>0</v>
      </c>
    </row>
    <row r="278" spans="1:9" ht="6" customHeight="1" x14ac:dyDescent="0.15">
      <c r="A278" s="32"/>
      <c r="B278" s="13"/>
      <c r="C278" s="13"/>
      <c r="D278" s="13"/>
      <c r="E278"/>
      <c r="F278"/>
      <c r="G278"/>
      <c r="H278"/>
      <c r="I278"/>
    </row>
    <row r="279" spans="1:9" x14ac:dyDescent="0.15">
      <c r="A279" s="27" t="s">
        <v>105</v>
      </c>
      <c r="B279" s="13"/>
      <c r="C279" s="13"/>
      <c r="D279" s="13"/>
      <c r="E279"/>
      <c r="F279"/>
      <c r="G279"/>
      <c r="H279"/>
      <c r="I279"/>
    </row>
    <row r="280" spans="1:9" ht="6" customHeight="1" x14ac:dyDescent="0.15">
      <c r="A280" s="27"/>
      <c r="B280" s="13"/>
      <c r="C280" s="13"/>
      <c r="D280" s="13"/>
      <c r="E280"/>
      <c r="F280"/>
      <c r="G280"/>
      <c r="H280"/>
      <c r="I280"/>
    </row>
    <row r="281" spans="1:9" x14ac:dyDescent="0.15">
      <c r="A281" s="66" t="s">
        <v>106</v>
      </c>
      <c r="B281" s="73"/>
      <c r="C281" s="73"/>
      <c r="D281" s="4"/>
      <c r="E281"/>
      <c r="F281"/>
      <c r="G281"/>
      <c r="H281"/>
      <c r="I281"/>
    </row>
    <row r="282" spans="1:9" x14ac:dyDescent="0.15">
      <c r="A282" s="67" t="str">
        <f>"  "&amp;A210</f>
        <v xml:space="preserve">  Term Loan</v>
      </c>
      <c r="B282"/>
      <c r="C282"/>
      <c r="D282"/>
      <c r="E282" s="21">
        <f t="shared" ref="E282:I283" ca="1" si="69">MIN(E276,D210)</f>
        <v>4.2857142857142856</v>
      </c>
      <c r="F282" s="21">
        <f t="shared" ca="1" si="69"/>
        <v>4.2857142857142856</v>
      </c>
      <c r="G282" s="21">
        <f t="shared" ca="1" si="69"/>
        <v>2.9466315999999786</v>
      </c>
      <c r="H282" s="21">
        <f t="shared" ca="1" si="69"/>
        <v>0</v>
      </c>
      <c r="I282" s="21">
        <f t="shared" ca="1" si="69"/>
        <v>0</v>
      </c>
    </row>
    <row r="283" spans="1:9" x14ac:dyDescent="0.15">
      <c r="A283" s="67" t="str">
        <f>"  "&amp;A211</f>
        <v xml:space="preserve">  Sr. Sub. Notes</v>
      </c>
      <c r="B283" s="13"/>
      <c r="C283" s="13"/>
      <c r="D283" s="13"/>
      <c r="E283" s="21">
        <f t="shared" ca="1" si="69"/>
        <v>0</v>
      </c>
      <c r="F283" s="21">
        <f t="shared" ca="1" si="69"/>
        <v>0</v>
      </c>
      <c r="G283" s="21">
        <f t="shared" ca="1" si="69"/>
        <v>0</v>
      </c>
      <c r="H283" s="21">
        <f t="shared" ca="1" si="69"/>
        <v>0</v>
      </c>
      <c r="I283" s="21">
        <f t="shared" ca="1" si="69"/>
        <v>0</v>
      </c>
    </row>
    <row r="284" spans="1:9" ht="6" customHeight="1" x14ac:dyDescent="0.15">
      <c r="A284" s="32"/>
      <c r="B284" s="13"/>
      <c r="C284" s="13"/>
      <c r="D284" s="13"/>
      <c r="E284" s="19" t="s">
        <v>23</v>
      </c>
      <c r="F284" s="20" t="s">
        <v>23</v>
      </c>
      <c r="G284" s="20" t="s">
        <v>23</v>
      </c>
      <c r="H284" s="20" t="s">
        <v>23</v>
      </c>
      <c r="I284" s="20" t="s">
        <v>23</v>
      </c>
    </row>
    <row r="285" spans="1:9" x14ac:dyDescent="0.15">
      <c r="A285" s="32" t="str">
        <f>"    "&amp;A281</f>
        <v xml:space="preserve">    Required Debt Retirement</v>
      </c>
      <c r="B285" s="13"/>
      <c r="C285" s="13"/>
      <c r="D285" s="13"/>
      <c r="E285" s="21">
        <f ca="1">SUM(E282:E284)</f>
        <v>4.2857142857142856</v>
      </c>
      <c r="F285" s="21">
        <f ca="1">SUM(F282:F284)</f>
        <v>4.2857142857142856</v>
      </c>
      <c r="G285" s="21">
        <f ca="1">SUM(G282:G284)</f>
        <v>2.9466315999999786</v>
      </c>
      <c r="H285" s="21">
        <f ca="1">SUM(H282:H284)</f>
        <v>0</v>
      </c>
      <c r="I285" s="21">
        <f ca="1">SUM(I282:I284)</f>
        <v>0</v>
      </c>
    </row>
    <row r="286" spans="1:9" x14ac:dyDescent="0.15">
      <c r="A286" s="32"/>
      <c r="B286" s="13"/>
      <c r="C286" s="13"/>
      <c r="D286" s="13"/>
    </row>
    <row r="287" spans="1:9" x14ac:dyDescent="0.15">
      <c r="A287" s="66" t="s">
        <v>107</v>
      </c>
      <c r="B287" s="73"/>
      <c r="C287" s="73"/>
      <c r="D287" s="74" t="s">
        <v>119</v>
      </c>
    </row>
    <row r="288" spans="1:9" x14ac:dyDescent="0.15">
      <c r="A288" s="67" t="str">
        <f>"  "&amp;A209</f>
        <v xml:space="preserve">  Revolver</v>
      </c>
      <c r="B288"/>
      <c r="C288"/>
      <c r="D288" s="82">
        <v>1</v>
      </c>
      <c r="E288" s="21">
        <f ca="1">MAX(MIN(D209,E$304-SUM(E$285:E287)),0)*$D288</f>
        <v>2.3499999999999943</v>
      </c>
      <c r="F288" s="21">
        <f ca="1">MAX(MIN(E209,F$304-SUM(F$285:F287)),0)*$D288</f>
        <v>0</v>
      </c>
      <c r="G288" s="21">
        <f ca="1">MAX(MIN(F209,G$304-SUM(G$285:G287)),0)*$D288</f>
        <v>0</v>
      </c>
      <c r="H288" s="21">
        <f ca="1">MAX(MIN(G209,H$304-SUM(H$285:H287)),0)*$D288</f>
        <v>0</v>
      </c>
      <c r="I288" s="21">
        <f ca="1">MAX(MIN(H209,I$304-SUM(I$285:I287)),0)*$D288</f>
        <v>0</v>
      </c>
    </row>
    <row r="289" spans="1:9" x14ac:dyDescent="0.15">
      <c r="A289" s="67" t="str">
        <f>"  "&amp;A210</f>
        <v xml:space="preserve">  Term Loan</v>
      </c>
      <c r="B289"/>
      <c r="C289"/>
      <c r="D289" s="82">
        <v>1</v>
      </c>
      <c r="E289" s="21">
        <f ca="1">MAX(MIN(D210-E282,E$304-SUM(E$285:E288)),0)*$D289</f>
        <v>13.771257142857156</v>
      </c>
      <c r="F289" s="21">
        <f ca="1">MAX(MIN(E210-F282,F$304-SUM(F$285:F288)),0)*$D289</f>
        <v>4.7106826857142954</v>
      </c>
      <c r="G289" s="21">
        <f ca="1">MAX(MIN(F210-G282,G$304-SUM(G$285:G288)),0)*$D289</f>
        <v>0</v>
      </c>
      <c r="H289" s="21">
        <f ca="1">MAX(MIN(G210-H282,H$304-SUM(H$285:H288)),0)*$D289</f>
        <v>0</v>
      </c>
      <c r="I289" s="21">
        <f ca="1">MAX(MIN(H210-I282,I$304-SUM(I$285:I288)),0)*$D289</f>
        <v>0</v>
      </c>
    </row>
    <row r="290" spans="1:9" x14ac:dyDescent="0.15">
      <c r="A290" s="67" t="str">
        <f>"  "&amp;A211</f>
        <v xml:space="preserve">  Sr. Sub. Notes</v>
      </c>
      <c r="B290" s="13"/>
      <c r="C290" s="13"/>
      <c r="D290" s="83">
        <v>0</v>
      </c>
      <c r="E290" s="21">
        <f ca="1">MAX(MIN(D211-E283,E$304-SUM(E$285:E289)),0)*$D290</f>
        <v>0</v>
      </c>
      <c r="F290" s="21">
        <f ca="1">MAX(MIN(E211-F283,F$304-SUM(F$285:F289)),0)*$D290</f>
        <v>0</v>
      </c>
      <c r="G290" s="21">
        <f ca="1">MAX(MIN(F211-G283,G$304-SUM(G$285:G289)),0)*$D290</f>
        <v>0</v>
      </c>
      <c r="H290" s="21">
        <f ca="1">MAX(MIN(G211-H283,H$304-SUM(H$285:H289)),0)*$D290</f>
        <v>0</v>
      </c>
      <c r="I290" s="21">
        <f ca="1">MAX(MIN(H211-I283,I$304-SUM(I$285:I289)),0)*$D290</f>
        <v>0</v>
      </c>
    </row>
    <row r="291" spans="1:9" ht="6" customHeight="1" x14ac:dyDescent="0.15">
      <c r="A291" s="32"/>
      <c r="E291" s="19" t="s">
        <v>23</v>
      </c>
      <c r="F291" s="20" t="s">
        <v>23</v>
      </c>
      <c r="G291" s="20" t="s">
        <v>23</v>
      </c>
      <c r="H291" s="20" t="s">
        <v>23</v>
      </c>
      <c r="I291" s="20" t="s">
        <v>23</v>
      </c>
    </row>
    <row r="292" spans="1:9" x14ac:dyDescent="0.15">
      <c r="A292" s="32" t="str">
        <f>"    "&amp;A287</f>
        <v xml:space="preserve">    Optional Debt Retirement</v>
      </c>
      <c r="E292" s="21">
        <f ca="1">SUM(E288:E291)</f>
        <v>16.12125714285715</v>
      </c>
      <c r="F292" s="21">
        <f ca="1">SUM(F288:F291)</f>
        <v>4.7106826857142954</v>
      </c>
      <c r="G292" s="21">
        <f ca="1">SUM(G288:G291)</f>
        <v>0</v>
      </c>
      <c r="H292" s="21">
        <f ca="1">SUM(H288:H291)</f>
        <v>0</v>
      </c>
      <c r="I292" s="21">
        <f ca="1">SUM(I288:I291)</f>
        <v>0</v>
      </c>
    </row>
    <row r="293" spans="1:9" ht="6" customHeight="1" x14ac:dyDescent="0.15">
      <c r="A293" s="32"/>
      <c r="E293" s="19" t="s">
        <v>23</v>
      </c>
      <c r="F293" s="20" t="s">
        <v>23</v>
      </c>
      <c r="G293" s="20" t="s">
        <v>23</v>
      </c>
      <c r="H293" s="20" t="s">
        <v>23</v>
      </c>
      <c r="I293" s="20" t="s">
        <v>23</v>
      </c>
    </row>
    <row r="294" spans="1:9" x14ac:dyDescent="0.15">
      <c r="A294" s="9" t="s">
        <v>108</v>
      </c>
      <c r="E294" s="21">
        <f ca="1">E292+E285</f>
        <v>20.406971428571435</v>
      </c>
      <c r="F294" s="21">
        <f ca="1">F292+F285</f>
        <v>8.996396971428581</v>
      </c>
      <c r="G294" s="21">
        <f ca="1">G292+G285</f>
        <v>2.9466315999999786</v>
      </c>
      <c r="H294" s="21">
        <f ca="1">H292+H285</f>
        <v>0</v>
      </c>
      <c r="I294" s="21">
        <f ca="1">I292+I285</f>
        <v>0</v>
      </c>
    </row>
    <row r="295" spans="1:9" x14ac:dyDescent="0.15">
      <c r="A295" s="9" t="s">
        <v>109</v>
      </c>
      <c r="E295" s="21">
        <f ca="1">MAX(E304-E294,0)</f>
        <v>0</v>
      </c>
      <c r="F295" s="21">
        <f ca="1">MAX(F304-F294,0)</f>
        <v>0</v>
      </c>
      <c r="G295" s="21">
        <f ca="1">MAX(G304-G294,0)</f>
        <v>8.0262736169714515</v>
      </c>
      <c r="H295" s="21">
        <f ca="1">MAX(H304-H294,0)</f>
        <v>21.011548812350199</v>
      </c>
      <c r="I295" s="21">
        <f ca="1">MAX(I304-I294,0)</f>
        <v>36.144877932418026</v>
      </c>
    </row>
    <row r="296" spans="1:9" ht="6" customHeight="1" x14ac:dyDescent="0.15">
      <c r="A296" s="13"/>
      <c r="E296" s="19" t="s">
        <v>23</v>
      </c>
      <c r="F296" s="20" t="s">
        <v>23</v>
      </c>
      <c r="G296" s="20" t="s">
        <v>23</v>
      </c>
      <c r="H296" s="20" t="s">
        <v>23</v>
      </c>
      <c r="I296" s="20" t="s">
        <v>23</v>
      </c>
    </row>
    <row r="297" spans="1:9" x14ac:dyDescent="0.15">
      <c r="A297" s="68" t="s">
        <v>110</v>
      </c>
      <c r="E297" s="69">
        <f ca="1">SUM(E294:E296)</f>
        <v>20.406971428571435</v>
      </c>
      <c r="F297" s="69">
        <f ca="1">SUM(F294:F296)</f>
        <v>8.996396971428581</v>
      </c>
      <c r="G297" s="69">
        <f ca="1">SUM(G294:G296)</f>
        <v>10.97290521697143</v>
      </c>
      <c r="H297" s="69">
        <f ca="1">SUM(H294:H296)</f>
        <v>21.011548812350199</v>
      </c>
      <c r="I297" s="69">
        <f ca="1">SUM(I294:I296)</f>
        <v>36.144877932418026</v>
      </c>
    </row>
    <row r="298" spans="1:9" x14ac:dyDescent="0.15">
      <c r="A298" s="32"/>
    </row>
    <row r="299" spans="1:9" x14ac:dyDescent="0.15">
      <c r="A299" s="27" t="s">
        <v>111</v>
      </c>
    </row>
    <row r="300" spans="1:9" ht="6" customHeight="1" x14ac:dyDescent="0.15">
      <c r="A300" s="32"/>
    </row>
    <row r="301" spans="1:9" x14ac:dyDescent="0.15">
      <c r="A301" s="9" t="s">
        <v>112</v>
      </c>
      <c r="E301" s="22">
        <f ca="1">D186</f>
        <v>13.5</v>
      </c>
      <c r="F301" s="22">
        <f ca="1">E186</f>
        <v>0</v>
      </c>
      <c r="G301" s="22">
        <f ca="1">F186</f>
        <v>0</v>
      </c>
      <c r="H301" s="22">
        <f ca="1">G186</f>
        <v>8.0262736169714515</v>
      </c>
      <c r="I301" s="22">
        <f ca="1">H186</f>
        <v>21.011548812350199</v>
      </c>
    </row>
    <row r="302" spans="1:9" x14ac:dyDescent="0.15">
      <c r="A302" s="9" t="s">
        <v>113</v>
      </c>
      <c r="E302" s="21">
        <f ca="1">E256</f>
        <v>6.9069714285714348</v>
      </c>
      <c r="F302" s="21">
        <f ca="1">F256</f>
        <v>8.996396971428581</v>
      </c>
      <c r="G302" s="21">
        <f ca="1">G256</f>
        <v>10.97290521697143</v>
      </c>
      <c r="H302" s="21">
        <f ca="1">H256</f>
        <v>12.985275195378748</v>
      </c>
      <c r="I302" s="21">
        <f ca="1">I256</f>
        <v>15.133329120067827</v>
      </c>
    </row>
    <row r="303" spans="1:9" ht="6" customHeight="1" x14ac:dyDescent="0.15">
      <c r="A303" s="32"/>
      <c r="E303" s="19" t="s">
        <v>23</v>
      </c>
      <c r="F303" s="20" t="s">
        <v>23</v>
      </c>
      <c r="G303" s="20" t="s">
        <v>23</v>
      </c>
      <c r="H303" s="20" t="s">
        <v>23</v>
      </c>
      <c r="I303" s="20" t="s">
        <v>23</v>
      </c>
    </row>
    <row r="304" spans="1:9" x14ac:dyDescent="0.15">
      <c r="A304" s="9" t="s">
        <v>114</v>
      </c>
      <c r="E304" s="21">
        <f ca="1">SUM(E301:E303)</f>
        <v>20.406971428571435</v>
      </c>
      <c r="F304" s="21">
        <f ca="1">SUM(F301:F303)</f>
        <v>8.996396971428581</v>
      </c>
      <c r="G304" s="21">
        <f ca="1">SUM(G301:G303)</f>
        <v>10.97290521697143</v>
      </c>
      <c r="H304" s="21">
        <f ca="1">SUM(H301:H303)</f>
        <v>21.011548812350199</v>
      </c>
      <c r="I304" s="21">
        <f ca="1">SUM(I301:I303)</f>
        <v>36.144877932418026</v>
      </c>
    </row>
    <row r="305" spans="1:9" x14ac:dyDescent="0.15">
      <c r="A305" s="9" t="s">
        <v>115</v>
      </c>
      <c r="E305" s="21">
        <f ca="1">MAX(E294-E304,0)</f>
        <v>0</v>
      </c>
      <c r="F305" s="21">
        <f ca="1">MAX(F294-F304,0)</f>
        <v>0</v>
      </c>
      <c r="G305" s="21">
        <f ca="1">MAX(G294-G304,0)</f>
        <v>0</v>
      </c>
      <c r="H305" s="21">
        <f ca="1">MAX(H294-H304,0)</f>
        <v>0</v>
      </c>
      <c r="I305" s="21">
        <f ca="1">MAX(I294-I304,0)</f>
        <v>0</v>
      </c>
    </row>
    <row r="306" spans="1:9" ht="6" customHeight="1" x14ac:dyDescent="0.15">
      <c r="A306" s="32"/>
      <c r="E306" s="19" t="s">
        <v>23</v>
      </c>
      <c r="F306" s="20" t="s">
        <v>23</v>
      </c>
      <c r="G306" s="20" t="s">
        <v>23</v>
      </c>
      <c r="H306" s="20" t="s">
        <v>23</v>
      </c>
      <c r="I306" s="20" t="s">
        <v>23</v>
      </c>
    </row>
    <row r="307" spans="1:9" x14ac:dyDescent="0.15">
      <c r="A307" s="68" t="s">
        <v>116</v>
      </c>
      <c r="E307" s="69">
        <f ca="1">SUM(E304:E306)</f>
        <v>20.406971428571435</v>
      </c>
      <c r="F307" s="69">
        <f ca="1">SUM(F304:F306)</f>
        <v>8.996396971428581</v>
      </c>
      <c r="G307" s="69">
        <f ca="1">SUM(G304:G306)</f>
        <v>10.97290521697143</v>
      </c>
      <c r="H307" s="69">
        <f ca="1">SUM(H304:H306)</f>
        <v>21.011548812350199</v>
      </c>
      <c r="I307" s="69">
        <f ca="1">SUM(I304:I306)</f>
        <v>36.144877932418026</v>
      </c>
    </row>
    <row r="308" spans="1:9" x14ac:dyDescent="0.15">
      <c r="A308" s="13"/>
    </row>
    <row r="309" spans="1:9" x14ac:dyDescent="0.15">
      <c r="A309" s="9" t="s">
        <v>117</v>
      </c>
      <c r="E309" s="43">
        <f ca="1">ABS(E307-E297)+D309</f>
        <v>0</v>
      </c>
      <c r="F309" s="43">
        <f ca="1">ABS(F307-F297)+E309</f>
        <v>0</v>
      </c>
      <c r="G309" s="43">
        <f ca="1">ABS(G307-G297)+F309</f>
        <v>0</v>
      </c>
      <c r="H309" s="43">
        <f ca="1">ABS(H307-H297)+G309</f>
        <v>0</v>
      </c>
      <c r="I309" s="43">
        <f ca="1">ABS(I307-I297)+H309</f>
        <v>0</v>
      </c>
    </row>
    <row r="310" spans="1:9" x14ac:dyDescent="0.15">
      <c r="A310" s="9"/>
      <c r="E310" s="43"/>
      <c r="F310" s="43"/>
      <c r="G310" s="43"/>
      <c r="H310" s="43"/>
      <c r="I310" s="43"/>
    </row>
    <row r="311" spans="1:9" s="126" customFormat="1" ht="18" x14ac:dyDescent="0.2">
      <c r="A311" s="107" t="s">
        <v>131</v>
      </c>
      <c r="B311" s="107"/>
      <c r="C311" s="107"/>
      <c r="D311" s="107"/>
      <c r="E311" s="107"/>
      <c r="F311" s="107"/>
      <c r="G311" s="107"/>
      <c r="H311" s="107"/>
      <c r="I311" s="107"/>
    </row>
    <row r="312" spans="1:9" s="120" customFormat="1" ht="16" x14ac:dyDescent="0.3">
      <c r="A312" s="108"/>
      <c r="B312" s="109"/>
      <c r="C312" s="109"/>
      <c r="D312" s="110"/>
      <c r="E312" s="111" t="s">
        <v>1</v>
      </c>
      <c r="F312" s="111"/>
      <c r="G312" s="111"/>
      <c r="H312" s="111"/>
      <c r="I312" s="111"/>
    </row>
    <row r="313" spans="1:9" s="112" customFormat="1" x14ac:dyDescent="0.15">
      <c r="B313" s="109"/>
      <c r="C313" s="109"/>
      <c r="D313" s="113">
        <f t="shared" ref="D313:I313" si="70">D67</f>
        <v>1999</v>
      </c>
      <c r="E313" s="113">
        <f t="shared" si="70"/>
        <v>2000</v>
      </c>
      <c r="F313" s="113">
        <f t="shared" si="70"/>
        <v>2001</v>
      </c>
      <c r="G313" s="113">
        <f t="shared" si="70"/>
        <v>2002</v>
      </c>
      <c r="H313" s="113">
        <f t="shared" si="70"/>
        <v>2003</v>
      </c>
      <c r="I313" s="113">
        <f t="shared" si="70"/>
        <v>2004</v>
      </c>
    </row>
    <row r="314" spans="1:9" s="114" customFormat="1" x14ac:dyDescent="0.15">
      <c r="B314" s="115"/>
      <c r="C314" s="115"/>
      <c r="D314" s="116">
        <v>0</v>
      </c>
      <c r="E314" s="117">
        <f>D314+1</f>
        <v>1</v>
      </c>
      <c r="F314" s="117">
        <f>E314+1</f>
        <v>2</v>
      </c>
      <c r="G314" s="117">
        <f>F314+1</f>
        <v>3</v>
      </c>
      <c r="H314" s="117">
        <f>G314+1</f>
        <v>4</v>
      </c>
      <c r="I314" s="117">
        <f>H314+1</f>
        <v>5</v>
      </c>
    </row>
    <row r="315" spans="1:9" s="112" customFormat="1" x14ac:dyDescent="0.15">
      <c r="A315" s="118" t="s">
        <v>132</v>
      </c>
      <c r="B315" s="109"/>
      <c r="C315" s="109"/>
      <c r="D315" s="119"/>
      <c r="E315" s="119"/>
      <c r="F315" s="119"/>
      <c r="G315" s="119"/>
      <c r="H315" s="119"/>
      <c r="I315" s="119"/>
    </row>
    <row r="316" spans="1:9" s="112" customFormat="1" ht="6" customHeight="1" x14ac:dyDescent="0.15">
      <c r="A316" s="118"/>
      <c r="B316" s="109"/>
      <c r="C316" s="109"/>
      <c r="D316" s="119"/>
      <c r="E316" s="119"/>
      <c r="F316" s="119"/>
      <c r="G316" s="119"/>
      <c r="H316" s="119"/>
      <c r="I316" s="119"/>
    </row>
    <row r="317" spans="1:9" s="120" customFormat="1" x14ac:dyDescent="0.15">
      <c r="A317" s="86" t="s">
        <v>133</v>
      </c>
      <c r="E317" s="127">
        <f ca="1">E154</f>
        <v>22.162000000000006</v>
      </c>
      <c r="F317" s="127">
        <f ca="1">F154</f>
        <v>24.628200000000014</v>
      </c>
      <c r="G317" s="127">
        <f ca="1">G154</f>
        <v>27.341020000000007</v>
      </c>
      <c r="H317" s="127">
        <f ca="1">H154</f>
        <v>30.325122000000007</v>
      </c>
      <c r="I317" s="127">
        <f ca="1">I154</f>
        <v>33.607634200000007</v>
      </c>
    </row>
    <row r="318" spans="1:9" s="120" customFormat="1" x14ac:dyDescent="0.15">
      <c r="A318" s="86" t="s">
        <v>69</v>
      </c>
      <c r="E318" s="40">
        <f t="shared" ref="E318:I319" si="71">E175</f>
        <v>1.5</v>
      </c>
      <c r="F318" s="40">
        <f t="shared" si="71"/>
        <v>1.5</v>
      </c>
      <c r="G318" s="40">
        <f t="shared" si="71"/>
        <v>1.5</v>
      </c>
      <c r="H318" s="40">
        <f t="shared" si="71"/>
        <v>1.5</v>
      </c>
      <c r="I318" s="40">
        <f t="shared" si="71"/>
        <v>1.5</v>
      </c>
    </row>
    <row r="319" spans="1:9" s="120" customFormat="1" x14ac:dyDescent="0.15">
      <c r="A319" s="86" t="s">
        <v>70</v>
      </c>
      <c r="E319" s="40">
        <f t="shared" si="71"/>
        <v>1</v>
      </c>
      <c r="F319" s="40">
        <f t="shared" si="71"/>
        <v>1</v>
      </c>
      <c r="G319" s="40">
        <f t="shared" si="71"/>
        <v>1</v>
      </c>
      <c r="H319" s="40">
        <f t="shared" si="71"/>
        <v>1</v>
      </c>
      <c r="I319" s="40">
        <f t="shared" si="71"/>
        <v>1</v>
      </c>
    </row>
    <row r="320" spans="1:9" s="120" customFormat="1" x14ac:dyDescent="0.15">
      <c r="A320" s="86"/>
      <c r="E320" s="121" t="s">
        <v>23</v>
      </c>
      <c r="F320" s="110" t="s">
        <v>23</v>
      </c>
      <c r="G320" s="110" t="s">
        <v>23</v>
      </c>
      <c r="H320" s="110" t="s">
        <v>23</v>
      </c>
      <c r="I320" s="110" t="s">
        <v>23</v>
      </c>
    </row>
    <row r="321" spans="1:9" s="123" customFormat="1" x14ac:dyDescent="0.15">
      <c r="A321" s="122" t="s">
        <v>134</v>
      </c>
      <c r="E321" s="124">
        <f ca="1">SUM(E317:E320)</f>
        <v>24.662000000000006</v>
      </c>
      <c r="F321" s="124">
        <f ca="1">SUM(F317:F320)</f>
        <v>27.128200000000014</v>
      </c>
      <c r="G321" s="124">
        <f ca="1">SUM(G317:G320)</f>
        <v>29.841020000000007</v>
      </c>
      <c r="H321" s="124">
        <f ca="1">SUM(H317:H320)</f>
        <v>32.825122000000007</v>
      </c>
      <c r="I321" s="124">
        <f ca="1">SUM(I317:I320)</f>
        <v>36.107634200000007</v>
      </c>
    </row>
    <row r="322" spans="1:9" s="120" customFormat="1" x14ac:dyDescent="0.15">
      <c r="A322" s="86" t="s">
        <v>135</v>
      </c>
      <c r="E322" s="40">
        <f ca="1">E252</f>
        <v>-2</v>
      </c>
      <c r="F322" s="40">
        <f ca="1">F252</f>
        <v>-2</v>
      </c>
      <c r="G322" s="40">
        <f ca="1">G252</f>
        <v>-2</v>
      </c>
      <c r="H322" s="40">
        <f ca="1">H252</f>
        <v>-2</v>
      </c>
      <c r="I322" s="40">
        <f ca="1">I252</f>
        <v>-2</v>
      </c>
    </row>
    <row r="323" spans="1:9" s="120" customFormat="1" x14ac:dyDescent="0.15">
      <c r="A323" s="86"/>
      <c r="E323" s="121" t="s">
        <v>23</v>
      </c>
      <c r="F323" s="110" t="s">
        <v>23</v>
      </c>
      <c r="G323" s="110" t="s">
        <v>23</v>
      </c>
      <c r="H323" s="110" t="s">
        <v>23</v>
      </c>
      <c r="I323" s="110" t="s">
        <v>23</v>
      </c>
    </row>
    <row r="324" spans="1:9" s="123" customFormat="1" x14ac:dyDescent="0.15">
      <c r="A324" s="122" t="s">
        <v>136</v>
      </c>
      <c r="E324" s="125">
        <f ca="1">SUM(E321:E323)</f>
        <v>22.662000000000006</v>
      </c>
      <c r="F324" s="125">
        <f ca="1">SUM(F321:F323)</f>
        <v>25.128200000000014</v>
      </c>
      <c r="G324" s="125">
        <f ca="1">SUM(G321:G323)</f>
        <v>27.841020000000007</v>
      </c>
      <c r="H324" s="125">
        <f ca="1">SUM(H321:H323)</f>
        <v>30.825122000000007</v>
      </c>
      <c r="I324" s="125">
        <f ca="1">SUM(I321:I323)</f>
        <v>34.107634200000007</v>
      </c>
    </row>
    <row r="325" spans="1:9" s="120" customFormat="1" x14ac:dyDescent="0.15">
      <c r="A325" s="86" t="s">
        <v>137</v>
      </c>
      <c r="C325" s="128">
        <f>C167</f>
        <v>0.4</v>
      </c>
      <c r="E325" s="40">
        <f ca="1">-$C325*(E317+E319)</f>
        <v>-9.2648000000000028</v>
      </c>
      <c r="F325" s="40">
        <f ca="1">-$C325*(F317+F319)</f>
        <v>-10.251280000000007</v>
      </c>
      <c r="G325" s="40">
        <f ca="1">-$C325*(G317+G319)</f>
        <v>-11.336408000000004</v>
      </c>
      <c r="H325" s="40">
        <f ca="1">-$C325*(H317+H319)</f>
        <v>-12.530048800000003</v>
      </c>
      <c r="I325" s="40">
        <f ca="1">-$C325*(I317+I319)</f>
        <v>-13.843053680000004</v>
      </c>
    </row>
    <row r="326" spans="1:9" s="120" customFormat="1" x14ac:dyDescent="0.15">
      <c r="A326" s="86" t="s">
        <v>138</v>
      </c>
      <c r="E326" s="40">
        <f ca="1">E246</f>
        <v>-0.99999999999999911</v>
      </c>
      <c r="F326" s="40">
        <f ca="1">F246</f>
        <v>-1.1000000000000005</v>
      </c>
      <c r="G326" s="40">
        <f ca="1">G246</f>
        <v>-1.2100000000000035</v>
      </c>
      <c r="H326" s="40">
        <f ca="1">H246</f>
        <v>-1.3310000000000004</v>
      </c>
      <c r="I326" s="40">
        <f ca="1">I246</f>
        <v>-1.4641000000000037</v>
      </c>
    </row>
    <row r="327" spans="1:9" s="120" customFormat="1" x14ac:dyDescent="0.15">
      <c r="A327" s="86"/>
      <c r="E327" s="121" t="s">
        <v>23</v>
      </c>
      <c r="F327" s="110" t="s">
        <v>23</v>
      </c>
      <c r="G327" s="110" t="s">
        <v>23</v>
      </c>
      <c r="H327" s="110" t="s">
        <v>23</v>
      </c>
      <c r="I327" s="110" t="s">
        <v>23</v>
      </c>
    </row>
    <row r="328" spans="1:9" s="123" customFormat="1" x14ac:dyDescent="0.15">
      <c r="A328" s="122" t="s">
        <v>139</v>
      </c>
      <c r="E328" s="125">
        <f ca="1">SUM(E324:E327)</f>
        <v>12.397200000000005</v>
      </c>
      <c r="F328" s="125">
        <f ca="1">SUM(F324:F327)</f>
        <v>13.776920000000008</v>
      </c>
      <c r="G328" s="125">
        <f ca="1">SUM(G324:G327)</f>
        <v>15.294611999999997</v>
      </c>
      <c r="H328" s="125">
        <f ca="1">SUM(H324:H327)</f>
        <v>16.964073200000005</v>
      </c>
      <c r="I328" s="125">
        <f ca="1">SUM(I324:I327)</f>
        <v>18.800480520000001</v>
      </c>
    </row>
    <row r="329" spans="1:9" s="13" customFormat="1" x14ac:dyDescent="0.15"/>
    <row r="330" spans="1:9" s="112" customFormat="1" x14ac:dyDescent="0.15">
      <c r="A330" s="118" t="s">
        <v>140</v>
      </c>
      <c r="B330" s="109"/>
      <c r="C330" s="109"/>
      <c r="D330" s="119"/>
      <c r="E330" s="119"/>
      <c r="F330" s="119"/>
      <c r="G330" s="119"/>
      <c r="H330" s="119"/>
      <c r="I330" s="119"/>
    </row>
    <row r="331" spans="1:9" s="112" customFormat="1" ht="6" customHeight="1" x14ac:dyDescent="0.15">
      <c r="A331" s="118"/>
      <c r="B331" s="109"/>
      <c r="C331" s="109"/>
      <c r="D331" s="119"/>
      <c r="E331" s="119"/>
      <c r="F331" s="119"/>
      <c r="G331" s="119"/>
      <c r="H331" s="119"/>
      <c r="I331" s="119"/>
    </row>
    <row r="332" spans="1:9" s="112" customFormat="1" x14ac:dyDescent="0.15">
      <c r="A332" s="141" t="s">
        <v>141</v>
      </c>
      <c r="B332" s="109"/>
      <c r="C332" s="109"/>
      <c r="D332" s="119"/>
      <c r="E332" s="119"/>
      <c r="F332" s="119"/>
      <c r="G332" s="119"/>
      <c r="H332" s="119"/>
      <c r="I332" s="119"/>
    </row>
    <row r="333" spans="1:9" s="120" customFormat="1" x14ac:dyDescent="0.15">
      <c r="A333" s="86" t="s">
        <v>142</v>
      </c>
      <c r="I333" s="142">
        <v>0.05</v>
      </c>
    </row>
    <row r="334" spans="1:9" s="120" customFormat="1" x14ac:dyDescent="0.15">
      <c r="A334" s="86" t="s">
        <v>143</v>
      </c>
      <c r="I334" s="143">
        <f ca="1">I328*(1+I333)</f>
        <v>19.740504546</v>
      </c>
    </row>
    <row r="335" spans="1:9" s="120" customFormat="1" x14ac:dyDescent="0.15">
      <c r="A335" s="86" t="s">
        <v>144</v>
      </c>
      <c r="I335" s="142">
        <v>0.12</v>
      </c>
    </row>
    <row r="336" spans="1:9" s="120" customFormat="1" x14ac:dyDescent="0.15">
      <c r="A336" s="86" t="s">
        <v>145</v>
      </c>
      <c r="I336" s="143">
        <f ca="1">I334/(I335-I333)</f>
        <v>282.00720780000006</v>
      </c>
    </row>
    <row r="337" spans="1:9" s="120" customFormat="1" x14ac:dyDescent="0.15">
      <c r="A337" s="86" t="s">
        <v>146</v>
      </c>
      <c r="I337" s="144">
        <f ca="1">I336/I321</f>
        <v>7.8101823630416645</v>
      </c>
    </row>
    <row r="338" spans="1:9" s="120" customFormat="1" x14ac:dyDescent="0.15"/>
    <row r="339" spans="1:9" s="120" customFormat="1" x14ac:dyDescent="0.15">
      <c r="A339" s="145" t="s">
        <v>147</v>
      </c>
    </row>
    <row r="340" spans="1:9" s="120" customFormat="1" x14ac:dyDescent="0.15">
      <c r="A340" s="86" t="s">
        <v>139</v>
      </c>
      <c r="E340" s="40">
        <f ca="1">E328/(1+$I$335)^E$314</f>
        <v>11.068928571428575</v>
      </c>
      <c r="F340" s="40">
        <f ca="1">F328/(1+$I$335)^F$314</f>
        <v>10.982876275510209</v>
      </c>
      <c r="G340" s="40">
        <f ca="1">G328/(1+$I$335)^G$314</f>
        <v>10.886402719569967</v>
      </c>
      <c r="H340" s="40">
        <f ca="1">H328/(1+$I$335)^H$314</f>
        <v>10.780975201982898</v>
      </c>
      <c r="I340" s="40">
        <f ca="1">I328/(1+$I$335)^I$314</f>
        <v>10.667897547462376</v>
      </c>
    </row>
    <row r="341" spans="1:9" s="120" customFormat="1" x14ac:dyDescent="0.15">
      <c r="A341" s="86" t="s">
        <v>148</v>
      </c>
      <c r="E341" s="40"/>
      <c r="F341" s="40"/>
      <c r="G341" s="40"/>
      <c r="H341" s="40"/>
      <c r="I341" s="40">
        <f ca="1">I336/(1+$I$335)^I$314</f>
        <v>160.01846321193565</v>
      </c>
    </row>
    <row r="342" spans="1:9" s="120" customFormat="1" x14ac:dyDescent="0.15">
      <c r="E342" s="121" t="s">
        <v>23</v>
      </c>
      <c r="F342" s="110" t="s">
        <v>23</v>
      </c>
      <c r="G342" s="110" t="s">
        <v>23</v>
      </c>
      <c r="H342" s="110" t="s">
        <v>23</v>
      </c>
      <c r="I342" s="110" t="s">
        <v>23</v>
      </c>
    </row>
    <row r="343" spans="1:9" s="120" customFormat="1" x14ac:dyDescent="0.15">
      <c r="A343" s="86" t="s">
        <v>149</v>
      </c>
      <c r="D343" s="120">
        <f ca="1">SUM(E343:I343)</f>
        <v>214.40554352788968</v>
      </c>
      <c r="E343" s="40">
        <f ca="1">SUM(E340:E342)</f>
        <v>11.068928571428575</v>
      </c>
      <c r="F343" s="40">
        <f ca="1">SUM(F340:F342)</f>
        <v>10.982876275510209</v>
      </c>
      <c r="G343" s="40">
        <f ca="1">SUM(G340:G342)</f>
        <v>10.886402719569967</v>
      </c>
      <c r="H343" s="40">
        <f ca="1">SUM(H340:H342)</f>
        <v>10.780975201982898</v>
      </c>
      <c r="I343" s="40">
        <f ca="1">SUM(I340:I342)</f>
        <v>170.68636075939804</v>
      </c>
    </row>
    <row r="344" spans="1:9" s="120" customFormat="1" x14ac:dyDescent="0.15">
      <c r="A344" s="86"/>
      <c r="E344" s="40"/>
      <c r="F344" s="40"/>
      <c r="G344" s="40"/>
      <c r="H344" s="40"/>
      <c r="I344" s="40"/>
    </row>
    <row r="345" spans="1:9" s="120" customFormat="1" ht="16" x14ac:dyDescent="0.3">
      <c r="A345" s="146" t="s">
        <v>221</v>
      </c>
      <c r="B345" s="147"/>
      <c r="C345" s="147"/>
      <c r="D345" s="148"/>
      <c r="F345" s="146" t="s">
        <v>150</v>
      </c>
      <c r="G345" s="147"/>
      <c r="H345" s="147"/>
      <c r="I345" s="148"/>
    </row>
    <row r="346" spans="1:9" s="120" customFormat="1" ht="16" x14ac:dyDescent="0.3">
      <c r="A346" s="129" t="s">
        <v>151</v>
      </c>
      <c r="B346" s="130">
        <f ca="1">SUM(E343:I343)</f>
        <v>214.40554352788968</v>
      </c>
      <c r="C346" s="131">
        <f ca="1">B346/D96</f>
        <v>9.4451781289819241</v>
      </c>
      <c r="D346" s="132"/>
      <c r="F346" s="149" t="s">
        <v>152</v>
      </c>
      <c r="G346" s="150"/>
      <c r="H346" s="150"/>
      <c r="I346" s="151"/>
    </row>
    <row r="347" spans="1:9" s="120" customFormat="1" x14ac:dyDescent="0.15">
      <c r="A347" s="129" t="s">
        <v>220</v>
      </c>
      <c r="B347" s="77">
        <f>-(B213-B186)</f>
        <v>-86</v>
      </c>
      <c r="C347" s="133"/>
      <c r="D347" s="134"/>
      <c r="F347" s="149" t="s">
        <v>153</v>
      </c>
      <c r="G347" s="152">
        <f>H347-0.02</f>
        <v>9.9999999999999992E-2</v>
      </c>
      <c r="H347" s="152">
        <f>I335</f>
        <v>0.12</v>
      </c>
      <c r="I347" s="153">
        <f>H347+0.02</f>
        <v>0.13999999999999999</v>
      </c>
    </row>
    <row r="348" spans="1:9" s="120" customFormat="1" x14ac:dyDescent="0.15">
      <c r="A348" s="135"/>
      <c r="B348" s="76" t="s">
        <v>23</v>
      </c>
      <c r="C348" s="133"/>
      <c r="D348" s="134"/>
      <c r="F348" s="154">
        <f>F349-0.01</f>
        <v>0.03</v>
      </c>
      <c r="G348" s="157">
        <f t="shared" ref="G348:I352" ca="1" si="72">((NPV(G$347,$D$328:$I$328)+(($I$328*(1+$F348))/(G$347-$F348))/((1+G$347)^$I$314))+$B$347)/$B$350</f>
        <v>14.317641277430306</v>
      </c>
      <c r="H348" s="158">
        <f t="shared" ca="1" si="72"/>
        <v>9.0475241136912334</v>
      </c>
      <c r="I348" s="159">
        <f t="shared" ca="1" si="72"/>
        <v>5.7037638413879082</v>
      </c>
    </row>
    <row r="349" spans="1:9" s="120" customFormat="1" x14ac:dyDescent="0.15">
      <c r="A349" s="129" t="s">
        <v>154</v>
      </c>
      <c r="B349" s="77">
        <f ca="1">SUM(B346:B348)</f>
        <v>128.40554352788968</v>
      </c>
      <c r="C349" s="133"/>
      <c r="D349" s="134"/>
      <c r="F349" s="154">
        <f>F350-0.01</f>
        <v>0.04</v>
      </c>
      <c r="G349" s="160">
        <f t="shared" ca="1" si="72"/>
        <v>17.375017744689568</v>
      </c>
      <c r="H349" s="161">
        <f t="shared" ca="1" si="72"/>
        <v>10.706974843296496</v>
      </c>
      <c r="I349" s="162">
        <f t="shared" ca="1" si="72"/>
        <v>6.7157087251128615</v>
      </c>
    </row>
    <row r="350" spans="1:9" s="120" customFormat="1" x14ac:dyDescent="0.15">
      <c r="A350" s="129" t="s">
        <v>219</v>
      </c>
      <c r="B350" s="136">
        <f>E170</f>
        <v>10</v>
      </c>
      <c r="C350" s="133"/>
      <c r="D350" s="134"/>
      <c r="F350" s="154">
        <f>I333</f>
        <v>0.05</v>
      </c>
      <c r="G350" s="160">
        <f t="shared" ca="1" si="72"/>
        <v>21.655344798852536</v>
      </c>
      <c r="H350" s="155">
        <f ca="1">((NPV(H$347,$D$328:$I$328)+(($I$328*(1+$F350))/(H$347-$F350))/((1+H$347)^$I$314))+$B$347)/$B$350</f>
        <v>12.840554352788967</v>
      </c>
      <c r="I350" s="162">
        <f t="shared" ca="1" si="72"/>
        <v>7.9525302496655765</v>
      </c>
    </row>
    <row r="351" spans="1:9" s="120" customFormat="1" x14ac:dyDescent="0.15">
      <c r="A351" s="137" t="s">
        <v>155</v>
      </c>
      <c r="B351" s="138">
        <f ca="1">B349/B350</f>
        <v>12.840554352788967</v>
      </c>
      <c r="C351" s="139">
        <f ca="1">B351/E171</f>
        <v>20.428711798849676</v>
      </c>
      <c r="D351" s="140"/>
      <c r="F351" s="154">
        <f>F350+0.01</f>
        <v>6.0000000000000005E-2</v>
      </c>
      <c r="G351" s="160">
        <f t="shared" ca="1" si="72"/>
        <v>28.075835380096994</v>
      </c>
      <c r="H351" s="161">
        <f t="shared" ca="1" si="72"/>
        <v>15.685327032112273</v>
      </c>
      <c r="I351" s="162">
        <f t="shared" ca="1" si="72"/>
        <v>9.4985571553564743</v>
      </c>
    </row>
    <row r="352" spans="1:9" s="120" customFormat="1" x14ac:dyDescent="0.15">
      <c r="F352" s="156">
        <f>F351+0.01</f>
        <v>7.0000000000000007E-2</v>
      </c>
      <c r="G352" s="163">
        <f t="shared" ca="1" si="72"/>
        <v>38.776653015504415</v>
      </c>
      <c r="H352" s="164">
        <f t="shared" ca="1" si="72"/>
        <v>19.66800878316489</v>
      </c>
      <c r="I352" s="165">
        <f t="shared" ca="1" si="72"/>
        <v>11.486306034101915</v>
      </c>
    </row>
    <row r="353" spans="1:9" s="13" customFormat="1" x14ac:dyDescent="0.15"/>
    <row r="355" spans="1:9" s="88" customFormat="1" ht="18" x14ac:dyDescent="0.2">
      <c r="A355" s="87" t="s">
        <v>120</v>
      </c>
    </row>
    <row r="356" spans="1:9" s="89" customFormat="1" x14ac:dyDescent="0.15"/>
    <row r="357" spans="1:9" s="89" customFormat="1" x14ac:dyDescent="0.15"/>
    <row r="358" spans="1:9" s="89" customFormat="1" ht="16" x14ac:dyDescent="0.2">
      <c r="A358" s="90" t="s">
        <v>121</v>
      </c>
      <c r="B358" s="91">
        <v>1</v>
      </c>
    </row>
    <row r="359" spans="1:9" s="89" customFormat="1" ht="16" x14ac:dyDescent="0.2">
      <c r="A359" s="92" t="s">
        <v>122</v>
      </c>
      <c r="B359" s="93">
        <v>2</v>
      </c>
    </row>
    <row r="360" spans="1:9" s="89" customFormat="1" x14ac:dyDescent="0.15"/>
    <row r="361" spans="1:9" s="89" customFormat="1" x14ac:dyDescent="0.15"/>
    <row r="362" spans="1:9" s="95" customFormat="1" ht="18" x14ac:dyDescent="0.2">
      <c r="A362" s="94" t="s">
        <v>123</v>
      </c>
    </row>
    <row r="363" spans="1:9" s="89" customFormat="1" x14ac:dyDescent="0.15"/>
    <row r="364" spans="1:9" s="89" customFormat="1" x14ac:dyDescent="0.15">
      <c r="A364" s="96" t="s">
        <v>124</v>
      </c>
      <c r="E364" s="97">
        <f>E$67</f>
        <v>2000</v>
      </c>
      <c r="F364" s="97">
        <f>F$67</f>
        <v>2001</v>
      </c>
      <c r="G364" s="97">
        <f>G$67</f>
        <v>2002</v>
      </c>
      <c r="H364" s="97">
        <f>H$67</f>
        <v>2003</v>
      </c>
      <c r="I364" s="97">
        <f>I$67</f>
        <v>2004</v>
      </c>
    </row>
    <row r="365" spans="1:9" s="89" customFormat="1" x14ac:dyDescent="0.15">
      <c r="A365" s="98">
        <v>1</v>
      </c>
      <c r="B365" s="85" t="s">
        <v>125</v>
      </c>
      <c r="E365" s="99">
        <v>0.1</v>
      </c>
      <c r="F365" s="99">
        <v>0.1</v>
      </c>
      <c r="G365" s="99">
        <v>0.1</v>
      </c>
      <c r="H365" s="99">
        <v>0.1</v>
      </c>
      <c r="I365" s="99">
        <v>0.1</v>
      </c>
    </row>
    <row r="366" spans="1:9" s="89" customFormat="1" x14ac:dyDescent="0.15">
      <c r="A366" s="100">
        <f>A365+1</f>
        <v>2</v>
      </c>
      <c r="B366" s="85" t="s">
        <v>126</v>
      </c>
      <c r="E366" s="99">
        <v>0.08</v>
      </c>
      <c r="F366" s="99">
        <v>0.06</v>
      </c>
      <c r="G366" s="99">
        <v>0.05</v>
      </c>
      <c r="H366" s="99">
        <v>7.0000000000000007E-2</v>
      </c>
      <c r="I366" s="99">
        <v>7.4999999999999997E-2</v>
      </c>
    </row>
    <row r="367" spans="1:9" s="89" customFormat="1" x14ac:dyDescent="0.15">
      <c r="A367" s="100">
        <f>A366+1</f>
        <v>3</v>
      </c>
      <c r="B367" s="85" t="s">
        <v>127</v>
      </c>
      <c r="E367" s="99">
        <v>0.03</v>
      </c>
      <c r="F367" s="99">
        <v>0.03</v>
      </c>
      <c r="G367" s="99">
        <v>0.03</v>
      </c>
      <c r="H367" s="99">
        <v>0.03</v>
      </c>
      <c r="I367" s="99">
        <v>0.03</v>
      </c>
    </row>
    <row r="368" spans="1:9" s="89" customFormat="1" x14ac:dyDescent="0.15">
      <c r="A368" s="104">
        <f ca="1">OFFSET(A364,opcase,0)</f>
        <v>1</v>
      </c>
      <c r="B368" s="101" t="str">
        <f t="shared" ref="B368:I368" ca="1" si="73">OFFSET(B364,opcase,0)</f>
        <v>Management Case</v>
      </c>
      <c r="E368" s="105">
        <f t="shared" ca="1" si="73"/>
        <v>0.1</v>
      </c>
      <c r="F368" s="105">
        <f t="shared" ca="1" si="73"/>
        <v>0.1</v>
      </c>
      <c r="G368" s="105">
        <f t="shared" ca="1" si="73"/>
        <v>0.1</v>
      </c>
      <c r="H368" s="105">
        <f t="shared" ca="1" si="73"/>
        <v>0.1</v>
      </c>
      <c r="I368" s="105">
        <f t="shared" ca="1" si="73"/>
        <v>0.1</v>
      </c>
    </row>
    <row r="369" spans="1:9" s="89" customFormat="1" x14ac:dyDescent="0.15">
      <c r="A369" s="98"/>
    </row>
    <row r="370" spans="1:9" s="89" customFormat="1" x14ac:dyDescent="0.15">
      <c r="A370" s="96" t="s">
        <v>128</v>
      </c>
      <c r="E370" s="97">
        <f>E$67</f>
        <v>2000</v>
      </c>
      <c r="F370" s="97">
        <f>F$67</f>
        <v>2001</v>
      </c>
      <c r="G370" s="97">
        <f>G$67</f>
        <v>2002</v>
      </c>
      <c r="H370" s="97">
        <f>H$67</f>
        <v>2003</v>
      </c>
      <c r="I370" s="97">
        <f>I$67</f>
        <v>2004</v>
      </c>
    </row>
    <row r="371" spans="1:9" s="89" customFormat="1" x14ac:dyDescent="0.15">
      <c r="A371" s="100">
        <f>$A$365</f>
        <v>1</v>
      </c>
      <c r="B371" s="102" t="str">
        <f>$B$365</f>
        <v>Management Case</v>
      </c>
      <c r="E371" s="103">
        <v>0.73</v>
      </c>
      <c r="F371" s="103">
        <v>0.73</v>
      </c>
      <c r="G371" s="103">
        <v>0.73</v>
      </c>
      <c r="H371" s="103">
        <v>0.73</v>
      </c>
      <c r="I371" s="103">
        <v>0.73</v>
      </c>
    </row>
    <row r="372" spans="1:9" s="89" customFormat="1" x14ac:dyDescent="0.15">
      <c r="A372" s="100">
        <f>$A$366</f>
        <v>2</v>
      </c>
      <c r="B372" s="102" t="str">
        <f>$B$366</f>
        <v>Base Case</v>
      </c>
      <c r="E372" s="103">
        <v>0.73</v>
      </c>
      <c r="F372" s="103">
        <v>0.73</v>
      </c>
      <c r="G372" s="103">
        <v>0.73499999999999999</v>
      </c>
      <c r="H372" s="103">
        <v>0.73499999999999999</v>
      </c>
      <c r="I372" s="103">
        <v>0.73499999999999999</v>
      </c>
    </row>
    <row r="373" spans="1:9" s="89" customFormat="1" x14ac:dyDescent="0.15">
      <c r="A373" s="100">
        <f>$A$367</f>
        <v>3</v>
      </c>
      <c r="B373" s="102" t="str">
        <f>$B$367</f>
        <v>Downside Case</v>
      </c>
      <c r="E373" s="103">
        <v>0.72499999999999998</v>
      </c>
      <c r="F373" s="103">
        <v>0.73</v>
      </c>
      <c r="G373" s="103">
        <v>0.74</v>
      </c>
      <c r="H373" s="103">
        <v>0.74</v>
      </c>
      <c r="I373" s="103">
        <v>0.74</v>
      </c>
    </row>
    <row r="374" spans="1:9" s="89" customFormat="1" x14ac:dyDescent="0.15">
      <c r="A374" s="104">
        <f ca="1">OFFSET(A370,opcase,0)</f>
        <v>1</v>
      </c>
      <c r="B374" s="101" t="str">
        <f t="shared" ref="B374:I374" ca="1" si="74">OFFSET(B370,opcase,0)</f>
        <v>Management Case</v>
      </c>
      <c r="E374" s="105">
        <f t="shared" ca="1" si="74"/>
        <v>0.73</v>
      </c>
      <c r="F374" s="105">
        <f t="shared" ca="1" si="74"/>
        <v>0.73</v>
      </c>
      <c r="G374" s="105">
        <f t="shared" ca="1" si="74"/>
        <v>0.73</v>
      </c>
      <c r="H374" s="105">
        <f t="shared" ca="1" si="74"/>
        <v>0.73</v>
      </c>
      <c r="I374" s="105">
        <f t="shared" ca="1" si="74"/>
        <v>0.73</v>
      </c>
    </row>
    <row r="375" spans="1:9" s="89" customFormat="1" x14ac:dyDescent="0.15">
      <c r="A375" s="98"/>
    </row>
    <row r="376" spans="1:9" s="89" customFormat="1" x14ac:dyDescent="0.15">
      <c r="A376" s="96" t="s">
        <v>129</v>
      </c>
      <c r="E376" s="97">
        <f>E$67</f>
        <v>2000</v>
      </c>
      <c r="F376" s="97">
        <f>F$67</f>
        <v>2001</v>
      </c>
      <c r="G376" s="97">
        <f>G$67</f>
        <v>2002</v>
      </c>
      <c r="H376" s="97">
        <f>H$67</f>
        <v>2003</v>
      </c>
      <c r="I376" s="97">
        <f>I$67</f>
        <v>2004</v>
      </c>
    </row>
    <row r="377" spans="1:9" s="89" customFormat="1" x14ac:dyDescent="0.15">
      <c r="A377" s="100">
        <f>$A$365</f>
        <v>1</v>
      </c>
      <c r="B377" s="102" t="str">
        <f>$B$365</f>
        <v>Management Case</v>
      </c>
      <c r="E377" s="103">
        <v>0.08</v>
      </c>
      <c r="F377" s="103">
        <v>0.08</v>
      </c>
      <c r="G377" s="103">
        <v>0.08</v>
      </c>
      <c r="H377" s="103">
        <v>0.08</v>
      </c>
      <c r="I377" s="103">
        <v>0.08</v>
      </c>
    </row>
    <row r="378" spans="1:9" s="89" customFormat="1" x14ac:dyDescent="0.15">
      <c r="A378" s="100">
        <f>$A$366</f>
        <v>2</v>
      </c>
      <c r="B378" s="102" t="str">
        <f>$B$366</f>
        <v>Base Case</v>
      </c>
      <c r="E378" s="103">
        <v>8.5000000000000006E-2</v>
      </c>
      <c r="F378" s="103">
        <v>8.5000000000000006E-2</v>
      </c>
      <c r="G378" s="103">
        <v>8.5000000000000006E-2</v>
      </c>
      <c r="H378" s="103">
        <v>8.5000000000000006E-2</v>
      </c>
      <c r="I378" s="103">
        <v>8.5000000000000006E-2</v>
      </c>
    </row>
    <row r="379" spans="1:9" s="89" customFormat="1" x14ac:dyDescent="0.15">
      <c r="A379" s="100">
        <f>$A$367</f>
        <v>3</v>
      </c>
      <c r="B379" s="102" t="str">
        <f>$B$367</f>
        <v>Downside Case</v>
      </c>
      <c r="E379" s="103">
        <v>0.08</v>
      </c>
      <c r="F379" s="103">
        <v>8.5000000000000006E-2</v>
      </c>
      <c r="G379" s="103">
        <v>0.09</v>
      </c>
      <c r="H379" s="103">
        <v>0.09</v>
      </c>
      <c r="I379" s="103">
        <v>0.09</v>
      </c>
    </row>
    <row r="380" spans="1:9" s="89" customFormat="1" x14ac:dyDescent="0.15">
      <c r="A380" s="104">
        <f ca="1">OFFSET(A376,opcase,0)</f>
        <v>1</v>
      </c>
      <c r="B380" s="101" t="str">
        <f t="shared" ref="B380:I380" ca="1" si="75">OFFSET(B376,opcase,0)</f>
        <v>Management Case</v>
      </c>
      <c r="E380" s="105">
        <f t="shared" ca="1" si="75"/>
        <v>0.08</v>
      </c>
      <c r="F380" s="105">
        <f t="shared" ca="1" si="75"/>
        <v>0.08</v>
      </c>
      <c r="G380" s="105">
        <f t="shared" ca="1" si="75"/>
        <v>0.08</v>
      </c>
      <c r="H380" s="105">
        <f t="shared" ca="1" si="75"/>
        <v>0.08</v>
      </c>
      <c r="I380" s="105">
        <f t="shared" ca="1" si="75"/>
        <v>0.08</v>
      </c>
    </row>
    <row r="381" spans="1:9" s="89" customFormat="1" x14ac:dyDescent="0.15">
      <c r="A381" s="98"/>
    </row>
    <row r="382" spans="1:9" s="89" customFormat="1" x14ac:dyDescent="0.15">
      <c r="A382" s="96" t="s">
        <v>130</v>
      </c>
      <c r="E382" s="97">
        <f>E$67</f>
        <v>2000</v>
      </c>
      <c r="F382" s="97">
        <f>F$67</f>
        <v>2001</v>
      </c>
      <c r="G382" s="97">
        <f>G$67</f>
        <v>2002</v>
      </c>
      <c r="H382" s="97">
        <f>H$67</f>
        <v>2003</v>
      </c>
      <c r="I382" s="97">
        <f>I$67</f>
        <v>2004</v>
      </c>
    </row>
    <row r="383" spans="1:9" s="89" customFormat="1" x14ac:dyDescent="0.15">
      <c r="A383" s="100">
        <f>$A$365</f>
        <v>1</v>
      </c>
      <c r="B383" s="102" t="str">
        <f>$B$365</f>
        <v>Management Case</v>
      </c>
      <c r="E383" s="85">
        <v>2</v>
      </c>
      <c r="F383" s="85">
        <v>2</v>
      </c>
      <c r="G383" s="85">
        <v>2</v>
      </c>
      <c r="H383" s="85">
        <v>2</v>
      </c>
      <c r="I383" s="85">
        <v>2</v>
      </c>
    </row>
    <row r="384" spans="1:9" s="89" customFormat="1" x14ac:dyDescent="0.15">
      <c r="A384" s="100">
        <f>$A$366</f>
        <v>2</v>
      </c>
      <c r="B384" s="102" t="str">
        <f>$B$366</f>
        <v>Base Case</v>
      </c>
      <c r="E384" s="85">
        <v>2.5</v>
      </c>
      <c r="F384" s="85">
        <v>2.5</v>
      </c>
      <c r="G384" s="85">
        <v>2.5</v>
      </c>
      <c r="H384" s="85">
        <v>2.5</v>
      </c>
      <c r="I384" s="85">
        <v>2.5</v>
      </c>
    </row>
    <row r="385" spans="1:9" s="89" customFormat="1" x14ac:dyDescent="0.15">
      <c r="A385" s="100">
        <f>$A$367</f>
        <v>3</v>
      </c>
      <c r="B385" s="102" t="str">
        <f>$B$367</f>
        <v>Downside Case</v>
      </c>
      <c r="E385" s="85">
        <v>2.5</v>
      </c>
      <c r="F385" s="85">
        <v>3</v>
      </c>
      <c r="G385" s="85">
        <v>3</v>
      </c>
      <c r="H385" s="85">
        <v>3</v>
      </c>
      <c r="I385" s="85">
        <v>3</v>
      </c>
    </row>
    <row r="386" spans="1:9" s="89" customFormat="1" x14ac:dyDescent="0.15">
      <c r="A386" s="104">
        <f ca="1">OFFSET(A382,opcase,0)</f>
        <v>1</v>
      </c>
      <c r="B386" s="101" t="str">
        <f t="shared" ref="B386:I386" ca="1" si="76">OFFSET(B382,opcase,0)</f>
        <v>Management Case</v>
      </c>
      <c r="E386" s="106">
        <f t="shared" ca="1" si="76"/>
        <v>2</v>
      </c>
      <c r="F386" s="106">
        <f t="shared" ca="1" si="76"/>
        <v>2</v>
      </c>
      <c r="G386" s="106">
        <f t="shared" ca="1" si="76"/>
        <v>2</v>
      </c>
      <c r="H386" s="106">
        <f t="shared" ca="1" si="76"/>
        <v>2</v>
      </c>
      <c r="I386" s="106">
        <f t="shared" ca="1" si="76"/>
        <v>2</v>
      </c>
    </row>
    <row r="387" spans="1:9" s="89" customFormat="1" x14ac:dyDescent="0.15">
      <c r="A387" s="98"/>
    </row>
    <row r="388" spans="1:9" s="95" customFormat="1" ht="18" x14ac:dyDescent="0.2">
      <c r="A388" s="94" t="s">
        <v>156</v>
      </c>
    </row>
    <row r="389" spans="1:9" s="89" customFormat="1" x14ac:dyDescent="0.15"/>
    <row r="390" spans="1:9" s="166" customFormat="1" x14ac:dyDescent="0.15">
      <c r="A390" s="89"/>
      <c r="B390" s="89"/>
      <c r="C390" s="89"/>
      <c r="D390" s="89"/>
      <c r="E390" s="89"/>
      <c r="F390" s="89"/>
      <c r="G390" s="89"/>
      <c r="H390" s="167" t="s">
        <v>157</v>
      </c>
    </row>
    <row r="391" spans="1:9" s="166" customFormat="1" x14ac:dyDescent="0.15">
      <c r="A391" s="168" t="s">
        <v>158</v>
      </c>
      <c r="B391" s="169"/>
      <c r="C391" s="170" t="s">
        <v>159</v>
      </c>
      <c r="D391" s="171">
        <v>1</v>
      </c>
      <c r="E391" s="172">
        <f>D391+1</f>
        <v>2</v>
      </c>
      <c r="F391" s="172">
        <f>E391+1</f>
        <v>3</v>
      </c>
      <c r="G391" s="172"/>
      <c r="H391" s="172">
        <f ca="1">OFFSET(C391,0,transcase)</f>
        <v>2</v>
      </c>
    </row>
    <row r="392" spans="1:9" s="166" customFormat="1" x14ac:dyDescent="0.15">
      <c r="A392" s="89"/>
      <c r="B392" s="89"/>
      <c r="C392" s="173"/>
      <c r="D392" s="89"/>
      <c r="E392" s="89"/>
      <c r="F392" s="89"/>
      <c r="G392" s="89"/>
      <c r="H392" s="89"/>
    </row>
    <row r="393" spans="1:9" s="166" customFormat="1" ht="104" x14ac:dyDescent="0.15">
      <c r="A393" s="174" t="s">
        <v>160</v>
      </c>
      <c r="B393" s="175"/>
      <c r="C393" s="176" t="s">
        <v>159</v>
      </c>
      <c r="D393" s="174" t="s">
        <v>161</v>
      </c>
      <c r="E393" s="189" t="str">
        <f>"Refinance w/ $"&amp;FIXED(E398,1,0)&amp;" Term Loan, $"&amp;FIXED(E399,1,0)&amp;" High Yield"</f>
        <v>Refinance w/ $30.0 Term Loan, $70.0 High Yield</v>
      </c>
      <c r="F393" s="189" t="str">
        <f>"Refinance w/ $"&amp;FIXED(F398,1,0)&amp;" Term Loan, $"&amp;FIXED(F399,1,0)&amp;" High Yield"</f>
        <v>Refinance w/ $0.0 Term Loan, $100.0 High Yield</v>
      </c>
      <c r="G393" s="177"/>
      <c r="H393" s="194" t="str">
        <f ca="1">OFFSET(C393,0,transcase)</f>
        <v>Refinance w/ $30.0 Term Loan, $70.0 High Yield</v>
      </c>
    </row>
    <row r="394" spans="1:9" s="166" customFormat="1" x14ac:dyDescent="0.15">
      <c r="A394" s="89"/>
      <c r="B394" s="89"/>
      <c r="C394" s="89"/>
      <c r="D394" s="89"/>
      <c r="E394" s="89"/>
      <c r="F394" s="89"/>
      <c r="G394" s="89"/>
      <c r="H394" s="89"/>
    </row>
    <row r="395" spans="1:9" s="166" customFormat="1" x14ac:dyDescent="0.15">
      <c r="A395" s="178" t="s">
        <v>162</v>
      </c>
      <c r="B395" s="89"/>
      <c r="C395" s="179"/>
      <c r="D395" s="89"/>
      <c r="E395" s="89"/>
      <c r="F395" s="89"/>
      <c r="G395" s="89"/>
      <c r="H395" s="89"/>
    </row>
    <row r="396" spans="1:9" s="166" customFormat="1" x14ac:dyDescent="0.15">
      <c r="A396" s="85" t="s">
        <v>163</v>
      </c>
      <c r="B396" s="89"/>
      <c r="C396" s="170" t="s">
        <v>159</v>
      </c>
      <c r="D396" s="85">
        <v>0</v>
      </c>
      <c r="E396" s="85">
        <v>0</v>
      </c>
      <c r="F396" s="85">
        <v>0</v>
      </c>
      <c r="G396" s="85"/>
      <c r="H396" s="169">
        <f ca="1">OFFSET(C396,0,transcase)</f>
        <v>0</v>
      </c>
    </row>
    <row r="397" spans="1:9" s="166" customFormat="1" x14ac:dyDescent="0.15">
      <c r="A397" s="85" t="s">
        <v>164</v>
      </c>
      <c r="B397" s="89"/>
      <c r="C397" s="170" t="s">
        <v>159</v>
      </c>
      <c r="D397" s="85">
        <v>0</v>
      </c>
      <c r="E397" s="85">
        <v>0</v>
      </c>
      <c r="F397" s="85">
        <v>0</v>
      </c>
      <c r="G397" s="85"/>
      <c r="H397" s="169">
        <f ca="1">OFFSET(C397,0,transcase)</f>
        <v>0</v>
      </c>
    </row>
    <row r="398" spans="1:9" s="166" customFormat="1" x14ac:dyDescent="0.15">
      <c r="A398" s="85" t="s">
        <v>165</v>
      </c>
      <c r="B398" s="89"/>
      <c r="C398" s="170" t="s">
        <v>159</v>
      </c>
      <c r="D398" s="85">
        <v>0</v>
      </c>
      <c r="E398" s="85">
        <v>30</v>
      </c>
      <c r="F398" s="85">
        <v>0</v>
      </c>
      <c r="G398" s="85"/>
      <c r="H398" s="169">
        <f ca="1">OFFSET(C398,0,transcase)</f>
        <v>30</v>
      </c>
    </row>
    <row r="399" spans="1:9" s="166" customFormat="1" x14ac:dyDescent="0.15">
      <c r="A399" s="85" t="s">
        <v>166</v>
      </c>
      <c r="B399" s="89"/>
      <c r="C399" s="170" t="s">
        <v>159</v>
      </c>
      <c r="D399" s="85">
        <v>0</v>
      </c>
      <c r="E399" s="85">
        <v>70</v>
      </c>
      <c r="F399" s="85">
        <v>100</v>
      </c>
      <c r="G399" s="85"/>
      <c r="H399" s="169">
        <f ca="1">OFFSET(C399,0,transcase)</f>
        <v>70</v>
      </c>
    </row>
    <row r="400" spans="1:9" s="166" customFormat="1" x14ac:dyDescent="0.15">
      <c r="A400" s="89"/>
      <c r="B400" s="89"/>
      <c r="C400" s="173"/>
      <c r="D400" s="180" t="s">
        <v>23</v>
      </c>
      <c r="E400" s="181" t="s">
        <v>23</v>
      </c>
      <c r="F400" s="181" t="s">
        <v>23</v>
      </c>
      <c r="G400" s="181"/>
      <c r="H400" s="181" t="s">
        <v>23</v>
      </c>
    </row>
    <row r="401" spans="1:8" s="166" customFormat="1" x14ac:dyDescent="0.15">
      <c r="A401" s="178" t="s">
        <v>167</v>
      </c>
      <c r="B401" s="169"/>
      <c r="C401" s="170"/>
      <c r="D401" s="182">
        <f>SUM(D396:D400)</f>
        <v>0</v>
      </c>
      <c r="E401" s="182">
        <f>SUM(E396:E400)</f>
        <v>100</v>
      </c>
      <c r="F401" s="182">
        <f>SUM(F396:F400)</f>
        <v>100</v>
      </c>
      <c r="G401" s="182"/>
      <c r="H401" s="182">
        <f ca="1">SUM(H396:H400)</f>
        <v>100</v>
      </c>
    </row>
    <row r="402" spans="1:8" s="166" customFormat="1" x14ac:dyDescent="0.15">
      <c r="A402" s="89"/>
      <c r="B402" s="89"/>
      <c r="C402" s="173"/>
      <c r="D402" s="89"/>
      <c r="E402" s="89"/>
      <c r="F402" s="89"/>
      <c r="G402" s="89"/>
      <c r="H402" s="89"/>
    </row>
    <row r="403" spans="1:8" s="166" customFormat="1" x14ac:dyDescent="0.15">
      <c r="A403" s="178" t="s">
        <v>168</v>
      </c>
      <c r="B403" s="89"/>
      <c r="C403" s="170"/>
      <c r="D403" s="89"/>
      <c r="E403" s="89"/>
      <c r="F403" s="89"/>
      <c r="G403" s="89"/>
      <c r="H403" s="89"/>
    </row>
    <row r="404" spans="1:8" s="166" customFormat="1" x14ac:dyDescent="0.15">
      <c r="A404" s="85" t="s">
        <v>169</v>
      </c>
      <c r="B404" s="89"/>
      <c r="C404" s="170" t="s">
        <v>159</v>
      </c>
      <c r="D404" s="85">
        <v>0</v>
      </c>
      <c r="E404" s="183">
        <v>10</v>
      </c>
      <c r="F404" s="183">
        <v>10</v>
      </c>
      <c r="G404" s="85"/>
      <c r="H404" s="193">
        <f t="shared" ref="H404:H409" ca="1" si="77">OFFSET(C404,0,transcase)</f>
        <v>10</v>
      </c>
    </row>
    <row r="405" spans="1:8" s="166" customFormat="1" x14ac:dyDescent="0.15">
      <c r="A405" s="85" t="s">
        <v>170</v>
      </c>
      <c r="B405" s="89"/>
      <c r="C405" s="170" t="s">
        <v>159</v>
      </c>
      <c r="D405" s="183">
        <v>0</v>
      </c>
      <c r="E405" s="191">
        <f>E401-SUM(E404,E406:E410)</f>
        <v>87.15</v>
      </c>
      <c r="F405" s="191">
        <f>F401-SUM(F404,F406:F410)</f>
        <v>87</v>
      </c>
      <c r="G405" s="184"/>
      <c r="H405" s="193">
        <f t="shared" ca="1" si="77"/>
        <v>87.15</v>
      </c>
    </row>
    <row r="406" spans="1:8" s="166" customFormat="1" x14ac:dyDescent="0.15">
      <c r="A406" s="85" t="s">
        <v>171</v>
      </c>
      <c r="B406" s="89"/>
      <c r="C406" s="170" t="s">
        <v>159</v>
      </c>
      <c r="D406" s="85">
        <v>0</v>
      </c>
      <c r="E406" s="85">
        <v>0</v>
      </c>
      <c r="F406" s="85">
        <v>0</v>
      </c>
      <c r="G406" s="102"/>
      <c r="H406" s="193">
        <f t="shared" ca="1" si="77"/>
        <v>0</v>
      </c>
    </row>
    <row r="407" spans="1:8" s="166" customFormat="1" x14ac:dyDescent="0.15">
      <c r="A407" s="85" t="s">
        <v>172</v>
      </c>
      <c r="B407" s="89"/>
      <c r="C407" s="170" t="s">
        <v>159</v>
      </c>
      <c r="D407" s="85">
        <v>0</v>
      </c>
      <c r="E407" s="85">
        <v>0</v>
      </c>
      <c r="F407" s="85">
        <v>0</v>
      </c>
      <c r="G407" s="85"/>
      <c r="H407" s="193">
        <f t="shared" ca="1" si="77"/>
        <v>0</v>
      </c>
    </row>
    <row r="408" spans="1:8" s="166" customFormat="1" x14ac:dyDescent="0.15">
      <c r="A408" s="85" t="s">
        <v>173</v>
      </c>
      <c r="B408" s="89"/>
      <c r="C408" s="170" t="s">
        <v>159</v>
      </c>
      <c r="D408" s="183">
        <v>0</v>
      </c>
      <c r="E408" s="191">
        <f>E416*E398</f>
        <v>0.75</v>
      </c>
      <c r="F408" s="191">
        <f>F416*F398</f>
        <v>0</v>
      </c>
      <c r="G408" s="102"/>
      <c r="H408" s="193">
        <f t="shared" ca="1" si="77"/>
        <v>0.75</v>
      </c>
    </row>
    <row r="409" spans="1:8" s="166" customFormat="1" x14ac:dyDescent="0.15">
      <c r="A409" s="85" t="s">
        <v>174</v>
      </c>
      <c r="B409" s="89"/>
      <c r="C409" s="170" t="s">
        <v>159</v>
      </c>
      <c r="D409" s="183">
        <v>0</v>
      </c>
      <c r="E409" s="191">
        <f>E417*E399</f>
        <v>2.1</v>
      </c>
      <c r="F409" s="191">
        <f>F417*F399</f>
        <v>3</v>
      </c>
      <c r="G409" s="102"/>
      <c r="H409" s="193">
        <f t="shared" ca="1" si="77"/>
        <v>2.1</v>
      </c>
    </row>
    <row r="410" spans="1:8" s="166" customFormat="1" x14ac:dyDescent="0.15">
      <c r="A410" s="89"/>
      <c r="B410" s="89"/>
      <c r="C410" s="89"/>
      <c r="D410" s="180" t="s">
        <v>23</v>
      </c>
      <c r="E410" s="181" t="s">
        <v>23</v>
      </c>
      <c r="F410" s="181" t="s">
        <v>23</v>
      </c>
      <c r="G410" s="181"/>
      <c r="H410" s="181" t="s">
        <v>23</v>
      </c>
    </row>
    <row r="411" spans="1:8" s="166" customFormat="1" x14ac:dyDescent="0.15">
      <c r="A411" s="178" t="s">
        <v>175</v>
      </c>
      <c r="B411" s="89"/>
      <c r="C411" s="179"/>
      <c r="D411" s="182">
        <f>SUM(D404:D410)</f>
        <v>0</v>
      </c>
      <c r="E411" s="182">
        <f>SUM(E404:E410)</f>
        <v>100</v>
      </c>
      <c r="F411" s="182">
        <f>SUM(F404:F410)</f>
        <v>100</v>
      </c>
      <c r="G411" s="182"/>
      <c r="H411" s="182">
        <f ca="1">SUM(H404:H410)</f>
        <v>100</v>
      </c>
    </row>
    <row r="412" spans="1:8" s="166" customFormat="1" x14ac:dyDescent="0.15">
      <c r="A412" s="89"/>
      <c r="B412" s="89"/>
      <c r="C412" s="89"/>
      <c r="D412" s="89"/>
      <c r="E412" s="89"/>
      <c r="F412" s="89"/>
      <c r="G412" s="89"/>
      <c r="H412" s="89"/>
    </row>
    <row r="413" spans="1:8" s="166" customFormat="1" x14ac:dyDescent="0.15">
      <c r="A413" s="185" t="s">
        <v>176</v>
      </c>
      <c r="B413" s="186"/>
      <c r="C413" s="186"/>
      <c r="D413" s="190">
        <f>ABS(D401-D411)</f>
        <v>0</v>
      </c>
      <c r="E413" s="190">
        <f>ABS(E401-E411)</f>
        <v>0</v>
      </c>
      <c r="F413" s="190">
        <f>ABS(F401-F411)</f>
        <v>0</v>
      </c>
      <c r="G413" s="187"/>
      <c r="H413" s="190">
        <f ca="1">ABS(H401-H411)</f>
        <v>0</v>
      </c>
    </row>
    <row r="414" spans="1:8" s="166" customFormat="1" x14ac:dyDescent="0.15">
      <c r="A414" s="89"/>
      <c r="B414" s="89"/>
      <c r="C414" s="89"/>
      <c r="D414" s="89"/>
      <c r="E414" s="89"/>
      <c r="F414" s="89"/>
      <c r="G414" s="89"/>
      <c r="H414" s="89"/>
    </row>
    <row r="415" spans="1:8" s="166" customFormat="1" x14ac:dyDescent="0.15">
      <c r="A415" s="178" t="s">
        <v>177</v>
      </c>
      <c r="B415" s="89"/>
      <c r="C415" s="89"/>
      <c r="D415" s="89"/>
      <c r="E415" s="89"/>
      <c r="F415" s="89"/>
      <c r="G415" s="89"/>
      <c r="H415" s="89"/>
    </row>
    <row r="416" spans="1:8" s="166" customFormat="1" x14ac:dyDescent="0.15">
      <c r="A416" s="85" t="s">
        <v>178</v>
      </c>
      <c r="B416" s="89"/>
      <c r="C416" s="89"/>
      <c r="D416" s="99">
        <v>2.5000000000000001E-2</v>
      </c>
      <c r="E416" s="99">
        <v>2.5000000000000001E-2</v>
      </c>
      <c r="F416" s="99">
        <v>2.5000000000000001E-2</v>
      </c>
      <c r="G416" s="103"/>
      <c r="H416" s="192">
        <f ca="1">OFFSET(C416,0,transcase)</f>
        <v>2.5000000000000001E-2</v>
      </c>
    </row>
    <row r="417" spans="1:8" s="166" customFormat="1" x14ac:dyDescent="0.15">
      <c r="A417" s="85" t="s">
        <v>179</v>
      </c>
      <c r="B417" s="89"/>
      <c r="C417" s="89"/>
      <c r="D417" s="99">
        <v>0.03</v>
      </c>
      <c r="E417" s="99">
        <v>0.03</v>
      </c>
      <c r="F417" s="99">
        <v>0.03</v>
      </c>
      <c r="G417" s="103"/>
      <c r="H417" s="192">
        <f ca="1">OFFSET(C417,0,transcase)</f>
        <v>0.03</v>
      </c>
    </row>
    <row r="418" spans="1:8" s="166" customFormat="1" x14ac:dyDescent="0.15">
      <c r="A418" s="103" t="s">
        <v>180</v>
      </c>
      <c r="B418" s="188"/>
      <c r="C418" s="188"/>
      <c r="D418" s="99">
        <v>8.5000000000000006E-2</v>
      </c>
      <c r="E418" s="99">
        <v>8.5000000000000006E-2</v>
      </c>
      <c r="F418" s="99">
        <v>8.5000000000000006E-2</v>
      </c>
      <c r="G418" s="103"/>
      <c r="H418" s="192">
        <f ca="1">OFFSET(C418,0,transcase)</f>
        <v>8.5000000000000006E-2</v>
      </c>
    </row>
    <row r="419" spans="1:8" s="166" customFormat="1" x14ac:dyDescent="0.15">
      <c r="A419" s="103" t="s">
        <v>181</v>
      </c>
      <c r="B419" s="188"/>
      <c r="C419" s="188"/>
      <c r="D419" s="99">
        <v>0.11</v>
      </c>
      <c r="E419" s="99">
        <v>0.11</v>
      </c>
      <c r="F419" s="99">
        <v>0.115</v>
      </c>
      <c r="G419" s="103"/>
      <c r="H419" s="192">
        <f ca="1">OFFSET(C419,0,transcase)</f>
        <v>0.11</v>
      </c>
    </row>
    <row r="420" spans="1:8" s="166" customFormat="1" x14ac:dyDescent="0.15"/>
    <row r="421" spans="1:8" s="166" customFormat="1" x14ac:dyDescent="0.15"/>
    <row r="422" spans="1:8" s="166" customFormat="1" x14ac:dyDescent="0.15"/>
    <row r="423" spans="1:8" s="166" customFormat="1" x14ac:dyDescent="0.15"/>
  </sheetData>
  <phoneticPr fontId="0" type="noConversion"/>
  <conditionalFormatting sqref="D288:D290">
    <cfRule type="cellIs" dxfId="1" priority="1" stopIfTrue="1" operator="greaterThan">
      <formula>1</formula>
    </cfRule>
    <cfRule type="cellIs" dxfId="0" priority="2" stopIfTrue="1" operator="between">
      <formula>0.00001</formula>
      <formula>0.99999</formula>
    </cfRule>
  </conditionalFormatting>
  <hyperlinks>
    <hyperlink ref="G4" r:id="rId1" display="© 2000 by DealMaven, LLC"/>
    <hyperlink ref="G5" r:id="rId2"/>
  </hyperlinks>
  <pageMargins left="0.5" right="0.5" top="0.5" bottom="0.5" header="0.5" footer="0.5"/>
  <pageSetup scale="85" orientation="landscape"/>
  <headerFooter>
    <oddFooter>&amp;L© 1999-2002 by DealMaven, Inc.&amp;CPage &amp;P&amp;R&amp;F / &amp;D / &amp;T</oddFooter>
  </headerFooter>
  <rowBreaks count="7" manualBreakCount="7">
    <brk id="63" max="8" man="1"/>
    <brk id="104" max="8" man="1"/>
    <brk id="140" max="8" man="1"/>
    <brk id="180" max="8" man="1"/>
    <brk id="225" max="8" man="1"/>
    <brk id="269" max="16383" man="1"/>
    <brk id="310" max="8" man="1"/>
  </rowBreaks>
  <drawing r:id="rId3"/>
  <legacyDrawing r:id="rId4"/>
</worksheet>
</file>