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mesbaker/Documents/nostra/nostra/"/>
    </mc:Choice>
  </mc:AlternateContent>
  <bookViews>
    <workbookView xWindow="15400" yWindow="460" windowWidth="10000" windowHeight="18380" activeTab="1"/>
  </bookViews>
  <sheets>
    <sheet name="Data" sheetId="2" r:id="rId1"/>
    <sheet name="Projections" sheetId="1" r:id="rId2"/>
  </sheets>
  <definedNames>
    <definedName name="ai">Projections!$B$5</definedName>
    <definedName name="capcase">Projections!$B$346</definedName>
    <definedName name="opcase">Projections!$B$345</definedName>
    <definedName name="_xlnm.Print_Area" localSheetId="1">Projections!$A$1:$I$341</definedName>
    <definedName name="transcase">Projections!$B$346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1" i="1" l="1"/>
  <c r="F171" i="1"/>
  <c r="G171" i="1"/>
  <c r="H171" i="1"/>
  <c r="I171" i="1"/>
  <c r="B372" i="1"/>
  <c r="A353" i="1"/>
  <c r="A354" i="1"/>
  <c r="A372" i="1"/>
  <c r="B371" i="1"/>
  <c r="A371" i="1"/>
  <c r="B370" i="1"/>
  <c r="A370" i="1"/>
  <c r="B366" i="1"/>
  <c r="A366" i="1"/>
  <c r="B365" i="1"/>
  <c r="A365" i="1"/>
  <c r="B364" i="1"/>
  <c r="A364" i="1"/>
  <c r="B360" i="1"/>
  <c r="B359" i="1"/>
  <c r="B358" i="1"/>
  <c r="A360" i="1"/>
  <c r="A359" i="1"/>
  <c r="A358" i="1"/>
  <c r="H384" i="1"/>
  <c r="E388" i="1"/>
  <c r="E395" i="1"/>
  <c r="E396" i="1"/>
  <c r="E392" i="1"/>
  <c r="H392" i="1"/>
  <c r="C196" i="1"/>
  <c r="D196" i="1"/>
  <c r="H383" i="1"/>
  <c r="H391" i="1"/>
  <c r="C173" i="1"/>
  <c r="D173" i="1"/>
  <c r="E288" i="1"/>
  <c r="E373" i="1"/>
  <c r="E90" i="1"/>
  <c r="E239" i="1"/>
  <c r="E241" i="1"/>
  <c r="E355" i="1"/>
  <c r="E57" i="1"/>
  <c r="E56" i="1"/>
  <c r="E97" i="1"/>
  <c r="D174" i="1"/>
  <c r="D101" i="1"/>
  <c r="D97" i="1"/>
  <c r="D118" i="1"/>
  <c r="E118" i="1"/>
  <c r="E101" i="1"/>
  <c r="E174" i="1"/>
  <c r="E227" i="1"/>
  <c r="E361" i="1"/>
  <c r="E61" i="1"/>
  <c r="E60" i="1"/>
  <c r="E66" i="1"/>
  <c r="E98" i="1"/>
  <c r="D175" i="1"/>
  <c r="D102" i="1"/>
  <c r="D66" i="1"/>
  <c r="D98" i="1"/>
  <c r="D120" i="1"/>
  <c r="E120" i="1"/>
  <c r="E102" i="1"/>
  <c r="E175" i="1"/>
  <c r="E228" i="1"/>
  <c r="D176" i="1"/>
  <c r="D103" i="1"/>
  <c r="D122" i="1"/>
  <c r="E122" i="1"/>
  <c r="E103" i="1"/>
  <c r="E176" i="1"/>
  <c r="E229" i="1"/>
  <c r="D191" i="1"/>
  <c r="D108" i="1"/>
  <c r="D123" i="1"/>
  <c r="E123" i="1"/>
  <c r="E108" i="1"/>
  <c r="E191" i="1"/>
  <c r="E230" i="1"/>
  <c r="D192" i="1"/>
  <c r="D109" i="1"/>
  <c r="D124" i="1"/>
  <c r="E124" i="1"/>
  <c r="E109" i="1"/>
  <c r="E192" i="1"/>
  <c r="E231" i="1"/>
  <c r="E233" i="1"/>
  <c r="E133" i="1"/>
  <c r="E134" i="1"/>
  <c r="E136" i="1"/>
  <c r="E367" i="1"/>
  <c r="E79" i="1"/>
  <c r="E78" i="1"/>
  <c r="E138" i="1"/>
  <c r="E139" i="1"/>
  <c r="E141" i="1"/>
  <c r="E144" i="1"/>
  <c r="H405" i="1"/>
  <c r="C145" i="1"/>
  <c r="H385" i="1"/>
  <c r="H393" i="1"/>
  <c r="C197" i="1"/>
  <c r="D197" i="1"/>
  <c r="E145" i="1"/>
  <c r="H406" i="1"/>
  <c r="C146" i="1"/>
  <c r="H386" i="1"/>
  <c r="H394" i="1"/>
  <c r="C198" i="1"/>
  <c r="D198" i="1"/>
  <c r="E146" i="1"/>
  <c r="E148" i="1"/>
  <c r="E150" i="1"/>
  <c r="H395" i="1"/>
  <c r="H396" i="1"/>
  <c r="C186" i="1"/>
  <c r="D186" i="1"/>
  <c r="E151" i="1"/>
  <c r="E153" i="1"/>
  <c r="E154" i="1"/>
  <c r="E156" i="1"/>
  <c r="E220" i="1"/>
  <c r="E223" i="1"/>
  <c r="E221" i="1"/>
  <c r="E222" i="1"/>
  <c r="E225" i="1"/>
  <c r="E235" i="1"/>
  <c r="E243" i="1"/>
  <c r="E289" i="1"/>
  <c r="E291" i="1"/>
  <c r="E263" i="1"/>
  <c r="E269" i="1"/>
  <c r="E270" i="1"/>
  <c r="E272" i="1"/>
  <c r="E275" i="1"/>
  <c r="E276" i="1"/>
  <c r="E277" i="1"/>
  <c r="E279" i="1"/>
  <c r="E281" i="1"/>
  <c r="E292" i="1"/>
  <c r="E247" i="1"/>
  <c r="E196" i="1"/>
  <c r="E248" i="1"/>
  <c r="E249" i="1"/>
  <c r="E251" i="1"/>
  <c r="E253" i="1"/>
  <c r="E173" i="1"/>
  <c r="F288" i="1"/>
  <c r="F373" i="1"/>
  <c r="F90" i="1"/>
  <c r="F239" i="1"/>
  <c r="F241" i="1"/>
  <c r="F355" i="1"/>
  <c r="F57" i="1"/>
  <c r="F56" i="1"/>
  <c r="F97" i="1"/>
  <c r="F118" i="1"/>
  <c r="F101" i="1"/>
  <c r="F174" i="1"/>
  <c r="F227" i="1"/>
  <c r="F361" i="1"/>
  <c r="F61" i="1"/>
  <c r="F60" i="1"/>
  <c r="F66" i="1"/>
  <c r="F98" i="1"/>
  <c r="F120" i="1"/>
  <c r="F102" i="1"/>
  <c r="F175" i="1"/>
  <c r="F228" i="1"/>
  <c r="F122" i="1"/>
  <c r="F103" i="1"/>
  <c r="F176" i="1"/>
  <c r="F229" i="1"/>
  <c r="F123" i="1"/>
  <c r="F108" i="1"/>
  <c r="F191" i="1"/>
  <c r="F230" i="1"/>
  <c r="F124" i="1"/>
  <c r="F109" i="1"/>
  <c r="F192" i="1"/>
  <c r="F231" i="1"/>
  <c r="F233" i="1"/>
  <c r="F133" i="1"/>
  <c r="F134" i="1"/>
  <c r="F136" i="1"/>
  <c r="F367" i="1"/>
  <c r="F79" i="1"/>
  <c r="F78" i="1"/>
  <c r="F138" i="1"/>
  <c r="F139" i="1"/>
  <c r="F141" i="1"/>
  <c r="F144" i="1"/>
  <c r="E197" i="1"/>
  <c r="F145" i="1"/>
  <c r="E198" i="1"/>
  <c r="F146" i="1"/>
  <c r="F148" i="1"/>
  <c r="F150" i="1"/>
  <c r="F151" i="1"/>
  <c r="F153" i="1"/>
  <c r="F154" i="1"/>
  <c r="F156" i="1"/>
  <c r="F220" i="1"/>
  <c r="F223" i="1"/>
  <c r="F221" i="1"/>
  <c r="F222" i="1"/>
  <c r="F225" i="1"/>
  <c r="F235" i="1"/>
  <c r="F243" i="1"/>
  <c r="F289" i="1"/>
  <c r="F291" i="1"/>
  <c r="F263" i="1"/>
  <c r="F269" i="1"/>
  <c r="F270" i="1"/>
  <c r="F272" i="1"/>
  <c r="F275" i="1"/>
  <c r="F276" i="1"/>
  <c r="F277" i="1"/>
  <c r="F279" i="1"/>
  <c r="F281" i="1"/>
  <c r="F292" i="1"/>
  <c r="F247" i="1"/>
  <c r="F196" i="1"/>
  <c r="F248" i="1"/>
  <c r="F249" i="1"/>
  <c r="F251" i="1"/>
  <c r="F253" i="1"/>
  <c r="F173" i="1"/>
  <c r="G288" i="1"/>
  <c r="G373" i="1"/>
  <c r="G90" i="1"/>
  <c r="G239" i="1"/>
  <c r="G241" i="1"/>
  <c r="G355" i="1"/>
  <c r="G57" i="1"/>
  <c r="G56" i="1"/>
  <c r="G97" i="1"/>
  <c r="G118" i="1"/>
  <c r="G101" i="1"/>
  <c r="G174" i="1"/>
  <c r="G227" i="1"/>
  <c r="G361" i="1"/>
  <c r="G61" i="1"/>
  <c r="G60" i="1"/>
  <c r="G66" i="1"/>
  <c r="G98" i="1"/>
  <c r="G120" i="1"/>
  <c r="G102" i="1"/>
  <c r="G175" i="1"/>
  <c r="G228" i="1"/>
  <c r="G122" i="1"/>
  <c r="G103" i="1"/>
  <c r="G176" i="1"/>
  <c r="G229" i="1"/>
  <c r="G123" i="1"/>
  <c r="G108" i="1"/>
  <c r="G191" i="1"/>
  <c r="G230" i="1"/>
  <c r="G124" i="1"/>
  <c r="G109" i="1"/>
  <c r="G192" i="1"/>
  <c r="G231" i="1"/>
  <c r="G233" i="1"/>
  <c r="G133" i="1"/>
  <c r="G134" i="1"/>
  <c r="G136" i="1"/>
  <c r="G367" i="1"/>
  <c r="G79" i="1"/>
  <c r="G78" i="1"/>
  <c r="G138" i="1"/>
  <c r="G139" i="1"/>
  <c r="G141" i="1"/>
  <c r="G144" i="1"/>
  <c r="F197" i="1"/>
  <c r="G145" i="1"/>
  <c r="F198" i="1"/>
  <c r="G146" i="1"/>
  <c r="G148" i="1"/>
  <c r="G150" i="1"/>
  <c r="G151" i="1"/>
  <c r="G153" i="1"/>
  <c r="G154" i="1"/>
  <c r="G156" i="1"/>
  <c r="G220" i="1"/>
  <c r="G223" i="1"/>
  <c r="G221" i="1"/>
  <c r="G222" i="1"/>
  <c r="G225" i="1"/>
  <c r="G235" i="1"/>
  <c r="G243" i="1"/>
  <c r="G289" i="1"/>
  <c r="G291" i="1"/>
  <c r="G263" i="1"/>
  <c r="G269" i="1"/>
  <c r="G270" i="1"/>
  <c r="G272" i="1"/>
  <c r="G275" i="1"/>
  <c r="G276" i="1"/>
  <c r="G277" i="1"/>
  <c r="G279" i="1"/>
  <c r="G281" i="1"/>
  <c r="G292" i="1"/>
  <c r="G247" i="1"/>
  <c r="G196" i="1"/>
  <c r="G248" i="1"/>
  <c r="G249" i="1"/>
  <c r="G251" i="1"/>
  <c r="G253" i="1"/>
  <c r="G173" i="1"/>
  <c r="H288" i="1"/>
  <c r="H373" i="1"/>
  <c r="H90" i="1"/>
  <c r="H239" i="1"/>
  <c r="H241" i="1"/>
  <c r="H355" i="1"/>
  <c r="H57" i="1"/>
  <c r="H56" i="1"/>
  <c r="H97" i="1"/>
  <c r="H118" i="1"/>
  <c r="H101" i="1"/>
  <c r="H174" i="1"/>
  <c r="H227" i="1"/>
  <c r="H361" i="1"/>
  <c r="H61" i="1"/>
  <c r="H60" i="1"/>
  <c r="H66" i="1"/>
  <c r="H98" i="1"/>
  <c r="H120" i="1"/>
  <c r="H102" i="1"/>
  <c r="H175" i="1"/>
  <c r="H228" i="1"/>
  <c r="H122" i="1"/>
  <c r="H103" i="1"/>
  <c r="H176" i="1"/>
  <c r="H229" i="1"/>
  <c r="H123" i="1"/>
  <c r="H108" i="1"/>
  <c r="H191" i="1"/>
  <c r="H230" i="1"/>
  <c r="H124" i="1"/>
  <c r="H109" i="1"/>
  <c r="H192" i="1"/>
  <c r="H231" i="1"/>
  <c r="H233" i="1"/>
  <c r="H133" i="1"/>
  <c r="H134" i="1"/>
  <c r="H136" i="1"/>
  <c r="H367" i="1"/>
  <c r="H79" i="1"/>
  <c r="H78" i="1"/>
  <c r="H138" i="1"/>
  <c r="H139" i="1"/>
  <c r="H141" i="1"/>
  <c r="H144" i="1"/>
  <c r="G197" i="1"/>
  <c r="H145" i="1"/>
  <c r="G198" i="1"/>
  <c r="H146" i="1"/>
  <c r="H148" i="1"/>
  <c r="H150" i="1"/>
  <c r="H151" i="1"/>
  <c r="H153" i="1"/>
  <c r="H154" i="1"/>
  <c r="H156" i="1"/>
  <c r="H220" i="1"/>
  <c r="H223" i="1"/>
  <c r="H221" i="1"/>
  <c r="H222" i="1"/>
  <c r="H225" i="1"/>
  <c r="H235" i="1"/>
  <c r="H243" i="1"/>
  <c r="H289" i="1"/>
  <c r="H291" i="1"/>
  <c r="H263" i="1"/>
  <c r="H269" i="1"/>
  <c r="H270" i="1"/>
  <c r="H272" i="1"/>
  <c r="H275" i="1"/>
  <c r="H276" i="1"/>
  <c r="H277" i="1"/>
  <c r="H279" i="1"/>
  <c r="H281" i="1"/>
  <c r="H292" i="1"/>
  <c r="H247" i="1"/>
  <c r="H196" i="1"/>
  <c r="H248" i="1"/>
  <c r="H249" i="1"/>
  <c r="H251" i="1"/>
  <c r="H253" i="1"/>
  <c r="H173" i="1"/>
  <c r="I288" i="1"/>
  <c r="I373" i="1"/>
  <c r="I90" i="1"/>
  <c r="I239" i="1"/>
  <c r="I241" i="1"/>
  <c r="I355" i="1"/>
  <c r="I57" i="1"/>
  <c r="I56" i="1"/>
  <c r="I97" i="1"/>
  <c r="I118" i="1"/>
  <c r="I101" i="1"/>
  <c r="I174" i="1"/>
  <c r="I227" i="1"/>
  <c r="I361" i="1"/>
  <c r="I61" i="1"/>
  <c r="I60" i="1"/>
  <c r="I66" i="1"/>
  <c r="I98" i="1"/>
  <c r="I120" i="1"/>
  <c r="I102" i="1"/>
  <c r="I175" i="1"/>
  <c r="I228" i="1"/>
  <c r="I122" i="1"/>
  <c r="I103" i="1"/>
  <c r="I176" i="1"/>
  <c r="I229" i="1"/>
  <c r="I123" i="1"/>
  <c r="I108" i="1"/>
  <c r="I191" i="1"/>
  <c r="I230" i="1"/>
  <c r="I124" i="1"/>
  <c r="I109" i="1"/>
  <c r="I192" i="1"/>
  <c r="I231" i="1"/>
  <c r="I233" i="1"/>
  <c r="I133" i="1"/>
  <c r="I134" i="1"/>
  <c r="I136" i="1"/>
  <c r="I367" i="1"/>
  <c r="I79" i="1"/>
  <c r="I78" i="1"/>
  <c r="I138" i="1"/>
  <c r="I139" i="1"/>
  <c r="I141" i="1"/>
  <c r="I144" i="1"/>
  <c r="H197" i="1"/>
  <c r="I145" i="1"/>
  <c r="H198" i="1"/>
  <c r="I146" i="1"/>
  <c r="I148" i="1"/>
  <c r="I150" i="1"/>
  <c r="I151" i="1"/>
  <c r="I153" i="1"/>
  <c r="I154" i="1"/>
  <c r="I156" i="1"/>
  <c r="I220" i="1"/>
  <c r="I223" i="1"/>
  <c r="I221" i="1"/>
  <c r="I222" i="1"/>
  <c r="I225" i="1"/>
  <c r="I235" i="1"/>
  <c r="I243" i="1"/>
  <c r="I289" i="1"/>
  <c r="I291" i="1"/>
  <c r="I263" i="1"/>
  <c r="I269" i="1"/>
  <c r="I270" i="1"/>
  <c r="I272" i="1"/>
  <c r="I275" i="1"/>
  <c r="I276" i="1"/>
  <c r="I277" i="1"/>
  <c r="I279" i="1"/>
  <c r="I281" i="1"/>
  <c r="I292" i="1"/>
  <c r="I247" i="1"/>
  <c r="I196" i="1"/>
  <c r="I248" i="1"/>
  <c r="I197" i="1"/>
  <c r="I249" i="1"/>
  <c r="I198" i="1"/>
  <c r="I200" i="1"/>
  <c r="I194" i="1"/>
  <c r="D202" i="1"/>
  <c r="E202" i="1"/>
  <c r="F202" i="1"/>
  <c r="G202" i="1"/>
  <c r="H202" i="1"/>
  <c r="I202" i="1"/>
  <c r="I204" i="1"/>
  <c r="D206" i="1"/>
  <c r="E206" i="1"/>
  <c r="F206" i="1"/>
  <c r="G206" i="1"/>
  <c r="H206" i="1"/>
  <c r="I206" i="1"/>
  <c r="I208" i="1"/>
  <c r="D180" i="1"/>
  <c r="E180" i="1"/>
  <c r="F180" i="1"/>
  <c r="G180" i="1"/>
  <c r="H180" i="1"/>
  <c r="I180" i="1"/>
  <c r="D181" i="1"/>
  <c r="E181" i="1"/>
  <c r="F181" i="1"/>
  <c r="G181" i="1"/>
  <c r="H181" i="1"/>
  <c r="I181" i="1"/>
  <c r="I183" i="1"/>
  <c r="E186" i="1"/>
  <c r="F186" i="1"/>
  <c r="G186" i="1"/>
  <c r="H186" i="1"/>
  <c r="I186" i="1"/>
  <c r="I251" i="1"/>
  <c r="I253" i="1"/>
  <c r="I173" i="1"/>
  <c r="I178" i="1"/>
  <c r="D185" i="1"/>
  <c r="E185" i="1"/>
  <c r="F185" i="1"/>
  <c r="G185" i="1"/>
  <c r="H185" i="1"/>
  <c r="I185" i="1"/>
  <c r="I188" i="1"/>
  <c r="H200" i="1"/>
  <c r="H194" i="1"/>
  <c r="H204" i="1"/>
  <c r="H208" i="1"/>
  <c r="H183" i="1"/>
  <c r="H178" i="1"/>
  <c r="H188" i="1"/>
  <c r="G200" i="1"/>
  <c r="G194" i="1"/>
  <c r="G204" i="1"/>
  <c r="G208" i="1"/>
  <c r="G183" i="1"/>
  <c r="G178" i="1"/>
  <c r="G188" i="1"/>
  <c r="F200" i="1"/>
  <c r="F194" i="1"/>
  <c r="F204" i="1"/>
  <c r="F208" i="1"/>
  <c r="F183" i="1"/>
  <c r="F178" i="1"/>
  <c r="F188" i="1"/>
  <c r="E200" i="1"/>
  <c r="E194" i="1"/>
  <c r="E204" i="1"/>
  <c r="E208" i="1"/>
  <c r="E183" i="1"/>
  <c r="E178" i="1"/>
  <c r="E188" i="1"/>
  <c r="D200" i="1"/>
  <c r="D194" i="1"/>
  <c r="D204" i="1"/>
  <c r="D208" i="1"/>
  <c r="D178" i="1"/>
  <c r="D183" i="1"/>
  <c r="D188" i="1"/>
  <c r="D210" i="1"/>
  <c r="E210" i="1"/>
  <c r="F210" i="1"/>
  <c r="G210" i="1"/>
  <c r="H210" i="1"/>
  <c r="I210" i="1"/>
  <c r="B178" i="1"/>
  <c r="B183" i="1"/>
  <c r="B188" i="1"/>
  <c r="B194" i="1"/>
  <c r="B200" i="1"/>
  <c r="B204" i="1"/>
  <c r="I294" i="1"/>
  <c r="I282" i="1"/>
  <c r="I284" i="1"/>
  <c r="H294" i="1"/>
  <c r="H282" i="1"/>
  <c r="H284" i="1"/>
  <c r="G294" i="1"/>
  <c r="G282" i="1"/>
  <c r="G284" i="1"/>
  <c r="F294" i="1"/>
  <c r="F282" i="1"/>
  <c r="F284" i="1"/>
  <c r="E294" i="1"/>
  <c r="E282" i="1"/>
  <c r="E284" i="1"/>
  <c r="E296" i="1"/>
  <c r="F296" i="1"/>
  <c r="G296" i="1"/>
  <c r="H296" i="1"/>
  <c r="I296" i="1"/>
  <c r="H388" i="1"/>
  <c r="H398" i="1"/>
  <c r="H400" i="1"/>
  <c r="B9" i="1"/>
  <c r="B10" i="1"/>
  <c r="B11" i="1"/>
  <c r="B12" i="1"/>
  <c r="B16" i="1"/>
  <c r="F9" i="1"/>
  <c r="F10" i="1"/>
  <c r="F11" i="1"/>
  <c r="F12" i="1"/>
  <c r="F13" i="1"/>
  <c r="F14" i="1"/>
  <c r="F16" i="1"/>
  <c r="E304" i="1"/>
  <c r="E162" i="1"/>
  <c r="E305" i="1"/>
  <c r="E163" i="1"/>
  <c r="E306" i="1"/>
  <c r="E308" i="1"/>
  <c r="E309" i="1"/>
  <c r="E311" i="1"/>
  <c r="C312" i="1"/>
  <c r="E312" i="1"/>
  <c r="E313" i="1"/>
  <c r="E315" i="1"/>
  <c r="E301" i="1"/>
  <c r="E327" i="1"/>
  <c r="E330" i="1"/>
  <c r="F304" i="1"/>
  <c r="F162" i="1"/>
  <c r="F305" i="1"/>
  <c r="F163" i="1"/>
  <c r="F306" i="1"/>
  <c r="F308" i="1"/>
  <c r="F309" i="1"/>
  <c r="F311" i="1"/>
  <c r="F312" i="1"/>
  <c r="F313" i="1"/>
  <c r="F315" i="1"/>
  <c r="F301" i="1"/>
  <c r="F327" i="1"/>
  <c r="F330" i="1"/>
  <c r="G304" i="1"/>
  <c r="G162" i="1"/>
  <c r="G305" i="1"/>
  <c r="G163" i="1"/>
  <c r="G306" i="1"/>
  <c r="G308" i="1"/>
  <c r="G309" i="1"/>
  <c r="G311" i="1"/>
  <c r="G312" i="1"/>
  <c r="G313" i="1"/>
  <c r="G315" i="1"/>
  <c r="G301" i="1"/>
  <c r="G327" i="1"/>
  <c r="G330" i="1"/>
  <c r="H304" i="1"/>
  <c r="H162" i="1"/>
  <c r="H305" i="1"/>
  <c r="H163" i="1"/>
  <c r="H306" i="1"/>
  <c r="H308" i="1"/>
  <c r="H309" i="1"/>
  <c r="H311" i="1"/>
  <c r="H312" i="1"/>
  <c r="H313" i="1"/>
  <c r="H315" i="1"/>
  <c r="H301" i="1"/>
  <c r="H327" i="1"/>
  <c r="H330" i="1"/>
  <c r="I304" i="1"/>
  <c r="I162" i="1"/>
  <c r="I305" i="1"/>
  <c r="I163" i="1"/>
  <c r="I306" i="1"/>
  <c r="I308" i="1"/>
  <c r="I309" i="1"/>
  <c r="I311" i="1"/>
  <c r="I312" i="1"/>
  <c r="I313" i="1"/>
  <c r="I315" i="1"/>
  <c r="I301" i="1"/>
  <c r="I327" i="1"/>
  <c r="I321" i="1"/>
  <c r="I323" i="1"/>
  <c r="I328" i="1"/>
  <c r="I330" i="1"/>
  <c r="B333" i="1"/>
  <c r="B334" i="1"/>
  <c r="B336" i="1"/>
  <c r="B337" i="1"/>
  <c r="B338" i="1"/>
  <c r="H334" i="1"/>
  <c r="F337" i="1"/>
  <c r="H337" i="1"/>
  <c r="D144" i="1"/>
  <c r="D145" i="1"/>
  <c r="D146" i="1"/>
  <c r="D148" i="1"/>
  <c r="D44" i="1"/>
  <c r="D70" i="1"/>
  <c r="D83" i="1"/>
  <c r="D39" i="1"/>
  <c r="D43" i="1"/>
  <c r="D49" i="1"/>
  <c r="I70" i="1"/>
  <c r="I83" i="1"/>
  <c r="I39" i="1"/>
  <c r="I43" i="1"/>
  <c r="I44" i="1"/>
  <c r="I49" i="1"/>
  <c r="H70" i="1"/>
  <c r="H83" i="1"/>
  <c r="H39" i="1"/>
  <c r="H43" i="1"/>
  <c r="H44" i="1"/>
  <c r="H49" i="1"/>
  <c r="G70" i="1"/>
  <c r="G83" i="1"/>
  <c r="G39" i="1"/>
  <c r="G43" i="1"/>
  <c r="G44" i="1"/>
  <c r="G49" i="1"/>
  <c r="F70" i="1"/>
  <c r="F83" i="1"/>
  <c r="F39" i="1"/>
  <c r="F43" i="1"/>
  <c r="F44" i="1"/>
  <c r="F49" i="1"/>
  <c r="E70" i="1"/>
  <c r="E83" i="1"/>
  <c r="E39" i="1"/>
  <c r="E43" i="1"/>
  <c r="E44" i="1"/>
  <c r="E49" i="1"/>
  <c r="D48" i="1"/>
  <c r="I48" i="1"/>
  <c r="H48" i="1"/>
  <c r="G48" i="1"/>
  <c r="F48" i="1"/>
  <c r="E48" i="1"/>
  <c r="D46" i="1"/>
  <c r="D47" i="1"/>
  <c r="I46" i="1"/>
  <c r="I47" i="1"/>
  <c r="H46" i="1"/>
  <c r="H47" i="1"/>
  <c r="G46" i="1"/>
  <c r="G47" i="1"/>
  <c r="F46" i="1"/>
  <c r="F47" i="1"/>
  <c r="E46" i="1"/>
  <c r="E47" i="1"/>
  <c r="D133" i="1"/>
  <c r="D134" i="1"/>
  <c r="D136" i="1"/>
  <c r="D138" i="1"/>
  <c r="D139" i="1"/>
  <c r="D141" i="1"/>
  <c r="D161" i="1"/>
  <c r="D162" i="1"/>
  <c r="D163" i="1"/>
  <c r="D165" i="1"/>
  <c r="D157" i="1"/>
  <c r="D151" i="1"/>
  <c r="D150" i="1"/>
  <c r="C43" i="1"/>
  <c r="B43" i="1"/>
  <c r="I41" i="1"/>
  <c r="H41" i="1"/>
  <c r="G41" i="1"/>
  <c r="F41" i="1"/>
  <c r="E41" i="1"/>
  <c r="C70" i="1"/>
  <c r="C83" i="1"/>
  <c r="C39" i="1"/>
  <c r="D41" i="1"/>
  <c r="B70" i="1"/>
  <c r="B83" i="1"/>
  <c r="B39" i="1"/>
  <c r="C41" i="1"/>
  <c r="I36" i="1"/>
  <c r="I40" i="1"/>
  <c r="H36" i="1"/>
  <c r="H40" i="1"/>
  <c r="G36" i="1"/>
  <c r="G40" i="1"/>
  <c r="F36" i="1"/>
  <c r="F40" i="1"/>
  <c r="E36" i="1"/>
  <c r="E40" i="1"/>
  <c r="D36" i="1"/>
  <c r="D40" i="1"/>
  <c r="C36" i="1"/>
  <c r="C40" i="1"/>
  <c r="B36" i="1"/>
  <c r="B40" i="1"/>
  <c r="I37" i="1"/>
  <c r="H37" i="1"/>
  <c r="G37" i="1"/>
  <c r="F37" i="1"/>
  <c r="E37" i="1"/>
  <c r="D37" i="1"/>
  <c r="C37" i="1"/>
  <c r="F54" i="1"/>
  <c r="G54" i="1"/>
  <c r="H54" i="1"/>
  <c r="I54" i="1"/>
  <c r="I35" i="1"/>
  <c r="H35" i="1"/>
  <c r="G35" i="1"/>
  <c r="F35" i="1"/>
  <c r="E35" i="1"/>
  <c r="D54" i="1"/>
  <c r="D35" i="1"/>
  <c r="C54" i="1"/>
  <c r="C35" i="1"/>
  <c r="B54" i="1"/>
  <c r="B35" i="1"/>
  <c r="D29" i="1"/>
  <c r="D31" i="1"/>
  <c r="D30" i="1"/>
  <c r="D20" i="1"/>
  <c r="C24" i="1"/>
  <c r="C26" i="1"/>
  <c r="C27" i="1"/>
  <c r="C29" i="1"/>
  <c r="C31" i="1"/>
  <c r="C30" i="1"/>
  <c r="D14" i="1"/>
  <c r="D13" i="1"/>
  <c r="D12" i="1"/>
  <c r="D11" i="1"/>
  <c r="D10" i="1"/>
  <c r="D9" i="1"/>
  <c r="A12" i="1"/>
  <c r="A11" i="1"/>
  <c r="A10" i="1"/>
  <c r="A9" i="1"/>
  <c r="A8" i="1"/>
  <c r="E380" i="1"/>
  <c r="H380" i="1"/>
  <c r="C4" i="1"/>
  <c r="B355" i="1"/>
  <c r="C3" i="1"/>
  <c r="B4" i="1"/>
  <c r="B3" i="1"/>
  <c r="B171" i="1"/>
  <c r="C200" i="1"/>
  <c r="C194" i="1"/>
  <c r="C204" i="1"/>
  <c r="C208" i="1"/>
  <c r="C183" i="1"/>
  <c r="C178" i="1"/>
  <c r="C188" i="1"/>
  <c r="C210" i="1"/>
  <c r="B208" i="1"/>
  <c r="B210" i="1"/>
  <c r="H404" i="1"/>
  <c r="H403" i="1"/>
  <c r="E378" i="1"/>
  <c r="H378" i="1"/>
  <c r="F388" i="1"/>
  <c r="F395" i="1"/>
  <c r="F396" i="1"/>
  <c r="F392" i="1"/>
  <c r="F398" i="1"/>
  <c r="F400" i="1"/>
  <c r="E398" i="1"/>
  <c r="E400" i="1"/>
  <c r="D388" i="1"/>
  <c r="D398" i="1"/>
  <c r="D400" i="1"/>
  <c r="F380" i="1"/>
  <c r="F378" i="1"/>
  <c r="I334" i="1"/>
  <c r="F338" i="1"/>
  <c r="F339" i="1"/>
  <c r="I339" i="1"/>
  <c r="H339" i="1"/>
  <c r="G334" i="1"/>
  <c r="G339" i="1"/>
  <c r="I338" i="1"/>
  <c r="H338" i="1"/>
  <c r="G338" i="1"/>
  <c r="I337" i="1"/>
  <c r="G337" i="1"/>
  <c r="F336" i="1"/>
  <c r="I336" i="1"/>
  <c r="H336" i="1"/>
  <c r="G336" i="1"/>
  <c r="F335" i="1"/>
  <c r="I335" i="1"/>
  <c r="H335" i="1"/>
  <c r="G335" i="1"/>
  <c r="F157" i="1"/>
  <c r="C333" i="1"/>
  <c r="I324" i="1"/>
  <c r="E161" i="1"/>
  <c r="I300" i="1"/>
  <c r="H300" i="1"/>
  <c r="G300" i="1"/>
  <c r="F300" i="1"/>
  <c r="E300" i="1"/>
  <c r="D300" i="1"/>
  <c r="F161" i="1"/>
  <c r="G161" i="1"/>
  <c r="H161" i="1"/>
  <c r="I161" i="1"/>
  <c r="D330" i="1"/>
  <c r="B373" i="1"/>
  <c r="A373" i="1"/>
  <c r="B367" i="1"/>
  <c r="A367" i="1"/>
  <c r="B361" i="1"/>
  <c r="A361" i="1"/>
  <c r="A355" i="1"/>
  <c r="I369" i="1"/>
  <c r="H369" i="1"/>
  <c r="G369" i="1"/>
  <c r="F369" i="1"/>
  <c r="E369" i="1"/>
  <c r="I363" i="1"/>
  <c r="H363" i="1"/>
  <c r="G363" i="1"/>
  <c r="F363" i="1"/>
  <c r="E363" i="1"/>
  <c r="I357" i="1"/>
  <c r="H357" i="1"/>
  <c r="G357" i="1"/>
  <c r="F357" i="1"/>
  <c r="E357" i="1"/>
  <c r="I351" i="1"/>
  <c r="H351" i="1"/>
  <c r="G351" i="1"/>
  <c r="F351" i="1"/>
  <c r="E351" i="1"/>
  <c r="I260" i="1"/>
  <c r="H260" i="1"/>
  <c r="G260" i="1"/>
  <c r="F260" i="1"/>
  <c r="E260" i="1"/>
  <c r="A279" i="1"/>
  <c r="A277" i="1"/>
  <c r="A276" i="1"/>
  <c r="A275" i="1"/>
  <c r="A272" i="1"/>
  <c r="A270" i="1"/>
  <c r="A269" i="1"/>
  <c r="A264" i="1"/>
  <c r="A263" i="1"/>
  <c r="A221" i="1"/>
  <c r="I216" i="1"/>
  <c r="H216" i="1"/>
  <c r="G216" i="1"/>
  <c r="F216" i="1"/>
  <c r="E216" i="1"/>
  <c r="A249" i="1"/>
  <c r="A248" i="1"/>
  <c r="A247" i="1"/>
  <c r="A231" i="1"/>
  <c r="A230" i="1"/>
  <c r="A229" i="1"/>
  <c r="A228" i="1"/>
  <c r="A227" i="1"/>
  <c r="A222" i="1"/>
  <c r="A220" i="1"/>
  <c r="H105" i="1"/>
  <c r="H111" i="1"/>
  <c r="H114" i="1"/>
  <c r="I105" i="1"/>
  <c r="I111" i="1"/>
  <c r="I114" i="1"/>
  <c r="I115" i="1"/>
  <c r="G105" i="1"/>
  <c r="G111" i="1"/>
  <c r="G114" i="1"/>
  <c r="H115" i="1"/>
  <c r="F105" i="1"/>
  <c r="F111" i="1"/>
  <c r="F114" i="1"/>
  <c r="G115" i="1"/>
  <c r="E105" i="1"/>
  <c r="E111" i="1"/>
  <c r="E114" i="1"/>
  <c r="F115" i="1"/>
  <c r="D105" i="1"/>
  <c r="D111" i="1"/>
  <c r="D114" i="1"/>
  <c r="E115" i="1"/>
  <c r="I121" i="1"/>
  <c r="H121" i="1"/>
  <c r="G121" i="1"/>
  <c r="F121" i="1"/>
  <c r="E121" i="1"/>
  <c r="D121" i="1"/>
  <c r="I119" i="1"/>
  <c r="H119" i="1"/>
  <c r="G119" i="1"/>
  <c r="F119" i="1"/>
  <c r="E119" i="1"/>
  <c r="D119" i="1"/>
  <c r="A111" i="1"/>
  <c r="A109" i="1"/>
  <c r="A108" i="1"/>
  <c r="A105" i="1"/>
  <c r="A103" i="1"/>
  <c r="A102" i="1"/>
  <c r="A101" i="1"/>
  <c r="I95" i="1"/>
  <c r="H95" i="1"/>
  <c r="G95" i="1"/>
  <c r="F95" i="1"/>
  <c r="E95" i="1"/>
  <c r="D95" i="1"/>
  <c r="I131" i="1"/>
  <c r="H131" i="1"/>
  <c r="G131" i="1"/>
  <c r="F131" i="1"/>
  <c r="E131" i="1"/>
  <c r="D131" i="1"/>
  <c r="I165" i="1"/>
  <c r="H165" i="1"/>
  <c r="G165" i="1"/>
  <c r="F165" i="1"/>
  <c r="E165" i="1"/>
  <c r="G157" i="1"/>
  <c r="H157" i="1"/>
  <c r="I157" i="1"/>
  <c r="A161" i="1"/>
  <c r="I91" i="1"/>
  <c r="H91" i="1"/>
  <c r="G91" i="1"/>
  <c r="F91" i="1"/>
  <c r="E91" i="1"/>
  <c r="I87" i="1"/>
  <c r="I88" i="1"/>
  <c r="H87" i="1"/>
  <c r="H88" i="1"/>
  <c r="G87" i="1"/>
  <c r="G88" i="1"/>
  <c r="F87" i="1"/>
  <c r="F88" i="1"/>
  <c r="E87" i="1"/>
  <c r="E88" i="1"/>
  <c r="I85" i="1"/>
  <c r="H85" i="1"/>
  <c r="G85" i="1"/>
  <c r="F85" i="1"/>
  <c r="E85" i="1"/>
  <c r="I84" i="1"/>
  <c r="H84" i="1"/>
  <c r="G84" i="1"/>
  <c r="F84" i="1"/>
  <c r="E84" i="1"/>
  <c r="I73" i="1"/>
  <c r="I75" i="1"/>
  <c r="I76" i="1"/>
  <c r="H73" i="1"/>
  <c r="H75" i="1"/>
  <c r="H76" i="1"/>
  <c r="G73" i="1"/>
  <c r="G75" i="1"/>
  <c r="G76" i="1"/>
  <c r="F73" i="1"/>
  <c r="F75" i="1"/>
  <c r="F76" i="1"/>
  <c r="E73" i="1"/>
  <c r="E75" i="1"/>
  <c r="E76" i="1"/>
  <c r="I71" i="1"/>
  <c r="H71" i="1"/>
  <c r="G71" i="1"/>
  <c r="F71" i="1"/>
  <c r="E71" i="1"/>
  <c r="I67" i="1"/>
  <c r="H67" i="1"/>
  <c r="G67" i="1"/>
  <c r="F67" i="1"/>
  <c r="E67" i="1"/>
  <c r="I64" i="1"/>
  <c r="H64" i="1"/>
  <c r="G64" i="1"/>
  <c r="F64" i="1"/>
  <c r="E64" i="1"/>
  <c r="D91" i="1"/>
  <c r="C91" i="1"/>
  <c r="B91" i="1"/>
  <c r="D87" i="1"/>
  <c r="D88" i="1"/>
  <c r="C87" i="1"/>
  <c r="C88" i="1"/>
  <c r="B87" i="1"/>
  <c r="B88" i="1"/>
  <c r="D85" i="1"/>
  <c r="C85" i="1"/>
  <c r="D84" i="1"/>
  <c r="C84" i="1"/>
  <c r="B84" i="1"/>
  <c r="D79" i="1"/>
  <c r="C79" i="1"/>
  <c r="B79" i="1"/>
  <c r="D73" i="1"/>
  <c r="D75" i="1"/>
  <c r="D76" i="1"/>
  <c r="C73" i="1"/>
  <c r="C75" i="1"/>
  <c r="C76" i="1"/>
  <c r="B73" i="1"/>
  <c r="B75" i="1"/>
  <c r="B76" i="1"/>
  <c r="D71" i="1"/>
  <c r="C71" i="1"/>
  <c r="B71" i="1"/>
  <c r="D67" i="1"/>
  <c r="C66" i="1"/>
  <c r="C67" i="1"/>
  <c r="B66" i="1"/>
  <c r="B67" i="1"/>
  <c r="D64" i="1"/>
  <c r="C64" i="1"/>
  <c r="B64" i="1"/>
  <c r="D61" i="1"/>
  <c r="C61" i="1"/>
  <c r="B61" i="1"/>
  <c r="D57" i="1"/>
  <c r="C57" i="1"/>
  <c r="D153" i="1"/>
  <c r="D154" i="1"/>
  <c r="D156" i="1"/>
  <c r="D158" i="1"/>
  <c r="D45" i="1"/>
  <c r="E158" i="1"/>
  <c r="E45" i="1"/>
  <c r="F158" i="1"/>
  <c r="F45" i="1"/>
  <c r="G158" i="1"/>
  <c r="G45" i="1"/>
  <c r="H158" i="1"/>
  <c r="H45" i="1"/>
  <c r="I158" i="1"/>
  <c r="I45" i="1"/>
  <c r="C338" i="1"/>
</calcChain>
</file>

<file path=xl/comments1.xml><?xml version="1.0" encoding="utf-8"?>
<comments xmlns="http://schemas.openxmlformats.org/spreadsheetml/2006/main">
  <authors>
    <author>DealMaven</author>
  </authors>
  <commentList>
    <comment ref="B337" authorId="0">
      <text>
        <r>
          <rPr>
            <b/>
            <sz val="8"/>
            <color indexed="81"/>
            <rFont val="Tahoma"/>
            <family val="2"/>
          </rPr>
          <t>DealMaven:
Note: If the # of shares changed in the deal, you'd want the PreDeal shares here.</t>
        </r>
      </text>
    </comment>
    <comment ref="A352" authorId="0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  <comment ref="A358" authorId="0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  <comment ref="A364" authorId="0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  <comment ref="A370" authorId="0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  <comment ref="C378" authorId="0">
      <text>
        <r>
          <rPr>
            <b/>
            <sz val="8"/>
            <color indexed="81"/>
            <rFont val="Tahoma"/>
            <family val="2"/>
          </rPr>
          <t>DealMaven:
Used as marker for offset function.
Don't delete column either.  Also, needs to be exactly one column to the left of case one.</t>
        </r>
      </text>
    </comment>
    <comment ref="C380" authorId="0">
      <text>
        <r>
          <rPr>
            <b/>
            <sz val="8"/>
            <color indexed="81"/>
            <rFont val="Tahoma"/>
            <family val="2"/>
          </rPr>
          <t>DealMaven:
Used as marker for offset function.
Don't delete column either.  Also, needs to be exactly one column to the left of case one.</t>
        </r>
      </text>
    </comment>
  </commentList>
</comments>
</file>

<file path=xl/sharedStrings.xml><?xml version="1.0" encoding="utf-8"?>
<sst xmlns="http://schemas.openxmlformats.org/spreadsheetml/2006/main" count="683" uniqueCount="429">
  <si>
    <t>Historical</t>
  </si>
  <si>
    <t>Projected</t>
  </si>
  <si>
    <t>OPERATING ASSUMPTIONS</t>
  </si>
  <si>
    <t>Revenue</t>
  </si>
  <si>
    <t xml:space="preserve">  Growth</t>
  </si>
  <si>
    <t>Cost of Goods Sold:</t>
  </si>
  <si>
    <t xml:space="preserve">  COGS (Excl. Depn.)</t>
  </si>
  <si>
    <t xml:space="preserve">    % Sales</t>
  </si>
  <si>
    <t xml:space="preserve">  Depreciation</t>
  </si>
  <si>
    <t xml:space="preserve">  Total COGS</t>
  </si>
  <si>
    <t>Gross Profit:</t>
  </si>
  <si>
    <t xml:space="preserve">  Cash Gross Profit</t>
  </si>
  <si>
    <t xml:space="preserve">    Margin</t>
  </si>
  <si>
    <t xml:space="preserve">  Less: Depreciation</t>
  </si>
  <si>
    <t xml:space="preserve">  Total Gross Profit</t>
  </si>
  <si>
    <t>SG&amp;A</t>
  </si>
  <si>
    <t xml:space="preserve">  % Sales</t>
  </si>
  <si>
    <t>Existing Amortization</t>
  </si>
  <si>
    <t>EBITDA</t>
  </si>
  <si>
    <t xml:space="preserve">  Margin</t>
  </si>
  <si>
    <t>Operating Profit (EBIT)</t>
  </si>
  <si>
    <t>Capital Expenditures</t>
  </si>
  <si>
    <t xml:space="preserve">  % of Sales</t>
  </si>
  <si>
    <t>------</t>
  </si>
  <si>
    <t>BALANCE SHEETS</t>
  </si>
  <si>
    <t>ASSETS:</t>
  </si>
  <si>
    <t>Cash</t>
  </si>
  <si>
    <t>Accounts Receivable</t>
  </si>
  <si>
    <t>Inventory</t>
  </si>
  <si>
    <t>Prepaid Expenses</t>
  </si>
  <si>
    <t xml:space="preserve">  Current Assets</t>
  </si>
  <si>
    <t>PP&amp;E - Gross</t>
  </si>
  <si>
    <t>Less: Accum. Depn.</t>
  </si>
  <si>
    <t xml:space="preserve">  Net PP&amp;E</t>
  </si>
  <si>
    <t>Intangibles</t>
  </si>
  <si>
    <t>Cap. Financing Costs</t>
  </si>
  <si>
    <t xml:space="preserve">  Total Assets</t>
  </si>
  <si>
    <t>LIABILITIES &amp; EQUITY:</t>
  </si>
  <si>
    <t>Accounts Payable</t>
  </si>
  <si>
    <t>Accrued Expenses</t>
  </si>
  <si>
    <t xml:space="preserve">  Current Liabilities</t>
  </si>
  <si>
    <t>Revolver</t>
  </si>
  <si>
    <t>Term Loan</t>
  </si>
  <si>
    <t>Sr. Sub. Notes</t>
  </si>
  <si>
    <t xml:space="preserve">  Total Debt</t>
  </si>
  <si>
    <t>Other Liabilities</t>
  </si>
  <si>
    <t>Total Liabilities</t>
  </si>
  <si>
    <t>Common Equity</t>
  </si>
  <si>
    <t xml:space="preserve">  Liabilities &amp; Equity</t>
  </si>
  <si>
    <t xml:space="preserve">    Check</t>
  </si>
  <si>
    <t>INCOME STATEMENTS</t>
  </si>
  <si>
    <t>COGS</t>
  </si>
  <si>
    <t>Gross Profit</t>
  </si>
  <si>
    <t>Amortization</t>
  </si>
  <si>
    <t>EBIT</t>
  </si>
  <si>
    <t>Interest &amp; Other Expense / (Income):</t>
  </si>
  <si>
    <t>Rate</t>
  </si>
  <si>
    <t xml:space="preserve">  Revolver</t>
  </si>
  <si>
    <t xml:space="preserve">  Term Loan</t>
  </si>
  <si>
    <t xml:space="preserve">  Sr. Sub. Notes</t>
  </si>
  <si>
    <t xml:space="preserve">    Total Interest Expense</t>
  </si>
  <si>
    <t>Interest Income</t>
  </si>
  <si>
    <t>Financing Costs Amortization</t>
  </si>
  <si>
    <t xml:space="preserve">  Pretax Income</t>
  </si>
  <si>
    <t xml:space="preserve">  Income Taxes</t>
  </si>
  <si>
    <t xml:space="preserve">  Net Income</t>
  </si>
  <si>
    <t xml:space="preserve">  Shares Outstanding</t>
  </si>
  <si>
    <t xml:space="preserve">  Earnings per Share (EPS)</t>
  </si>
  <si>
    <t>EBITDA Reconciliation:</t>
  </si>
  <si>
    <t xml:space="preserve">  Plus: Depreciation</t>
  </si>
  <si>
    <t xml:space="preserve">  Plus: Amortization</t>
  </si>
  <si>
    <t xml:space="preserve">    EBITDA</t>
  </si>
  <si>
    <t>Pro Forma</t>
  </si>
  <si>
    <t>WORKING CAPITAL ASSUMPTIONS</t>
  </si>
  <si>
    <t>Sales</t>
  </si>
  <si>
    <t>Total COGS</t>
  </si>
  <si>
    <t>Current Assets</t>
  </si>
  <si>
    <t>Current Liabilities</t>
  </si>
  <si>
    <t>Net Cash Impact</t>
  </si>
  <si>
    <t xml:space="preserve">  Net Working Capital</t>
  </si>
  <si>
    <t xml:space="preserve">  Cash (Used by) / Generated from Work. Cap.</t>
  </si>
  <si>
    <t>Ratios</t>
  </si>
  <si>
    <t xml:space="preserve">  A/R % of Sales</t>
  </si>
  <si>
    <t xml:space="preserve">    Days Receivable</t>
  </si>
  <si>
    <t xml:space="preserve">  Inventory % of COGS</t>
  </si>
  <si>
    <t xml:space="preserve">    Inventory Turns</t>
  </si>
  <si>
    <t xml:space="preserve">  Prepaid % of COGS</t>
  </si>
  <si>
    <t xml:space="preserve">  Accts Payable % of COGS</t>
  </si>
  <si>
    <t xml:space="preserve">  Accrued % of COGS</t>
  </si>
  <si>
    <t>CASH FLOW STATEMENTS</t>
  </si>
  <si>
    <t>Operating Activities:</t>
  </si>
  <si>
    <t xml:space="preserve">  Financing Costs Amortization</t>
  </si>
  <si>
    <t>Subtotal</t>
  </si>
  <si>
    <t>Changes in Working Capital</t>
  </si>
  <si>
    <t xml:space="preserve">  Working Capital Impact</t>
  </si>
  <si>
    <t>Cash Flow from Operations</t>
  </si>
  <si>
    <t>Investing Activities:</t>
  </si>
  <si>
    <t xml:space="preserve">  Capital Expenditures</t>
  </si>
  <si>
    <t xml:space="preserve">  Cash Flow from / (Used by) Investing</t>
  </si>
  <si>
    <t>Cash Available for Debt Repayment</t>
  </si>
  <si>
    <t>Financing Actitivies Capital Inflow / (Outflow):</t>
  </si>
  <si>
    <t xml:space="preserve">  Cash Flow from / (Used by) Financing</t>
  </si>
  <si>
    <t>Net Increase / (Decrease) in Cash</t>
  </si>
  <si>
    <t>DEBT SCHEDULE</t>
  </si>
  <si>
    <t>Scheduled Debt Retirement</t>
  </si>
  <si>
    <t>USES OF FUNDS</t>
  </si>
  <si>
    <t>Required Debt Retirement</t>
  </si>
  <si>
    <t>Optional Debt Retirement</t>
  </si>
  <si>
    <t xml:space="preserve">  Uses of Funds Subtotal</t>
  </si>
  <si>
    <t xml:space="preserve">  Excess Cash Added to Balance Sheet</t>
  </si>
  <si>
    <t xml:space="preserve">    Total Uses of Funds</t>
  </si>
  <si>
    <t>SOURCES OF FUNDS</t>
  </si>
  <si>
    <t xml:space="preserve">  Existing Excess Cash</t>
  </si>
  <si>
    <t xml:space="preserve">  Cash Available for Debt Repayment</t>
  </si>
  <si>
    <t xml:space="preserve">    Subtotal</t>
  </si>
  <si>
    <t xml:space="preserve">  Incremental Revolver Borrowings</t>
  </si>
  <si>
    <t xml:space="preserve">    Total Sources of Funds</t>
  </si>
  <si>
    <t xml:space="preserve">  Check</t>
  </si>
  <si>
    <t>Years to Amortize</t>
  </si>
  <si>
    <t>Prepay?</t>
  </si>
  <si>
    <t>LOOKUP SECTION</t>
  </si>
  <si>
    <t>Operating Case</t>
  </si>
  <si>
    <t>Transaction Case</t>
  </si>
  <si>
    <t>Operating Assumptions</t>
  </si>
  <si>
    <t>Revenue Growth</t>
  </si>
  <si>
    <t>Management Case</t>
  </si>
  <si>
    <t>Base Case</t>
  </si>
  <si>
    <t>Downside Case</t>
  </si>
  <si>
    <t>COGS %</t>
  </si>
  <si>
    <t>SG&amp;A %</t>
  </si>
  <si>
    <t>Capex</t>
  </si>
  <si>
    <t>VALUATION ANALYSIS</t>
  </si>
  <si>
    <t>Free Cash Flow Calculation</t>
  </si>
  <si>
    <t xml:space="preserve">  EBIT</t>
  </si>
  <si>
    <t xml:space="preserve">  EBITDA</t>
  </si>
  <si>
    <t xml:space="preserve">  Less: Capex</t>
  </si>
  <si>
    <t xml:space="preserve">  EBITDA Less Capex</t>
  </si>
  <si>
    <t xml:space="preserve">  Less: Taxes on EBIT</t>
  </si>
  <si>
    <t xml:space="preserve">  Less: Changes in Working Capital</t>
  </si>
  <si>
    <t xml:space="preserve">  Unlevered Free Cash Flow</t>
  </si>
  <si>
    <t>DCF Enterprise Value Calculation</t>
  </si>
  <si>
    <t>Terminal Value Calculation</t>
  </si>
  <si>
    <t xml:space="preserve">  Terminal Value Growth Rate</t>
  </si>
  <si>
    <t xml:space="preserve">  Projected Free Cash Flow</t>
  </si>
  <si>
    <t xml:space="preserve">  Discount Rate (WACC)</t>
  </si>
  <si>
    <t xml:space="preserve">  Terminal Enterprise Value</t>
  </si>
  <si>
    <t xml:space="preserve">  Implied Term. Value EBITDA Multiple</t>
  </si>
  <si>
    <t>Discounted Cash Flows at WACC</t>
  </si>
  <si>
    <t xml:space="preserve">  Terminal Value</t>
  </si>
  <si>
    <t xml:space="preserve">  Total Discounted Cash Flows</t>
  </si>
  <si>
    <t>DCF Value per Share</t>
  </si>
  <si>
    <t xml:space="preserve">  DCF Enterprise Value</t>
  </si>
  <si>
    <t>Terminal</t>
  </si>
  <si>
    <t>Growth</t>
  </si>
  <si>
    <t xml:space="preserve">  Equity Value</t>
  </si>
  <si>
    <t xml:space="preserve">  DCF Value per Share</t>
  </si>
  <si>
    <t>Capital Structure Assumptions</t>
  </si>
  <si>
    <t>Active Case</t>
  </si>
  <si>
    <t>Case</t>
  </si>
  <si>
    <t>don't delete</t>
  </si>
  <si>
    <t>Description</t>
  </si>
  <si>
    <t>No deal</t>
  </si>
  <si>
    <t>Sources of Funds</t>
  </si>
  <si>
    <t xml:space="preserve">  Excess Cash</t>
  </si>
  <si>
    <t xml:space="preserve">  New Revolver</t>
  </si>
  <si>
    <t xml:space="preserve">  New Term Loan</t>
  </si>
  <si>
    <t xml:space="preserve">  New Sr. Sub. Notes</t>
  </si>
  <si>
    <t xml:space="preserve">  Total Sources</t>
  </si>
  <si>
    <t>Uses of Funds</t>
  </si>
  <si>
    <t xml:space="preserve">  Fund Cash Blc.</t>
  </si>
  <si>
    <t xml:space="preserve">  Repay Revolver</t>
  </si>
  <si>
    <t xml:space="preserve">  Repay Term Loan</t>
  </si>
  <si>
    <t xml:space="preserve">  Repay Sr. Sub. Notes</t>
  </si>
  <si>
    <t xml:space="preserve">  Term Loan Fee</t>
  </si>
  <si>
    <t xml:space="preserve">  Sr. Sub. Fee</t>
  </si>
  <si>
    <t xml:space="preserve">  Total Uses</t>
  </si>
  <si>
    <t>Check</t>
  </si>
  <si>
    <t>Triggers</t>
  </si>
  <si>
    <t xml:space="preserve">  Term Loan Financing Fee</t>
  </si>
  <si>
    <t xml:space="preserve">  Sr. Subs. Financing Fee</t>
  </si>
  <si>
    <t xml:space="preserve">  Term Loan Rate</t>
  </si>
  <si>
    <t xml:space="preserve">  Sr. Subs. Coupon</t>
  </si>
  <si>
    <t>Incr./</t>
  </si>
  <si>
    <t>(Decr.)</t>
  </si>
  <si>
    <t>ProFma</t>
  </si>
  <si>
    <t>Model Case Triggers</t>
  </si>
  <si>
    <t>Average Interest?</t>
  </si>
  <si>
    <t>Sources and Uses of Funds</t>
  </si>
  <si>
    <t>Summary Valuation</t>
  </si>
  <si>
    <t>Market</t>
  </si>
  <si>
    <t>DCF</t>
  </si>
  <si>
    <t>Stock Price</t>
  </si>
  <si>
    <t>Shares</t>
  </si>
  <si>
    <t>Options</t>
  </si>
  <si>
    <t>Average Strike</t>
  </si>
  <si>
    <t>Diluted Shares</t>
  </si>
  <si>
    <t>Equity Market Value</t>
  </si>
  <si>
    <t>Net Debt (PreDeal)</t>
  </si>
  <si>
    <t>Enterprise Value</t>
  </si>
  <si>
    <t>1999 EBITDA Mult.</t>
  </si>
  <si>
    <t>2000 EBITDA Mult.</t>
  </si>
  <si>
    <t>Summary Financial Results</t>
  </si>
  <si>
    <t>ProForma</t>
  </si>
  <si>
    <t>Interest Expense</t>
  </si>
  <si>
    <t>EPS</t>
  </si>
  <si>
    <t>Net Debt</t>
  </si>
  <si>
    <t>Net Debt / EBITDA</t>
  </si>
  <si>
    <t>EBITDA / Interest</t>
  </si>
  <si>
    <t>EBITDA less Capex / Interest</t>
  </si>
  <si>
    <t xml:space="preserve">  Shares</t>
  </si>
  <si>
    <t xml:space="preserve">  Less: Net Debt</t>
  </si>
  <si>
    <t>Summary DCF Valuation</t>
  </si>
  <si>
    <t>INCOME STATEMENT</t>
  </si>
  <si>
    <t>Cost of Revenue</t>
  </si>
  <si>
    <t>SellingGeneralAdministrativeExpenses</t>
  </si>
  <si>
    <t>DepreciationAmortizationExpense</t>
  </si>
  <si>
    <t>ResearchDevelopmentExpense</t>
  </si>
  <si>
    <t>OtherOperatingExpenses</t>
  </si>
  <si>
    <t>OtherNonoperatingIncomeExpense</t>
  </si>
  <si>
    <t>OperatingProfit</t>
  </si>
  <si>
    <t>Restructuring, Remediation &amp; Impairment Provisions</t>
  </si>
  <si>
    <t>DiscontinuedOperations</t>
  </si>
  <si>
    <t>InterestIncome</t>
  </si>
  <si>
    <t>InterestExpense</t>
  </si>
  <si>
    <t>IncomeBeforeTaxes</t>
  </si>
  <si>
    <t>IncomeTaxes</t>
  </si>
  <si>
    <t>AccountingChange</t>
  </si>
  <si>
    <t>NetIncome</t>
  </si>
  <si>
    <t>NetIncomeApplicabletoCommon</t>
  </si>
  <si>
    <t>IncomebeforeExtraordinaryItems</t>
  </si>
  <si>
    <t>ExtraordinaryItems</t>
  </si>
  <si>
    <t>DilutedEPSNetIncome</t>
  </si>
  <si>
    <t>EquityEarnings</t>
  </si>
  <si>
    <t>BasicEPSNetIncome</t>
  </si>
  <si>
    <t>MinorityInterestEquityEarnings</t>
  </si>
  <si>
    <t>Y1</t>
  </si>
  <si>
    <t>Y2</t>
  </si>
  <si>
    <t>Y3</t>
  </si>
  <si>
    <t>Y4</t>
  </si>
  <si>
    <t>Value #</t>
  </si>
  <si>
    <t>I23</t>
  </si>
  <si>
    <t>I1</t>
  </si>
  <si>
    <t>I9</t>
  </si>
  <si>
    <t>I21</t>
  </si>
  <si>
    <t>I24</t>
  </si>
  <si>
    <t>I20</t>
  </si>
  <si>
    <t>I18</t>
  </si>
  <si>
    <t>I19</t>
  </si>
  <si>
    <t>I4</t>
  </si>
  <si>
    <t>I2</t>
  </si>
  <si>
    <t>I22</t>
  </si>
  <si>
    <t>I6</t>
  </si>
  <si>
    <t>I5</t>
  </si>
  <si>
    <t>I15</t>
  </si>
  <si>
    <t>I0</t>
  </si>
  <si>
    <t>I14</t>
  </si>
  <si>
    <t>I13</t>
  </si>
  <si>
    <t>I11</t>
  </si>
  <si>
    <t>I12</t>
  </si>
  <si>
    <t>I10</t>
  </si>
  <si>
    <t>I8</t>
  </si>
  <si>
    <t>I16</t>
  </si>
  <si>
    <t>I17</t>
  </si>
  <si>
    <t>I7</t>
  </si>
  <si>
    <t>I3</t>
  </si>
  <si>
    <t>CashandCashEquivalents</t>
  </si>
  <si>
    <t>CashCashEquivalentsandShorttermInvestments</t>
  </si>
  <si>
    <t>TotalReceivablesNet</t>
  </si>
  <si>
    <t>InventoriesNet</t>
  </si>
  <si>
    <t>PrepaidExpenses</t>
  </si>
  <si>
    <t>TotalCurrentAssets</t>
  </si>
  <si>
    <t>PropertyPlantEquipmentNet</t>
  </si>
  <si>
    <t>OtherCurrentAssets</t>
  </si>
  <si>
    <t>RestrictedCash</t>
  </si>
  <si>
    <t>Goodwill</t>
  </si>
  <si>
    <t>OtherAssets</t>
  </si>
  <si>
    <t>OtherInvestments</t>
  </si>
  <si>
    <t>LongtermInvestments</t>
  </si>
  <si>
    <t>BALANCE SHEET- Assets</t>
  </si>
  <si>
    <t>TotalAssets</t>
  </si>
  <si>
    <t>IntangibleAssets</t>
  </si>
  <si>
    <t>Liabilities</t>
  </si>
  <si>
    <t>TotalShorttermDebt</t>
  </si>
  <si>
    <t>AccountsPayableandAccruedExpenses</t>
  </si>
  <si>
    <t>TotalLongtermDebt</t>
  </si>
  <si>
    <t>TotalLiabilities</t>
  </si>
  <si>
    <t>TotalCurrentLiabilities</t>
  </si>
  <si>
    <t>PensionPostretirementObligation</t>
  </si>
  <si>
    <t>PartnersCapital</t>
  </si>
  <si>
    <t>OtherLiabilities</t>
  </si>
  <si>
    <t>OtherCurrentLiabilities</t>
  </si>
  <si>
    <t>LongtermDeferredLiabilityCharges</t>
  </si>
  <si>
    <t>LongtermDeferredIncomeTaxLiabilities</t>
  </si>
  <si>
    <t>AccruedInterest</t>
  </si>
  <si>
    <t>DeferredIncomeTaxesLongterm</t>
  </si>
  <si>
    <t>DeferredIncomeTaxesCurrent</t>
  </si>
  <si>
    <t>DeferredCharges</t>
  </si>
  <si>
    <t>CommitmentsContingencies</t>
  </si>
  <si>
    <t xml:space="preserve">Shareholder' Equity </t>
  </si>
  <si>
    <t>CommonStock</t>
  </si>
  <si>
    <t>AdditionalPaidinCapital</t>
  </si>
  <si>
    <t>AdditionalPaidinCapitalPreferredStock</t>
  </si>
  <si>
    <t>MinorityInterest</t>
  </si>
  <si>
    <t>OtherEquity</t>
  </si>
  <si>
    <t>PreferredStock</t>
  </si>
  <si>
    <t>RetainedEarnings</t>
  </si>
  <si>
    <t>TemporaryEquity</t>
  </si>
  <si>
    <t>TotalStockholdersEquity</t>
  </si>
  <si>
    <t>TreasuryStock</t>
  </si>
  <si>
    <t>OtherAccumulatedComprehensiveIncome</t>
  </si>
  <si>
    <t>B9</t>
  </si>
  <si>
    <t>B10</t>
  </si>
  <si>
    <t>B38</t>
  </si>
  <si>
    <t>B13</t>
  </si>
  <si>
    <t>B28</t>
  </si>
  <si>
    <t>B19</t>
  </si>
  <si>
    <t>B30</t>
  </si>
  <si>
    <t>B34</t>
  </si>
  <si>
    <t>B29</t>
  </si>
  <si>
    <t>B11</t>
  </si>
  <si>
    <t>B16</t>
  </si>
  <si>
    <t>B2</t>
  </si>
  <si>
    <t>B12</t>
  </si>
  <si>
    <t>B23</t>
  </si>
  <si>
    <t>B33</t>
  </si>
  <si>
    <t>B5</t>
  </si>
  <si>
    <t>B39</t>
  </si>
  <si>
    <t>B6</t>
  </si>
  <si>
    <t>B3</t>
  </si>
  <si>
    <t>B20</t>
  </si>
  <si>
    <t>B35</t>
  </si>
  <si>
    <t>B26</t>
  </si>
  <si>
    <t>B4</t>
  </si>
  <si>
    <t>B14</t>
  </si>
  <si>
    <t>B15</t>
  </si>
  <si>
    <t>B37</t>
  </si>
  <si>
    <t>B25</t>
  </si>
  <si>
    <t>B0</t>
  </si>
  <si>
    <t>B36</t>
  </si>
  <si>
    <t>B1</t>
  </si>
  <si>
    <t>B7</t>
  </si>
  <si>
    <t>B17</t>
  </si>
  <si>
    <t>B8</t>
  </si>
  <si>
    <t>B27</t>
  </si>
  <si>
    <t>B31</t>
  </si>
  <si>
    <t>B18</t>
  </si>
  <si>
    <t>B32</t>
  </si>
  <si>
    <t>B21</t>
  </si>
  <si>
    <t>B41</t>
  </si>
  <si>
    <t>B40</t>
  </si>
  <si>
    <t>Cash Flow Statement</t>
  </si>
  <si>
    <t>CFDepreciationAmortization</t>
  </si>
  <si>
    <t>CashfromOperatingActivities</t>
  </si>
  <si>
    <t>DeferredIncomeTaxes</t>
  </si>
  <si>
    <t>ChangeinAccountsReceivable</t>
  </si>
  <si>
    <t>ChangeinAccountsPayableAccruedExpenses</t>
  </si>
  <si>
    <t>ChangeinInventories</t>
  </si>
  <si>
    <t>ChangeinIncomeTaxesPayable</t>
  </si>
  <si>
    <t>ChangeinDeferredRevenue</t>
  </si>
  <si>
    <t>ChangeinOtherAssets</t>
  </si>
  <si>
    <t>ChangeinOtherCurrentAssets</t>
  </si>
  <si>
    <t>ChangeinOtherLiabilities</t>
  </si>
  <si>
    <t>ChangeinOtherCurrentLiabilities</t>
  </si>
  <si>
    <t>InvestmentChangesNet</t>
  </si>
  <si>
    <t>OtherInvestingActivities</t>
  </si>
  <si>
    <t>SaleofPropertyPlantEquipment</t>
  </si>
  <si>
    <t>EffectofExchangeRateonCash</t>
  </si>
  <si>
    <t>AcquisitionSaleofBusinessNet</t>
  </si>
  <si>
    <t>CashfromInvestingActivities</t>
  </si>
  <si>
    <t>OtherFinancingActivitiesNet</t>
  </si>
  <si>
    <t>StockOptionTaxBenefits</t>
  </si>
  <si>
    <t>TotalAdjustments</t>
  </si>
  <si>
    <t>RealizedGainsLosses</t>
  </si>
  <si>
    <t>OtherAdjustments</t>
  </si>
  <si>
    <t>NetChangeinCash</t>
  </si>
  <si>
    <t>AdjustmentforEquityEarnings</t>
  </si>
  <si>
    <t>AdjustmentforMinorityInterest</t>
  </si>
  <si>
    <t>AdjustmentforSpecialCharges</t>
  </si>
  <si>
    <t>EmployeeCompensation</t>
  </si>
  <si>
    <t>DividendsPaid</t>
  </si>
  <si>
    <t>ChangeinEquityNet</t>
  </si>
  <si>
    <t>ChangeinDebtNet</t>
  </si>
  <si>
    <t>ChangeinPrepaidExpenses</t>
  </si>
  <si>
    <t>CapitalExpenditures</t>
  </si>
  <si>
    <t>CashfromDiscontinuedOperations</t>
  </si>
  <si>
    <t>ChangeinCurrentAssets</t>
  </si>
  <si>
    <t>C0</t>
  </si>
  <si>
    <t>ChangeinCurrentLiabilities</t>
  </si>
  <si>
    <t>C1</t>
  </si>
  <si>
    <t>C2</t>
  </si>
  <si>
    <t>C3</t>
  </si>
  <si>
    <t>C4</t>
  </si>
  <si>
    <t>C5</t>
  </si>
  <si>
    <t>C6</t>
  </si>
  <si>
    <t>ChangeinOperatingAssetsLiabilities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</si>
  <si>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</si>
  <si>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</si>
  <si>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</si>
  <si>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</si>
  <si>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</si>
  <si>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</si>
  <si>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</si>
  <si>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</si>
  <si>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</si>
  <si>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</si>
  <si>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</si>
  <si>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</si>
  <si>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</si>
  <si>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</si>
  <si>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</si>
  <si>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</si>
  <si>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</si>
  <si>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</si>
  <si>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</si>
  <si>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</si>
  <si>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</si>
  <si>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</si>
  <si>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</si>
  <si>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OtherAssetLiabilityChangesNet</t>
  </si>
  <si>
    <t>C30</t>
  </si>
  <si>
    <t>CashfromFinancingActivities</t>
  </si>
  <si>
    <t>C31</t>
  </si>
  <si>
    <t>C32</t>
  </si>
  <si>
    <t>C33</t>
  </si>
  <si>
    <t>C34</t>
  </si>
  <si>
    <t>C35</t>
  </si>
  <si>
    <t>C36</t>
  </si>
  <si>
    <t>C37</t>
  </si>
  <si>
    <t>C38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</si>
</sst>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164" formatCode="#,##0.0_);\(#,##0.0\)"/>
    <numFmt numFmtId="165" formatCode="0.0%;\(0.0%\)"/>
    <numFmt numFmtId="166" formatCode="&quot;$&quot;#,##0.0_);\(&quot;$&quot;#,##0.0\)"/>
    <numFmt numFmtId="167" formatCode="#,##0.000_);\(#,##0.000\)"/>
    <numFmt numFmtId="168" formatCode="0.00%;\(0.00%\)"/>
    <numFmt numFmtId="169" formatCode="#,##0\ &quot;years&quot;"/>
    <numFmt numFmtId="170" formatCode="0.0\x;\(0.0\x\)"/>
    <numFmt numFmtId="171" formatCode="&quot;yes&quot;;&quot;ERROR&quot;;&quot;no&quot;;&quot;ERROR&quot;"/>
    <numFmt numFmtId="172" formatCode="0.0\x\ &quot;EBITDA&quot;"/>
    <numFmt numFmtId="173" formatCode="0.0\x\ &quot;Proj EPS&quot;"/>
    <numFmt numFmtId="174" formatCode="#,##0.0_);\(#,##0.0\);&quot;-- &quot;"/>
  </numFmts>
  <fonts count="44" x14ac:knownFonts="1">
    <font>
      <sz val="10"/>
      <name val="Times New Roman"/>
    </font>
    <font>
      <b/>
      <u/>
      <sz val="14"/>
      <name val="Times New Roman"/>
      <family val="1"/>
    </font>
    <font>
      <b/>
      <u/>
      <sz val="10"/>
      <color indexed="12"/>
      <name val="Times New Roman"/>
      <family val="1"/>
    </font>
    <font>
      <b/>
      <u/>
      <sz val="10"/>
      <color indexed="8"/>
      <name val="times new roman"/>
      <family val="1"/>
    </font>
    <font>
      <b/>
      <u val="singleAccounting"/>
      <sz val="10"/>
      <color indexed="12"/>
      <name val="Times New Roman"/>
      <family val="1"/>
    </font>
    <font>
      <b/>
      <u val="singleAccounting"/>
      <sz val="10"/>
      <name val="times new roman"/>
      <family val="1"/>
    </font>
    <font>
      <b/>
      <u/>
      <sz val="14"/>
      <color indexed="12"/>
      <name val="Times New Roman"/>
      <family val="1"/>
    </font>
    <font>
      <sz val="10"/>
      <color indexed="12"/>
      <name val="times new roman"/>
      <family val="1"/>
    </font>
    <font>
      <i/>
      <sz val="10"/>
      <color indexed="12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2"/>
      <name val="Times New Roman"/>
      <family val="1"/>
    </font>
    <font>
      <u/>
      <sz val="10"/>
      <color indexed="8"/>
      <name val="Times New Roman"/>
      <family val="1"/>
    </font>
    <font>
      <u val="doubleAccounting"/>
      <sz val="10"/>
      <color indexed="8"/>
      <name val="Times New Roman"/>
      <family val="1"/>
    </font>
    <font>
      <i/>
      <u/>
      <sz val="10"/>
      <color indexed="12"/>
      <name val="times new roman"/>
      <family val="1"/>
    </font>
    <font>
      <sz val="10"/>
      <color indexed="14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b/>
      <sz val="12"/>
      <color indexed="12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u/>
      <sz val="10"/>
      <name val="times new roman"/>
      <family val="1"/>
    </font>
    <font>
      <b/>
      <i/>
      <sz val="10"/>
      <color indexed="12"/>
      <name val="times new roman"/>
      <family val="1"/>
    </font>
    <font>
      <b/>
      <i/>
      <sz val="10"/>
      <color indexed="8"/>
      <name val="times new roman"/>
      <family val="1"/>
    </font>
    <font>
      <b/>
      <sz val="10"/>
      <name val="Times New Roman"/>
      <family val="1"/>
    </font>
    <font>
      <u val="singleAccounting"/>
      <sz val="10"/>
      <name val="Times New Roman"/>
      <family val="1"/>
    </font>
    <font>
      <sz val="4"/>
      <color indexed="12"/>
      <name val="times new roman"/>
      <family val="1"/>
    </font>
    <font>
      <sz val="4"/>
      <name val="times new roman"/>
      <family val="1"/>
    </font>
    <font>
      <sz val="6"/>
      <color indexed="12"/>
      <name val="times new roman"/>
      <family val="1"/>
    </font>
    <font>
      <i/>
      <sz val="10"/>
      <color indexed="14"/>
      <name val="times new roman"/>
      <family val="1"/>
    </font>
    <font>
      <b/>
      <i/>
      <u/>
      <sz val="10"/>
      <color indexed="8"/>
      <name val="times new roman"/>
      <family val="1"/>
    </font>
    <font>
      <u val="singleAccounting"/>
      <sz val="10"/>
      <color indexed="8"/>
      <name val="Times New Roman"/>
      <family val="1"/>
    </font>
    <font>
      <u val="singleAccounting"/>
      <sz val="10"/>
      <color indexed="12"/>
      <name val="Times New Roman"/>
      <family val="1"/>
    </font>
    <font>
      <b/>
      <i/>
      <u/>
      <sz val="10"/>
      <color indexed="12"/>
      <name val="Times New Roman"/>
      <family val="1"/>
    </font>
    <font>
      <sz val="13"/>
      <color rgb="FF1A1AA6"/>
      <name val="Courier New"/>
      <family val="1"/>
    </font>
    <font>
      <u/>
      <sz val="10"/>
      <color theme="11"/>
      <name val="Times New Roman"/>
      <family val="1"/>
    </font>
    <font>
      <sz val="16"/>
      <name val="Times New Roman"/>
      <family val="1"/>
    </font>
    <font>
      <b/>
      <sz val="12"/>
      <name val="Times New Roman"/>
      <family val="1"/>
    </font>
    <font>
      <sz val="16"/>
      <color theme="1"/>
      <name val="Times New Roman"/>
      <family val="1"/>
    </font>
    <font>
      <sz val="13"/>
      <color rgb="FF1A1AA6"/>
      <name val="Times New Roman"/>
      <family val="1"/>
    </font>
    <font>
      <sz val="18"/>
      <color theme="1"/>
      <name val="Courier New"/>
      <family val="1"/>
    </font>
    <font>
      <sz val="16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287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164" fontId="6" fillId="0" borderId="0" xfId="0" applyNumberFormat="1" applyFont="1" applyAlignment="1">
      <alignment horizontal="centerContinuous"/>
    </xf>
    <xf numFmtId="164" fontId="1" fillId="0" borderId="0" xfId="0" applyNumberFormat="1" applyFont="1" applyAlignment="1">
      <alignment horizontal="centerContinuous"/>
    </xf>
    <xf numFmtId="164" fontId="7" fillId="0" borderId="0" xfId="0" applyNumberFormat="1" applyFont="1"/>
    <xf numFmtId="165" fontId="8" fillId="0" borderId="0" xfId="0" applyNumberFormat="1" applyFont="1"/>
    <xf numFmtId="165" fontId="9" fillId="0" borderId="0" xfId="0" applyNumberFormat="1" applyFont="1"/>
    <xf numFmtId="164" fontId="8" fillId="0" borderId="0" xfId="0" applyNumberFormat="1" applyFont="1"/>
    <xf numFmtId="164" fontId="10" fillId="0" borderId="0" xfId="0" applyNumberFormat="1" applyFont="1"/>
    <xf numFmtId="166" fontId="7" fillId="0" borderId="0" xfId="0" applyNumberFormat="1" applyFont="1"/>
    <xf numFmtId="166" fontId="0" fillId="0" borderId="0" xfId="0" applyNumberFormat="1"/>
    <xf numFmtId="165" fontId="11" fillId="0" borderId="0" xfId="0" applyNumberFormat="1" applyFont="1" applyAlignment="1"/>
    <xf numFmtId="164" fontId="7" fillId="0" borderId="0" xfId="0" applyNumberFormat="1" applyFont="1" applyAlignment="1"/>
    <xf numFmtId="164" fontId="9" fillId="0" borderId="0" xfId="0" applyNumberFormat="1" applyFont="1"/>
    <xf numFmtId="164" fontId="7" fillId="0" borderId="0" xfId="0" quotePrefix="1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4" fontId="12" fillId="0" borderId="0" xfId="0" applyNumberFormat="1" applyFont="1" applyAlignment="1"/>
    <xf numFmtId="166" fontId="12" fillId="0" borderId="0" xfId="0" applyNumberFormat="1" applyFont="1" applyAlignment="1"/>
    <xf numFmtId="164" fontId="10" fillId="0" borderId="0" xfId="0" applyNumberFormat="1" applyFont="1" applyAlignment="1"/>
    <xf numFmtId="164" fontId="6" fillId="0" borderId="0" xfId="0" applyNumberFormat="1" applyFont="1"/>
    <xf numFmtId="164" fontId="4" fillId="0" borderId="0" xfId="0" applyNumberFormat="1" applyFont="1" applyAlignment="1">
      <alignment horizontal="centerContinuous"/>
    </xf>
    <xf numFmtId="0" fontId="10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7" fillId="0" borderId="0" xfId="0" applyFont="1" applyAlignment="1">
      <alignment horizontal="right"/>
    </xf>
    <xf numFmtId="17" fontId="13" fillId="0" borderId="0" xfId="0" applyNumberFormat="1" applyFont="1"/>
    <xf numFmtId="17" fontId="14" fillId="0" borderId="0" xfId="0" applyNumberFormat="1" applyFont="1"/>
    <xf numFmtId="164" fontId="12" fillId="0" borderId="0" xfId="0" applyNumberFormat="1" applyFont="1"/>
    <xf numFmtId="166" fontId="15" fillId="0" borderId="0" xfId="0" applyNumberFormat="1" applyFont="1"/>
    <xf numFmtId="167" fontId="12" fillId="0" borderId="0" xfId="0" applyNumberFormat="1" applyFont="1"/>
    <xf numFmtId="164" fontId="10" fillId="0" borderId="0" xfId="0" applyNumberFormat="1" applyFont="1" applyBorder="1"/>
    <xf numFmtId="164" fontId="7" fillId="0" borderId="0" xfId="0" applyNumberFormat="1" applyFont="1" applyBorder="1" applyAlignment="1">
      <alignment horizontal="right"/>
    </xf>
    <xf numFmtId="164" fontId="7" fillId="0" borderId="0" xfId="0" applyNumberFormat="1" applyFont="1" applyBorder="1"/>
    <xf numFmtId="164" fontId="0" fillId="0" borderId="0" xfId="0" applyNumberFormat="1" applyBorder="1"/>
    <xf numFmtId="168" fontId="8" fillId="0" borderId="0" xfId="0" applyNumberFormat="1" applyFont="1" applyBorder="1"/>
    <xf numFmtId="164" fontId="12" fillId="0" borderId="0" xfId="0" applyNumberFormat="1" applyFont="1" applyFill="1" applyAlignment="1"/>
    <xf numFmtId="169" fontId="8" fillId="0" borderId="0" xfId="0" applyNumberFormat="1" applyFont="1" applyBorder="1"/>
    <xf numFmtId="167" fontId="7" fillId="0" borderId="0" xfId="0" applyNumberFormat="1" applyFont="1"/>
    <xf numFmtId="167" fontId="12" fillId="0" borderId="0" xfId="0" applyNumberFormat="1" applyFont="1" applyAlignment="1"/>
    <xf numFmtId="7" fontId="12" fillId="0" borderId="0" xfId="0" applyNumberFormat="1" applyFont="1" applyAlignment="1"/>
    <xf numFmtId="164" fontId="12" fillId="0" borderId="0" xfId="0" applyNumberFormat="1" applyFont="1" applyBorder="1" applyAlignment="1"/>
    <xf numFmtId="164" fontId="7" fillId="0" borderId="0" xfId="0" quotePrefix="1" applyNumberFormat="1" applyFont="1" applyBorder="1" applyAlignment="1">
      <alignment horizontal="right"/>
    </xf>
    <xf numFmtId="164" fontId="12" fillId="0" borderId="1" xfId="0" applyNumberFormat="1" applyFont="1" applyBorder="1"/>
    <xf numFmtId="164" fontId="7" fillId="0" borderId="1" xfId="0" applyNumberFormat="1" applyFont="1" applyBorder="1"/>
    <xf numFmtId="164" fontId="10" fillId="0" borderId="1" xfId="0" applyNumberFormat="1" applyFont="1" applyBorder="1"/>
    <xf numFmtId="164" fontId="16" fillId="0" borderId="2" xfId="0" applyNumberFormat="1" applyFont="1" applyBorder="1"/>
    <xf numFmtId="164" fontId="10" fillId="0" borderId="3" xfId="0" applyNumberFormat="1" applyFont="1" applyBorder="1"/>
    <xf numFmtId="164" fontId="0" fillId="0" borderId="3" xfId="0" applyNumberFormat="1" applyBorder="1"/>
    <xf numFmtId="164" fontId="7" fillId="0" borderId="4" xfId="0" applyNumberFormat="1" applyFont="1" applyBorder="1"/>
    <xf numFmtId="164" fontId="10" fillId="0" borderId="5" xfId="0" applyNumberFormat="1" applyFont="1" applyBorder="1"/>
    <xf numFmtId="164" fontId="0" fillId="0" borderId="5" xfId="0" applyNumberFormat="1" applyBorder="1"/>
    <xf numFmtId="166" fontId="12" fillId="0" borderId="5" xfId="0" applyNumberFormat="1" applyFont="1" applyBorder="1" applyAlignment="1"/>
    <xf numFmtId="164" fontId="0" fillId="0" borderId="6" xfId="0" applyNumberFormat="1" applyBorder="1"/>
    <xf numFmtId="164" fontId="12" fillId="0" borderId="7" xfId="0" applyNumberFormat="1" applyFont="1" applyBorder="1" applyAlignment="1"/>
    <xf numFmtId="164" fontId="7" fillId="0" borderId="7" xfId="0" applyNumberFormat="1" applyFont="1" applyBorder="1" applyAlignment="1">
      <alignment horizontal="right"/>
    </xf>
    <xf numFmtId="166" fontId="12" fillId="0" borderId="8" xfId="0" applyNumberFormat="1" applyFont="1" applyBorder="1" applyAlignment="1"/>
    <xf numFmtId="164" fontId="16" fillId="0" borderId="0" xfId="0" applyNumberFormat="1" applyFont="1"/>
    <xf numFmtId="170" fontId="8" fillId="0" borderId="0" xfId="0" applyNumberFormat="1" applyFont="1"/>
    <xf numFmtId="165" fontId="12" fillId="0" borderId="0" xfId="0" applyNumberFormat="1" applyFont="1"/>
    <xf numFmtId="170" fontId="12" fillId="0" borderId="0" xfId="0" applyNumberFormat="1" applyFont="1" applyAlignment="1">
      <alignment horizontal="right"/>
    </xf>
    <xf numFmtId="165" fontId="17" fillId="0" borderId="0" xfId="0" applyNumberFormat="1" applyFont="1" applyAlignment="1"/>
    <xf numFmtId="0" fontId="16" fillId="0" borderId="0" xfId="0" applyNumberFormat="1" applyFont="1"/>
    <xf numFmtId="166" fontId="12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 applyAlignment="1"/>
    <xf numFmtId="164" fontId="0" fillId="0" borderId="0" xfId="0" applyNumberFormat="1" applyAlignment="1">
      <alignment horizontal="centerContinuous"/>
    </xf>
    <xf numFmtId="166" fontId="8" fillId="0" borderId="9" xfId="0" applyNumberFormat="1" applyFont="1" applyBorder="1"/>
    <xf numFmtId="166" fontId="9" fillId="0" borderId="10" xfId="0" applyNumberFormat="1" applyFont="1" applyBorder="1"/>
    <xf numFmtId="0" fontId="10" fillId="0" borderId="0" xfId="0" applyFont="1"/>
    <xf numFmtId="0" fontId="13" fillId="0" borderId="11" xfId="0" applyNumberFormat="1" applyFont="1" applyBorder="1" applyAlignment="1">
      <alignment horizontal="center"/>
    </xf>
    <xf numFmtId="164" fontId="7" fillId="0" borderId="0" xfId="0" applyNumberFormat="1" applyFont="1" applyFill="1" applyBorder="1"/>
    <xf numFmtId="164" fontId="7" fillId="0" borderId="0" xfId="0" quotePrefix="1" applyNumberFormat="1" applyFont="1" applyFill="1" applyBorder="1" applyAlignment="1">
      <alignment horizontal="right"/>
    </xf>
    <xf numFmtId="164" fontId="12" fillId="0" borderId="0" xfId="0" applyNumberFormat="1" applyFont="1" applyFill="1" applyBorder="1"/>
    <xf numFmtId="0" fontId="8" fillId="0" borderId="12" xfId="0" applyFont="1" applyFill="1" applyBorder="1" applyAlignment="1">
      <alignment horizontal="center"/>
    </xf>
    <xf numFmtId="164" fontId="17" fillId="0" borderId="0" xfId="0" applyNumberFormat="1" applyFont="1" applyAlignment="1">
      <alignment horizontal="right"/>
    </xf>
    <xf numFmtId="164" fontId="17" fillId="0" borderId="0" xfId="0" applyNumberFormat="1" applyFont="1" applyFill="1" applyAlignment="1">
      <alignment horizontal="right"/>
    </xf>
    <xf numFmtId="164" fontId="19" fillId="0" borderId="0" xfId="0" applyNumberFormat="1" applyFont="1" applyFill="1" applyAlignment="1"/>
    <xf numFmtId="171" fontId="7" fillId="0" borderId="13" xfId="0" applyNumberFormat="1" applyFont="1" applyBorder="1"/>
    <xf numFmtId="171" fontId="7" fillId="0" borderId="14" xfId="0" applyNumberFormat="1" applyFont="1" applyBorder="1"/>
    <xf numFmtId="166" fontId="15" fillId="0" borderId="0" xfId="0" applyNumberFormat="1" applyFont="1" applyAlignment="1"/>
    <xf numFmtId="164" fontId="7" fillId="2" borderId="0" xfId="0" applyNumberFormat="1" applyFont="1" applyFill="1"/>
    <xf numFmtId="164" fontId="7" fillId="0" borderId="0" xfId="0" applyNumberFormat="1" applyFont="1" applyFill="1"/>
    <xf numFmtId="164" fontId="6" fillId="2" borderId="15" xfId="0" applyNumberFormat="1" applyFont="1" applyFill="1" applyBorder="1"/>
    <xf numFmtId="164" fontId="10" fillId="2" borderId="15" xfId="0" applyNumberFormat="1" applyFont="1" applyFill="1" applyBorder="1"/>
    <xf numFmtId="164" fontId="10" fillId="2" borderId="0" xfId="0" applyNumberFormat="1" applyFont="1" applyFill="1"/>
    <xf numFmtId="164" fontId="20" fillId="2" borderId="16" xfId="0" applyNumberFormat="1" applyFont="1" applyFill="1" applyBorder="1"/>
    <xf numFmtId="37" fontId="20" fillId="2" borderId="17" xfId="0" applyNumberFormat="1" applyFont="1" applyFill="1" applyBorder="1"/>
    <xf numFmtId="164" fontId="20" fillId="2" borderId="18" xfId="0" applyNumberFormat="1" applyFont="1" applyFill="1" applyBorder="1"/>
    <xf numFmtId="37" fontId="20" fillId="2" borderId="19" xfId="0" applyNumberFormat="1" applyFont="1" applyFill="1" applyBorder="1"/>
    <xf numFmtId="164" fontId="6" fillId="2" borderId="3" xfId="0" applyNumberFormat="1" applyFont="1" applyFill="1" applyBorder="1"/>
    <xf numFmtId="164" fontId="10" fillId="2" borderId="3" xfId="0" applyNumberFormat="1" applyFont="1" applyFill="1" applyBorder="1"/>
    <xf numFmtId="164" fontId="2" fillId="2" borderId="0" xfId="0" applyNumberFormat="1" applyFont="1" applyFill="1"/>
    <xf numFmtId="0" fontId="14" fillId="2" borderId="0" xfId="0" applyNumberFormat="1" applyFont="1" applyFill="1" applyAlignment="1"/>
    <xf numFmtId="37" fontId="7" fillId="2" borderId="0" xfId="0" applyNumberFormat="1" applyFont="1" applyFill="1"/>
    <xf numFmtId="165" fontId="7" fillId="2" borderId="0" xfId="0" applyNumberFormat="1" applyFont="1" applyFill="1" applyAlignment="1"/>
    <xf numFmtId="37" fontId="12" fillId="2" borderId="0" xfId="0" applyNumberFormat="1" applyFont="1" applyFill="1"/>
    <xf numFmtId="165" fontId="19" fillId="2" borderId="0" xfId="0" applyNumberFormat="1" applyFont="1" applyFill="1"/>
    <xf numFmtId="164" fontId="12" fillId="2" borderId="0" xfId="0" applyNumberFormat="1" applyFont="1" applyFill="1"/>
    <xf numFmtId="165" fontId="7" fillId="2" borderId="0" xfId="0" applyNumberFormat="1" applyFont="1" applyFill="1"/>
    <xf numFmtId="37" fontId="12" fillId="2" borderId="0" xfId="0" applyNumberFormat="1" applyFont="1" applyFill="1" applyAlignment="1">
      <alignment horizontal="right"/>
    </xf>
    <xf numFmtId="165" fontId="19" fillId="2" borderId="0" xfId="0" applyNumberFormat="1" applyFont="1" applyFill="1" applyAlignment="1"/>
    <xf numFmtId="164" fontId="19" fillId="2" borderId="0" xfId="0" applyNumberFormat="1" applyFont="1" applyFill="1" applyAlignment="1"/>
    <xf numFmtId="164" fontId="6" fillId="0" borderId="0" xfId="0" applyNumberFormat="1" applyFont="1" applyFill="1" applyAlignment="1">
      <alignment horizontal="centerContinuous"/>
    </xf>
    <xf numFmtId="164" fontId="2" fillId="0" borderId="0" xfId="0" applyNumberFormat="1" applyFont="1" applyFill="1"/>
    <xf numFmtId="0" fontId="10" fillId="0" borderId="0" xfId="0" applyFont="1" applyFill="1"/>
    <xf numFmtId="164" fontId="7" fillId="0" borderId="0" xfId="0" applyNumberFormat="1" applyFont="1" applyFill="1" applyAlignment="1">
      <alignment horizontal="right"/>
    </xf>
    <xf numFmtId="164" fontId="4" fillId="0" borderId="0" xfId="0" applyNumberFormat="1" applyFont="1" applyFill="1" applyAlignment="1">
      <alignment horizontal="centerContinuous"/>
    </xf>
    <xf numFmtId="0" fontId="10" fillId="0" borderId="0" xfId="0" applyNumberFormat="1" applyFont="1" applyFill="1"/>
    <xf numFmtId="0" fontId="3" fillId="0" borderId="0" xfId="0" applyNumberFormat="1" applyFont="1" applyFill="1" applyAlignment="1"/>
    <xf numFmtId="0" fontId="23" fillId="0" borderId="0" xfId="0" applyNumberFormat="1" applyFont="1" applyFill="1"/>
    <xf numFmtId="0" fontId="23" fillId="0" borderId="0" xfId="0" applyFont="1" applyFill="1"/>
    <xf numFmtId="0" fontId="24" fillId="0" borderId="0" xfId="0" applyNumberFormat="1" applyFont="1" applyFill="1" applyAlignment="1"/>
    <xf numFmtId="0" fontId="25" fillId="0" borderId="0" xfId="0" applyNumberFormat="1" applyFont="1" applyFill="1" applyAlignment="1"/>
    <xf numFmtId="0" fontId="2" fillId="0" borderId="0" xfId="0" applyNumberFormat="1" applyFont="1" applyFill="1"/>
    <xf numFmtId="0" fontId="3" fillId="0" borderId="0" xfId="0" applyNumberFormat="1" applyFont="1" applyFill="1"/>
    <xf numFmtId="164" fontId="10" fillId="0" borderId="0" xfId="0" applyNumberFormat="1" applyFont="1" applyFill="1"/>
    <xf numFmtId="164" fontId="7" fillId="0" borderId="0" xfId="0" quotePrefix="1" applyNumberFormat="1" applyFont="1" applyFill="1" applyAlignment="1">
      <alignment horizontal="right"/>
    </xf>
    <xf numFmtId="164" fontId="18" fillId="0" borderId="0" xfId="0" applyNumberFormat="1" applyFont="1" applyFill="1"/>
    <xf numFmtId="164" fontId="26" fillId="0" borderId="0" xfId="0" applyNumberFormat="1" applyFont="1" applyFill="1"/>
    <xf numFmtId="166" fontId="19" fillId="0" borderId="0" xfId="0" applyNumberFormat="1" applyFont="1" applyFill="1" applyAlignment="1">
      <alignment horizontal="right"/>
    </xf>
    <xf numFmtId="166" fontId="19" fillId="0" borderId="0" xfId="0" applyNumberFormat="1" applyFont="1" applyFill="1" applyAlignment="1"/>
    <xf numFmtId="164" fontId="6" fillId="0" borderId="0" xfId="0" applyNumberFormat="1" applyFont="1" applyFill="1"/>
    <xf numFmtId="166" fontId="12" fillId="0" borderId="0" xfId="0" applyNumberFormat="1" applyFont="1" applyFill="1" applyAlignment="1"/>
    <xf numFmtId="165" fontId="12" fillId="0" borderId="0" xfId="0" applyNumberFormat="1" applyFont="1" applyFill="1" applyBorder="1"/>
    <xf numFmtId="164" fontId="7" fillId="0" borderId="20" xfId="0" applyNumberFormat="1" applyFont="1" applyFill="1" applyBorder="1"/>
    <xf numFmtId="166" fontId="12" fillId="0" borderId="0" xfId="0" applyNumberFormat="1" applyFont="1" applyFill="1" applyBorder="1"/>
    <xf numFmtId="172" fontId="11" fillId="0" borderId="0" xfId="0" applyNumberFormat="1" applyFont="1" applyFill="1" applyBorder="1" applyAlignment="1">
      <alignment horizontal="centerContinuous"/>
    </xf>
    <xf numFmtId="164" fontId="9" fillId="0" borderId="21" xfId="0" applyNumberFormat="1" applyFont="1" applyFill="1" applyBorder="1" applyAlignment="1">
      <alignment horizontal="centerContinuous"/>
    </xf>
    <xf numFmtId="164" fontId="10" fillId="0" borderId="0" xfId="0" applyNumberFormat="1" applyFont="1" applyFill="1" applyBorder="1"/>
    <xf numFmtId="164" fontId="10" fillId="0" borderId="21" xfId="0" applyNumberFormat="1" applyFont="1" applyFill="1" applyBorder="1"/>
    <xf numFmtId="164" fontId="10" fillId="0" borderId="20" xfId="0" applyNumberFormat="1" applyFont="1" applyFill="1" applyBorder="1"/>
    <xf numFmtId="167" fontId="12" fillId="0" borderId="0" xfId="0" applyNumberFormat="1" applyFont="1" applyFill="1" applyBorder="1"/>
    <xf numFmtId="164" fontId="7" fillId="0" borderId="18" xfId="0" applyNumberFormat="1" applyFont="1" applyFill="1" applyBorder="1"/>
    <xf numFmtId="7" fontId="12" fillId="0" borderId="22" xfId="0" applyNumberFormat="1" applyFont="1" applyFill="1" applyBorder="1"/>
    <xf numFmtId="173" fontId="11" fillId="0" borderId="22" xfId="0" applyNumberFormat="1" applyFont="1" applyFill="1" applyBorder="1" applyAlignment="1">
      <alignment horizontal="centerContinuous"/>
    </xf>
    <xf numFmtId="164" fontId="10" fillId="0" borderId="19" xfId="0" applyNumberFormat="1" applyFont="1" applyFill="1" applyBorder="1" applyAlignment="1">
      <alignment horizontal="centerContinuous"/>
    </xf>
    <xf numFmtId="0" fontId="8" fillId="0" borderId="0" xfId="0" applyNumberFormat="1" applyFont="1" applyFill="1"/>
    <xf numFmtId="165" fontId="7" fillId="0" borderId="0" xfId="0" applyNumberFormat="1" applyFont="1" applyFill="1"/>
    <xf numFmtId="164" fontId="12" fillId="0" borderId="0" xfId="0" applyNumberFormat="1" applyFont="1" applyFill="1"/>
    <xf numFmtId="170" fontId="12" fillId="0" borderId="0" xfId="0" applyNumberFormat="1" applyFont="1" applyFill="1"/>
    <xf numFmtId="164" fontId="8" fillId="0" borderId="0" xfId="0" applyNumberFormat="1" applyFont="1" applyFill="1"/>
    <xf numFmtId="164" fontId="4" fillId="0" borderId="16" xfId="0" applyNumberFormat="1" applyFont="1" applyFill="1" applyBorder="1" applyAlignment="1">
      <alignment horizontal="centerContinuous"/>
    </xf>
    <xf numFmtId="164" fontId="27" fillId="0" borderId="15" xfId="0" applyNumberFormat="1" applyFont="1" applyFill="1" applyBorder="1" applyAlignment="1">
      <alignment horizontal="centerContinuous"/>
    </xf>
    <xf numFmtId="164" fontId="27" fillId="0" borderId="17" xfId="0" applyNumberFormat="1" applyFont="1" applyFill="1" applyBorder="1" applyAlignment="1">
      <alignment horizontal="centerContinuous"/>
    </xf>
    <xf numFmtId="164" fontId="7" fillId="0" borderId="20" xfId="0" applyNumberFormat="1" applyFont="1" applyFill="1" applyBorder="1" applyAlignment="1">
      <alignment horizontal="center"/>
    </xf>
    <xf numFmtId="164" fontId="27" fillId="0" borderId="0" xfId="0" applyNumberFormat="1" applyFont="1" applyFill="1" applyBorder="1" applyAlignment="1">
      <alignment horizontal="centerContinuous"/>
    </xf>
    <xf numFmtId="164" fontId="27" fillId="0" borderId="21" xfId="0" applyNumberFormat="1" applyFont="1" applyFill="1" applyBorder="1" applyAlignment="1">
      <alignment horizontal="centerContinuous"/>
    </xf>
    <xf numFmtId="165" fontId="14" fillId="0" borderId="0" xfId="0" applyNumberFormat="1" applyFont="1" applyFill="1" applyBorder="1"/>
    <xf numFmtId="165" fontId="14" fillId="0" borderId="21" xfId="0" applyNumberFormat="1" applyFont="1" applyFill="1" applyBorder="1"/>
    <xf numFmtId="165" fontId="12" fillId="0" borderId="20" xfId="0" applyNumberFormat="1" applyFont="1" applyFill="1" applyBorder="1"/>
    <xf numFmtId="39" fontId="12" fillId="0" borderId="23" xfId="0" applyNumberFormat="1" applyFont="1" applyFill="1" applyBorder="1"/>
    <xf numFmtId="165" fontId="12" fillId="0" borderId="18" xfId="0" applyNumberFormat="1" applyFont="1" applyFill="1" applyBorder="1"/>
    <xf numFmtId="7" fontId="12" fillId="0" borderId="2" xfId="0" applyNumberFormat="1" applyFont="1" applyFill="1" applyBorder="1"/>
    <xf numFmtId="7" fontId="12" fillId="0" borderId="3" xfId="0" applyNumberFormat="1" applyFont="1" applyFill="1" applyBorder="1"/>
    <xf numFmtId="7" fontId="12" fillId="0" borderId="24" xfId="0" applyNumberFormat="1" applyFont="1" applyFill="1" applyBorder="1"/>
    <xf numFmtId="39" fontId="12" fillId="0" borderId="1" xfId="0" applyNumberFormat="1" applyFont="1" applyFill="1" applyBorder="1"/>
    <xf numFmtId="39" fontId="12" fillId="0" borderId="0" xfId="0" applyNumberFormat="1" applyFont="1" applyFill="1" applyBorder="1"/>
    <xf numFmtId="39" fontId="12" fillId="0" borderId="21" xfId="0" applyNumberFormat="1" applyFont="1" applyFill="1" applyBorder="1"/>
    <xf numFmtId="39" fontId="12" fillId="0" borderId="25" xfId="0" applyNumberFormat="1" applyFont="1" applyFill="1" applyBorder="1"/>
    <xf numFmtId="39" fontId="12" fillId="0" borderId="22" xfId="0" applyNumberFormat="1" applyFont="1" applyFill="1" applyBorder="1"/>
    <xf numFmtId="39" fontId="12" fillId="0" borderId="19" xfId="0" applyNumberFormat="1" applyFont="1" applyFill="1" applyBorder="1"/>
    <xf numFmtId="164" fontId="0" fillId="2" borderId="0" xfId="0" applyNumberFormat="1" applyFill="1"/>
    <xf numFmtId="164" fontId="18" fillId="2" borderId="0" xfId="0" applyNumberFormat="1" applyFont="1" applyFill="1" applyAlignment="1">
      <alignment horizontal="center"/>
    </xf>
    <xf numFmtId="37" fontId="18" fillId="2" borderId="0" xfId="0" applyNumberFormat="1" applyFont="1" applyFill="1"/>
    <xf numFmtId="164" fontId="26" fillId="2" borderId="0" xfId="0" applyNumberFormat="1" applyFont="1" applyFill="1"/>
    <xf numFmtId="164" fontId="28" fillId="2" borderId="0" xfId="0" applyNumberFormat="1" applyFont="1" applyFill="1" applyAlignment="1">
      <alignment horizontal="center"/>
    </xf>
    <xf numFmtId="37" fontId="2" fillId="2" borderId="0" xfId="0" applyNumberFormat="1" applyFont="1" applyFill="1" applyAlignment="1">
      <alignment horizontal="center"/>
    </xf>
    <xf numFmtId="37" fontId="3" fillId="2" borderId="0" xfId="0" applyNumberFormat="1" applyFont="1" applyFill="1" applyAlignment="1">
      <alignment horizontal="center"/>
    </xf>
    <xf numFmtId="164" fontId="29" fillId="2" borderId="0" xfId="0" applyNumberFormat="1" applyFont="1" applyFill="1"/>
    <xf numFmtId="164" fontId="8" fillId="2" borderId="0" xfId="0" applyNumberFormat="1" applyFont="1" applyFill="1" applyAlignment="1">
      <alignment vertical="top"/>
    </xf>
    <xf numFmtId="164" fontId="9" fillId="2" borderId="0" xfId="0" applyNumberFormat="1" applyFont="1" applyFill="1" applyAlignment="1">
      <alignment vertical="top"/>
    </xf>
    <xf numFmtId="164" fontId="7" fillId="2" borderId="0" xfId="0" applyNumberFormat="1" applyFont="1" applyFill="1" applyAlignment="1">
      <alignment horizontal="center" vertical="top"/>
    </xf>
    <xf numFmtId="164" fontId="11" fillId="2" borderId="0" xfId="0" applyNumberFormat="1" applyFont="1" applyFill="1" applyAlignment="1">
      <alignment vertical="top"/>
    </xf>
    <xf numFmtId="164" fontId="18" fillId="2" borderId="0" xfId="0" applyNumberFormat="1" applyFont="1" applyFill="1"/>
    <xf numFmtId="164" fontId="30" fillId="2" borderId="0" xfId="0" applyNumberFormat="1" applyFont="1" applyFill="1" applyAlignment="1">
      <alignment horizontal="center"/>
    </xf>
    <xf numFmtId="164" fontId="7" fillId="2" borderId="0" xfId="0" quotePrefix="1" applyNumberFormat="1" applyFont="1" applyFill="1" applyAlignment="1">
      <alignment horizontal="right"/>
    </xf>
    <xf numFmtId="164" fontId="7" fillId="2" borderId="0" xfId="0" applyNumberFormat="1" applyFont="1" applyFill="1" applyAlignment="1">
      <alignment horizontal="right"/>
    </xf>
    <xf numFmtId="164" fontId="19" fillId="2" borderId="0" xfId="0" quotePrefix="1" applyNumberFormat="1" applyFont="1" applyFill="1" applyAlignment="1">
      <alignment horizontal="right"/>
    </xf>
    <xf numFmtId="164" fontId="7" fillId="2" borderId="0" xfId="0" applyNumberFormat="1" applyFont="1" applyFill="1" applyAlignment="1"/>
    <xf numFmtId="164" fontId="17" fillId="2" borderId="0" xfId="0" applyNumberFormat="1" applyFont="1" applyFill="1"/>
    <xf numFmtId="167" fontId="18" fillId="2" borderId="0" xfId="0" applyNumberFormat="1" applyFont="1" applyFill="1"/>
    <xf numFmtId="167" fontId="26" fillId="2" borderId="0" xfId="0" applyNumberFormat="1" applyFont="1" applyFill="1"/>
    <xf numFmtId="167" fontId="19" fillId="2" borderId="0" xfId="0" applyNumberFormat="1" applyFont="1" applyFill="1"/>
    <xf numFmtId="165" fontId="10" fillId="2" borderId="0" xfId="0" applyNumberFormat="1" applyFont="1" applyFill="1"/>
    <xf numFmtId="164" fontId="11" fillId="2" borderId="0" xfId="0" applyNumberFormat="1" applyFont="1" applyFill="1" applyAlignment="1">
      <alignment vertical="top" wrapText="1"/>
    </xf>
    <xf numFmtId="167" fontId="19" fillId="2" borderId="0" xfId="0" applyNumberFormat="1" applyFont="1" applyFill="1" applyAlignment="1"/>
    <xf numFmtId="164" fontId="12" fillId="2" borderId="0" xfId="0" applyNumberFormat="1" applyFont="1" applyFill="1" applyAlignment="1"/>
    <xf numFmtId="165" fontId="19" fillId="2" borderId="0" xfId="0" applyNumberFormat="1" applyFont="1" applyFill="1" applyBorder="1" applyAlignment="1"/>
    <xf numFmtId="164" fontId="19" fillId="2" borderId="0" xfId="0" applyNumberFormat="1" applyFont="1" applyFill="1"/>
    <xf numFmtId="164" fontId="25" fillId="2" borderId="0" xfId="0" applyNumberFormat="1" applyFont="1" applyFill="1" applyAlignment="1">
      <alignment vertical="top" wrapText="1"/>
    </xf>
    <xf numFmtId="166" fontId="7" fillId="0" borderId="0" xfId="0" applyNumberFormat="1" applyFont="1" applyFill="1"/>
    <xf numFmtId="0" fontId="7" fillId="0" borderId="0" xfId="0" applyFont="1" applyAlignment="1">
      <alignment horizontal="centerContinuous"/>
    </xf>
    <xf numFmtId="17" fontId="13" fillId="0" borderId="0" xfId="0" quotePrefix="1" applyNumberFormat="1" applyFont="1" applyAlignment="1">
      <alignment horizontal="centerContinuous"/>
    </xf>
    <xf numFmtId="174" fontId="7" fillId="0" borderId="0" xfId="0" applyNumberFormat="1" applyFont="1"/>
    <xf numFmtId="174" fontId="7" fillId="0" borderId="0" xfId="0" quotePrefix="1" applyNumberFormat="1" applyFont="1" applyAlignment="1">
      <alignment horizontal="right"/>
    </xf>
    <xf numFmtId="174" fontId="12" fillId="0" borderId="0" xfId="0" applyNumberFormat="1" applyFont="1"/>
    <xf numFmtId="174" fontId="0" fillId="0" borderId="0" xfId="0" applyNumberFormat="1"/>
    <xf numFmtId="174" fontId="7" fillId="0" borderId="0" xfId="0" quotePrefix="1" applyNumberFormat="1" applyFont="1" applyFill="1" applyBorder="1" applyAlignment="1">
      <alignment horizontal="right"/>
    </xf>
    <xf numFmtId="174" fontId="12" fillId="0" borderId="0" xfId="0" applyNumberFormat="1" applyFont="1" applyFill="1" applyBorder="1"/>
    <xf numFmtId="166" fontId="12" fillId="0" borderId="0" xfId="0" applyNumberFormat="1" applyFont="1" applyFill="1"/>
    <xf numFmtId="174" fontId="12" fillId="0" borderId="0" xfId="0" applyNumberFormat="1" applyFont="1" applyFill="1"/>
    <xf numFmtId="164" fontId="12" fillId="0" borderId="0" xfId="0" applyNumberFormat="1" applyFont="1" applyFill="1" applyBorder="1" applyAlignment="1"/>
    <xf numFmtId="164" fontId="7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/>
    <xf numFmtId="168" fontId="16" fillId="0" borderId="0" xfId="0" applyNumberFormat="1" applyFont="1" applyFill="1" applyBorder="1" applyAlignment="1">
      <alignment horizontal="center"/>
    </xf>
    <xf numFmtId="164" fontId="0" fillId="0" borderId="0" xfId="0" applyNumberFormat="1" applyFill="1"/>
    <xf numFmtId="168" fontId="8" fillId="0" borderId="0" xfId="0" applyNumberFormat="1" applyFont="1" applyFill="1" applyBorder="1"/>
    <xf numFmtId="164" fontId="0" fillId="0" borderId="0" xfId="0" applyNumberFormat="1" applyFill="1" applyBorder="1"/>
    <xf numFmtId="168" fontId="31" fillId="0" borderId="0" xfId="0" applyNumberFormat="1" applyFont="1" applyFill="1" applyBorder="1"/>
    <xf numFmtId="164" fontId="4" fillId="0" borderId="16" xfId="0" applyNumberFormat="1" applyFont="1" applyBorder="1" applyAlignment="1">
      <alignment horizontal="centerContinuous"/>
    </xf>
    <xf numFmtId="164" fontId="12" fillId="0" borderId="20" xfId="0" applyNumberFormat="1" applyFont="1" applyBorder="1"/>
    <xf numFmtId="37" fontId="12" fillId="0" borderId="0" xfId="0" applyNumberFormat="1" applyFont="1" applyBorder="1"/>
    <xf numFmtId="164" fontId="12" fillId="0" borderId="0" xfId="0" applyNumberFormat="1" applyFont="1" applyBorder="1"/>
    <xf numFmtId="164" fontId="7" fillId="0" borderId="18" xfId="0" applyNumberFormat="1" applyFont="1" applyBorder="1"/>
    <xf numFmtId="171" fontId="7" fillId="0" borderId="22" xfId="0" applyNumberFormat="1" applyFont="1" applyBorder="1"/>
    <xf numFmtId="164" fontId="4" fillId="0" borderId="15" xfId="0" applyNumberFormat="1" applyFont="1" applyBorder="1" applyAlignment="1">
      <alignment horizontal="centerContinuous"/>
    </xf>
    <xf numFmtId="164" fontId="4" fillId="0" borderId="17" xfId="0" applyNumberFormat="1" applyFont="1" applyBorder="1" applyAlignment="1">
      <alignment horizontal="centerContinuous"/>
    </xf>
    <xf numFmtId="164" fontId="32" fillId="0" borderId="20" xfId="0" applyNumberFormat="1" applyFont="1" applyBorder="1"/>
    <xf numFmtId="166" fontId="12" fillId="0" borderId="0" xfId="0" applyNumberFormat="1" applyFont="1" applyBorder="1"/>
    <xf numFmtId="166" fontId="12" fillId="0" borderId="21" xfId="0" applyNumberFormat="1" applyFont="1" applyBorder="1"/>
    <xf numFmtId="164" fontId="12" fillId="0" borderId="21" xfId="0" applyNumberFormat="1" applyFont="1" applyBorder="1"/>
    <xf numFmtId="164" fontId="7" fillId="0" borderId="21" xfId="0" quotePrefix="1" applyNumberFormat="1" applyFont="1" applyBorder="1" applyAlignment="1">
      <alignment horizontal="right"/>
    </xf>
    <xf numFmtId="166" fontId="33" fillId="0" borderId="22" xfId="0" applyNumberFormat="1" applyFont="1" applyBorder="1"/>
    <xf numFmtId="166" fontId="33" fillId="0" borderId="19" xfId="0" applyNumberFormat="1" applyFont="1" applyBorder="1"/>
    <xf numFmtId="164" fontId="13" fillId="0" borderId="0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164" fontId="7" fillId="0" borderId="20" xfId="0" applyNumberFormat="1" applyFont="1" applyBorder="1"/>
    <xf numFmtId="7" fontId="12" fillId="0" borderId="21" xfId="0" applyNumberFormat="1" applyFont="1" applyBorder="1"/>
    <xf numFmtId="167" fontId="12" fillId="0" borderId="0" xfId="0" applyNumberFormat="1" applyFont="1" applyBorder="1"/>
    <xf numFmtId="166" fontId="12" fillId="0" borderId="2" xfId="0" applyNumberFormat="1" applyFont="1" applyBorder="1"/>
    <xf numFmtId="166" fontId="12" fillId="0" borderId="24" xfId="0" applyNumberFormat="1" applyFont="1" applyBorder="1"/>
    <xf numFmtId="170" fontId="12" fillId="0" borderId="1" xfId="0" applyNumberFormat="1" applyFont="1" applyBorder="1"/>
    <xf numFmtId="170" fontId="12" fillId="0" borderId="25" xfId="0" applyNumberFormat="1" applyFont="1" applyBorder="1"/>
    <xf numFmtId="164" fontId="7" fillId="0" borderId="22" xfId="0" applyNumberFormat="1" applyFont="1" applyBorder="1"/>
    <xf numFmtId="0" fontId="7" fillId="0" borderId="0" xfId="0" applyFont="1"/>
    <xf numFmtId="164" fontId="7" fillId="0" borderId="21" xfId="0" applyNumberFormat="1" applyFont="1" applyBorder="1"/>
    <xf numFmtId="164" fontId="7" fillId="0" borderId="19" xfId="0" applyNumberFormat="1" applyFont="1" applyBorder="1"/>
    <xf numFmtId="164" fontId="35" fillId="0" borderId="0" xfId="0" applyNumberFormat="1" applyFont="1" applyBorder="1"/>
    <xf numFmtId="0" fontId="7" fillId="0" borderId="21" xfId="0" applyFont="1" applyBorder="1"/>
    <xf numFmtId="0" fontId="7" fillId="0" borderId="20" xfId="0" applyNumberFormat="1" applyFont="1" applyBorder="1" applyAlignment="1">
      <alignment horizontal="left"/>
    </xf>
    <xf numFmtId="170" fontId="7" fillId="0" borderId="0" xfId="0" applyNumberFormat="1" applyFont="1" applyBorder="1" applyAlignment="1"/>
    <xf numFmtId="164" fontId="17" fillId="0" borderId="0" xfId="0" applyNumberFormat="1" applyFont="1" applyFill="1"/>
    <xf numFmtId="167" fontId="17" fillId="0" borderId="0" xfId="0" applyNumberFormat="1" applyFont="1" applyFill="1"/>
    <xf numFmtId="7" fontId="7" fillId="0" borderId="0" xfId="0" applyNumberFormat="1" applyFont="1" applyFill="1" applyBorder="1"/>
    <xf numFmtId="167" fontId="7" fillId="0" borderId="0" xfId="0" applyNumberFormat="1" applyFont="1" applyFill="1" applyBorder="1"/>
    <xf numFmtId="170" fontId="12" fillId="0" borderId="21" xfId="0" applyNumberFormat="1" applyFont="1" applyBorder="1"/>
    <xf numFmtId="170" fontId="12" fillId="0" borderId="19" xfId="0" applyNumberFormat="1" applyFont="1" applyBorder="1"/>
    <xf numFmtId="0" fontId="3" fillId="0" borderId="0" xfId="0" applyNumberFormat="1" applyFont="1" applyFill="1" applyBorder="1"/>
    <xf numFmtId="166" fontId="12" fillId="0" borderId="0" xfId="0" applyNumberFormat="1" applyFont="1" applyFill="1" applyBorder="1" applyAlignment="1"/>
    <xf numFmtId="165" fontId="8" fillId="0" borderId="0" xfId="0" applyNumberFormat="1" applyFont="1" applyFill="1" applyBorder="1"/>
    <xf numFmtId="165" fontId="11" fillId="0" borderId="0" xfId="0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/>
    <xf numFmtId="0" fontId="7" fillId="0" borderId="0" xfId="0" applyFont="1" applyFill="1" applyBorder="1"/>
    <xf numFmtId="164" fontId="7" fillId="0" borderId="0" xfId="0" applyNumberFormat="1" applyFont="1" applyFill="1" applyBorder="1" applyAlignment="1"/>
    <xf numFmtId="7" fontId="12" fillId="0" borderId="0" xfId="0" applyNumberFormat="1" applyFont="1" applyFill="1" applyBorder="1" applyAlignment="1"/>
    <xf numFmtId="0" fontId="3" fillId="0" borderId="21" xfId="0" applyNumberFormat="1" applyFont="1" applyFill="1" applyBorder="1"/>
    <xf numFmtId="166" fontId="12" fillId="0" borderId="21" xfId="0" applyNumberFormat="1" applyFont="1" applyFill="1" applyBorder="1" applyAlignment="1"/>
    <xf numFmtId="165" fontId="8" fillId="0" borderId="20" xfId="0" applyNumberFormat="1" applyFont="1" applyFill="1" applyBorder="1"/>
    <xf numFmtId="165" fontId="11" fillId="0" borderId="21" xfId="0" applyNumberFormat="1" applyFont="1" applyFill="1" applyBorder="1" applyAlignment="1">
      <alignment horizontal="right"/>
    </xf>
    <xf numFmtId="164" fontId="7" fillId="0" borderId="21" xfId="0" applyNumberFormat="1" applyFont="1" applyFill="1" applyBorder="1"/>
    <xf numFmtId="164" fontId="12" fillId="0" borderId="21" xfId="0" applyNumberFormat="1" applyFont="1" applyFill="1" applyBorder="1" applyAlignment="1"/>
    <xf numFmtId="165" fontId="11" fillId="0" borderId="21" xfId="0" applyNumberFormat="1" applyFont="1" applyFill="1" applyBorder="1" applyAlignment="1"/>
    <xf numFmtId="7" fontId="12" fillId="0" borderId="21" xfId="0" applyNumberFormat="1" applyFont="1" applyFill="1" applyBorder="1" applyAlignment="1"/>
    <xf numFmtId="164" fontId="34" fillId="0" borderId="0" xfId="0" applyNumberFormat="1" applyFont="1" applyFill="1" applyBorder="1" applyAlignment="1">
      <alignment horizontal="centerContinuous"/>
    </xf>
    <xf numFmtId="164" fontId="34" fillId="0" borderId="0" xfId="0" applyNumberFormat="1" applyFont="1" applyFill="1" applyBorder="1" applyAlignment="1">
      <alignment horizontal="right"/>
    </xf>
    <xf numFmtId="164" fontId="4" fillId="0" borderId="15" xfId="0" applyNumberFormat="1" applyFont="1" applyFill="1" applyBorder="1" applyAlignment="1">
      <alignment horizontal="centerContinuous"/>
    </xf>
    <xf numFmtId="164" fontId="4" fillId="0" borderId="17" xfId="0" applyNumberFormat="1" applyFont="1" applyFill="1" applyBorder="1" applyAlignment="1">
      <alignment horizontal="centerContinuous"/>
    </xf>
    <xf numFmtId="164" fontId="34" fillId="0" borderId="21" xfId="0" applyNumberFormat="1" applyFont="1" applyFill="1" applyBorder="1" applyAlignment="1">
      <alignment horizontal="centerContinuous"/>
    </xf>
    <xf numFmtId="164" fontId="7" fillId="0" borderId="22" xfId="0" applyNumberFormat="1" applyFont="1" applyFill="1" applyBorder="1"/>
    <xf numFmtId="170" fontId="12" fillId="0" borderId="0" xfId="0" applyNumberFormat="1" applyFont="1" applyFill="1" applyBorder="1" applyAlignment="1"/>
    <xf numFmtId="170" fontId="12" fillId="0" borderId="21" xfId="0" applyNumberFormat="1" applyFont="1" applyFill="1" applyBorder="1" applyAlignment="1"/>
    <xf numFmtId="170" fontId="12" fillId="0" borderId="22" xfId="0" applyNumberFormat="1" applyFont="1" applyFill="1" applyBorder="1" applyAlignment="1"/>
    <xf numFmtId="170" fontId="12" fillId="0" borderId="19" xfId="0" applyNumberFormat="1" applyFont="1" applyFill="1" applyBorder="1" applyAlignment="1"/>
    <xf numFmtId="165" fontId="31" fillId="0" borderId="0" xfId="0" applyNumberFormat="1" applyFont="1" applyFill="1" applyAlignment="1"/>
    <xf numFmtId="164" fontId="17" fillId="0" borderId="0" xfId="0" applyNumberFormat="1" applyFont="1" applyFill="1" applyAlignment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almaven.com/" TargetMode="Externa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0</xdr:row>
      <xdr:rowOff>0</xdr:rowOff>
    </xdr:from>
    <xdr:to>
      <xdr:col>8</xdr:col>
      <xdr:colOff>406400</xdr:colOff>
      <xdr:row>3</xdr:row>
      <xdr:rowOff>12700</xdr:rowOff>
    </xdr:to>
    <xdr:pic>
      <xdr:nvPicPr>
        <xdr:cNvPr id="1035" name="Picture 1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6500" y="0"/>
          <a:ext cx="14859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zoomScale="80" zoomScaleNormal="80" workbookViewId="0">
      <selection activeCell="B120" sqref="B120"/>
    </sheetView>
  </sheetViews>
  <sheetFormatPr baseColWidth="10" defaultRowHeight="13" x14ac:dyDescent="0.15"/>
  <cols>
    <col min="1" max="1" width="79.3984375" bestFit="1" customWidth="1"/>
  </cols>
  <sheetData>
    <row r="1" spans="1:6" ht="20" x14ac:dyDescent="0.2">
      <c r="A1" s="281" t="s">
        <v>212</v>
      </c>
    </row>
    <row r="2" spans="1:6" ht="16" x14ac:dyDescent="0.2">
      <c r="B2" s="282" t="s">
        <v>239</v>
      </c>
      <c r="C2" s="282" t="s">
        <v>235</v>
      </c>
      <c r="D2" s="282" t="s">
        <v>236</v>
      </c>
      <c r="E2" s="282" t="s">
        <v>237</v>
      </c>
      <c r="F2" s="282" t="s">
        <v>238</v>
      </c>
    </row>
    <row r="3" spans="1:6" ht="17" x14ac:dyDescent="0.2">
      <c r="A3" s="284" t="s">
        <v>3</v>
      </c>
      <c r="B3" t="s">
        <v>240</v>
      </c>
    </row>
    <row r="4" spans="1:6" ht="17" x14ac:dyDescent="0.2">
      <c r="A4" s="284" t="s">
        <v>213</v>
      </c>
      <c r="B4" t="s">
        <v>241</v>
      </c>
    </row>
    <row r="5" spans="1:6" ht="17" x14ac:dyDescent="0.2">
      <c r="A5" s="284" t="s">
        <v>52</v>
      </c>
      <c r="B5" t="s">
        <v>242</v>
      </c>
    </row>
    <row r="6" spans="1:6" ht="17" x14ac:dyDescent="0.2">
      <c r="A6" s="284" t="s">
        <v>216</v>
      </c>
      <c r="B6" t="s">
        <v>243</v>
      </c>
    </row>
    <row r="7" spans="1:6" ht="17" x14ac:dyDescent="0.2">
      <c r="A7" s="284" t="s">
        <v>214</v>
      </c>
      <c r="B7" t="s">
        <v>244</v>
      </c>
    </row>
    <row r="8" spans="1:6" ht="17" x14ac:dyDescent="0.2">
      <c r="A8" s="284" t="s">
        <v>217</v>
      </c>
      <c r="B8" t="s">
        <v>245</v>
      </c>
    </row>
    <row r="9" spans="1:6" ht="17" x14ac:dyDescent="0.2">
      <c r="A9" s="284" t="s">
        <v>219</v>
      </c>
      <c r="B9" t="s">
        <v>246</v>
      </c>
    </row>
    <row r="10" spans="1:6" ht="17" x14ac:dyDescent="0.2">
      <c r="A10" s="284" t="s">
        <v>218</v>
      </c>
      <c r="B10" t="s">
        <v>247</v>
      </c>
    </row>
    <row r="11" spans="1:6" ht="17" x14ac:dyDescent="0.2">
      <c r="A11" s="284" t="s">
        <v>221</v>
      </c>
      <c r="B11" t="s">
        <v>248</v>
      </c>
    </row>
    <row r="12" spans="1:6" ht="17" x14ac:dyDescent="0.2">
      <c r="A12" s="284" t="s">
        <v>215</v>
      </c>
      <c r="B12" t="s">
        <v>249</v>
      </c>
    </row>
    <row r="13" spans="1:6" ht="17" x14ac:dyDescent="0.2">
      <c r="A13" s="284" t="s">
        <v>220</v>
      </c>
      <c r="B13" t="s">
        <v>250</v>
      </c>
    </row>
    <row r="14" spans="1:6" ht="17" x14ac:dyDescent="0.2">
      <c r="A14" s="284" t="s">
        <v>226</v>
      </c>
      <c r="B14" t="s">
        <v>251</v>
      </c>
    </row>
    <row r="15" spans="1:6" ht="17" x14ac:dyDescent="0.2">
      <c r="A15" s="284" t="s">
        <v>232</v>
      </c>
      <c r="B15" t="s">
        <v>252</v>
      </c>
    </row>
    <row r="16" spans="1:6" ht="17" x14ac:dyDescent="0.2">
      <c r="A16" s="284" t="s">
        <v>234</v>
      </c>
      <c r="B16" t="s">
        <v>253</v>
      </c>
    </row>
    <row r="17" spans="1:2" ht="17" x14ac:dyDescent="0.2">
      <c r="A17" s="284" t="s">
        <v>54</v>
      </c>
      <c r="B17" t="s">
        <v>254</v>
      </c>
    </row>
    <row r="18" spans="1:2" ht="17" x14ac:dyDescent="0.2">
      <c r="A18" s="284" t="s">
        <v>222</v>
      </c>
      <c r="B18" t="s">
        <v>255</v>
      </c>
    </row>
    <row r="19" spans="1:2" ht="17" x14ac:dyDescent="0.2">
      <c r="A19" s="284" t="s">
        <v>223</v>
      </c>
      <c r="B19" t="s">
        <v>256</v>
      </c>
    </row>
    <row r="20" spans="1:2" ht="17" x14ac:dyDescent="0.2">
      <c r="A20" s="284" t="s">
        <v>224</v>
      </c>
      <c r="B20" t="s">
        <v>257</v>
      </c>
    </row>
    <row r="21" spans="1:2" ht="17" x14ac:dyDescent="0.2">
      <c r="A21" s="284" t="s">
        <v>225</v>
      </c>
      <c r="B21" t="s">
        <v>258</v>
      </c>
    </row>
    <row r="22" spans="1:2" ht="17" x14ac:dyDescent="0.2">
      <c r="A22" s="284" t="s">
        <v>229</v>
      </c>
      <c r="B22" t="s">
        <v>259</v>
      </c>
    </row>
    <row r="23" spans="1:2" ht="17" x14ac:dyDescent="0.2">
      <c r="A23" s="284" t="s">
        <v>230</v>
      </c>
      <c r="B23" t="s">
        <v>260</v>
      </c>
    </row>
    <row r="24" spans="1:2" ht="17" x14ac:dyDescent="0.2">
      <c r="A24" s="284" t="s">
        <v>227</v>
      </c>
      <c r="B24" t="s">
        <v>261</v>
      </c>
    </row>
    <row r="25" spans="1:2" ht="17" x14ac:dyDescent="0.2">
      <c r="A25" s="284" t="s">
        <v>228</v>
      </c>
      <c r="B25" t="s">
        <v>262</v>
      </c>
    </row>
    <row r="26" spans="1:2" ht="17" x14ac:dyDescent="0.2">
      <c r="A26" s="284" t="s">
        <v>233</v>
      </c>
      <c r="B26" t="s">
        <v>263</v>
      </c>
    </row>
    <row r="27" spans="1:2" ht="17" x14ac:dyDescent="0.2">
      <c r="A27" s="284" t="s">
        <v>231</v>
      </c>
      <c r="B27" t="s">
        <v>264</v>
      </c>
    </row>
    <row r="28" spans="1:2" ht="18" x14ac:dyDescent="0.25">
      <c r="A28" s="280"/>
    </row>
    <row r="29" spans="1:2" ht="20" x14ac:dyDescent="0.2">
      <c r="A29" s="283" t="s">
        <v>278</v>
      </c>
    </row>
    <row r="30" spans="1:2" ht="18" x14ac:dyDescent="0.25">
      <c r="A30" s="280" t="s">
        <v>265</v>
      </c>
      <c r="B30" t="s">
        <v>310</v>
      </c>
    </row>
    <row r="31" spans="1:2" ht="18" x14ac:dyDescent="0.25">
      <c r="A31" s="280" t="s">
        <v>266</v>
      </c>
      <c r="B31" t="s">
        <v>311</v>
      </c>
    </row>
    <row r="32" spans="1:2" ht="18" x14ac:dyDescent="0.25">
      <c r="A32" s="280" t="s">
        <v>267</v>
      </c>
      <c r="B32" t="s">
        <v>312</v>
      </c>
    </row>
    <row r="33" spans="1:2" ht="18" x14ac:dyDescent="0.25">
      <c r="A33" s="280" t="s">
        <v>268</v>
      </c>
      <c r="B33" t="s">
        <v>313</v>
      </c>
    </row>
    <row r="34" spans="1:2" ht="18" x14ac:dyDescent="0.25">
      <c r="A34" s="280" t="s">
        <v>269</v>
      </c>
      <c r="B34" t="s">
        <v>314</v>
      </c>
    </row>
    <row r="35" spans="1:2" ht="18" x14ac:dyDescent="0.25">
      <c r="A35" s="280" t="s">
        <v>272</v>
      </c>
      <c r="B35" t="s">
        <v>315</v>
      </c>
    </row>
    <row r="36" spans="1:2" ht="18" x14ac:dyDescent="0.25">
      <c r="A36" s="280" t="s">
        <v>273</v>
      </c>
      <c r="B36" t="s">
        <v>316</v>
      </c>
    </row>
    <row r="37" spans="1:2" ht="18" x14ac:dyDescent="0.25">
      <c r="A37" s="280" t="s">
        <v>270</v>
      </c>
      <c r="B37" t="s">
        <v>317</v>
      </c>
    </row>
    <row r="38" spans="1:2" ht="18" x14ac:dyDescent="0.25">
      <c r="A38" s="280"/>
    </row>
    <row r="39" spans="1:2" ht="18" x14ac:dyDescent="0.25">
      <c r="A39" s="280" t="s">
        <v>271</v>
      </c>
      <c r="B39" t="s">
        <v>318</v>
      </c>
    </row>
    <row r="40" spans="1:2" ht="18" x14ac:dyDescent="0.25">
      <c r="A40" s="280" t="s">
        <v>274</v>
      </c>
      <c r="B40" t="s">
        <v>319</v>
      </c>
    </row>
    <row r="41" spans="1:2" ht="18" x14ac:dyDescent="0.25">
      <c r="A41" s="280" t="s">
        <v>277</v>
      </c>
      <c r="B41" t="s">
        <v>320</v>
      </c>
    </row>
    <row r="42" spans="1:2" ht="18" x14ac:dyDescent="0.25">
      <c r="A42" s="280" t="s">
        <v>296</v>
      </c>
      <c r="B42" t="s">
        <v>321</v>
      </c>
    </row>
    <row r="43" spans="1:2" ht="18" x14ac:dyDescent="0.25">
      <c r="A43" s="280" t="s">
        <v>280</v>
      </c>
      <c r="B43" t="s">
        <v>322</v>
      </c>
    </row>
    <row r="44" spans="1:2" ht="18" x14ac:dyDescent="0.25">
      <c r="A44" s="280" t="s">
        <v>275</v>
      </c>
      <c r="B44" t="s">
        <v>315</v>
      </c>
    </row>
    <row r="45" spans="1:2" ht="18" x14ac:dyDescent="0.25">
      <c r="A45" s="280" t="s">
        <v>276</v>
      </c>
      <c r="B45" t="s">
        <v>323</v>
      </c>
    </row>
    <row r="46" spans="1:2" ht="18" x14ac:dyDescent="0.25">
      <c r="A46" s="280" t="s">
        <v>279</v>
      </c>
      <c r="B46" t="s">
        <v>324</v>
      </c>
    </row>
    <row r="48" spans="1:2" ht="24" x14ac:dyDescent="0.3">
      <c r="A48" s="285" t="s">
        <v>281</v>
      </c>
    </row>
    <row r="49" spans="1:2" ht="18" x14ac:dyDescent="0.25">
      <c r="A49" s="280" t="s">
        <v>283</v>
      </c>
      <c r="B49" t="s">
        <v>325</v>
      </c>
    </row>
    <row r="50" spans="1:2" ht="18" x14ac:dyDescent="0.25">
      <c r="A50" s="280" t="s">
        <v>282</v>
      </c>
      <c r="B50" t="s">
        <v>326</v>
      </c>
    </row>
    <row r="51" spans="1:2" ht="18" x14ac:dyDescent="0.25">
      <c r="A51" s="280" t="s">
        <v>293</v>
      </c>
      <c r="B51" t="s">
        <v>327</v>
      </c>
    </row>
    <row r="52" spans="1:2" ht="18" x14ac:dyDescent="0.25">
      <c r="A52" s="280" t="s">
        <v>295</v>
      </c>
      <c r="B52" t="s">
        <v>328</v>
      </c>
    </row>
    <row r="53" spans="1:2" ht="18" x14ac:dyDescent="0.25">
      <c r="A53" s="280" t="s">
        <v>290</v>
      </c>
      <c r="B53" t="s">
        <v>329</v>
      </c>
    </row>
    <row r="54" spans="1:2" ht="18" x14ac:dyDescent="0.25">
      <c r="A54" s="280" t="s">
        <v>286</v>
      </c>
      <c r="B54" t="s">
        <v>330</v>
      </c>
    </row>
    <row r="56" spans="1:2" ht="18" x14ac:dyDescent="0.25">
      <c r="A56" s="280" t="s">
        <v>287</v>
      </c>
      <c r="B56" t="s">
        <v>331</v>
      </c>
    </row>
    <row r="57" spans="1:2" ht="18" x14ac:dyDescent="0.25">
      <c r="A57" s="280" t="s">
        <v>294</v>
      </c>
      <c r="B57" t="s">
        <v>332</v>
      </c>
    </row>
    <row r="58" spans="1:2" ht="18" x14ac:dyDescent="0.25">
      <c r="A58" s="280" t="s">
        <v>292</v>
      </c>
      <c r="B58" t="s">
        <v>333</v>
      </c>
    </row>
    <row r="59" spans="1:2" ht="18" x14ac:dyDescent="0.25">
      <c r="A59" s="280" t="s">
        <v>291</v>
      </c>
      <c r="B59" t="s">
        <v>334</v>
      </c>
    </row>
    <row r="60" spans="1:2" ht="18" x14ac:dyDescent="0.25">
      <c r="A60" s="280" t="s">
        <v>284</v>
      </c>
      <c r="B60" t="s">
        <v>335</v>
      </c>
    </row>
    <row r="61" spans="1:2" ht="18" x14ac:dyDescent="0.25">
      <c r="A61" s="280" t="s">
        <v>288</v>
      </c>
      <c r="B61" t="s">
        <v>336</v>
      </c>
    </row>
    <row r="62" spans="1:2" ht="18" x14ac:dyDescent="0.25">
      <c r="A62" s="280" t="s">
        <v>289</v>
      </c>
      <c r="B62" t="s">
        <v>323</v>
      </c>
    </row>
    <row r="63" spans="1:2" ht="18" x14ac:dyDescent="0.25">
      <c r="A63" s="280" t="s">
        <v>297</v>
      </c>
      <c r="B63" t="s">
        <v>337</v>
      </c>
    </row>
    <row r="64" spans="1:2" ht="18" x14ac:dyDescent="0.25">
      <c r="A64" s="280" t="s">
        <v>285</v>
      </c>
      <c r="B64" t="s">
        <v>338</v>
      </c>
    </row>
    <row r="66" spans="1:2" ht="22" x14ac:dyDescent="0.3">
      <c r="A66" s="286" t="s">
        <v>298</v>
      </c>
    </row>
    <row r="67" spans="1:2" ht="18" x14ac:dyDescent="0.25">
      <c r="A67" s="280" t="s">
        <v>299</v>
      </c>
      <c r="B67" t="s">
        <v>339</v>
      </c>
    </row>
    <row r="68" spans="1:2" ht="18" x14ac:dyDescent="0.25">
      <c r="A68" s="280" t="s">
        <v>300</v>
      </c>
      <c r="B68" t="s">
        <v>340</v>
      </c>
    </row>
    <row r="69" spans="1:2" ht="18" x14ac:dyDescent="0.25">
      <c r="A69" s="280" t="s">
        <v>302</v>
      </c>
      <c r="B69" t="s">
        <v>341</v>
      </c>
    </row>
    <row r="70" spans="1:2" ht="18" x14ac:dyDescent="0.25">
      <c r="A70" s="280" t="s">
        <v>301</v>
      </c>
      <c r="B70" t="s">
        <v>342</v>
      </c>
    </row>
    <row r="71" spans="1:2" ht="18" x14ac:dyDescent="0.25">
      <c r="A71" s="280" t="s">
        <v>304</v>
      </c>
      <c r="B71" t="s">
        <v>343</v>
      </c>
    </row>
    <row r="72" spans="1:2" ht="18" x14ac:dyDescent="0.25">
      <c r="A72" s="280" t="s">
        <v>305</v>
      </c>
      <c r="B72" t="s">
        <v>344</v>
      </c>
    </row>
    <row r="73" spans="1:2" ht="18" x14ac:dyDescent="0.25">
      <c r="A73" s="280" t="s">
        <v>309</v>
      </c>
      <c r="B73" t="s">
        <v>345</v>
      </c>
    </row>
    <row r="74" spans="1:2" ht="18" x14ac:dyDescent="0.25">
      <c r="A74" s="280" t="s">
        <v>306</v>
      </c>
      <c r="B74" t="s">
        <v>346</v>
      </c>
    </row>
    <row r="75" spans="1:2" ht="18" x14ac:dyDescent="0.25">
      <c r="A75" s="280" t="s">
        <v>303</v>
      </c>
      <c r="B75" t="s">
        <v>347</v>
      </c>
    </row>
    <row r="76" spans="1:2" ht="18" x14ac:dyDescent="0.25">
      <c r="A76" s="280" t="s">
        <v>308</v>
      </c>
      <c r="B76" t="s">
        <v>348</v>
      </c>
    </row>
    <row r="77" spans="1:2" ht="18" x14ac:dyDescent="0.25">
      <c r="A77" s="280" t="s">
        <v>307</v>
      </c>
      <c r="B77" t="s">
        <v>349</v>
      </c>
    </row>
    <row r="79" spans="1:2" ht="20" x14ac:dyDescent="0.2">
      <c r="A79" s="281" t="s">
        <v>350</v>
      </c>
    </row>
    <row r="80" spans="1:2" ht="18" x14ac:dyDescent="0.25">
      <c r="A80" s="280" t="s">
        <v>351</v>
      </c>
      <c r="B80" t="s">
        <v>413</v>
      </c>
    </row>
    <row r="81" spans="1:2" ht="18" x14ac:dyDescent="0.25">
      <c r="A81" s="280" t="s">
        <v>358</v>
      </c>
      <c r="B81" t="s">
        <v>390</v>
      </c>
    </row>
    <row r="82" spans="1:2" ht="18" x14ac:dyDescent="0.25">
      <c r="A82" s="280" t="s">
        <v>354</v>
      </c>
      <c r="B82" t="s">
        <v>416</v>
      </c>
    </row>
    <row r="83" spans="1:2" ht="18" x14ac:dyDescent="0.25">
      <c r="A83" s="280" t="s">
        <v>355</v>
      </c>
      <c r="B83" t="s">
        <v>415</v>
      </c>
    </row>
    <row r="84" spans="1:2" ht="18" x14ac:dyDescent="0.25">
      <c r="A84" s="280" t="s">
        <v>356</v>
      </c>
      <c r="B84" t="s">
        <v>393</v>
      </c>
    </row>
    <row r="85" spans="1:2" ht="18" x14ac:dyDescent="0.25">
      <c r="A85" s="280" t="s">
        <v>378</v>
      </c>
      <c r="B85" t="s">
        <v>403</v>
      </c>
    </row>
    <row r="86" spans="1:2" ht="18" x14ac:dyDescent="0.25">
      <c r="A86" s="280" t="s">
        <v>384</v>
      </c>
      <c r="B86" t="s">
        <v>409</v>
      </c>
    </row>
    <row r="87" spans="1:2" ht="18" x14ac:dyDescent="0.25">
      <c r="A87" s="280" t="s">
        <v>382</v>
      </c>
      <c r="B87" t="s">
        <v>400</v>
      </c>
    </row>
    <row r="88" spans="1:2" ht="18" x14ac:dyDescent="0.25">
      <c r="A88" s="280" t="s">
        <v>353</v>
      </c>
      <c r="B88" t="s">
        <v>414</v>
      </c>
    </row>
    <row r="89" spans="1:2" ht="18" x14ac:dyDescent="0.25">
      <c r="A89" s="280" t="s">
        <v>357</v>
      </c>
      <c r="B89" t="s">
        <v>392</v>
      </c>
    </row>
    <row r="90" spans="1:2" ht="18" x14ac:dyDescent="0.25">
      <c r="A90" s="280" t="s">
        <v>385</v>
      </c>
      <c r="B90" t="s">
        <v>386</v>
      </c>
    </row>
    <row r="91" spans="1:2" ht="18" x14ac:dyDescent="0.25">
      <c r="A91" s="280" t="s">
        <v>387</v>
      </c>
      <c r="B91" t="s">
        <v>388</v>
      </c>
    </row>
    <row r="92" spans="1:2" ht="18" x14ac:dyDescent="0.25">
      <c r="A92" s="280" t="s">
        <v>394</v>
      </c>
      <c r="B92" t="s">
        <v>395</v>
      </c>
    </row>
    <row r="93" spans="1:2" ht="18" x14ac:dyDescent="0.25">
      <c r="A93" s="280" t="s">
        <v>359</v>
      </c>
      <c r="B93" t="s">
        <v>396</v>
      </c>
    </row>
    <row r="94" spans="1:2" ht="18" x14ac:dyDescent="0.25">
      <c r="A94" s="280" t="s">
        <v>360</v>
      </c>
      <c r="B94" t="s">
        <v>397</v>
      </c>
    </row>
    <row r="95" spans="1:2" ht="18" x14ac:dyDescent="0.25">
      <c r="A95" s="280" t="s">
        <v>361</v>
      </c>
      <c r="B95" t="s">
        <v>399</v>
      </c>
    </row>
    <row r="96" spans="1:2" ht="18" x14ac:dyDescent="0.25">
      <c r="A96" s="280" t="s">
        <v>362</v>
      </c>
      <c r="B96" t="s">
        <v>398</v>
      </c>
    </row>
    <row r="97" spans="1:2" ht="18" x14ac:dyDescent="0.25">
      <c r="A97" s="280" t="s">
        <v>418</v>
      </c>
      <c r="B97" t="s">
        <v>422</v>
      </c>
    </row>
    <row r="98" spans="1:2" ht="18" x14ac:dyDescent="0.25">
      <c r="A98" s="280" t="s">
        <v>352</v>
      </c>
      <c r="B98" t="s">
        <v>412</v>
      </c>
    </row>
    <row r="100" spans="1:2" ht="18" x14ac:dyDescent="0.25">
      <c r="A100" s="280" t="s">
        <v>372</v>
      </c>
      <c r="B100" t="s">
        <v>425</v>
      </c>
    </row>
    <row r="101" spans="1:2" ht="18" x14ac:dyDescent="0.25">
      <c r="A101" s="280" t="s">
        <v>367</v>
      </c>
      <c r="B101" t="s">
        <v>404</v>
      </c>
    </row>
    <row r="102" spans="1:2" ht="18" x14ac:dyDescent="0.25">
      <c r="A102" s="280" t="s">
        <v>383</v>
      </c>
      <c r="B102" t="s">
        <v>408</v>
      </c>
    </row>
    <row r="103" spans="1:2" ht="18" x14ac:dyDescent="0.25">
      <c r="A103" s="280" t="s">
        <v>363</v>
      </c>
      <c r="B103" t="s">
        <v>417</v>
      </c>
    </row>
    <row r="104" spans="1:2" ht="18" x14ac:dyDescent="0.25">
      <c r="A104" s="280" t="s">
        <v>365</v>
      </c>
      <c r="B104" t="s">
        <v>426</v>
      </c>
    </row>
    <row r="105" spans="1:2" ht="18" x14ac:dyDescent="0.25">
      <c r="A105" s="280" t="s">
        <v>364</v>
      </c>
      <c r="B105" t="s">
        <v>424</v>
      </c>
    </row>
    <row r="106" spans="1:2" ht="18" x14ac:dyDescent="0.25">
      <c r="A106" s="280" t="s">
        <v>368</v>
      </c>
      <c r="B106" t="s">
        <v>411</v>
      </c>
    </row>
    <row r="108" spans="1:2" ht="18" x14ac:dyDescent="0.25">
      <c r="A108" s="280" t="s">
        <v>381</v>
      </c>
      <c r="B108" t="s">
        <v>389</v>
      </c>
    </row>
    <row r="109" spans="1:2" ht="18" x14ac:dyDescent="0.25">
      <c r="A109" s="280" t="s">
        <v>380</v>
      </c>
      <c r="B109" t="s">
        <v>391</v>
      </c>
    </row>
    <row r="110" spans="1:2" ht="18" x14ac:dyDescent="0.25">
      <c r="A110" s="280" t="s">
        <v>366</v>
      </c>
      <c r="B110" t="s">
        <v>402</v>
      </c>
    </row>
    <row r="111" spans="1:2" ht="18" x14ac:dyDescent="0.25">
      <c r="A111" s="280" t="s">
        <v>370</v>
      </c>
      <c r="B111" t="s">
        <v>427</v>
      </c>
    </row>
    <row r="112" spans="1:2" ht="18" x14ac:dyDescent="0.25">
      <c r="A112" s="280" t="s">
        <v>369</v>
      </c>
      <c r="B112" t="s">
        <v>423</v>
      </c>
    </row>
    <row r="113" spans="1:2" ht="18" x14ac:dyDescent="0.25">
      <c r="A113" s="280" t="s">
        <v>379</v>
      </c>
      <c r="B113" t="s">
        <v>401</v>
      </c>
    </row>
    <row r="114" spans="1:2" ht="18" x14ac:dyDescent="0.25">
      <c r="A114" s="280" t="s">
        <v>420</v>
      </c>
      <c r="B114" t="s">
        <v>410</v>
      </c>
    </row>
    <row r="115" spans="1:2" ht="18" x14ac:dyDescent="0.25">
      <c r="A115" s="280"/>
    </row>
    <row r="116" spans="1:2" ht="18" x14ac:dyDescent="0.25">
      <c r="A116" s="280" t="s">
        <v>377</v>
      </c>
      <c r="B116" t="s">
        <v>407</v>
      </c>
    </row>
    <row r="117" spans="1:2" ht="18" x14ac:dyDescent="0.25">
      <c r="A117" s="280" t="s">
        <v>376</v>
      </c>
      <c r="B117" t="s">
        <v>406</v>
      </c>
    </row>
    <row r="118" spans="1:2" ht="18" x14ac:dyDescent="0.25">
      <c r="A118" s="280" t="s">
        <v>375</v>
      </c>
      <c r="B118" t="s">
        <v>405</v>
      </c>
    </row>
    <row r="119" spans="1:2" ht="18" x14ac:dyDescent="0.25">
      <c r="A119" s="280" t="s">
        <v>373</v>
      </c>
      <c r="B119" t="s">
        <v>421</v>
      </c>
    </row>
    <row r="120" spans="1:2" ht="18" x14ac:dyDescent="0.25">
      <c r="A120" s="280" t="s">
        <v>371</v>
      </c>
      <c r="B120" t="s">
        <v>428</v>
      </c>
    </row>
    <row r="122" spans="1:2" ht="18" x14ac:dyDescent="0.25">
      <c r="A122" s="280" t="s">
        <v>374</v>
      </c>
      <c r="B122" t="s">
        <v>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R410"/>
  <sheetViews>
    <sheetView showGridLines="0" tabSelected="1" zoomScale="125" zoomScaleNormal="138" workbookViewId="0">
      <selection activeCell="A13" sqref="A1:XFD13"/>
    </sheetView>
  </sheetViews>
  <sheetFormatPr baseColWidth="10" defaultColWidth="9.3984375" defaultRowHeight="13" x14ac:dyDescent="0.15"/>
  <cols>
    <col min="1" max="1" width="30.19921875" style="2" customWidth="1"/>
    <col min="2" max="16384" width="9.3984375" style="2"/>
  </cols>
  <sheetData>
    <row r="1" spans="1:9" s="9" customFormat="1" ht="6" customHeight="1" x14ac:dyDescent="0.15">
      <c r="G1" s="239"/>
      <c r="H1" s="239"/>
      <c r="I1" s="239"/>
    </row>
    <row r="2" spans="1:9" s="9" customFormat="1" ht="16" x14ac:dyDescent="0.3">
      <c r="A2" s="214" t="s">
        <v>185</v>
      </c>
      <c r="B2" s="220"/>
      <c r="C2" s="220"/>
      <c r="D2" s="220"/>
      <c r="E2" s="220"/>
      <c r="F2" s="221"/>
    </row>
    <row r="3" spans="1:9" s="9" customFormat="1" x14ac:dyDescent="0.15">
      <c r="A3" s="231" t="s">
        <v>121</v>
      </c>
      <c r="B3" s="216">
        <f>opcase</f>
        <v>1</v>
      </c>
      <c r="C3" s="217" t="str">
        <f ca="1">B355</f>
        <v>Management Case</v>
      </c>
      <c r="D3" s="37"/>
      <c r="E3" s="37"/>
      <c r="F3" s="240"/>
    </row>
    <row r="4" spans="1:9" s="9" customFormat="1" x14ac:dyDescent="0.15">
      <c r="A4" s="231" t="s">
        <v>122</v>
      </c>
      <c r="B4" s="216">
        <f>transcase</f>
        <v>2</v>
      </c>
      <c r="C4" s="217" t="str">
        <f ca="1">H380</f>
        <v>Refinance w/ $30.0 Term Loan, $70.0 High Yield</v>
      </c>
      <c r="D4" s="37"/>
      <c r="E4" s="37"/>
      <c r="F4" s="240"/>
    </row>
    <row r="5" spans="1:9" s="9" customFormat="1" x14ac:dyDescent="0.15">
      <c r="A5" s="218" t="s">
        <v>186</v>
      </c>
      <c r="B5" s="219">
        <v>0</v>
      </c>
      <c r="C5" s="238"/>
      <c r="D5" s="238"/>
      <c r="E5" s="238"/>
      <c r="F5" s="241"/>
    </row>
    <row r="6" spans="1:9" s="9" customFormat="1" x14ac:dyDescent="0.15"/>
    <row r="7" spans="1:9" s="9" customFormat="1" ht="16" x14ac:dyDescent="0.3">
      <c r="A7" s="214" t="s">
        <v>187</v>
      </c>
      <c r="B7" s="220"/>
      <c r="C7" s="220"/>
      <c r="D7" s="220"/>
      <c r="E7" s="220"/>
      <c r="F7" s="221"/>
    </row>
    <row r="8" spans="1:9" s="9" customFormat="1" x14ac:dyDescent="0.15">
      <c r="A8" s="222" t="str">
        <f>A382</f>
        <v>Sources of Funds</v>
      </c>
      <c r="B8" s="37"/>
      <c r="C8" s="37"/>
      <c r="D8" s="242" t="s">
        <v>168</v>
      </c>
      <c r="E8" s="37"/>
      <c r="F8" s="240"/>
    </row>
    <row r="9" spans="1:9" s="9" customFormat="1" x14ac:dyDescent="0.15">
      <c r="A9" s="215" t="str">
        <f>A383</f>
        <v xml:space="preserve">  Excess Cash</v>
      </c>
      <c r="B9" s="223">
        <f ca="1">H383</f>
        <v>0</v>
      </c>
      <c r="C9" s="37"/>
      <c r="D9" s="217" t="str">
        <f t="shared" ref="D9:D14" si="0">A391</f>
        <v xml:space="preserve">  Fund Cash Blc.</v>
      </c>
      <c r="E9" s="37"/>
      <c r="F9" s="224">
        <f t="shared" ref="F9:F14" ca="1" si="1">H391</f>
        <v>10</v>
      </c>
    </row>
    <row r="10" spans="1:9" s="9" customFormat="1" x14ac:dyDescent="0.15">
      <c r="A10" s="215" t="str">
        <f>A384</f>
        <v xml:space="preserve">  New Revolver</v>
      </c>
      <c r="B10" s="217">
        <f ca="1">H384</f>
        <v>0</v>
      </c>
      <c r="C10" s="37"/>
      <c r="D10" s="217" t="str">
        <f t="shared" si="0"/>
        <v xml:space="preserve">  Repay Revolver</v>
      </c>
      <c r="E10" s="37"/>
      <c r="F10" s="225">
        <f t="shared" ca="1" si="1"/>
        <v>87.15</v>
      </c>
    </row>
    <row r="11" spans="1:9" s="9" customFormat="1" x14ac:dyDescent="0.15">
      <c r="A11" s="215" t="str">
        <f>A385</f>
        <v xml:space="preserve">  New Term Loan</v>
      </c>
      <c r="B11" s="217">
        <f ca="1">H385</f>
        <v>30</v>
      </c>
      <c r="C11" s="37"/>
      <c r="D11" s="217" t="str">
        <f t="shared" si="0"/>
        <v xml:space="preserve">  Repay Term Loan</v>
      </c>
      <c r="E11" s="37"/>
      <c r="F11" s="225">
        <f t="shared" ca="1" si="1"/>
        <v>0</v>
      </c>
    </row>
    <row r="12" spans="1:9" s="9" customFormat="1" x14ac:dyDescent="0.15">
      <c r="A12" s="215" t="str">
        <f>A386</f>
        <v xml:space="preserve">  New Sr. Sub. Notes</v>
      </c>
      <c r="B12" s="217">
        <f ca="1">H386</f>
        <v>70</v>
      </c>
      <c r="C12" s="37"/>
      <c r="D12" s="217" t="str">
        <f t="shared" si="0"/>
        <v xml:space="preserve">  Repay Sr. Sub. Notes</v>
      </c>
      <c r="E12" s="37"/>
      <c r="F12" s="225">
        <f t="shared" ca="1" si="1"/>
        <v>0</v>
      </c>
    </row>
    <row r="13" spans="1:9" s="9" customFormat="1" x14ac:dyDescent="0.15">
      <c r="A13" s="231"/>
      <c r="B13" s="37"/>
      <c r="C13" s="37"/>
      <c r="D13" s="217" t="str">
        <f t="shared" si="0"/>
        <v xml:space="preserve">  Term Loan Fee</v>
      </c>
      <c r="E13" s="37"/>
      <c r="F13" s="225">
        <f t="shared" ca="1" si="1"/>
        <v>0.75</v>
      </c>
    </row>
    <row r="14" spans="1:9" s="9" customFormat="1" x14ac:dyDescent="0.15">
      <c r="A14" s="231"/>
      <c r="B14" s="37"/>
      <c r="C14" s="37"/>
      <c r="D14" s="217" t="str">
        <f t="shared" si="0"/>
        <v xml:space="preserve">  Sr. Sub. Fee</v>
      </c>
      <c r="E14" s="37"/>
      <c r="F14" s="225">
        <f t="shared" ca="1" si="1"/>
        <v>2.1</v>
      </c>
    </row>
    <row r="15" spans="1:9" s="9" customFormat="1" ht="6" customHeight="1" x14ac:dyDescent="0.15">
      <c r="A15" s="231"/>
      <c r="B15" s="46" t="s">
        <v>23</v>
      </c>
      <c r="C15" s="37"/>
      <c r="D15" s="37"/>
      <c r="E15" s="37"/>
      <c r="F15" s="226" t="s">
        <v>23</v>
      </c>
    </row>
    <row r="16" spans="1:9" s="9" customFormat="1" ht="16" x14ac:dyDescent="0.3">
      <c r="A16" s="218" t="s">
        <v>167</v>
      </c>
      <c r="B16" s="227">
        <f ca="1">SUM(B9:B15)</f>
        <v>100</v>
      </c>
      <c r="C16" s="238"/>
      <c r="D16" s="238" t="s">
        <v>175</v>
      </c>
      <c r="E16" s="238"/>
      <c r="F16" s="228">
        <f ca="1">SUM(F9:F15)</f>
        <v>100</v>
      </c>
    </row>
    <row r="17" spans="1:4" s="9" customFormat="1" x14ac:dyDescent="0.15"/>
    <row r="18" spans="1:4" s="9" customFormat="1" ht="16" x14ac:dyDescent="0.3">
      <c r="A18" s="214" t="s">
        <v>188</v>
      </c>
      <c r="B18" s="220"/>
      <c r="C18" s="220"/>
      <c r="D18" s="221"/>
    </row>
    <row r="19" spans="1:4" s="9" customFormat="1" x14ac:dyDescent="0.15">
      <c r="A19" s="231"/>
      <c r="B19" s="37"/>
      <c r="C19" s="229" t="s">
        <v>189</v>
      </c>
      <c r="D19" s="230" t="s">
        <v>190</v>
      </c>
    </row>
    <row r="20" spans="1:4" s="9" customFormat="1" x14ac:dyDescent="0.15">
      <c r="A20" s="231" t="s">
        <v>191</v>
      </c>
      <c r="B20" s="37"/>
      <c r="C20" s="248">
        <v>9.5</v>
      </c>
      <c r="D20" s="232">
        <f ca="1">B338</f>
        <v>12.840554352788967</v>
      </c>
    </row>
    <row r="21" spans="1:4" s="9" customFormat="1" x14ac:dyDescent="0.15">
      <c r="A21" s="231" t="s">
        <v>192</v>
      </c>
      <c r="B21" s="37"/>
      <c r="C21" s="249">
        <v>9.5</v>
      </c>
      <c r="D21" s="243"/>
    </row>
    <row r="22" spans="1:4" s="9" customFormat="1" x14ac:dyDescent="0.15">
      <c r="A22" s="231" t="s">
        <v>193</v>
      </c>
      <c r="B22" s="37"/>
      <c r="C22" s="249">
        <v>1.5</v>
      </c>
      <c r="D22" s="243"/>
    </row>
    <row r="23" spans="1:4" s="9" customFormat="1" x14ac:dyDescent="0.15">
      <c r="A23" s="231" t="s">
        <v>194</v>
      </c>
      <c r="B23" s="37"/>
      <c r="C23" s="248">
        <v>6</v>
      </c>
      <c r="D23" s="243"/>
    </row>
    <row r="24" spans="1:4" s="9" customFormat="1" x14ac:dyDescent="0.15">
      <c r="A24" s="231" t="s">
        <v>195</v>
      </c>
      <c r="B24" s="37"/>
      <c r="C24" s="233">
        <f>C21+IF(C20&gt;C23,C22-C22*C23/C20,0)</f>
        <v>10.052631578947368</v>
      </c>
      <c r="D24" s="243"/>
    </row>
    <row r="25" spans="1:4" s="9" customFormat="1" ht="6" customHeight="1" x14ac:dyDescent="0.15">
      <c r="A25" s="231"/>
      <c r="B25" s="37"/>
      <c r="C25" s="46" t="s">
        <v>23</v>
      </c>
      <c r="D25" s="243"/>
    </row>
    <row r="26" spans="1:4" s="9" customFormat="1" x14ac:dyDescent="0.15">
      <c r="A26" s="231" t="s">
        <v>196</v>
      </c>
      <c r="B26" s="37"/>
      <c r="C26" s="223">
        <f>C24*C20</f>
        <v>95.5</v>
      </c>
      <c r="D26" s="240"/>
    </row>
    <row r="27" spans="1:4" s="9" customFormat="1" x14ac:dyDescent="0.15">
      <c r="A27" s="231" t="s">
        <v>197</v>
      </c>
      <c r="B27" s="37"/>
      <c r="C27" s="217">
        <f>B200-B173</f>
        <v>86</v>
      </c>
      <c r="D27" s="240"/>
    </row>
    <row r="28" spans="1:4" s="9" customFormat="1" ht="6" customHeight="1" x14ac:dyDescent="0.15">
      <c r="A28" s="231"/>
      <c r="B28" s="37"/>
      <c r="C28" s="46" t="s">
        <v>23</v>
      </c>
      <c r="D28" s="240"/>
    </row>
    <row r="29" spans="1:4" s="9" customFormat="1" x14ac:dyDescent="0.15">
      <c r="A29" s="231" t="s">
        <v>198</v>
      </c>
      <c r="B29" s="37"/>
      <c r="C29" s="234">
        <f>SUM(C26:C28)</f>
        <v>181.5</v>
      </c>
      <c r="D29" s="235">
        <f ca="1">B333</f>
        <v>214.40554352788968</v>
      </c>
    </row>
    <row r="30" spans="1:4" s="9" customFormat="1" x14ac:dyDescent="0.15">
      <c r="A30" s="244" t="s">
        <v>199</v>
      </c>
      <c r="B30" s="37"/>
      <c r="C30" s="236">
        <f>C$29/$D$83</f>
        <v>7.9955947136563879</v>
      </c>
      <c r="D30" s="250">
        <f ca="1">D$29/$D$83</f>
        <v>9.4451781289819241</v>
      </c>
    </row>
    <row r="31" spans="1:4" s="9" customFormat="1" x14ac:dyDescent="0.15">
      <c r="A31" s="218" t="s">
        <v>200</v>
      </c>
      <c r="B31" s="238"/>
      <c r="C31" s="237">
        <f ca="1">C$29/$E$83</f>
        <v>7.3595004460303279</v>
      </c>
      <c r="D31" s="251">
        <f ca="1">D$29/$E$83</f>
        <v>8.693761395178397</v>
      </c>
    </row>
    <row r="32" spans="1:4" s="9" customFormat="1" x14ac:dyDescent="0.15"/>
    <row r="33" spans="1:9" s="9" customFormat="1" ht="16" x14ac:dyDescent="0.3">
      <c r="A33" s="146" t="s">
        <v>201</v>
      </c>
      <c r="B33" s="270"/>
      <c r="C33" s="270"/>
      <c r="D33" s="270"/>
      <c r="E33" s="270"/>
      <c r="F33" s="270"/>
      <c r="G33" s="270"/>
      <c r="H33" s="270"/>
      <c r="I33" s="271"/>
    </row>
    <row r="34" spans="1:9" s="9" customFormat="1" ht="16" x14ac:dyDescent="0.3">
      <c r="A34" s="129"/>
      <c r="B34" s="268" t="s">
        <v>0</v>
      </c>
      <c r="C34" s="268"/>
      <c r="D34" s="269" t="s">
        <v>202</v>
      </c>
      <c r="E34" s="268" t="s">
        <v>1</v>
      </c>
      <c r="F34" s="268"/>
      <c r="G34" s="268"/>
      <c r="H34" s="268"/>
      <c r="I34" s="272"/>
    </row>
    <row r="35" spans="1:9" s="9" customFormat="1" x14ac:dyDescent="0.15">
      <c r="A35" s="129"/>
      <c r="B35" s="252">
        <f>B54</f>
        <v>1997</v>
      </c>
      <c r="C35" s="252">
        <f t="shared" ref="C35:I35" si="2">C54</f>
        <v>1998</v>
      </c>
      <c r="D35" s="252">
        <f t="shared" si="2"/>
        <v>1999</v>
      </c>
      <c r="E35" s="252">
        <f t="shared" si="2"/>
        <v>2000</v>
      </c>
      <c r="F35" s="252">
        <f t="shared" si="2"/>
        <v>2001</v>
      </c>
      <c r="G35" s="252">
        <f t="shared" si="2"/>
        <v>2002</v>
      </c>
      <c r="H35" s="252">
        <f t="shared" si="2"/>
        <v>2003</v>
      </c>
      <c r="I35" s="260">
        <f t="shared" si="2"/>
        <v>2004</v>
      </c>
    </row>
    <row r="36" spans="1:9" s="9" customFormat="1" x14ac:dyDescent="0.15">
      <c r="A36" s="129" t="s">
        <v>3</v>
      </c>
      <c r="B36" s="253">
        <f>B56</f>
        <v>110</v>
      </c>
      <c r="C36" s="253">
        <f t="shared" ref="C36:I36" si="3">C56</f>
        <v>115</v>
      </c>
      <c r="D36" s="253">
        <f t="shared" si="3"/>
        <v>118</v>
      </c>
      <c r="E36" s="253">
        <f t="shared" ca="1" si="3"/>
        <v>129.80000000000001</v>
      </c>
      <c r="F36" s="253">
        <f t="shared" ca="1" si="3"/>
        <v>142.78000000000003</v>
      </c>
      <c r="G36" s="253">
        <f t="shared" ca="1" si="3"/>
        <v>157.05800000000005</v>
      </c>
      <c r="H36" s="253">
        <f t="shared" ca="1" si="3"/>
        <v>172.76380000000006</v>
      </c>
      <c r="I36" s="261">
        <f t="shared" ca="1" si="3"/>
        <v>190.04018000000008</v>
      </c>
    </row>
    <row r="37" spans="1:9" s="10" customFormat="1" x14ac:dyDescent="0.15">
      <c r="A37" s="262" t="s">
        <v>4</v>
      </c>
      <c r="B37" s="254"/>
      <c r="C37" s="255">
        <f>C36/B36-1</f>
        <v>4.5454545454545414E-2</v>
      </c>
      <c r="D37" s="255">
        <f t="shared" ref="D37:I37" si="4">D36/C36-1</f>
        <v>2.6086956521739202E-2</v>
      </c>
      <c r="E37" s="255">
        <f t="shared" ca="1" si="4"/>
        <v>0.10000000000000009</v>
      </c>
      <c r="F37" s="255">
        <f t="shared" ca="1" si="4"/>
        <v>0.10000000000000009</v>
      </c>
      <c r="G37" s="255">
        <f t="shared" ca="1" si="4"/>
        <v>0.10000000000000009</v>
      </c>
      <c r="H37" s="255">
        <f t="shared" ca="1" si="4"/>
        <v>0.10000000000000009</v>
      </c>
      <c r="I37" s="263">
        <f t="shared" ca="1" si="4"/>
        <v>0.10000000000000009</v>
      </c>
    </row>
    <row r="38" spans="1:9" s="9" customFormat="1" ht="6" customHeight="1" x14ac:dyDescent="0.15">
      <c r="A38" s="129"/>
      <c r="B38" s="75"/>
      <c r="C38" s="75"/>
      <c r="D38" s="75"/>
      <c r="E38" s="75"/>
      <c r="F38" s="75"/>
      <c r="G38" s="75"/>
      <c r="H38" s="75"/>
      <c r="I38" s="264"/>
    </row>
    <row r="39" spans="1:9" s="9" customFormat="1" x14ac:dyDescent="0.15">
      <c r="A39" s="129" t="s">
        <v>18</v>
      </c>
      <c r="B39" s="206">
        <f>B83</f>
        <v>25.7</v>
      </c>
      <c r="C39" s="206">
        <f t="shared" ref="C39:I39" si="5">C83</f>
        <v>24</v>
      </c>
      <c r="D39" s="206">
        <f t="shared" si="5"/>
        <v>22.7</v>
      </c>
      <c r="E39" s="206">
        <f t="shared" ca="1" si="5"/>
        <v>24.662000000000006</v>
      </c>
      <c r="F39" s="206">
        <f t="shared" ca="1" si="5"/>
        <v>27.128200000000014</v>
      </c>
      <c r="G39" s="206">
        <f t="shared" ca="1" si="5"/>
        <v>29.841020000000007</v>
      </c>
      <c r="H39" s="206">
        <f t="shared" ca="1" si="5"/>
        <v>32.825122000000007</v>
      </c>
      <c r="I39" s="265">
        <f t="shared" ca="1" si="5"/>
        <v>36.107634200000007</v>
      </c>
    </row>
    <row r="40" spans="1:9" s="10" customFormat="1" x14ac:dyDescent="0.15">
      <c r="A40" s="262" t="s">
        <v>19</v>
      </c>
      <c r="B40" s="256">
        <f>B39/B36</f>
        <v>0.23363636363636364</v>
      </c>
      <c r="C40" s="256">
        <f t="shared" ref="C40:I40" si="6">C39/C36</f>
        <v>0.20869565217391303</v>
      </c>
      <c r="D40" s="256">
        <f t="shared" si="6"/>
        <v>0.1923728813559322</v>
      </c>
      <c r="E40" s="256">
        <f t="shared" ca="1" si="6"/>
        <v>0.19000000000000003</v>
      </c>
      <c r="F40" s="256">
        <f t="shared" ca="1" si="6"/>
        <v>0.19000000000000006</v>
      </c>
      <c r="G40" s="256">
        <f t="shared" ca="1" si="6"/>
        <v>0.18999999999999997</v>
      </c>
      <c r="H40" s="256">
        <f t="shared" ca="1" si="6"/>
        <v>0.18999999999999997</v>
      </c>
      <c r="I40" s="266">
        <f t="shared" ca="1" si="6"/>
        <v>0.18999999999999995</v>
      </c>
    </row>
    <row r="41" spans="1:9" s="10" customFormat="1" x14ac:dyDescent="0.15">
      <c r="A41" s="262" t="s">
        <v>4</v>
      </c>
      <c r="B41" s="257"/>
      <c r="C41" s="255">
        <f>C39/B39-1</f>
        <v>-6.6147859922178975E-2</v>
      </c>
      <c r="D41" s="255">
        <f t="shared" ref="D41:I41" si="7">D39/C39-1</f>
        <v>-5.4166666666666696E-2</v>
      </c>
      <c r="E41" s="255">
        <f t="shared" ca="1" si="7"/>
        <v>8.6431718061674268E-2</v>
      </c>
      <c r="F41" s="255">
        <f t="shared" ca="1" si="7"/>
        <v>0.10000000000000031</v>
      </c>
      <c r="G41" s="255">
        <f t="shared" ca="1" si="7"/>
        <v>9.9999999999999645E-2</v>
      </c>
      <c r="H41" s="255">
        <f t="shared" ca="1" si="7"/>
        <v>9.9999999999999867E-2</v>
      </c>
      <c r="I41" s="263">
        <f t="shared" ca="1" si="7"/>
        <v>9.9999999999999867E-2</v>
      </c>
    </row>
    <row r="42" spans="1:9" s="9" customFormat="1" ht="6" customHeight="1" x14ac:dyDescent="0.15">
      <c r="A42" s="129"/>
      <c r="B42" s="75"/>
      <c r="C42" s="75"/>
      <c r="D42" s="75"/>
      <c r="E42" s="75"/>
      <c r="F42" s="75"/>
      <c r="G42" s="75"/>
      <c r="H42" s="75"/>
      <c r="I42" s="264"/>
    </row>
    <row r="43" spans="1:9" s="9" customFormat="1" x14ac:dyDescent="0.15">
      <c r="A43" s="129" t="s">
        <v>130</v>
      </c>
      <c r="B43" s="206">
        <f>B90</f>
        <v>2</v>
      </c>
      <c r="C43" s="206">
        <f t="shared" ref="C43:I43" si="8">C90</f>
        <v>2</v>
      </c>
      <c r="D43" s="206">
        <f t="shared" si="8"/>
        <v>2</v>
      </c>
      <c r="E43" s="206">
        <f t="shared" ca="1" si="8"/>
        <v>2</v>
      </c>
      <c r="F43" s="206">
        <f t="shared" ca="1" si="8"/>
        <v>2</v>
      </c>
      <c r="G43" s="206">
        <f t="shared" ca="1" si="8"/>
        <v>2</v>
      </c>
      <c r="H43" s="206">
        <f t="shared" ca="1" si="8"/>
        <v>2</v>
      </c>
      <c r="I43" s="265">
        <f t="shared" ca="1" si="8"/>
        <v>2</v>
      </c>
    </row>
    <row r="44" spans="1:9" s="9" customFormat="1" x14ac:dyDescent="0.15">
      <c r="A44" s="129" t="s">
        <v>203</v>
      </c>
      <c r="B44" s="75"/>
      <c r="C44" s="75"/>
      <c r="D44" s="206">
        <f t="shared" ref="D44:I44" ca="1" si="9">D148</f>
        <v>10.438000000000001</v>
      </c>
      <c r="E44" s="206">
        <f t="shared" ca="1" si="9"/>
        <v>10.438000000000001</v>
      </c>
      <c r="F44" s="206">
        <f t="shared" ca="1" si="9"/>
        <v>8.7151574285714268</v>
      </c>
      <c r="G44" s="206">
        <f t="shared" ca="1" si="9"/>
        <v>7.9504636859999982</v>
      </c>
      <c r="H44" s="206">
        <f t="shared" ca="1" si="9"/>
        <v>7.7</v>
      </c>
      <c r="I44" s="265">
        <f t="shared" ca="1" si="9"/>
        <v>7.7</v>
      </c>
    </row>
    <row r="45" spans="1:9" s="9" customFormat="1" x14ac:dyDescent="0.15">
      <c r="A45" s="129" t="s">
        <v>204</v>
      </c>
      <c r="B45" s="258"/>
      <c r="C45" s="258"/>
      <c r="D45" s="259">
        <f t="shared" ref="D45:I45" ca="1" si="10">D158</f>
        <v>0.51083428571428569</v>
      </c>
      <c r="E45" s="259">
        <f t="shared" ca="1" si="10"/>
        <v>0.62855428571428607</v>
      </c>
      <c r="F45" s="259">
        <f t="shared" ca="1" si="10"/>
        <v>0.84749684000000092</v>
      </c>
      <c r="G45" s="259">
        <f t="shared" ca="1" si="10"/>
        <v>1.0561476645542862</v>
      </c>
      <c r="H45" s="259">
        <f t="shared" ca="1" si="10"/>
        <v>1.2694846623950176</v>
      </c>
      <c r="I45" s="267">
        <f t="shared" ca="1" si="10"/>
        <v>1.4976000548639263</v>
      </c>
    </row>
    <row r="46" spans="1:9" s="9" customFormat="1" x14ac:dyDescent="0.15">
      <c r="A46" s="129" t="s">
        <v>205</v>
      </c>
      <c r="B46" s="75"/>
      <c r="C46" s="75"/>
      <c r="D46" s="206">
        <f t="shared" ref="D46:I46" ca="1" si="11">D200-D173</f>
        <v>88.85</v>
      </c>
      <c r="E46" s="206">
        <f t="shared" ca="1" si="11"/>
        <v>81.943028571428556</v>
      </c>
      <c r="F46" s="206">
        <f t="shared" ca="1" si="11"/>
        <v>72.946631599999975</v>
      </c>
      <c r="G46" s="206">
        <f t="shared" ca="1" si="11"/>
        <v>61.973726383028549</v>
      </c>
      <c r="H46" s="206">
        <f t="shared" ca="1" si="11"/>
        <v>48.988451187649801</v>
      </c>
      <c r="I46" s="265">
        <f t="shared" ca="1" si="11"/>
        <v>33.855122067581974</v>
      </c>
    </row>
    <row r="47" spans="1:9" s="9" customFormat="1" x14ac:dyDescent="0.15">
      <c r="A47" s="129" t="s">
        <v>206</v>
      </c>
      <c r="B47" s="75"/>
      <c r="C47" s="75"/>
      <c r="D47" s="274">
        <f t="shared" ref="D47:I47" ca="1" si="12">D46/D39</f>
        <v>3.9140969162995591</v>
      </c>
      <c r="E47" s="274">
        <f t="shared" ca="1" si="12"/>
        <v>3.322643280002779</v>
      </c>
      <c r="F47" s="274">
        <f t="shared" ca="1" si="12"/>
        <v>2.6889595181397934</v>
      </c>
      <c r="G47" s="274">
        <f t="shared" ca="1" si="12"/>
        <v>2.0767965164404076</v>
      </c>
      <c r="H47" s="274">
        <f t="shared" ca="1" si="12"/>
        <v>1.4924072845075729</v>
      </c>
      <c r="I47" s="275">
        <f t="shared" ca="1" si="12"/>
        <v>0.937616734457279</v>
      </c>
    </row>
    <row r="48" spans="1:9" s="9" customFormat="1" x14ac:dyDescent="0.15">
      <c r="A48" s="129" t="s">
        <v>207</v>
      </c>
      <c r="B48" s="75"/>
      <c r="C48" s="75"/>
      <c r="D48" s="274">
        <f t="shared" ref="D48:I48" ca="1" si="13">D39/D44</f>
        <v>2.1747461199463496</v>
      </c>
      <c r="E48" s="274">
        <f t="shared" ca="1" si="13"/>
        <v>2.3627131634412728</v>
      </c>
      <c r="F48" s="274">
        <f t="shared" ca="1" si="13"/>
        <v>3.1127607530145123</v>
      </c>
      <c r="G48" s="274">
        <f t="shared" ca="1" si="13"/>
        <v>3.7533685051033152</v>
      </c>
      <c r="H48" s="274">
        <f t="shared" ca="1" si="13"/>
        <v>4.2630028571428582</v>
      </c>
      <c r="I48" s="275">
        <f t="shared" ca="1" si="13"/>
        <v>4.6893031428571437</v>
      </c>
    </row>
    <row r="49" spans="1:10" s="9" customFormat="1" x14ac:dyDescent="0.15">
      <c r="A49" s="137" t="s">
        <v>208</v>
      </c>
      <c r="B49" s="273"/>
      <c r="C49" s="273"/>
      <c r="D49" s="276">
        <f t="shared" ref="D49:I49" ca="1" si="14">(D39-D43)/D44</f>
        <v>1.9831385322858783</v>
      </c>
      <c r="E49" s="276">
        <f t="shared" ca="1" si="14"/>
        <v>2.1711055757808015</v>
      </c>
      <c r="F49" s="276">
        <f t="shared" ca="1" si="14"/>
        <v>2.883275512341374</v>
      </c>
      <c r="G49" s="276">
        <f t="shared" ca="1" si="14"/>
        <v>3.5018108502307062</v>
      </c>
      <c r="H49" s="276">
        <f t="shared" ca="1" si="14"/>
        <v>4.0032625974025979</v>
      </c>
      <c r="I49" s="277">
        <f t="shared" ca="1" si="14"/>
        <v>4.4295628831168843</v>
      </c>
    </row>
    <row r="50" spans="1:10" s="9" customFormat="1" x14ac:dyDescent="0.15">
      <c r="A50" s="37"/>
      <c r="B50" s="37"/>
      <c r="C50" s="37"/>
      <c r="D50" s="245"/>
      <c r="E50" s="245"/>
      <c r="F50" s="245"/>
      <c r="G50" s="245"/>
      <c r="H50" s="245"/>
      <c r="I50" s="245"/>
    </row>
    <row r="51" spans="1:10" s="1" customFormat="1" ht="18" x14ac:dyDescent="0.2">
      <c r="A51" s="7" t="s">
        <v>2</v>
      </c>
      <c r="B51" s="8"/>
      <c r="C51" s="8"/>
      <c r="D51" s="8"/>
      <c r="E51" s="8"/>
      <c r="F51" s="8"/>
      <c r="G51" s="8"/>
      <c r="H51" s="8"/>
      <c r="I51" s="8"/>
      <c r="J51"/>
    </row>
    <row r="53" spans="1:10" ht="16" x14ac:dyDescent="0.3">
      <c r="A53"/>
      <c r="B53" s="5" t="s">
        <v>0</v>
      </c>
      <c r="C53" s="6"/>
      <c r="D53" s="6"/>
      <c r="E53" s="5" t="s">
        <v>1</v>
      </c>
      <c r="F53" s="5"/>
      <c r="G53" s="5"/>
      <c r="H53" s="5"/>
      <c r="I53" s="5"/>
    </row>
    <row r="54" spans="1:10" x14ac:dyDescent="0.15">
      <c r="A54"/>
      <c r="B54" s="4">
        <f>C54-1</f>
        <v>1997</v>
      </c>
      <c r="C54" s="4">
        <f>D54-1</f>
        <v>1998</v>
      </c>
      <c r="D54" s="4">
        <f>E54-1</f>
        <v>1999</v>
      </c>
      <c r="E54" s="3">
        <v>2000</v>
      </c>
      <c r="F54" s="4">
        <f>E54+1</f>
        <v>2001</v>
      </c>
      <c r="G54" s="4">
        <f>F54+1</f>
        <v>2002</v>
      </c>
      <c r="H54" s="4">
        <f>G54+1</f>
        <v>2003</v>
      </c>
      <c r="I54" s="4">
        <f>H54+1</f>
        <v>2004</v>
      </c>
    </row>
    <row r="55" spans="1:10" ht="6" customHeight="1" x14ac:dyDescent="0.15"/>
    <row r="56" spans="1:10" s="15" customFormat="1" x14ac:dyDescent="0.15">
      <c r="A56" s="14" t="s">
        <v>3</v>
      </c>
      <c r="B56" s="14">
        <v>110</v>
      </c>
      <c r="C56" s="14">
        <v>115</v>
      </c>
      <c r="D56" s="14">
        <v>118</v>
      </c>
      <c r="E56" s="22">
        <f ca="1">D56*(1+E57)</f>
        <v>129.80000000000001</v>
      </c>
      <c r="F56" s="22">
        <f ca="1">E56*(1+F57)</f>
        <v>142.78000000000003</v>
      </c>
      <c r="G56" s="22">
        <f ca="1">F56*(1+G57)</f>
        <v>157.05800000000005</v>
      </c>
      <c r="H56" s="22">
        <f ca="1">G56*(1+H57)</f>
        <v>172.76380000000006</v>
      </c>
      <c r="I56" s="22">
        <f ca="1">H56*(1+I57)</f>
        <v>190.04018000000008</v>
      </c>
    </row>
    <row r="57" spans="1:10" s="11" customFormat="1" x14ac:dyDescent="0.15">
      <c r="A57" s="10" t="s">
        <v>4</v>
      </c>
      <c r="C57" s="16">
        <f>C56/B56-1</f>
        <v>4.5454545454545414E-2</v>
      </c>
      <c r="D57" s="16">
        <f>D56/C56-1</f>
        <v>2.6086956521739202E-2</v>
      </c>
      <c r="E57" s="278">
        <f ca="1">E355</f>
        <v>0.1</v>
      </c>
      <c r="F57" s="278">
        <f ca="1">F355</f>
        <v>0.1</v>
      </c>
      <c r="G57" s="278">
        <f ca="1">G355</f>
        <v>0.1</v>
      </c>
      <c r="H57" s="278">
        <f ca="1">H355</f>
        <v>0.1</v>
      </c>
      <c r="I57" s="278">
        <f ca="1">I355</f>
        <v>0.1</v>
      </c>
    </row>
    <row r="58" spans="1:10" ht="6" customHeight="1" x14ac:dyDescent="0.15"/>
    <row r="59" spans="1:10" x14ac:dyDescent="0.15">
      <c r="A59" s="12" t="s">
        <v>5</v>
      </c>
    </row>
    <row r="60" spans="1:10" x14ac:dyDescent="0.15">
      <c r="A60" s="9" t="s">
        <v>6</v>
      </c>
      <c r="B60" s="9">
        <v>76</v>
      </c>
      <c r="C60" s="9">
        <v>82</v>
      </c>
      <c r="D60" s="9">
        <v>86</v>
      </c>
      <c r="E60" s="21">
        <f ca="1">E61*E56</f>
        <v>94.754000000000005</v>
      </c>
      <c r="F60" s="21">
        <f ca="1">F61*F56</f>
        <v>104.22940000000001</v>
      </c>
      <c r="G60" s="21">
        <f ca="1">G61*G56</f>
        <v>114.65234000000004</v>
      </c>
      <c r="H60" s="21">
        <f ca="1">H61*H56</f>
        <v>126.11757400000005</v>
      </c>
      <c r="I60" s="21">
        <f ca="1">I61*I56</f>
        <v>138.72933140000006</v>
      </c>
    </row>
    <row r="61" spans="1:10" s="18" customFormat="1" x14ac:dyDescent="0.15">
      <c r="A61" s="10" t="s">
        <v>7</v>
      </c>
      <c r="B61" s="16">
        <f>B60/B56</f>
        <v>0.69090909090909092</v>
      </c>
      <c r="C61" s="16">
        <f>C60/C56</f>
        <v>0.71304347826086956</v>
      </c>
      <c r="D61" s="16">
        <f>D60/D56</f>
        <v>0.72881355932203384</v>
      </c>
      <c r="E61" s="278">
        <f ca="1">E361</f>
        <v>0.73</v>
      </c>
      <c r="F61" s="278">
        <f ca="1">F361</f>
        <v>0.73</v>
      </c>
      <c r="G61" s="278">
        <f ca="1">G361</f>
        <v>0.73</v>
      </c>
      <c r="H61" s="278">
        <f ca="1">H361</f>
        <v>0.73</v>
      </c>
      <c r="I61" s="278">
        <f ca="1">I361</f>
        <v>0.73</v>
      </c>
    </row>
    <row r="62" spans="1:10" ht="6" customHeight="1" x14ac:dyDescent="0.15">
      <c r="A62" s="13"/>
    </row>
    <row r="63" spans="1:10" x14ac:dyDescent="0.15">
      <c r="A63" s="9" t="s">
        <v>8</v>
      </c>
      <c r="B63" s="17">
        <v>1.5</v>
      </c>
      <c r="C63" s="17">
        <v>1.5</v>
      </c>
      <c r="D63" s="17">
        <v>1.5</v>
      </c>
      <c r="E63" s="17">
        <v>1.5</v>
      </c>
      <c r="F63" s="17">
        <v>1.5</v>
      </c>
      <c r="G63" s="17">
        <v>1.5</v>
      </c>
      <c r="H63" s="17">
        <v>1.5</v>
      </c>
      <c r="I63" s="17">
        <v>1.5</v>
      </c>
    </row>
    <row r="64" spans="1:10" s="18" customFormat="1" x14ac:dyDescent="0.15">
      <c r="A64" s="10" t="s">
        <v>7</v>
      </c>
      <c r="B64" s="16">
        <f t="shared" ref="B64:I64" si="15">B63/B56</f>
        <v>1.3636363636363636E-2</v>
      </c>
      <c r="C64" s="16">
        <f t="shared" si="15"/>
        <v>1.3043478260869565E-2</v>
      </c>
      <c r="D64" s="16">
        <f t="shared" si="15"/>
        <v>1.2711864406779662E-2</v>
      </c>
      <c r="E64" s="16">
        <f t="shared" ca="1" si="15"/>
        <v>1.1556240369799691E-2</v>
      </c>
      <c r="F64" s="16">
        <f t="shared" ca="1" si="15"/>
        <v>1.0505673063454263E-2</v>
      </c>
      <c r="G64" s="16">
        <f t="shared" ca="1" si="15"/>
        <v>9.550611875867511E-3</v>
      </c>
      <c r="H64" s="16">
        <f t="shared" ca="1" si="15"/>
        <v>8.6823744326068285E-3</v>
      </c>
      <c r="I64" s="16">
        <f t="shared" ca="1" si="15"/>
        <v>7.8930676660062069E-3</v>
      </c>
    </row>
    <row r="65" spans="1:9" ht="6" customHeight="1" x14ac:dyDescent="0.15">
      <c r="A65" s="13"/>
      <c r="B65" s="19" t="s">
        <v>23</v>
      </c>
      <c r="C65" s="20" t="s">
        <v>23</v>
      </c>
      <c r="D65" s="20" t="s">
        <v>23</v>
      </c>
      <c r="E65" s="20" t="s">
        <v>23</v>
      </c>
      <c r="F65" s="20" t="s">
        <v>23</v>
      </c>
      <c r="G65" s="20" t="s">
        <v>23</v>
      </c>
      <c r="H65" s="20" t="s">
        <v>23</v>
      </c>
      <c r="I65" s="20" t="s">
        <v>23</v>
      </c>
    </row>
    <row r="66" spans="1:9" x14ac:dyDescent="0.15">
      <c r="A66" s="9" t="s">
        <v>9</v>
      </c>
      <c r="B66" s="21">
        <f t="shared" ref="B66:I66" si="16">B63+B60</f>
        <v>77.5</v>
      </c>
      <c r="C66" s="21">
        <f t="shared" si="16"/>
        <v>83.5</v>
      </c>
      <c r="D66" s="21">
        <f t="shared" si="16"/>
        <v>87.5</v>
      </c>
      <c r="E66" s="21">
        <f t="shared" ca="1" si="16"/>
        <v>96.254000000000005</v>
      </c>
      <c r="F66" s="21">
        <f t="shared" ca="1" si="16"/>
        <v>105.72940000000001</v>
      </c>
      <c r="G66" s="21">
        <f t="shared" ca="1" si="16"/>
        <v>116.15234000000004</v>
      </c>
      <c r="H66" s="21">
        <f t="shared" ca="1" si="16"/>
        <v>127.61757400000005</v>
      </c>
      <c r="I66" s="21">
        <f t="shared" ca="1" si="16"/>
        <v>140.22933140000006</v>
      </c>
    </row>
    <row r="67" spans="1:9" s="18" customFormat="1" x14ac:dyDescent="0.15">
      <c r="A67" s="10" t="s">
        <v>7</v>
      </c>
      <c r="B67" s="16">
        <f t="shared" ref="B67:I67" si="17">B66/B56</f>
        <v>0.70454545454545459</v>
      </c>
      <c r="C67" s="16">
        <f t="shared" si="17"/>
        <v>0.72608695652173916</v>
      </c>
      <c r="D67" s="16">
        <f t="shared" si="17"/>
        <v>0.74152542372881358</v>
      </c>
      <c r="E67" s="16">
        <f t="shared" ca="1" si="17"/>
        <v>0.74155624036979961</v>
      </c>
      <c r="F67" s="16">
        <f t="shared" ca="1" si="17"/>
        <v>0.74050567306345416</v>
      </c>
      <c r="G67" s="16">
        <f t="shared" ca="1" si="17"/>
        <v>0.73955061187586757</v>
      </c>
      <c r="H67" s="16">
        <f t="shared" ca="1" si="17"/>
        <v>0.73868237443260687</v>
      </c>
      <c r="I67" s="16">
        <f t="shared" ca="1" si="17"/>
        <v>0.73789306766600626</v>
      </c>
    </row>
    <row r="68" spans="1:9" ht="6" customHeight="1" x14ac:dyDescent="0.15">
      <c r="A68" s="13"/>
      <c r="D68" s="23"/>
      <c r="E68" s="23"/>
      <c r="F68" s="23"/>
      <c r="G68" s="23"/>
      <c r="H68" s="23"/>
      <c r="I68" s="23"/>
    </row>
    <row r="69" spans="1:9" x14ac:dyDescent="0.15">
      <c r="A69" s="12" t="s">
        <v>10</v>
      </c>
      <c r="D69" s="23"/>
      <c r="E69" s="23"/>
      <c r="F69" s="23"/>
      <c r="G69" s="23"/>
      <c r="H69" s="23"/>
      <c r="I69" s="23"/>
    </row>
    <row r="70" spans="1:9" x14ac:dyDescent="0.15">
      <c r="A70" s="9" t="s">
        <v>11</v>
      </c>
      <c r="B70" s="21">
        <f t="shared" ref="B70:I70" si="18">B56-B60</f>
        <v>34</v>
      </c>
      <c r="C70" s="21">
        <f t="shared" si="18"/>
        <v>33</v>
      </c>
      <c r="D70" s="21">
        <f t="shared" si="18"/>
        <v>32</v>
      </c>
      <c r="E70" s="21">
        <f t="shared" ca="1" si="18"/>
        <v>35.046000000000006</v>
      </c>
      <c r="F70" s="21">
        <f t="shared" ca="1" si="18"/>
        <v>38.550600000000017</v>
      </c>
      <c r="G70" s="21">
        <f t="shared" ca="1" si="18"/>
        <v>42.405660000000012</v>
      </c>
      <c r="H70" s="21">
        <f t="shared" ca="1" si="18"/>
        <v>46.646226000000013</v>
      </c>
      <c r="I70" s="21">
        <f t="shared" ca="1" si="18"/>
        <v>51.310848600000014</v>
      </c>
    </row>
    <row r="71" spans="1:9" s="18" customFormat="1" x14ac:dyDescent="0.15">
      <c r="A71" s="10" t="s">
        <v>12</v>
      </c>
      <c r="B71" s="16">
        <f t="shared" ref="B71:I71" si="19">B70/B56</f>
        <v>0.30909090909090908</v>
      </c>
      <c r="C71" s="16">
        <f t="shared" si="19"/>
        <v>0.28695652173913044</v>
      </c>
      <c r="D71" s="16">
        <f t="shared" si="19"/>
        <v>0.2711864406779661</v>
      </c>
      <c r="E71" s="16">
        <f t="shared" ca="1" si="19"/>
        <v>0.27</v>
      </c>
      <c r="F71" s="16">
        <f t="shared" ca="1" si="19"/>
        <v>0.27000000000000007</v>
      </c>
      <c r="G71" s="16">
        <f t="shared" ca="1" si="19"/>
        <v>0.26999999999999996</v>
      </c>
      <c r="H71" s="16">
        <f t="shared" ca="1" si="19"/>
        <v>0.26999999999999996</v>
      </c>
      <c r="I71" s="16">
        <f t="shared" ca="1" si="19"/>
        <v>0.26999999999999996</v>
      </c>
    </row>
    <row r="72" spans="1:9" ht="6" customHeight="1" x14ac:dyDescent="0.15">
      <c r="A72" s="13"/>
      <c r="D72" s="23"/>
      <c r="E72" s="23"/>
      <c r="F72" s="23"/>
      <c r="G72" s="23"/>
      <c r="H72" s="23"/>
      <c r="I72" s="23"/>
    </row>
    <row r="73" spans="1:9" x14ac:dyDescent="0.15">
      <c r="A73" s="9" t="s">
        <v>13</v>
      </c>
      <c r="B73" s="21">
        <f t="shared" ref="B73:I73" si="20">-B63</f>
        <v>-1.5</v>
      </c>
      <c r="C73" s="21">
        <f t="shared" si="20"/>
        <v>-1.5</v>
      </c>
      <c r="D73" s="21">
        <f t="shared" si="20"/>
        <v>-1.5</v>
      </c>
      <c r="E73" s="21">
        <f t="shared" si="20"/>
        <v>-1.5</v>
      </c>
      <c r="F73" s="21">
        <f t="shared" si="20"/>
        <v>-1.5</v>
      </c>
      <c r="G73" s="21">
        <f t="shared" si="20"/>
        <v>-1.5</v>
      </c>
      <c r="H73" s="21">
        <f t="shared" si="20"/>
        <v>-1.5</v>
      </c>
      <c r="I73" s="21">
        <f t="shared" si="20"/>
        <v>-1.5</v>
      </c>
    </row>
    <row r="74" spans="1:9" ht="6" customHeight="1" x14ac:dyDescent="0.15">
      <c r="A74" s="13"/>
      <c r="B74" s="19" t="s">
        <v>23</v>
      </c>
      <c r="C74" s="20" t="s">
        <v>23</v>
      </c>
      <c r="D74" s="20" t="s">
        <v>23</v>
      </c>
      <c r="E74" s="20" t="s">
        <v>23</v>
      </c>
      <c r="F74" s="20" t="s">
        <v>23</v>
      </c>
      <c r="G74" s="20" t="s">
        <v>23</v>
      </c>
      <c r="H74" s="20" t="s">
        <v>23</v>
      </c>
      <c r="I74" s="20" t="s">
        <v>23</v>
      </c>
    </row>
    <row r="75" spans="1:9" x14ac:dyDescent="0.15">
      <c r="A75" s="9" t="s">
        <v>14</v>
      </c>
      <c r="B75" s="21">
        <f t="shared" ref="B75:I75" si="21">B73+B70</f>
        <v>32.5</v>
      </c>
      <c r="C75" s="21">
        <f t="shared" si="21"/>
        <v>31.5</v>
      </c>
      <c r="D75" s="21">
        <f t="shared" si="21"/>
        <v>30.5</v>
      </c>
      <c r="E75" s="21">
        <f t="shared" ca="1" si="21"/>
        <v>33.546000000000006</v>
      </c>
      <c r="F75" s="21">
        <f t="shared" ca="1" si="21"/>
        <v>37.050600000000017</v>
      </c>
      <c r="G75" s="21">
        <f t="shared" ca="1" si="21"/>
        <v>40.905660000000012</v>
      </c>
      <c r="H75" s="21">
        <f t="shared" ca="1" si="21"/>
        <v>45.146226000000013</v>
      </c>
      <c r="I75" s="21">
        <f t="shared" ca="1" si="21"/>
        <v>49.810848600000014</v>
      </c>
    </row>
    <row r="76" spans="1:9" s="18" customFormat="1" x14ac:dyDescent="0.15">
      <c r="A76" s="10" t="s">
        <v>12</v>
      </c>
      <c r="B76" s="16">
        <f t="shared" ref="B76:I76" si="22">B75/B56</f>
        <v>0.29545454545454547</v>
      </c>
      <c r="C76" s="16">
        <f t="shared" si="22"/>
        <v>0.27391304347826084</v>
      </c>
      <c r="D76" s="16">
        <f t="shared" si="22"/>
        <v>0.25847457627118642</v>
      </c>
      <c r="E76" s="16">
        <f t="shared" ca="1" si="22"/>
        <v>0.25844375963020033</v>
      </c>
      <c r="F76" s="16">
        <f t="shared" ca="1" si="22"/>
        <v>0.25949432693654578</v>
      </c>
      <c r="G76" s="16">
        <f t="shared" ca="1" si="22"/>
        <v>0.26044938812413249</v>
      </c>
      <c r="H76" s="16">
        <f t="shared" ca="1" si="22"/>
        <v>0.26131762556739313</v>
      </c>
      <c r="I76" s="16">
        <f t="shared" ca="1" si="22"/>
        <v>0.26210693233399374</v>
      </c>
    </row>
    <row r="77" spans="1:9" ht="6" customHeight="1" x14ac:dyDescent="0.15">
      <c r="A77" s="13"/>
    </row>
    <row r="78" spans="1:9" x14ac:dyDescent="0.15">
      <c r="A78" s="9" t="s">
        <v>15</v>
      </c>
      <c r="B78" s="9">
        <v>8.3000000000000007</v>
      </c>
      <c r="C78" s="9">
        <v>9</v>
      </c>
      <c r="D78" s="9">
        <v>9.3000000000000007</v>
      </c>
      <c r="E78" s="21">
        <f ca="1">E79*E56</f>
        <v>10.384</v>
      </c>
      <c r="F78" s="21">
        <f ca="1">F79*F56</f>
        <v>11.422400000000003</v>
      </c>
      <c r="G78" s="21">
        <f ca="1">G79*G56</f>
        <v>12.564640000000004</v>
      </c>
      <c r="H78" s="21">
        <f ca="1">H79*H56</f>
        <v>13.821104000000005</v>
      </c>
      <c r="I78" s="21">
        <f ca="1">I79*I56</f>
        <v>15.203214400000007</v>
      </c>
    </row>
    <row r="79" spans="1:9" s="18" customFormat="1" x14ac:dyDescent="0.15">
      <c r="A79" s="10" t="s">
        <v>16</v>
      </c>
      <c r="B79" s="16">
        <f>B78/B56</f>
        <v>7.5454545454545455E-2</v>
      </c>
      <c r="C79" s="16">
        <f>C78/C56</f>
        <v>7.8260869565217397E-2</v>
      </c>
      <c r="D79" s="16">
        <f>D78/D56</f>
        <v>7.8813559322033905E-2</v>
      </c>
      <c r="E79" s="278">
        <f ca="1">E367</f>
        <v>0.08</v>
      </c>
      <c r="F79" s="278">
        <f ca="1">F367</f>
        <v>0.08</v>
      </c>
      <c r="G79" s="278">
        <f ca="1">G367</f>
        <v>0.08</v>
      </c>
      <c r="H79" s="278">
        <f ca="1">H367</f>
        <v>0.08</v>
      </c>
      <c r="I79" s="278">
        <f ca="1">I367</f>
        <v>0.08</v>
      </c>
    </row>
    <row r="80" spans="1:9" ht="6" customHeight="1" x14ac:dyDescent="0.15">
      <c r="A80" s="13"/>
    </row>
    <row r="81" spans="1:10" x14ac:dyDescent="0.15">
      <c r="A81" s="9" t="s">
        <v>17</v>
      </c>
      <c r="B81" s="9">
        <v>1</v>
      </c>
      <c r="C81" s="9">
        <v>1</v>
      </c>
      <c r="D81" s="9">
        <v>1</v>
      </c>
      <c r="E81" s="9">
        <v>1</v>
      </c>
      <c r="F81" s="9">
        <v>1</v>
      </c>
      <c r="G81" s="9">
        <v>1</v>
      </c>
      <c r="H81" s="9">
        <v>1</v>
      </c>
      <c r="I81" s="9">
        <v>1</v>
      </c>
    </row>
    <row r="82" spans="1:10" ht="6" customHeight="1" x14ac:dyDescent="0.15">
      <c r="A82" s="13"/>
    </row>
    <row r="83" spans="1:10" x14ac:dyDescent="0.15">
      <c r="A83" s="9" t="s">
        <v>18</v>
      </c>
      <c r="B83" s="21">
        <f t="shared" ref="B83:I83" si="23">B70-B78</f>
        <v>25.7</v>
      </c>
      <c r="C83" s="21">
        <f t="shared" si="23"/>
        <v>24</v>
      </c>
      <c r="D83" s="21">
        <f t="shared" si="23"/>
        <v>22.7</v>
      </c>
      <c r="E83" s="21">
        <f t="shared" ca="1" si="23"/>
        <v>24.662000000000006</v>
      </c>
      <c r="F83" s="21">
        <f t="shared" ca="1" si="23"/>
        <v>27.128200000000014</v>
      </c>
      <c r="G83" s="21">
        <f t="shared" ca="1" si="23"/>
        <v>29.841020000000007</v>
      </c>
      <c r="H83" s="21">
        <f t="shared" ca="1" si="23"/>
        <v>32.825122000000007</v>
      </c>
      <c r="I83" s="21">
        <f t="shared" ca="1" si="23"/>
        <v>36.107634200000007</v>
      </c>
    </row>
    <row r="84" spans="1:10" s="18" customFormat="1" x14ac:dyDescent="0.15">
      <c r="A84" s="10" t="s">
        <v>19</v>
      </c>
      <c r="B84" s="16">
        <f t="shared" ref="B84:I84" si="24">B83/B56</f>
        <v>0.23363636363636364</v>
      </c>
      <c r="C84" s="16">
        <f t="shared" si="24"/>
        <v>0.20869565217391303</v>
      </c>
      <c r="D84" s="16">
        <f t="shared" si="24"/>
        <v>0.1923728813559322</v>
      </c>
      <c r="E84" s="16">
        <f t="shared" ca="1" si="24"/>
        <v>0.19000000000000003</v>
      </c>
      <c r="F84" s="16">
        <f t="shared" ca="1" si="24"/>
        <v>0.19000000000000006</v>
      </c>
      <c r="G84" s="16">
        <f t="shared" ca="1" si="24"/>
        <v>0.18999999999999997</v>
      </c>
      <c r="H84" s="16">
        <f t="shared" ca="1" si="24"/>
        <v>0.18999999999999997</v>
      </c>
      <c r="I84" s="16">
        <f t="shared" ca="1" si="24"/>
        <v>0.18999999999999995</v>
      </c>
    </row>
    <row r="85" spans="1:10" s="18" customFormat="1" x14ac:dyDescent="0.15">
      <c r="A85" s="10" t="s">
        <v>4</v>
      </c>
      <c r="B85" s="16"/>
      <c r="C85" s="16">
        <f t="shared" ref="C85:I85" si="25">C83/B83-1</f>
        <v>-6.6147859922178975E-2</v>
      </c>
      <c r="D85" s="16">
        <f t="shared" si="25"/>
        <v>-5.4166666666666696E-2</v>
      </c>
      <c r="E85" s="16">
        <f t="shared" ca="1" si="25"/>
        <v>8.6431718061674268E-2</v>
      </c>
      <c r="F85" s="16">
        <f t="shared" ca="1" si="25"/>
        <v>0.10000000000000031</v>
      </c>
      <c r="G85" s="16">
        <f t="shared" ca="1" si="25"/>
        <v>9.9999999999999645E-2</v>
      </c>
      <c r="H85" s="16">
        <f t="shared" ca="1" si="25"/>
        <v>9.9999999999999867E-2</v>
      </c>
      <c r="I85" s="16">
        <f t="shared" ca="1" si="25"/>
        <v>9.9999999999999867E-2</v>
      </c>
    </row>
    <row r="86" spans="1:10" ht="6" customHeight="1" x14ac:dyDescent="0.15">
      <c r="A86" s="9"/>
    </row>
    <row r="87" spans="1:10" x14ac:dyDescent="0.15">
      <c r="A87" s="9" t="s">
        <v>20</v>
      </c>
      <c r="B87" s="21">
        <f t="shared" ref="B87:I87" si="26">B83-B81-B63</f>
        <v>23.2</v>
      </c>
      <c r="C87" s="21">
        <f t="shared" si="26"/>
        <v>21.5</v>
      </c>
      <c r="D87" s="21">
        <f t="shared" si="26"/>
        <v>20.2</v>
      </c>
      <c r="E87" s="21">
        <f t="shared" ca="1" si="26"/>
        <v>22.162000000000006</v>
      </c>
      <c r="F87" s="21">
        <f t="shared" ca="1" si="26"/>
        <v>24.628200000000014</v>
      </c>
      <c r="G87" s="21">
        <f t="shared" ca="1" si="26"/>
        <v>27.341020000000007</v>
      </c>
      <c r="H87" s="21">
        <f t="shared" ca="1" si="26"/>
        <v>30.325122000000007</v>
      </c>
      <c r="I87" s="21">
        <f t="shared" ca="1" si="26"/>
        <v>33.607634200000007</v>
      </c>
    </row>
    <row r="88" spans="1:10" s="18" customFormat="1" x14ac:dyDescent="0.15">
      <c r="A88" s="10" t="s">
        <v>19</v>
      </c>
      <c r="B88" s="16">
        <f t="shared" ref="B88:I88" si="27">B87/B56</f>
        <v>0.21090909090909091</v>
      </c>
      <c r="C88" s="16">
        <f t="shared" si="27"/>
        <v>0.18695652173913044</v>
      </c>
      <c r="D88" s="16">
        <f t="shared" si="27"/>
        <v>0.1711864406779661</v>
      </c>
      <c r="E88" s="16">
        <f t="shared" ca="1" si="27"/>
        <v>0.1707395993836672</v>
      </c>
      <c r="F88" s="16">
        <f t="shared" ca="1" si="27"/>
        <v>0.17249054489424295</v>
      </c>
      <c r="G88" s="16">
        <f t="shared" ca="1" si="27"/>
        <v>0.1740823135402208</v>
      </c>
      <c r="H88" s="16">
        <f t="shared" ca="1" si="27"/>
        <v>0.17552937594565526</v>
      </c>
      <c r="I88" s="16">
        <f t="shared" ca="1" si="27"/>
        <v>0.17684488722332295</v>
      </c>
    </row>
    <row r="89" spans="1:10" ht="6" customHeight="1" x14ac:dyDescent="0.15">
      <c r="A89" s="9"/>
    </row>
    <row r="90" spans="1:10" x14ac:dyDescent="0.15">
      <c r="A90" s="9" t="s">
        <v>21</v>
      </c>
      <c r="B90" s="9">
        <v>2</v>
      </c>
      <c r="C90" s="9">
        <v>2</v>
      </c>
      <c r="D90" s="9">
        <v>2</v>
      </c>
      <c r="E90" s="279">
        <f ca="1">E373</f>
        <v>2</v>
      </c>
      <c r="F90" s="279">
        <f ca="1">F373</f>
        <v>2</v>
      </c>
      <c r="G90" s="279">
        <f ca="1">G373</f>
        <v>2</v>
      </c>
      <c r="H90" s="279">
        <f ca="1">H373</f>
        <v>2</v>
      </c>
      <c r="I90" s="279">
        <f ca="1">I373</f>
        <v>2</v>
      </c>
    </row>
    <row r="91" spans="1:10" s="18" customFormat="1" x14ac:dyDescent="0.15">
      <c r="A91" s="10" t="s">
        <v>22</v>
      </c>
      <c r="B91" s="16">
        <f t="shared" ref="B91:I91" si="28">B90/B56</f>
        <v>1.8181818181818181E-2</v>
      </c>
      <c r="C91" s="16">
        <f t="shared" si="28"/>
        <v>1.7391304347826087E-2</v>
      </c>
      <c r="D91" s="16">
        <f t="shared" si="28"/>
        <v>1.6949152542372881E-2</v>
      </c>
      <c r="E91" s="16">
        <f t="shared" ca="1" si="28"/>
        <v>1.5408320493066254E-2</v>
      </c>
      <c r="F91" s="16">
        <f t="shared" ca="1" si="28"/>
        <v>1.4007564084605684E-2</v>
      </c>
      <c r="G91" s="16">
        <f t="shared" ca="1" si="28"/>
        <v>1.2734149167823347E-2</v>
      </c>
      <c r="H91" s="16">
        <f t="shared" ca="1" si="28"/>
        <v>1.157649924347577E-2</v>
      </c>
      <c r="I91" s="16">
        <f t="shared" ca="1" si="28"/>
        <v>1.0524090221341608E-2</v>
      </c>
    </row>
    <row r="92" spans="1:10" s="1" customFormat="1" ht="18" x14ac:dyDescent="0.2">
      <c r="A92" s="7" t="s">
        <v>73</v>
      </c>
      <c r="B92" s="8"/>
      <c r="C92" s="8"/>
      <c r="D92" s="8"/>
      <c r="E92" s="8"/>
      <c r="F92" s="8"/>
      <c r="G92" s="8"/>
      <c r="H92" s="8"/>
      <c r="I92" s="8"/>
      <c r="J92"/>
    </row>
    <row r="94" spans="1:10" ht="16" x14ac:dyDescent="0.3">
      <c r="A94"/>
      <c r="B94"/>
      <c r="C94"/>
      <c r="D94" s="29" t="s">
        <v>72</v>
      </c>
      <c r="E94" s="5" t="s">
        <v>1</v>
      </c>
      <c r="F94" s="5"/>
      <c r="G94" s="5"/>
      <c r="H94" s="5"/>
      <c r="I94" s="5"/>
    </row>
    <row r="95" spans="1:10" x14ac:dyDescent="0.15">
      <c r="A95"/>
      <c r="B95"/>
      <c r="C95"/>
      <c r="D95" s="4">
        <f t="shared" ref="D95:I95" si="29">D$54</f>
        <v>1999</v>
      </c>
      <c r="E95" s="4">
        <f t="shared" si="29"/>
        <v>2000</v>
      </c>
      <c r="F95" s="4">
        <f t="shared" si="29"/>
        <v>2001</v>
      </c>
      <c r="G95" s="4">
        <f t="shared" si="29"/>
        <v>2002</v>
      </c>
      <c r="H95" s="4">
        <f t="shared" si="29"/>
        <v>2003</v>
      </c>
      <c r="I95" s="4">
        <f t="shared" si="29"/>
        <v>2004</v>
      </c>
    </row>
    <row r="96" spans="1:10" ht="6" customHeight="1" x14ac:dyDescent="0.15"/>
    <row r="97" spans="1:9" s="15" customFormat="1" x14ac:dyDescent="0.15">
      <c r="A97" s="14" t="s">
        <v>74</v>
      </c>
      <c r="D97" s="22">
        <f t="shared" ref="D97:I97" si="30">D56</f>
        <v>118</v>
      </c>
      <c r="E97" s="22">
        <f t="shared" ca="1" si="30"/>
        <v>129.80000000000001</v>
      </c>
      <c r="F97" s="22">
        <f t="shared" ca="1" si="30"/>
        <v>142.78000000000003</v>
      </c>
      <c r="G97" s="22">
        <f t="shared" ca="1" si="30"/>
        <v>157.05800000000005</v>
      </c>
      <c r="H97" s="22">
        <f t="shared" ca="1" si="30"/>
        <v>172.76380000000006</v>
      </c>
      <c r="I97" s="22">
        <f t="shared" ca="1" si="30"/>
        <v>190.04018000000008</v>
      </c>
    </row>
    <row r="98" spans="1:9" x14ac:dyDescent="0.15">
      <c r="A98" s="9" t="s">
        <v>75</v>
      </c>
      <c r="D98" s="21">
        <f t="shared" ref="D98:I98" si="31">D66</f>
        <v>87.5</v>
      </c>
      <c r="E98" s="21">
        <f t="shared" ca="1" si="31"/>
        <v>96.254000000000005</v>
      </c>
      <c r="F98" s="21">
        <f t="shared" ca="1" si="31"/>
        <v>105.72940000000001</v>
      </c>
      <c r="G98" s="21">
        <f t="shared" ca="1" si="31"/>
        <v>116.15234000000004</v>
      </c>
      <c r="H98" s="21">
        <f t="shared" ca="1" si="31"/>
        <v>127.61757400000005</v>
      </c>
      <c r="I98" s="21">
        <f t="shared" ca="1" si="31"/>
        <v>140.22933140000006</v>
      </c>
    </row>
    <row r="99" spans="1:9" x14ac:dyDescent="0.15">
      <c r="A99" s="9"/>
    </row>
    <row r="100" spans="1:9" x14ac:dyDescent="0.15">
      <c r="A100" s="61" t="s">
        <v>76</v>
      </c>
    </row>
    <row r="101" spans="1:9" x14ac:dyDescent="0.15">
      <c r="A101" s="32" t="str">
        <f>"  "&amp;A174</f>
        <v xml:space="preserve">  Accounts Receivable</v>
      </c>
      <c r="D101" s="32">
        <f>D174</f>
        <v>10</v>
      </c>
      <c r="E101" s="21">
        <f ca="1">E118*E97</f>
        <v>11</v>
      </c>
      <c r="F101" s="21">
        <f ca="1">F118*F97</f>
        <v>12.100000000000001</v>
      </c>
      <c r="G101" s="21">
        <f ca="1">G118*G97</f>
        <v>13.310000000000004</v>
      </c>
      <c r="H101" s="21">
        <f ca="1">H118*H97</f>
        <v>14.641000000000004</v>
      </c>
      <c r="I101" s="21">
        <f ca="1">I118*I97</f>
        <v>16.105100000000007</v>
      </c>
    </row>
    <row r="102" spans="1:9" x14ac:dyDescent="0.15">
      <c r="A102" s="32" t="str">
        <f>"  "&amp;A175</f>
        <v xml:space="preserve">  Inventory</v>
      </c>
      <c r="D102" s="32">
        <f>D175</f>
        <v>8</v>
      </c>
      <c r="E102" s="21">
        <f ca="1">E120*E98</f>
        <v>8.8003657142857143</v>
      </c>
      <c r="F102" s="21">
        <f ca="1">F120*F98</f>
        <v>9.6666880000000006</v>
      </c>
      <c r="G102" s="21">
        <f ca="1">G120*G98</f>
        <v>10.619642514285717</v>
      </c>
      <c r="H102" s="21">
        <f ca="1">H120*H98</f>
        <v>11.667892480000004</v>
      </c>
      <c r="I102" s="21">
        <f ca="1">I120*I98</f>
        <v>12.82096744228572</v>
      </c>
    </row>
    <row r="103" spans="1:9" x14ac:dyDescent="0.15">
      <c r="A103" s="32" t="str">
        <f>"  "&amp;A176</f>
        <v xml:space="preserve">  Prepaid Expenses</v>
      </c>
      <c r="D103" s="32">
        <f>D176</f>
        <v>5</v>
      </c>
      <c r="E103" s="21">
        <f ca="1">E122*E98</f>
        <v>5.5002285714285719</v>
      </c>
      <c r="F103" s="21">
        <f ca="1">F122*F98</f>
        <v>6.0416800000000004</v>
      </c>
      <c r="G103" s="21">
        <f ca="1">G122*G98</f>
        <v>6.6372765714285737</v>
      </c>
      <c r="H103" s="21">
        <f ca="1">H122*H98</f>
        <v>7.292432800000002</v>
      </c>
      <c r="I103" s="21">
        <f ca="1">I122*I98</f>
        <v>8.0131046514285753</v>
      </c>
    </row>
    <row r="104" spans="1:9" ht="6" customHeight="1" x14ac:dyDescent="0.15">
      <c r="A104" s="9"/>
      <c r="D104" s="19" t="s">
        <v>23</v>
      </c>
      <c r="E104" s="19" t="s">
        <v>23</v>
      </c>
      <c r="F104" s="19" t="s">
        <v>23</v>
      </c>
      <c r="G104" s="19" t="s">
        <v>23</v>
      </c>
      <c r="H104" s="19" t="s">
        <v>23</v>
      </c>
      <c r="I104" s="19" t="s">
        <v>23</v>
      </c>
    </row>
    <row r="105" spans="1:9" x14ac:dyDescent="0.15">
      <c r="A105" s="32" t="str">
        <f>"    "&amp;A100</f>
        <v xml:space="preserve">    Current Assets</v>
      </c>
      <c r="D105" s="32">
        <f t="shared" ref="D105:I105" si="32">SUM(D101:D104)</f>
        <v>23</v>
      </c>
      <c r="E105" s="21">
        <f t="shared" ca="1" si="32"/>
        <v>25.300594285714286</v>
      </c>
      <c r="F105" s="21">
        <f t="shared" ca="1" si="32"/>
        <v>27.808368000000002</v>
      </c>
      <c r="G105" s="21">
        <f t="shared" ca="1" si="32"/>
        <v>30.566919085714297</v>
      </c>
      <c r="H105" s="21">
        <f t="shared" ca="1" si="32"/>
        <v>33.601325280000012</v>
      </c>
      <c r="I105" s="21">
        <f t="shared" ca="1" si="32"/>
        <v>36.939172093714305</v>
      </c>
    </row>
    <row r="106" spans="1:9" x14ac:dyDescent="0.15">
      <c r="A106" s="9"/>
      <c r="E106" s="23"/>
      <c r="F106" s="23"/>
      <c r="G106" s="23"/>
      <c r="H106" s="23"/>
      <c r="I106" s="23"/>
    </row>
    <row r="107" spans="1:9" x14ac:dyDescent="0.15">
      <c r="A107" s="61" t="s">
        <v>77</v>
      </c>
      <c r="E107" s="23"/>
      <c r="F107" s="23"/>
      <c r="G107" s="23"/>
      <c r="H107" s="23"/>
      <c r="I107" s="23"/>
    </row>
    <row r="108" spans="1:9" x14ac:dyDescent="0.15">
      <c r="A108" s="32" t="str">
        <f>"  "&amp;A191</f>
        <v xml:space="preserve">  Accounts Payable</v>
      </c>
      <c r="D108" s="32">
        <f>D191</f>
        <v>7</v>
      </c>
      <c r="E108" s="21">
        <f ca="1">E123*E98</f>
        <v>7.7003200000000005</v>
      </c>
      <c r="F108" s="21">
        <f ca="1">F123*F98</f>
        <v>8.4583520000000014</v>
      </c>
      <c r="G108" s="21">
        <f ca="1">G123*G98</f>
        <v>9.2921872000000025</v>
      </c>
      <c r="H108" s="21">
        <f ca="1">H123*H98</f>
        <v>10.209405920000004</v>
      </c>
      <c r="I108" s="21">
        <f ca="1">I123*I98</f>
        <v>11.218346512000005</v>
      </c>
    </row>
    <row r="109" spans="1:9" x14ac:dyDescent="0.15">
      <c r="A109" s="32" t="str">
        <f>"  "&amp;A192</f>
        <v xml:space="preserve">  Accrued Expenses</v>
      </c>
      <c r="D109" s="32">
        <f>D192</f>
        <v>6</v>
      </c>
      <c r="E109" s="21">
        <f ca="1">E124*E98</f>
        <v>6.6002742857142866</v>
      </c>
      <c r="F109" s="21">
        <f ca="1">F124*F98</f>
        <v>7.2500160000000013</v>
      </c>
      <c r="G109" s="21">
        <f ca="1">G124*G98</f>
        <v>7.964731885714289</v>
      </c>
      <c r="H109" s="21">
        <f ca="1">H124*H98</f>
        <v>8.7509193600000028</v>
      </c>
      <c r="I109" s="21">
        <f ca="1">I124*I98</f>
        <v>9.6157255817142904</v>
      </c>
    </row>
    <row r="110" spans="1:9" ht="6" customHeight="1" x14ac:dyDescent="0.15">
      <c r="A110" s="9"/>
      <c r="D110" s="19" t="s">
        <v>23</v>
      </c>
      <c r="E110" s="19" t="s">
        <v>23</v>
      </c>
      <c r="F110" s="19" t="s">
        <v>23</v>
      </c>
      <c r="G110" s="19" t="s">
        <v>23</v>
      </c>
      <c r="H110" s="19" t="s">
        <v>23</v>
      </c>
      <c r="I110" s="19" t="s">
        <v>23</v>
      </c>
    </row>
    <row r="111" spans="1:9" x14ac:dyDescent="0.15">
      <c r="A111" s="32" t="str">
        <f>"    "&amp;A107</f>
        <v xml:space="preserve">    Current Liabilities</v>
      </c>
      <c r="D111" s="32">
        <f t="shared" ref="D111:I111" si="33">SUM(D108:D110)</f>
        <v>13</v>
      </c>
      <c r="E111" s="21">
        <f t="shared" ca="1" si="33"/>
        <v>14.300594285714286</v>
      </c>
      <c r="F111" s="21">
        <f t="shared" ca="1" si="33"/>
        <v>15.708368000000004</v>
      </c>
      <c r="G111" s="21">
        <f t="shared" ca="1" si="33"/>
        <v>17.256919085714291</v>
      </c>
      <c r="H111" s="21">
        <f t="shared" ca="1" si="33"/>
        <v>18.960325280000006</v>
      </c>
      <c r="I111" s="21">
        <f t="shared" ca="1" si="33"/>
        <v>20.834072093714298</v>
      </c>
    </row>
    <row r="112" spans="1:9" x14ac:dyDescent="0.15">
      <c r="A112" s="9"/>
    </row>
    <row r="113" spans="1:10" x14ac:dyDescent="0.15">
      <c r="A113" s="61" t="s">
        <v>78</v>
      </c>
    </row>
    <row r="114" spans="1:10" x14ac:dyDescent="0.15">
      <c r="A114" s="9" t="s">
        <v>79</v>
      </c>
      <c r="D114" s="21">
        <f t="shared" ref="D114:I114" si="34">D105-D111</f>
        <v>10</v>
      </c>
      <c r="E114" s="21">
        <f t="shared" ca="1" si="34"/>
        <v>11</v>
      </c>
      <c r="F114" s="21">
        <f t="shared" ca="1" si="34"/>
        <v>12.099999999999998</v>
      </c>
      <c r="G114" s="21">
        <f t="shared" ca="1" si="34"/>
        <v>13.310000000000006</v>
      </c>
      <c r="H114" s="21">
        <f t="shared" ca="1" si="34"/>
        <v>14.641000000000005</v>
      </c>
      <c r="I114" s="21">
        <f t="shared" ca="1" si="34"/>
        <v>16.105100000000007</v>
      </c>
    </row>
    <row r="115" spans="1:10" x14ac:dyDescent="0.15">
      <c r="A115" s="9" t="s">
        <v>80</v>
      </c>
      <c r="E115" s="21">
        <f ca="1">D114-E114</f>
        <v>-1</v>
      </c>
      <c r="F115" s="21">
        <f ca="1">E114-F114</f>
        <v>-1.0999999999999979</v>
      </c>
      <c r="G115" s="21">
        <f ca="1">F114-G114</f>
        <v>-1.210000000000008</v>
      </c>
      <c r="H115" s="21">
        <f ca="1">G114-H114</f>
        <v>-1.3309999999999995</v>
      </c>
      <c r="I115" s="21">
        <f ca="1">H114-I114</f>
        <v>-1.464100000000002</v>
      </c>
    </row>
    <row r="116" spans="1:10" x14ac:dyDescent="0.15">
      <c r="A116" s="9"/>
    </row>
    <row r="117" spans="1:10" x14ac:dyDescent="0.15">
      <c r="A117" s="61" t="s">
        <v>81</v>
      </c>
    </row>
    <row r="118" spans="1:10" x14ac:dyDescent="0.15">
      <c r="A118" s="9" t="s">
        <v>82</v>
      </c>
      <c r="D118" s="63">
        <f>D101/D97</f>
        <v>8.4745762711864403E-2</v>
      </c>
      <c r="E118" s="65">
        <f>D118</f>
        <v>8.4745762711864403E-2</v>
      </c>
      <c r="F118" s="65">
        <f t="shared" ref="F118:I120" si="35">E118</f>
        <v>8.4745762711864403E-2</v>
      </c>
      <c r="G118" s="65">
        <f t="shared" si="35"/>
        <v>8.4745762711864403E-2</v>
      </c>
      <c r="H118" s="65">
        <f t="shared" si="35"/>
        <v>8.4745762711864403E-2</v>
      </c>
      <c r="I118" s="65">
        <f t="shared" si="35"/>
        <v>8.4745762711864403E-2</v>
      </c>
    </row>
    <row r="119" spans="1:10" x14ac:dyDescent="0.15">
      <c r="A119" s="12" t="s">
        <v>83</v>
      </c>
      <c r="D119" s="32">
        <f t="shared" ref="D119:I119" si="36">D101/(D97/365)</f>
        <v>30.932203389830509</v>
      </c>
      <c r="E119" s="32">
        <f t="shared" ca="1" si="36"/>
        <v>30.932203389830505</v>
      </c>
      <c r="F119" s="32">
        <f t="shared" ca="1" si="36"/>
        <v>30.932203389830505</v>
      </c>
      <c r="G119" s="32">
        <f t="shared" ca="1" si="36"/>
        <v>30.932203389830505</v>
      </c>
      <c r="H119" s="32">
        <f t="shared" ca="1" si="36"/>
        <v>30.932203389830505</v>
      </c>
      <c r="I119" s="32">
        <f t="shared" ca="1" si="36"/>
        <v>30.932203389830509</v>
      </c>
    </row>
    <row r="120" spans="1:10" x14ac:dyDescent="0.15">
      <c r="A120" s="9" t="s">
        <v>84</v>
      </c>
      <c r="D120" s="63">
        <f>D102/D98</f>
        <v>9.1428571428571428E-2</v>
      </c>
      <c r="E120" s="65">
        <f>D120</f>
        <v>9.1428571428571428E-2</v>
      </c>
      <c r="F120" s="65">
        <f t="shared" si="35"/>
        <v>9.1428571428571428E-2</v>
      </c>
      <c r="G120" s="65">
        <f t="shared" si="35"/>
        <v>9.1428571428571428E-2</v>
      </c>
      <c r="H120" s="65">
        <f t="shared" si="35"/>
        <v>9.1428571428571428E-2</v>
      </c>
      <c r="I120" s="65">
        <f t="shared" si="35"/>
        <v>9.1428571428571428E-2</v>
      </c>
    </row>
    <row r="121" spans="1:10" x14ac:dyDescent="0.15">
      <c r="A121" s="62" t="s">
        <v>85</v>
      </c>
      <c r="D121" s="64">
        <f t="shared" ref="D121:I121" si="37">IF(ISERROR(D98/D102),"NM",D98/D102)</f>
        <v>10.9375</v>
      </c>
      <c r="E121" s="64">
        <f t="shared" ca="1" si="37"/>
        <v>10.9375</v>
      </c>
      <c r="F121" s="64">
        <f t="shared" ca="1" si="37"/>
        <v>10.9375</v>
      </c>
      <c r="G121" s="64">
        <f t="shared" ca="1" si="37"/>
        <v>10.9375</v>
      </c>
      <c r="H121" s="64">
        <f t="shared" ca="1" si="37"/>
        <v>10.9375</v>
      </c>
      <c r="I121" s="64">
        <f t="shared" ca="1" si="37"/>
        <v>10.9375</v>
      </c>
    </row>
    <row r="122" spans="1:10" x14ac:dyDescent="0.15">
      <c r="A122" s="9" t="s">
        <v>86</v>
      </c>
      <c r="D122" s="63">
        <f>D103/D98</f>
        <v>5.7142857142857141E-2</v>
      </c>
      <c r="E122" s="65">
        <f t="shared" ref="E122:I124" si="38">D122</f>
        <v>5.7142857142857141E-2</v>
      </c>
      <c r="F122" s="65">
        <f t="shared" si="38"/>
        <v>5.7142857142857141E-2</v>
      </c>
      <c r="G122" s="65">
        <f t="shared" si="38"/>
        <v>5.7142857142857141E-2</v>
      </c>
      <c r="H122" s="65">
        <f t="shared" si="38"/>
        <v>5.7142857142857141E-2</v>
      </c>
      <c r="I122" s="65">
        <f t="shared" si="38"/>
        <v>5.7142857142857141E-2</v>
      </c>
    </row>
    <row r="123" spans="1:10" x14ac:dyDescent="0.15">
      <c r="A123" s="9" t="s">
        <v>87</v>
      </c>
      <c r="D123" s="63">
        <f>D108/D98</f>
        <v>0.08</v>
      </c>
      <c r="E123" s="65">
        <f t="shared" si="38"/>
        <v>0.08</v>
      </c>
      <c r="F123" s="65">
        <f t="shared" si="38"/>
        <v>0.08</v>
      </c>
      <c r="G123" s="65">
        <f t="shared" si="38"/>
        <v>0.08</v>
      </c>
      <c r="H123" s="65">
        <f t="shared" si="38"/>
        <v>0.08</v>
      </c>
      <c r="I123" s="65">
        <f t="shared" si="38"/>
        <v>0.08</v>
      </c>
    </row>
    <row r="124" spans="1:10" x14ac:dyDescent="0.15">
      <c r="A124" s="9" t="s">
        <v>88</v>
      </c>
      <c r="D124" s="63">
        <f>D109/D98</f>
        <v>6.8571428571428575E-2</v>
      </c>
      <c r="E124" s="65">
        <f t="shared" si="38"/>
        <v>6.8571428571428575E-2</v>
      </c>
      <c r="F124" s="65">
        <f t="shared" si="38"/>
        <v>6.8571428571428575E-2</v>
      </c>
      <c r="G124" s="65">
        <f t="shared" si="38"/>
        <v>6.8571428571428575E-2</v>
      </c>
      <c r="H124" s="65">
        <f t="shared" si="38"/>
        <v>6.8571428571428575E-2</v>
      </c>
      <c r="I124" s="65">
        <f t="shared" si="38"/>
        <v>6.8571428571428575E-2</v>
      </c>
    </row>
    <row r="128" spans="1:10" s="1" customFormat="1" ht="18" x14ac:dyDescent="0.2">
      <c r="A128" s="7" t="s">
        <v>50</v>
      </c>
      <c r="B128" s="8"/>
      <c r="C128" s="8"/>
      <c r="D128" s="8"/>
      <c r="E128" s="8"/>
      <c r="F128" s="8"/>
      <c r="G128" s="8"/>
      <c r="H128" s="8"/>
      <c r="I128" s="8"/>
      <c r="J128"/>
    </row>
    <row r="130" spans="1:18" ht="16" x14ac:dyDescent="0.3">
      <c r="A130"/>
      <c r="B130"/>
      <c r="C130"/>
      <c r="D130" s="29" t="s">
        <v>72</v>
      </c>
      <c r="E130" s="5" t="s">
        <v>1</v>
      </c>
      <c r="F130" s="5"/>
      <c r="G130" s="5"/>
      <c r="H130" s="5"/>
      <c r="I130" s="5"/>
    </row>
    <row r="131" spans="1:18" x14ac:dyDescent="0.15">
      <c r="A131"/>
      <c r="B131"/>
      <c r="C131"/>
      <c r="D131" s="4">
        <f t="shared" ref="D131:I131" si="39">D$54</f>
        <v>1999</v>
      </c>
      <c r="E131" s="4">
        <f t="shared" si="39"/>
        <v>2000</v>
      </c>
      <c r="F131" s="4">
        <f t="shared" si="39"/>
        <v>2001</v>
      </c>
      <c r="G131" s="4">
        <f t="shared" si="39"/>
        <v>2002</v>
      </c>
      <c r="H131" s="4">
        <f t="shared" si="39"/>
        <v>2003</v>
      </c>
      <c r="I131" s="4">
        <f t="shared" si="39"/>
        <v>2004</v>
      </c>
    </row>
    <row r="132" spans="1:18" ht="6" customHeight="1" x14ac:dyDescent="0.15"/>
    <row r="133" spans="1:18" s="13" customFormat="1" x14ac:dyDescent="0.15">
      <c r="A133" s="37" t="s">
        <v>3</v>
      </c>
      <c r="B133" s="35"/>
      <c r="C133" s="38"/>
      <c r="D133" s="22">
        <f t="shared" ref="D133:I133" si="40">D56</f>
        <v>118</v>
      </c>
      <c r="E133" s="22">
        <f t="shared" ca="1" si="40"/>
        <v>129.80000000000001</v>
      </c>
      <c r="F133" s="22">
        <f t="shared" ca="1" si="40"/>
        <v>142.78000000000003</v>
      </c>
      <c r="G133" s="22">
        <f t="shared" ca="1" si="40"/>
        <v>157.05800000000005</v>
      </c>
      <c r="H133" s="22">
        <f t="shared" ca="1" si="40"/>
        <v>172.76380000000006</v>
      </c>
      <c r="I133" s="22">
        <f t="shared" ca="1" si="40"/>
        <v>190.04018000000008</v>
      </c>
      <c r="J133" s="2"/>
      <c r="K133" s="2"/>
      <c r="L133" s="2"/>
      <c r="M133" s="2"/>
      <c r="N133" s="2"/>
      <c r="O133" s="2"/>
      <c r="P133" s="2"/>
      <c r="Q133" s="2"/>
      <c r="R133" s="2"/>
    </row>
    <row r="134" spans="1:18" s="13" customFormat="1" x14ac:dyDescent="0.15">
      <c r="A134" s="37" t="s">
        <v>51</v>
      </c>
      <c r="B134" s="35"/>
      <c r="C134" s="38"/>
      <c r="D134" s="21">
        <f t="shared" ref="D134:I134" si="41">D66</f>
        <v>87.5</v>
      </c>
      <c r="E134" s="21">
        <f t="shared" ca="1" si="41"/>
        <v>96.254000000000005</v>
      </c>
      <c r="F134" s="21">
        <f t="shared" ca="1" si="41"/>
        <v>105.72940000000001</v>
      </c>
      <c r="G134" s="21">
        <f t="shared" ca="1" si="41"/>
        <v>116.15234000000004</v>
      </c>
      <c r="H134" s="21">
        <f t="shared" ca="1" si="41"/>
        <v>127.61757400000005</v>
      </c>
      <c r="I134" s="21">
        <f t="shared" ca="1" si="41"/>
        <v>140.22933140000006</v>
      </c>
      <c r="J134" s="2"/>
      <c r="K134" s="2"/>
      <c r="L134" s="2"/>
      <c r="M134" s="2"/>
      <c r="N134" s="2"/>
      <c r="O134" s="2"/>
      <c r="P134" s="2"/>
      <c r="Q134" s="2"/>
      <c r="R134" s="2"/>
    </row>
    <row r="135" spans="1:18" s="13" customFormat="1" ht="6" customHeight="1" x14ac:dyDescent="0.15">
      <c r="A135" s="37"/>
      <c r="B135" s="36"/>
      <c r="C135" s="38"/>
      <c r="D135" s="19" t="s">
        <v>23</v>
      </c>
      <c r="E135" s="20" t="s">
        <v>23</v>
      </c>
      <c r="F135" s="20" t="s">
        <v>23</v>
      </c>
      <c r="G135" s="20" t="s">
        <v>23</v>
      </c>
      <c r="H135" s="20" t="s">
        <v>23</v>
      </c>
      <c r="I135" s="20" t="s">
        <v>23</v>
      </c>
      <c r="J135" s="2"/>
      <c r="K135" s="2"/>
      <c r="L135" s="2"/>
      <c r="M135" s="2"/>
      <c r="N135" s="2"/>
      <c r="O135" s="2"/>
      <c r="P135" s="2"/>
      <c r="Q135" s="2"/>
      <c r="R135" s="2"/>
    </row>
    <row r="136" spans="1:18" s="13" customFormat="1" x14ac:dyDescent="0.15">
      <c r="A136" s="37" t="s">
        <v>52</v>
      </c>
      <c r="B136" s="35"/>
      <c r="C136" s="38"/>
      <c r="D136" s="21">
        <f t="shared" ref="D136:I136" si="42">D133-D134</f>
        <v>30.5</v>
      </c>
      <c r="E136" s="21">
        <f t="shared" ca="1" si="42"/>
        <v>33.546000000000006</v>
      </c>
      <c r="F136" s="21">
        <f t="shared" ca="1" si="42"/>
        <v>37.050600000000017</v>
      </c>
      <c r="G136" s="21">
        <f t="shared" ca="1" si="42"/>
        <v>40.905660000000012</v>
      </c>
      <c r="H136" s="21">
        <f t="shared" ca="1" si="42"/>
        <v>45.146226000000013</v>
      </c>
      <c r="I136" s="21">
        <f t="shared" ca="1" si="42"/>
        <v>49.810848600000014</v>
      </c>
      <c r="J136" s="2"/>
      <c r="K136" s="2"/>
      <c r="L136" s="2"/>
      <c r="M136" s="2"/>
      <c r="N136" s="2"/>
      <c r="O136" s="2"/>
      <c r="P136" s="2"/>
      <c r="Q136" s="2"/>
      <c r="R136" s="2"/>
    </row>
    <row r="137" spans="1:18" s="13" customFormat="1" ht="6" customHeight="1" x14ac:dyDescent="0.15">
      <c r="A137" s="37"/>
      <c r="B137" s="35"/>
      <c r="C137" s="38"/>
      <c r="D137" s="23"/>
      <c r="E137" s="23"/>
      <c r="F137" s="23"/>
      <c r="G137" s="23"/>
      <c r="H137" s="23"/>
      <c r="I137" s="23"/>
      <c r="J137" s="2"/>
      <c r="K137" s="2"/>
      <c r="L137" s="2"/>
      <c r="M137" s="2"/>
      <c r="N137" s="2"/>
      <c r="O137" s="2"/>
      <c r="P137" s="2"/>
      <c r="Q137" s="2"/>
      <c r="R137" s="2"/>
    </row>
    <row r="138" spans="1:18" s="13" customFormat="1" x14ac:dyDescent="0.15">
      <c r="A138" s="37" t="s">
        <v>15</v>
      </c>
      <c r="B138" s="35"/>
      <c r="C138" s="38"/>
      <c r="D138" s="21">
        <f t="shared" ref="D138:I138" si="43">D78</f>
        <v>9.3000000000000007</v>
      </c>
      <c r="E138" s="21">
        <f t="shared" ca="1" si="43"/>
        <v>10.384</v>
      </c>
      <c r="F138" s="21">
        <f t="shared" ca="1" si="43"/>
        <v>11.422400000000003</v>
      </c>
      <c r="G138" s="21">
        <f t="shared" ca="1" si="43"/>
        <v>12.564640000000004</v>
      </c>
      <c r="H138" s="21">
        <f t="shared" ca="1" si="43"/>
        <v>13.821104000000005</v>
      </c>
      <c r="I138" s="21">
        <f t="shared" ca="1" si="43"/>
        <v>15.203214400000007</v>
      </c>
      <c r="J138" s="2"/>
      <c r="K138" s="2"/>
      <c r="L138" s="2"/>
      <c r="M138" s="2"/>
      <c r="N138" s="2"/>
      <c r="O138" s="2"/>
      <c r="P138" s="2"/>
      <c r="Q138" s="2"/>
      <c r="R138" s="2"/>
    </row>
    <row r="139" spans="1:18" s="13" customFormat="1" x14ac:dyDescent="0.15">
      <c r="A139" s="37" t="s">
        <v>53</v>
      </c>
      <c r="B139" s="35"/>
      <c r="C139" s="38"/>
      <c r="D139" s="21">
        <f t="shared" ref="D139:I139" si="44">D81</f>
        <v>1</v>
      </c>
      <c r="E139" s="21">
        <f t="shared" si="44"/>
        <v>1</v>
      </c>
      <c r="F139" s="21">
        <f t="shared" si="44"/>
        <v>1</v>
      </c>
      <c r="G139" s="21">
        <f t="shared" si="44"/>
        <v>1</v>
      </c>
      <c r="H139" s="21">
        <f t="shared" si="44"/>
        <v>1</v>
      </c>
      <c r="I139" s="21">
        <f t="shared" si="44"/>
        <v>1</v>
      </c>
      <c r="J139" s="2"/>
      <c r="K139" s="2"/>
      <c r="L139" s="2"/>
      <c r="M139" s="2"/>
      <c r="N139" s="2"/>
      <c r="O139" s="2"/>
      <c r="P139" s="2"/>
      <c r="Q139" s="2"/>
      <c r="R139" s="2"/>
    </row>
    <row r="140" spans="1:18" s="13" customFormat="1" ht="6" customHeight="1" x14ac:dyDescent="0.15">
      <c r="A140" s="37"/>
      <c r="B140" s="36"/>
      <c r="C140" s="38"/>
      <c r="D140" s="19" t="s">
        <v>23</v>
      </c>
      <c r="E140" s="20" t="s">
        <v>23</v>
      </c>
      <c r="F140" s="20" t="s">
        <v>23</v>
      </c>
      <c r="G140" s="20" t="s">
        <v>23</v>
      </c>
      <c r="H140" s="20" t="s">
        <v>23</v>
      </c>
      <c r="I140" s="20" t="s">
        <v>23</v>
      </c>
      <c r="J140" s="2"/>
      <c r="K140" s="2"/>
      <c r="L140" s="2"/>
      <c r="M140" s="2"/>
      <c r="N140" s="2"/>
      <c r="O140" s="2"/>
      <c r="P140" s="2"/>
      <c r="Q140" s="2"/>
      <c r="R140" s="2"/>
    </row>
    <row r="141" spans="1:18" s="13" customFormat="1" x14ac:dyDescent="0.15">
      <c r="A141" s="37" t="s">
        <v>54</v>
      </c>
      <c r="B141" s="35"/>
      <c r="C141" s="38"/>
      <c r="D141" s="21">
        <f t="shared" ref="D141:I141" si="45">D136-SUM(D138:D140)</f>
        <v>20.2</v>
      </c>
      <c r="E141" s="21">
        <f t="shared" ca="1" si="45"/>
        <v>22.162000000000006</v>
      </c>
      <c r="F141" s="21">
        <f t="shared" ca="1" si="45"/>
        <v>24.628200000000014</v>
      </c>
      <c r="G141" s="21">
        <f t="shared" ca="1" si="45"/>
        <v>27.341020000000007</v>
      </c>
      <c r="H141" s="21">
        <f t="shared" ca="1" si="45"/>
        <v>30.325122000000007</v>
      </c>
      <c r="I141" s="21">
        <f t="shared" ca="1" si="45"/>
        <v>33.607634200000007</v>
      </c>
      <c r="J141" s="2"/>
      <c r="K141" s="2"/>
      <c r="L141" s="2"/>
      <c r="M141" s="2"/>
      <c r="N141" s="2"/>
      <c r="O141" s="2"/>
      <c r="P141" s="2"/>
      <c r="Q141" s="2"/>
      <c r="R141" s="2"/>
    </row>
    <row r="142" spans="1:18" s="13" customFormat="1" x14ac:dyDescent="0.15">
      <c r="A142" s="37"/>
      <c r="B142" s="35"/>
      <c r="C142" s="38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s="13" customFormat="1" x14ac:dyDescent="0.15">
      <c r="A143" s="208" t="s">
        <v>55</v>
      </c>
      <c r="B143" s="133"/>
      <c r="C143" s="209" t="s">
        <v>56</v>
      </c>
      <c r="D143" s="210"/>
      <c r="E143" s="210"/>
      <c r="F143" s="210"/>
      <c r="G143" s="210"/>
      <c r="H143" s="210"/>
      <c r="I143" s="210"/>
      <c r="J143" s="2"/>
      <c r="K143" s="2"/>
      <c r="L143" s="2"/>
      <c r="M143" s="2"/>
      <c r="N143" s="2"/>
      <c r="O143" s="2"/>
      <c r="P143" s="2"/>
      <c r="Q143" s="2"/>
      <c r="R143" s="2"/>
    </row>
    <row r="144" spans="1:18" s="13" customFormat="1" x14ac:dyDescent="0.15">
      <c r="A144" s="75" t="s">
        <v>57</v>
      </c>
      <c r="B144" s="133"/>
      <c r="C144" s="211">
        <v>0.08</v>
      </c>
      <c r="D144" s="246">
        <f ca="1">E144</f>
        <v>0.18799999999999956</v>
      </c>
      <c r="E144" s="40">
        <f t="shared" ref="E144:I146" ca="1" si="46">$C144*IF(ai=1,ROUND((D196+E196)/2,2),D196)</f>
        <v>0.18799999999999956</v>
      </c>
      <c r="F144" s="40">
        <f t="shared" ca="1" si="46"/>
        <v>0</v>
      </c>
      <c r="G144" s="40">
        <f t="shared" ca="1" si="46"/>
        <v>0</v>
      </c>
      <c r="H144" s="40">
        <f t="shared" ca="1" si="46"/>
        <v>0</v>
      </c>
      <c r="I144" s="40">
        <f t="shared" ca="1" si="46"/>
        <v>0</v>
      </c>
      <c r="J144" s="2"/>
      <c r="K144" s="2"/>
      <c r="L144" s="2"/>
      <c r="M144" s="2"/>
      <c r="N144" s="2"/>
      <c r="O144" s="2"/>
      <c r="P144" s="2"/>
      <c r="Q144" s="2"/>
      <c r="R144" s="2"/>
    </row>
    <row r="145" spans="1:18" s="13" customFormat="1" x14ac:dyDescent="0.15">
      <c r="A145" s="75" t="s">
        <v>58</v>
      </c>
      <c r="B145" s="133"/>
      <c r="C145" s="213">
        <f ca="1">H405</f>
        <v>8.5000000000000006E-2</v>
      </c>
      <c r="D145" s="246">
        <f ca="1">E145</f>
        <v>2.5500000000000003</v>
      </c>
      <c r="E145" s="40">
        <f t="shared" ca="1" si="46"/>
        <v>2.5500000000000003</v>
      </c>
      <c r="F145" s="40">
        <f t="shared" ca="1" si="46"/>
        <v>1.0151574285714275</v>
      </c>
      <c r="G145" s="40">
        <f t="shared" ca="1" si="46"/>
        <v>0.25046368599999819</v>
      </c>
      <c r="H145" s="40">
        <f t="shared" ca="1" si="46"/>
        <v>0</v>
      </c>
      <c r="I145" s="40">
        <f t="shared" ca="1" si="46"/>
        <v>0</v>
      </c>
      <c r="J145" s="2"/>
      <c r="K145" s="2"/>
      <c r="L145" s="2"/>
      <c r="M145" s="2"/>
      <c r="N145" s="2"/>
      <c r="O145" s="2"/>
      <c r="P145" s="2"/>
      <c r="Q145" s="2"/>
      <c r="R145" s="2"/>
    </row>
    <row r="146" spans="1:18" s="13" customFormat="1" x14ac:dyDescent="0.15">
      <c r="A146" s="75" t="s">
        <v>59</v>
      </c>
      <c r="B146" s="133"/>
      <c r="C146" s="213">
        <f ca="1">H406</f>
        <v>0.11</v>
      </c>
      <c r="D146" s="246">
        <f ca="1">E146</f>
        <v>7.7</v>
      </c>
      <c r="E146" s="40">
        <f t="shared" ca="1" si="46"/>
        <v>7.7</v>
      </c>
      <c r="F146" s="40">
        <f t="shared" ca="1" si="46"/>
        <v>7.7</v>
      </c>
      <c r="G146" s="40">
        <f t="shared" ca="1" si="46"/>
        <v>7.7</v>
      </c>
      <c r="H146" s="40">
        <f t="shared" ca="1" si="46"/>
        <v>7.7</v>
      </c>
      <c r="I146" s="40">
        <f t="shared" ca="1" si="46"/>
        <v>7.7</v>
      </c>
      <c r="J146" s="2"/>
      <c r="K146" s="2"/>
      <c r="L146" s="2"/>
      <c r="M146" s="2"/>
      <c r="N146" s="2"/>
      <c r="O146" s="2"/>
      <c r="P146" s="2"/>
      <c r="Q146" s="2"/>
      <c r="R146" s="2"/>
    </row>
    <row r="147" spans="1:18" s="13" customFormat="1" ht="6" customHeight="1" x14ac:dyDescent="0.15">
      <c r="A147" s="75"/>
      <c r="B147" s="133"/>
      <c r="C147" s="212"/>
      <c r="D147" s="121" t="s">
        <v>23</v>
      </c>
      <c r="E147" s="121" t="s">
        <v>23</v>
      </c>
      <c r="F147" s="110" t="s">
        <v>23</v>
      </c>
      <c r="G147" s="110" t="s">
        <v>23</v>
      </c>
      <c r="H147" s="110" t="s">
        <v>23</v>
      </c>
      <c r="I147" s="110" t="s">
        <v>23</v>
      </c>
      <c r="J147" s="2"/>
      <c r="K147" s="2"/>
      <c r="L147" s="2"/>
      <c r="M147" s="2"/>
      <c r="N147" s="2"/>
      <c r="O147" s="2"/>
      <c r="P147" s="2"/>
      <c r="Q147" s="2"/>
      <c r="R147" s="2"/>
    </row>
    <row r="148" spans="1:18" s="13" customFormat="1" x14ac:dyDescent="0.15">
      <c r="A148" s="75" t="s">
        <v>60</v>
      </c>
      <c r="B148" s="133"/>
      <c r="C148" s="212"/>
      <c r="D148" s="40">
        <f t="shared" ref="D148:I148" ca="1" si="47">SUM(D144:D147)</f>
        <v>10.438000000000001</v>
      </c>
      <c r="E148" s="40">
        <f t="shared" ca="1" si="47"/>
        <v>10.438000000000001</v>
      </c>
      <c r="F148" s="40">
        <f t="shared" ca="1" si="47"/>
        <v>8.7151574285714268</v>
      </c>
      <c r="G148" s="40">
        <f t="shared" ca="1" si="47"/>
        <v>7.9504636859999982</v>
      </c>
      <c r="H148" s="40">
        <f t="shared" ca="1" si="47"/>
        <v>7.7</v>
      </c>
      <c r="I148" s="40">
        <f t="shared" ca="1" si="47"/>
        <v>7.7</v>
      </c>
      <c r="J148" s="2"/>
      <c r="K148" s="2"/>
      <c r="L148" s="2"/>
      <c r="M148" s="2"/>
      <c r="N148" s="2"/>
      <c r="O148" s="2"/>
      <c r="P148" s="2"/>
      <c r="Q148" s="2"/>
      <c r="R148" s="2"/>
    </row>
    <row r="149" spans="1:18" s="13" customFormat="1" ht="6" customHeight="1" x14ac:dyDescent="0.15">
      <c r="A149" s="37"/>
      <c r="B149" s="35"/>
      <c r="C149" s="38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s="13" customFormat="1" x14ac:dyDescent="0.15">
      <c r="A150" s="37" t="s">
        <v>61</v>
      </c>
      <c r="B150" s="35"/>
      <c r="C150" s="39">
        <v>0.04</v>
      </c>
      <c r="D150" s="246">
        <f ca="1">E150</f>
        <v>-0.54</v>
      </c>
      <c r="E150" s="21">
        <f ca="1">-$C150*D173</f>
        <v>-0.54</v>
      </c>
      <c r="F150" s="21">
        <f ca="1">-$C150*E173</f>
        <v>0</v>
      </c>
      <c r="G150" s="21">
        <f ca="1">-$C150*F173</f>
        <v>0</v>
      </c>
      <c r="H150" s="21">
        <f ca="1">-$C150*G173</f>
        <v>-0.32105094467885809</v>
      </c>
      <c r="I150" s="21">
        <f ca="1">-$C150*H173</f>
        <v>-0.84046195249400801</v>
      </c>
      <c r="J150" s="2"/>
      <c r="K150" s="2"/>
      <c r="L150" s="2"/>
      <c r="M150" s="2"/>
      <c r="N150" s="2"/>
      <c r="O150" s="2"/>
      <c r="P150" s="2"/>
      <c r="Q150" s="2"/>
      <c r="R150" s="2"/>
    </row>
    <row r="151" spans="1:18" s="13" customFormat="1" x14ac:dyDescent="0.15">
      <c r="A151" s="37" t="s">
        <v>62</v>
      </c>
      <c r="B151" s="35"/>
      <c r="C151" s="41">
        <v>7</v>
      </c>
      <c r="D151" s="246">
        <f ca="1">E151</f>
        <v>1.1214285714285714</v>
      </c>
      <c r="E151" s="21">
        <f ca="1">$D$186/$C$151</f>
        <v>1.1214285714285714</v>
      </c>
      <c r="F151" s="21">
        <f ca="1">$D$186/$C$151</f>
        <v>1.1214285714285714</v>
      </c>
      <c r="G151" s="21">
        <f ca="1">$D$186/$C$151</f>
        <v>1.1214285714285714</v>
      </c>
      <c r="H151" s="21">
        <f ca="1">$D$186/$C$151</f>
        <v>1.1214285714285714</v>
      </c>
      <c r="I151" s="21">
        <f ca="1">$D$186/$C$151</f>
        <v>1.1214285714285714</v>
      </c>
      <c r="J151" s="2"/>
      <c r="K151" s="2"/>
      <c r="L151" s="2"/>
      <c r="M151" s="2"/>
      <c r="N151" s="2"/>
      <c r="O151" s="2"/>
      <c r="P151" s="2"/>
      <c r="Q151" s="2"/>
      <c r="R151" s="2"/>
    </row>
    <row r="152" spans="1:18" s="13" customFormat="1" ht="6" customHeight="1" x14ac:dyDescent="0.15">
      <c r="A152" s="37"/>
      <c r="B152" s="35"/>
      <c r="C152" s="38"/>
      <c r="D152" s="19" t="s">
        <v>23</v>
      </c>
      <c r="E152" s="19" t="s">
        <v>23</v>
      </c>
      <c r="F152" s="20" t="s">
        <v>23</v>
      </c>
      <c r="G152" s="20" t="s">
        <v>23</v>
      </c>
      <c r="H152" s="20" t="s">
        <v>23</v>
      </c>
      <c r="I152" s="20" t="s">
        <v>23</v>
      </c>
      <c r="J152" s="2"/>
      <c r="K152" s="2"/>
      <c r="L152" s="2"/>
      <c r="M152" s="2"/>
      <c r="N152" s="2"/>
      <c r="O152" s="2"/>
      <c r="P152" s="2"/>
      <c r="Q152" s="2"/>
      <c r="R152" s="2"/>
    </row>
    <row r="153" spans="1:18" s="13" customFormat="1" x14ac:dyDescent="0.15">
      <c r="A153" s="37" t="s">
        <v>63</v>
      </c>
      <c r="B153" s="35"/>
      <c r="C153" s="38"/>
      <c r="D153" s="21">
        <f t="shared" ref="D153:I153" ca="1" si="48">D141-SUM(D148:D152)</f>
        <v>9.1805714285714277</v>
      </c>
      <c r="E153" s="21">
        <f t="shared" ca="1" si="48"/>
        <v>11.142571428571435</v>
      </c>
      <c r="F153" s="21">
        <f t="shared" ca="1" si="48"/>
        <v>14.791614000000015</v>
      </c>
      <c r="G153" s="21">
        <f t="shared" ca="1" si="48"/>
        <v>18.269127742571438</v>
      </c>
      <c r="H153" s="21">
        <f t="shared" ca="1" si="48"/>
        <v>21.824744373250294</v>
      </c>
      <c r="I153" s="21">
        <f t="shared" ca="1" si="48"/>
        <v>25.626667581065441</v>
      </c>
      <c r="J153" s="2"/>
      <c r="K153" s="2"/>
      <c r="L153" s="2"/>
      <c r="M153" s="2"/>
      <c r="N153" s="2"/>
      <c r="O153" s="2"/>
      <c r="P153" s="2"/>
      <c r="Q153" s="2"/>
      <c r="R153" s="2"/>
    </row>
    <row r="154" spans="1:18" s="13" customFormat="1" x14ac:dyDescent="0.15">
      <c r="A154" s="37" t="s">
        <v>64</v>
      </c>
      <c r="B154" s="35"/>
      <c r="C154" s="39">
        <v>0.4</v>
      </c>
      <c r="D154" s="21">
        <f t="shared" ref="D154:I154" ca="1" si="49">$C154*(D153+D139)</f>
        <v>4.0722285714285711</v>
      </c>
      <c r="E154" s="21">
        <f t="shared" ca="1" si="49"/>
        <v>4.8570285714285744</v>
      </c>
      <c r="F154" s="21">
        <f t="shared" ca="1" si="49"/>
        <v>6.3166456000000064</v>
      </c>
      <c r="G154" s="21">
        <f t="shared" ca="1" si="49"/>
        <v>7.7076510970285756</v>
      </c>
      <c r="H154" s="21">
        <f t="shared" ca="1" si="49"/>
        <v>9.1298977493001185</v>
      </c>
      <c r="I154" s="21">
        <f t="shared" ca="1" si="49"/>
        <v>10.650667032426178</v>
      </c>
      <c r="J154" s="2"/>
      <c r="K154" s="2"/>
      <c r="L154" s="2"/>
      <c r="M154" s="2"/>
      <c r="N154" s="2"/>
      <c r="O154" s="2"/>
      <c r="P154" s="2"/>
      <c r="Q154" s="2"/>
      <c r="R154" s="2"/>
    </row>
    <row r="155" spans="1:18" s="13" customFormat="1" x14ac:dyDescent="0.15">
      <c r="A155" s="35"/>
      <c r="B155" s="35"/>
      <c r="C155" s="38"/>
      <c r="D155" s="19" t="s">
        <v>23</v>
      </c>
      <c r="E155" s="19" t="s">
        <v>23</v>
      </c>
      <c r="F155" s="20" t="s">
        <v>23</v>
      </c>
      <c r="G155" s="20" t="s">
        <v>23</v>
      </c>
      <c r="H155" s="20" t="s">
        <v>23</v>
      </c>
      <c r="I155" s="20" t="s">
        <v>23</v>
      </c>
      <c r="J155" s="2"/>
      <c r="K155" s="2"/>
      <c r="L155" s="2"/>
      <c r="M155" s="2"/>
      <c r="N155" s="2"/>
      <c r="O155" s="2"/>
      <c r="P155" s="2"/>
      <c r="Q155" s="2"/>
      <c r="R155" s="2"/>
    </row>
    <row r="156" spans="1:18" s="13" customFormat="1" x14ac:dyDescent="0.15">
      <c r="A156" s="37" t="s">
        <v>65</v>
      </c>
      <c r="B156" s="35"/>
      <c r="C156" s="38"/>
      <c r="D156" s="21">
        <f t="shared" ref="D156:I156" ca="1" si="50">D153-D154</f>
        <v>5.1083428571428566</v>
      </c>
      <c r="E156" s="21">
        <f t="shared" ca="1" si="50"/>
        <v>6.2855428571428602</v>
      </c>
      <c r="F156" s="21">
        <f t="shared" ca="1" si="50"/>
        <v>8.4749684000000087</v>
      </c>
      <c r="G156" s="21">
        <f t="shared" ca="1" si="50"/>
        <v>10.561476645542863</v>
      </c>
      <c r="H156" s="21">
        <f t="shared" ca="1" si="50"/>
        <v>12.694846623950175</v>
      </c>
      <c r="I156" s="21">
        <f t="shared" ca="1" si="50"/>
        <v>14.976000548639263</v>
      </c>
      <c r="J156" s="2"/>
      <c r="K156" s="2"/>
      <c r="L156" s="2"/>
      <c r="M156" s="2"/>
      <c r="N156" s="2"/>
      <c r="O156" s="2"/>
      <c r="P156" s="2"/>
      <c r="Q156" s="2"/>
      <c r="R156" s="2"/>
    </row>
    <row r="157" spans="1:18" s="13" customFormat="1" x14ac:dyDescent="0.15">
      <c r="A157" s="37" t="s">
        <v>66</v>
      </c>
      <c r="B157" s="35"/>
      <c r="C157" s="38"/>
      <c r="D157" s="247">
        <f>E157</f>
        <v>10</v>
      </c>
      <c r="E157" s="42">
        <v>10</v>
      </c>
      <c r="F157" s="43">
        <f>E157</f>
        <v>10</v>
      </c>
      <c r="G157" s="43">
        <f>F157</f>
        <v>10</v>
      </c>
      <c r="H157" s="43">
        <f>G157</f>
        <v>10</v>
      </c>
      <c r="I157" s="43">
        <f>H157</f>
        <v>10</v>
      </c>
      <c r="J157" s="2"/>
      <c r="K157" s="2"/>
      <c r="L157" s="2"/>
      <c r="M157" s="2"/>
      <c r="N157" s="2"/>
      <c r="O157" s="2"/>
      <c r="P157" s="2"/>
      <c r="Q157" s="2"/>
      <c r="R157" s="2"/>
    </row>
    <row r="158" spans="1:18" s="13" customFormat="1" x14ac:dyDescent="0.15">
      <c r="A158" s="37" t="s">
        <v>67</v>
      </c>
      <c r="B158" s="35"/>
      <c r="C158" s="38"/>
      <c r="D158" s="44">
        <f t="shared" ref="D158:I158" ca="1" si="51">D156/D157</f>
        <v>0.51083428571428569</v>
      </c>
      <c r="E158" s="44">
        <f t="shared" ca="1" si="51"/>
        <v>0.62855428571428607</v>
      </c>
      <c r="F158" s="44">
        <f t="shared" ca="1" si="51"/>
        <v>0.84749684000000092</v>
      </c>
      <c r="G158" s="44">
        <f t="shared" ca="1" si="51"/>
        <v>1.0561476645542862</v>
      </c>
      <c r="H158" s="44">
        <f t="shared" ca="1" si="51"/>
        <v>1.2694846623950176</v>
      </c>
      <c r="I158" s="44">
        <f t="shared" ca="1" si="51"/>
        <v>1.4976000548639263</v>
      </c>
      <c r="J158" s="2"/>
      <c r="K158" s="2"/>
      <c r="L158" s="2"/>
      <c r="M158" s="2"/>
      <c r="N158" s="2"/>
      <c r="O158" s="2"/>
      <c r="P158" s="2"/>
      <c r="Q158" s="2"/>
      <c r="R158" s="2"/>
    </row>
    <row r="159" spans="1:18" s="13" customFormat="1" x14ac:dyDescent="0.15">
      <c r="A159" s="35"/>
      <c r="B159" s="35"/>
      <c r="C159" s="38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s="13" customFormat="1" x14ac:dyDescent="0.15">
      <c r="A160" s="50" t="s">
        <v>68</v>
      </c>
      <c r="B160" s="51"/>
      <c r="C160" s="52"/>
      <c r="D160" s="52"/>
      <c r="E160" s="52"/>
      <c r="F160" s="52"/>
      <c r="G160" s="52"/>
      <c r="H160" s="52"/>
      <c r="I160" s="57"/>
      <c r="J160" s="2"/>
      <c r="K160" s="2"/>
      <c r="L160" s="2"/>
      <c r="M160" s="2"/>
      <c r="N160" s="2"/>
      <c r="O160" s="2"/>
      <c r="P160" s="2"/>
      <c r="Q160" s="2"/>
      <c r="R160" s="2"/>
    </row>
    <row r="161" spans="1:18" s="13" customFormat="1" x14ac:dyDescent="0.15">
      <c r="A161" s="47" t="str">
        <f>"  "&amp;A141</f>
        <v xml:space="preserve">  EBIT</v>
      </c>
      <c r="B161" s="35"/>
      <c r="C161" s="38"/>
      <c r="D161" s="45">
        <f t="shared" ref="D161:I161" si="52">D141</f>
        <v>20.2</v>
      </c>
      <c r="E161" s="45">
        <f t="shared" ca="1" si="52"/>
        <v>22.162000000000006</v>
      </c>
      <c r="F161" s="45">
        <f t="shared" ca="1" si="52"/>
        <v>24.628200000000014</v>
      </c>
      <c r="G161" s="45">
        <f t="shared" ca="1" si="52"/>
        <v>27.341020000000007</v>
      </c>
      <c r="H161" s="45">
        <f t="shared" ca="1" si="52"/>
        <v>30.325122000000007</v>
      </c>
      <c r="I161" s="58">
        <f t="shared" ca="1" si="52"/>
        <v>33.607634200000007</v>
      </c>
      <c r="J161" s="2"/>
      <c r="K161" s="2"/>
      <c r="L161" s="2"/>
      <c r="M161" s="2"/>
      <c r="N161" s="2"/>
      <c r="O161" s="2"/>
      <c r="P161" s="2"/>
      <c r="Q161" s="2"/>
      <c r="R161" s="2"/>
    </row>
    <row r="162" spans="1:18" s="13" customFormat="1" x14ac:dyDescent="0.15">
      <c r="A162" s="48" t="s">
        <v>69</v>
      </c>
      <c r="B162" s="35"/>
      <c r="C162" s="38"/>
      <c r="D162" s="45">
        <f t="shared" ref="D162:I162" si="53">D63</f>
        <v>1.5</v>
      </c>
      <c r="E162" s="45">
        <f t="shared" si="53"/>
        <v>1.5</v>
      </c>
      <c r="F162" s="45">
        <f t="shared" si="53"/>
        <v>1.5</v>
      </c>
      <c r="G162" s="45">
        <f t="shared" si="53"/>
        <v>1.5</v>
      </c>
      <c r="H162" s="45">
        <f t="shared" si="53"/>
        <v>1.5</v>
      </c>
      <c r="I162" s="58">
        <f t="shared" si="53"/>
        <v>1.5</v>
      </c>
      <c r="J162" s="2"/>
      <c r="K162" s="2"/>
      <c r="L162" s="2"/>
      <c r="M162" s="2"/>
      <c r="N162" s="2"/>
      <c r="O162" s="2"/>
      <c r="P162" s="2"/>
      <c r="Q162" s="2"/>
      <c r="R162" s="2"/>
    </row>
    <row r="163" spans="1:18" s="13" customFormat="1" x14ac:dyDescent="0.15">
      <c r="A163" s="48" t="s">
        <v>70</v>
      </c>
      <c r="B163" s="35"/>
      <c r="C163" s="38"/>
      <c r="D163" s="45">
        <f t="shared" ref="D163:I163" si="54">D139</f>
        <v>1</v>
      </c>
      <c r="E163" s="45">
        <f t="shared" si="54"/>
        <v>1</v>
      </c>
      <c r="F163" s="45">
        <f t="shared" si="54"/>
        <v>1</v>
      </c>
      <c r="G163" s="45">
        <f t="shared" si="54"/>
        <v>1</v>
      </c>
      <c r="H163" s="45">
        <f t="shared" si="54"/>
        <v>1</v>
      </c>
      <c r="I163" s="58">
        <f t="shared" si="54"/>
        <v>1</v>
      </c>
      <c r="J163" s="2"/>
      <c r="K163" s="2"/>
      <c r="L163" s="2"/>
      <c r="M163" s="2"/>
      <c r="N163" s="2"/>
      <c r="O163" s="2"/>
      <c r="P163" s="2"/>
      <c r="Q163" s="2"/>
      <c r="R163" s="2"/>
    </row>
    <row r="164" spans="1:18" s="13" customFormat="1" ht="6" customHeight="1" x14ac:dyDescent="0.15">
      <c r="A164" s="49"/>
      <c r="B164" s="35"/>
      <c r="C164" s="38"/>
      <c r="D164" s="46" t="s">
        <v>23</v>
      </c>
      <c r="E164" s="46" t="s">
        <v>23</v>
      </c>
      <c r="F164" s="36" t="s">
        <v>23</v>
      </c>
      <c r="G164" s="36" t="s">
        <v>23</v>
      </c>
      <c r="H164" s="36" t="s">
        <v>23</v>
      </c>
      <c r="I164" s="59" t="s">
        <v>23</v>
      </c>
      <c r="J164" s="2"/>
      <c r="K164" s="2"/>
      <c r="L164" s="2"/>
      <c r="M164" s="2"/>
      <c r="N164" s="2"/>
      <c r="O164" s="2"/>
      <c r="P164" s="2"/>
      <c r="Q164" s="2"/>
      <c r="R164" s="2"/>
    </row>
    <row r="165" spans="1:18" s="13" customFormat="1" x14ac:dyDescent="0.15">
      <c r="A165" s="53" t="s">
        <v>71</v>
      </c>
      <c r="B165" s="54"/>
      <c r="C165" s="55"/>
      <c r="D165" s="56">
        <f t="shared" ref="D165:I165" si="55">SUM(D161:D164)</f>
        <v>22.7</v>
      </c>
      <c r="E165" s="56">
        <f t="shared" ca="1" si="55"/>
        <v>24.662000000000006</v>
      </c>
      <c r="F165" s="56">
        <f t="shared" ca="1" si="55"/>
        <v>27.128200000000014</v>
      </c>
      <c r="G165" s="56">
        <f t="shared" ca="1" si="55"/>
        <v>29.841020000000007</v>
      </c>
      <c r="H165" s="56">
        <f t="shared" ca="1" si="55"/>
        <v>32.825122000000007</v>
      </c>
      <c r="I165" s="60">
        <f t="shared" ca="1" si="55"/>
        <v>36.107634200000007</v>
      </c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15">
      <c r="A166" s="9"/>
      <c r="B166" s="9"/>
      <c r="C166" s="9"/>
    </row>
    <row r="167" spans="1:18" x14ac:dyDescent="0.15">
      <c r="A167" s="9"/>
      <c r="B167" s="9"/>
      <c r="C167" s="9"/>
    </row>
    <row r="168" spans="1:18" s="24" customFormat="1" ht="18" x14ac:dyDescent="0.2">
      <c r="A168" s="7" t="s">
        <v>24</v>
      </c>
      <c r="B168" s="7"/>
      <c r="C168" s="7"/>
      <c r="D168" s="7"/>
      <c r="E168" s="7"/>
      <c r="F168" s="7"/>
      <c r="G168" s="7"/>
      <c r="H168" s="7"/>
      <c r="I168" s="7"/>
    </row>
    <row r="169" spans="1:18" s="13" customFormat="1" x14ac:dyDescent="0.15">
      <c r="A169"/>
    </row>
    <row r="170" spans="1:18" s="13" customFormat="1" ht="16" x14ac:dyDescent="0.3">
      <c r="A170"/>
      <c r="B170" s="29" t="s">
        <v>0</v>
      </c>
      <c r="C170" s="196" t="s">
        <v>182</v>
      </c>
      <c r="D170" s="29" t="s">
        <v>184</v>
      </c>
      <c r="E170" s="25" t="s">
        <v>1</v>
      </c>
      <c r="F170" s="25"/>
      <c r="G170" s="25"/>
      <c r="H170" s="25"/>
      <c r="I170" s="25"/>
    </row>
    <row r="171" spans="1:18" s="26" customFormat="1" x14ac:dyDescent="0.15">
      <c r="A171"/>
      <c r="B171" s="31">
        <f>D171</f>
        <v>36525</v>
      </c>
      <c r="C171" s="197" t="s">
        <v>183</v>
      </c>
      <c r="D171" s="30">
        <v>36525</v>
      </c>
      <c r="E171" s="31" t="e">
        <f ca="1">EOM(D171,12)</f>
        <v>#NAME?</v>
      </c>
      <c r="F171" s="31" t="e">
        <f ca="1">EOM(E171,12)</f>
        <v>#NAME?</v>
      </c>
      <c r="G171" s="31" t="e">
        <f ca="1">EOM(F171,12)</f>
        <v>#NAME?</v>
      </c>
      <c r="H171" s="31" t="e">
        <f ca="1">EOM(G171,12)</f>
        <v>#NAME?</v>
      </c>
      <c r="I171" s="31" t="e">
        <f ca="1">EOM(H171,12)</f>
        <v>#NAME?</v>
      </c>
    </row>
    <row r="172" spans="1:18" s="13" customFormat="1" x14ac:dyDescent="0.15">
      <c r="A172" s="27" t="s">
        <v>25</v>
      </c>
      <c r="E172" s="28"/>
      <c r="F172" s="28"/>
      <c r="G172" s="28"/>
      <c r="H172" s="28"/>
      <c r="I172" s="28"/>
    </row>
    <row r="173" spans="1:18" x14ac:dyDescent="0.15">
      <c r="A173" s="9" t="s">
        <v>26</v>
      </c>
      <c r="B173" s="195">
        <v>3.5</v>
      </c>
      <c r="C173" s="204">
        <f ca="1">-H383+H391</f>
        <v>10</v>
      </c>
      <c r="D173" s="204">
        <f ca="1">C173+B173</f>
        <v>13.5</v>
      </c>
      <c r="E173" s="22">
        <f ca="1">D173+E253</f>
        <v>0</v>
      </c>
      <c r="F173" s="22">
        <f ca="1">E173+F253</f>
        <v>0</v>
      </c>
      <c r="G173" s="22">
        <f ca="1">F173+G253</f>
        <v>8.0262736169714515</v>
      </c>
      <c r="H173" s="22">
        <f ca="1">G173+H253</f>
        <v>21.011548812350199</v>
      </c>
      <c r="I173" s="22">
        <f ca="1">H173+I253</f>
        <v>36.144877932418026</v>
      </c>
    </row>
    <row r="174" spans="1:18" x14ac:dyDescent="0.15">
      <c r="A174" s="9" t="s">
        <v>27</v>
      </c>
      <c r="B174" s="9">
        <v>10</v>
      </c>
      <c r="C174" s="198">
        <v>0</v>
      </c>
      <c r="D174" s="32">
        <f>C174+B174</f>
        <v>10</v>
      </c>
      <c r="E174" s="21">
        <f t="shared" ref="E174:I176" ca="1" si="56">E101</f>
        <v>11</v>
      </c>
      <c r="F174" s="21">
        <f t="shared" ca="1" si="56"/>
        <v>12.100000000000001</v>
      </c>
      <c r="G174" s="21">
        <f t="shared" ca="1" si="56"/>
        <v>13.310000000000004</v>
      </c>
      <c r="H174" s="21">
        <f t="shared" ca="1" si="56"/>
        <v>14.641000000000004</v>
      </c>
      <c r="I174" s="21">
        <f t="shared" ca="1" si="56"/>
        <v>16.105100000000007</v>
      </c>
    </row>
    <row r="175" spans="1:18" x14ac:dyDescent="0.15">
      <c r="A175" s="9" t="s">
        <v>28</v>
      </c>
      <c r="B175" s="9">
        <v>8</v>
      </c>
      <c r="C175" s="198">
        <v>0</v>
      </c>
      <c r="D175" s="32">
        <f>C175+B175</f>
        <v>8</v>
      </c>
      <c r="E175" s="21">
        <f t="shared" ca="1" si="56"/>
        <v>8.8003657142857143</v>
      </c>
      <c r="F175" s="21">
        <f t="shared" ca="1" si="56"/>
        <v>9.6666880000000006</v>
      </c>
      <c r="G175" s="21">
        <f t="shared" ca="1" si="56"/>
        <v>10.619642514285717</v>
      </c>
      <c r="H175" s="21">
        <f t="shared" ca="1" si="56"/>
        <v>11.667892480000004</v>
      </c>
      <c r="I175" s="21">
        <f t="shared" ca="1" si="56"/>
        <v>12.82096744228572</v>
      </c>
    </row>
    <row r="176" spans="1:18" x14ac:dyDescent="0.15">
      <c r="A176" s="9" t="s">
        <v>29</v>
      </c>
      <c r="B176" s="9">
        <v>5</v>
      </c>
      <c r="C176" s="198">
        <v>0</v>
      </c>
      <c r="D176" s="32">
        <f>C176+B176</f>
        <v>5</v>
      </c>
      <c r="E176" s="21">
        <f t="shared" ca="1" si="56"/>
        <v>5.5002285714285719</v>
      </c>
      <c r="F176" s="21">
        <f t="shared" ca="1" si="56"/>
        <v>6.0416800000000004</v>
      </c>
      <c r="G176" s="21">
        <f t="shared" ca="1" si="56"/>
        <v>6.6372765714285737</v>
      </c>
      <c r="H176" s="21">
        <f t="shared" ca="1" si="56"/>
        <v>7.292432800000002</v>
      </c>
      <c r="I176" s="21">
        <f t="shared" ca="1" si="56"/>
        <v>8.0131046514285753</v>
      </c>
    </row>
    <row r="177" spans="1:9" ht="6" customHeight="1" x14ac:dyDescent="0.15">
      <c r="A177" s="9"/>
      <c r="B177" s="19" t="s">
        <v>23</v>
      </c>
      <c r="C177" s="199" t="s">
        <v>23</v>
      </c>
      <c r="D177" s="19" t="s">
        <v>23</v>
      </c>
      <c r="E177" s="19" t="s">
        <v>23</v>
      </c>
      <c r="F177" s="20" t="s">
        <v>23</v>
      </c>
      <c r="G177" s="20" t="s">
        <v>23</v>
      </c>
      <c r="H177" s="20" t="s">
        <v>23</v>
      </c>
      <c r="I177" s="20" t="s">
        <v>23</v>
      </c>
    </row>
    <row r="178" spans="1:9" x14ac:dyDescent="0.15">
      <c r="A178" s="9" t="s">
        <v>30</v>
      </c>
      <c r="B178" s="32">
        <f t="shared" ref="B178:I178" si="57">SUM(B173:B177)</f>
        <v>26.5</v>
      </c>
      <c r="C178" s="200">
        <f t="shared" ca="1" si="57"/>
        <v>10</v>
      </c>
      <c r="D178" s="32">
        <f t="shared" ca="1" si="57"/>
        <v>36.5</v>
      </c>
      <c r="E178" s="21">
        <f t="shared" ca="1" si="57"/>
        <v>25.300594285714286</v>
      </c>
      <c r="F178" s="21">
        <f t="shared" ca="1" si="57"/>
        <v>27.808368000000002</v>
      </c>
      <c r="G178" s="21">
        <f t="shared" ca="1" si="57"/>
        <v>38.593192702685741</v>
      </c>
      <c r="H178" s="21">
        <f t="shared" ca="1" si="57"/>
        <v>54.612874092350211</v>
      </c>
      <c r="I178" s="21">
        <f t="shared" ca="1" si="57"/>
        <v>73.084050026132331</v>
      </c>
    </row>
    <row r="179" spans="1:9" x14ac:dyDescent="0.15">
      <c r="A179" s="9"/>
      <c r="C179" s="201"/>
      <c r="E179" s="23"/>
      <c r="F179" s="23"/>
      <c r="G179" s="23"/>
      <c r="H179" s="23"/>
      <c r="I179" s="23"/>
    </row>
    <row r="180" spans="1:9" x14ac:dyDescent="0.15">
      <c r="A180" s="9" t="s">
        <v>31</v>
      </c>
      <c r="B180" s="9">
        <v>135</v>
      </c>
      <c r="C180" s="198">
        <v>0</v>
      </c>
      <c r="D180" s="32">
        <f>C180+B180</f>
        <v>135</v>
      </c>
      <c r="E180" s="21">
        <f ca="1">D180+E90</f>
        <v>137</v>
      </c>
      <c r="F180" s="21">
        <f ca="1">E180+F90</f>
        <v>139</v>
      </c>
      <c r="G180" s="21">
        <f ca="1">F180+G90</f>
        <v>141</v>
      </c>
      <c r="H180" s="21">
        <f ca="1">G180+H90</f>
        <v>143</v>
      </c>
      <c r="I180" s="21">
        <f ca="1">H180+I90</f>
        <v>145</v>
      </c>
    </row>
    <row r="181" spans="1:9" x14ac:dyDescent="0.15">
      <c r="A181" s="9" t="s">
        <v>32</v>
      </c>
      <c r="B181" s="9">
        <v>-34</v>
      </c>
      <c r="C181" s="198">
        <v>0</v>
      </c>
      <c r="D181" s="32">
        <f>C181+B181</f>
        <v>-34</v>
      </c>
      <c r="E181" s="21">
        <f>D181-E63</f>
        <v>-35.5</v>
      </c>
      <c r="F181" s="21">
        <f>E181-F63</f>
        <v>-37</v>
      </c>
      <c r="G181" s="21">
        <f>F181-G63</f>
        <v>-38.5</v>
      </c>
      <c r="H181" s="21">
        <f>G181-H63</f>
        <v>-40</v>
      </c>
      <c r="I181" s="21">
        <f>H181-I63</f>
        <v>-41.5</v>
      </c>
    </row>
    <row r="182" spans="1:9" ht="6" customHeight="1" x14ac:dyDescent="0.15">
      <c r="A182" s="9"/>
      <c r="B182" s="19" t="s">
        <v>23</v>
      </c>
      <c r="C182" s="199" t="s">
        <v>23</v>
      </c>
      <c r="D182" s="19" t="s">
        <v>23</v>
      </c>
      <c r="E182" s="19" t="s">
        <v>23</v>
      </c>
      <c r="F182" s="20" t="s">
        <v>23</v>
      </c>
      <c r="G182" s="20" t="s">
        <v>23</v>
      </c>
      <c r="H182" s="20" t="s">
        <v>23</v>
      </c>
      <c r="I182" s="20" t="s">
        <v>23</v>
      </c>
    </row>
    <row r="183" spans="1:9" x14ac:dyDescent="0.15">
      <c r="A183" s="9" t="s">
        <v>33</v>
      </c>
      <c r="B183" s="32">
        <f>SUM(B180:B182)</f>
        <v>101</v>
      </c>
      <c r="C183" s="200">
        <f>SUM(C180:C182)</f>
        <v>0</v>
      </c>
      <c r="D183" s="32">
        <f t="shared" ref="D183:I183" si="58">SUM(D180:D182)</f>
        <v>101</v>
      </c>
      <c r="E183" s="21">
        <f t="shared" ca="1" si="58"/>
        <v>101.5</v>
      </c>
      <c r="F183" s="21">
        <f t="shared" ca="1" si="58"/>
        <v>102</v>
      </c>
      <c r="G183" s="21">
        <f t="shared" ca="1" si="58"/>
        <v>102.5</v>
      </c>
      <c r="H183" s="21">
        <f t="shared" ca="1" si="58"/>
        <v>103</v>
      </c>
      <c r="I183" s="21">
        <f t="shared" ca="1" si="58"/>
        <v>103.5</v>
      </c>
    </row>
    <row r="184" spans="1:9" x14ac:dyDescent="0.15">
      <c r="A184" s="9"/>
      <c r="C184" s="201"/>
      <c r="E184" s="23"/>
      <c r="F184" s="23"/>
      <c r="G184" s="23"/>
      <c r="H184" s="23"/>
      <c r="I184" s="23"/>
    </row>
    <row r="185" spans="1:9" x14ac:dyDescent="0.15">
      <c r="A185" s="9" t="s">
        <v>34</v>
      </c>
      <c r="B185" s="9">
        <v>10</v>
      </c>
      <c r="C185" s="198">
        <v>0</v>
      </c>
      <c r="D185" s="32">
        <f>C185+B185</f>
        <v>10</v>
      </c>
      <c r="E185" s="21">
        <f>D185-E81</f>
        <v>9</v>
      </c>
      <c r="F185" s="21">
        <f>E185-F81</f>
        <v>8</v>
      </c>
      <c r="G185" s="21">
        <f>F185-G81</f>
        <v>7</v>
      </c>
      <c r="H185" s="21">
        <f>G185-H81</f>
        <v>6</v>
      </c>
      <c r="I185" s="21">
        <f>H185-I81</f>
        <v>5</v>
      </c>
    </row>
    <row r="186" spans="1:9" x14ac:dyDescent="0.15">
      <c r="A186" s="9" t="s">
        <v>35</v>
      </c>
      <c r="B186" s="86">
        <v>5</v>
      </c>
      <c r="C186" s="205">
        <f ca="1">H395+H396</f>
        <v>2.85</v>
      </c>
      <c r="D186" s="32">
        <f ca="1">C186+B186</f>
        <v>7.85</v>
      </c>
      <c r="E186" s="21">
        <f ca="1">D186-E151</f>
        <v>6.7285714285714278</v>
      </c>
      <c r="F186" s="21">
        <f ca="1">E186-F151</f>
        <v>5.6071428571428559</v>
      </c>
      <c r="G186" s="21">
        <f ca="1">F186-G151</f>
        <v>4.485714285714284</v>
      </c>
      <c r="H186" s="21">
        <f ca="1">G186-H151</f>
        <v>3.3642857142857125</v>
      </c>
      <c r="I186" s="21">
        <f ca="1">H186-I151</f>
        <v>2.2428571428571411</v>
      </c>
    </row>
    <row r="187" spans="1:9" ht="6" customHeight="1" x14ac:dyDescent="0.15">
      <c r="A187" s="9"/>
      <c r="B187" s="19" t="s">
        <v>23</v>
      </c>
      <c r="C187" s="199" t="s">
        <v>23</v>
      </c>
      <c r="D187" s="19" t="s">
        <v>23</v>
      </c>
      <c r="E187" s="19" t="s">
        <v>23</v>
      </c>
      <c r="F187" s="20" t="s">
        <v>23</v>
      </c>
      <c r="G187" s="20" t="s">
        <v>23</v>
      </c>
      <c r="H187" s="20" t="s">
        <v>23</v>
      </c>
      <c r="I187" s="20" t="s">
        <v>23</v>
      </c>
    </row>
    <row r="188" spans="1:9" ht="16" x14ac:dyDescent="0.3">
      <c r="A188" s="9" t="s">
        <v>36</v>
      </c>
      <c r="B188" s="33">
        <f>SUM(B183:B187,B178)</f>
        <v>142.5</v>
      </c>
      <c r="C188" s="33">
        <f ca="1">SUM(C183:C187,C178)</f>
        <v>12.85</v>
      </c>
      <c r="D188" s="33">
        <f t="shared" ref="D188:I188" ca="1" si="59">SUM(D183:D187,D178)</f>
        <v>155.35</v>
      </c>
      <c r="E188" s="84">
        <f t="shared" ca="1" si="59"/>
        <v>142.52916571428571</v>
      </c>
      <c r="F188" s="84">
        <f t="shared" ca="1" si="59"/>
        <v>143.41551085714286</v>
      </c>
      <c r="G188" s="84">
        <f t="shared" ca="1" si="59"/>
        <v>152.57890698840004</v>
      </c>
      <c r="H188" s="84">
        <f t="shared" ca="1" si="59"/>
        <v>166.97715980663594</v>
      </c>
      <c r="I188" s="84">
        <f t="shared" ca="1" si="59"/>
        <v>183.82690716898946</v>
      </c>
    </row>
    <row r="189" spans="1:9" x14ac:dyDescent="0.15">
      <c r="A189" s="9"/>
      <c r="C189" s="201"/>
      <c r="E189" s="23"/>
      <c r="F189" s="23"/>
      <c r="G189" s="23"/>
      <c r="H189" s="23"/>
      <c r="I189" s="23"/>
    </row>
    <row r="190" spans="1:9" x14ac:dyDescent="0.15">
      <c r="A190" s="27" t="s">
        <v>37</v>
      </c>
      <c r="C190" s="201"/>
      <c r="E190" s="23"/>
      <c r="F190" s="23"/>
      <c r="G190" s="23"/>
      <c r="H190" s="23"/>
      <c r="I190" s="23"/>
    </row>
    <row r="191" spans="1:9" x14ac:dyDescent="0.15">
      <c r="A191" s="9" t="s">
        <v>38</v>
      </c>
      <c r="B191" s="9">
        <v>7</v>
      </c>
      <c r="C191" s="198">
        <v>0</v>
      </c>
      <c r="D191" s="32">
        <f>C191+B191</f>
        <v>7</v>
      </c>
      <c r="E191" s="21">
        <f t="shared" ref="E191:I192" ca="1" si="60">E108</f>
        <v>7.7003200000000005</v>
      </c>
      <c r="F191" s="21">
        <f t="shared" ca="1" si="60"/>
        <v>8.4583520000000014</v>
      </c>
      <c r="G191" s="21">
        <f t="shared" ca="1" si="60"/>
        <v>9.2921872000000025</v>
      </c>
      <c r="H191" s="21">
        <f t="shared" ca="1" si="60"/>
        <v>10.209405920000004</v>
      </c>
      <c r="I191" s="21">
        <f t="shared" ca="1" si="60"/>
        <v>11.218346512000005</v>
      </c>
    </row>
    <row r="192" spans="1:9" x14ac:dyDescent="0.15">
      <c r="A192" s="9" t="s">
        <v>39</v>
      </c>
      <c r="B192" s="9">
        <v>6</v>
      </c>
      <c r="C192" s="198">
        <v>0</v>
      </c>
      <c r="D192" s="32">
        <f>C192+B192</f>
        <v>6</v>
      </c>
      <c r="E192" s="21">
        <f t="shared" ca="1" si="60"/>
        <v>6.6002742857142866</v>
      </c>
      <c r="F192" s="21">
        <f t="shared" ca="1" si="60"/>
        <v>7.2500160000000013</v>
      </c>
      <c r="G192" s="21">
        <f t="shared" ca="1" si="60"/>
        <v>7.964731885714289</v>
      </c>
      <c r="H192" s="21">
        <f t="shared" ca="1" si="60"/>
        <v>8.7509193600000028</v>
      </c>
      <c r="I192" s="21">
        <f t="shared" ca="1" si="60"/>
        <v>9.6157255817142904</v>
      </c>
    </row>
    <row r="193" spans="1:9" ht="6" customHeight="1" x14ac:dyDescent="0.15">
      <c r="A193" s="9"/>
      <c r="B193" s="19" t="s">
        <v>23</v>
      </c>
      <c r="C193" s="199" t="s">
        <v>23</v>
      </c>
      <c r="D193" s="19" t="s">
        <v>23</v>
      </c>
      <c r="E193" s="19" t="s">
        <v>23</v>
      </c>
      <c r="F193" s="20" t="s">
        <v>23</v>
      </c>
      <c r="G193" s="20" t="s">
        <v>23</v>
      </c>
      <c r="H193" s="20" t="s">
        <v>23</v>
      </c>
      <c r="I193" s="20" t="s">
        <v>23</v>
      </c>
    </row>
    <row r="194" spans="1:9" x14ac:dyDescent="0.15">
      <c r="A194" s="9" t="s">
        <v>40</v>
      </c>
      <c r="B194" s="32">
        <f>SUM(B191:B193)</f>
        <v>13</v>
      </c>
      <c r="C194" s="200">
        <f>SUM(C191:C193)</f>
        <v>0</v>
      </c>
      <c r="D194" s="32">
        <f t="shared" ref="D194:I194" si="61">SUM(D191:D193)</f>
        <v>13</v>
      </c>
      <c r="E194" s="21">
        <f t="shared" ca="1" si="61"/>
        <v>14.300594285714286</v>
      </c>
      <c r="F194" s="21">
        <f t="shared" ca="1" si="61"/>
        <v>15.708368000000004</v>
      </c>
      <c r="G194" s="21">
        <f t="shared" ca="1" si="61"/>
        <v>17.256919085714291</v>
      </c>
      <c r="H194" s="21">
        <f t="shared" ca="1" si="61"/>
        <v>18.960325280000006</v>
      </c>
      <c r="I194" s="21">
        <f t="shared" ca="1" si="61"/>
        <v>20.834072093714298</v>
      </c>
    </row>
    <row r="195" spans="1:9" x14ac:dyDescent="0.15">
      <c r="A195" s="9"/>
      <c r="C195" s="201"/>
      <c r="E195" s="23"/>
      <c r="F195" s="23"/>
      <c r="G195" s="23"/>
      <c r="H195" s="23"/>
      <c r="I195" s="23"/>
    </row>
    <row r="196" spans="1:9" x14ac:dyDescent="0.15">
      <c r="A196" s="75" t="s">
        <v>41</v>
      </c>
      <c r="B196" s="75">
        <v>89.5</v>
      </c>
      <c r="C196" s="203">
        <f ca="1">H384-H392</f>
        <v>-87.15</v>
      </c>
      <c r="D196" s="77">
        <f ca="1">C196+B196</f>
        <v>2.3499999999999943</v>
      </c>
      <c r="E196" s="206">
        <f t="shared" ref="E196:I197" ca="1" si="62">D196+E247</f>
        <v>0</v>
      </c>
      <c r="F196" s="206">
        <f t="shared" ca="1" si="62"/>
        <v>0</v>
      </c>
      <c r="G196" s="206">
        <f t="shared" ca="1" si="62"/>
        <v>0</v>
      </c>
      <c r="H196" s="206">
        <f t="shared" ca="1" si="62"/>
        <v>0</v>
      </c>
      <c r="I196" s="206">
        <f t="shared" ca="1" si="62"/>
        <v>0</v>
      </c>
    </row>
    <row r="197" spans="1:9" x14ac:dyDescent="0.15">
      <c r="A197" s="75" t="s">
        <v>42</v>
      </c>
      <c r="B197" s="75">
        <v>0</v>
      </c>
      <c r="C197" s="203">
        <f ca="1">H385-H393</f>
        <v>30</v>
      </c>
      <c r="D197" s="77">
        <f ca="1">C197+B197</f>
        <v>30</v>
      </c>
      <c r="E197" s="206">
        <f t="shared" ca="1" si="62"/>
        <v>11.94302857142856</v>
      </c>
      <c r="F197" s="206">
        <f t="shared" ca="1" si="62"/>
        <v>2.9466315999999786</v>
      </c>
      <c r="G197" s="206">
        <f t="shared" ca="1" si="62"/>
        <v>0</v>
      </c>
      <c r="H197" s="206">
        <f t="shared" ca="1" si="62"/>
        <v>0</v>
      </c>
      <c r="I197" s="206">
        <f t="shared" ca="1" si="62"/>
        <v>0</v>
      </c>
    </row>
    <row r="198" spans="1:9" x14ac:dyDescent="0.15">
      <c r="A198" s="75" t="s">
        <v>43</v>
      </c>
      <c r="B198" s="75">
        <v>0</v>
      </c>
      <c r="C198" s="203">
        <f ca="1">H386-H394</f>
        <v>70</v>
      </c>
      <c r="D198" s="77">
        <f ca="1">C198+B198</f>
        <v>70</v>
      </c>
      <c r="E198" s="206">
        <f ca="1">D198+E249</f>
        <v>70</v>
      </c>
      <c r="F198" s="206">
        <f ca="1">E198+F249</f>
        <v>70</v>
      </c>
      <c r="G198" s="206">
        <f ca="1">F198+G249</f>
        <v>70</v>
      </c>
      <c r="H198" s="206">
        <f ca="1">G198+H249</f>
        <v>70</v>
      </c>
      <c r="I198" s="206">
        <f ca="1">H198+I249</f>
        <v>70</v>
      </c>
    </row>
    <row r="199" spans="1:9" ht="6" customHeight="1" x14ac:dyDescent="0.15">
      <c r="A199" s="75"/>
      <c r="B199" s="76" t="s">
        <v>23</v>
      </c>
      <c r="C199" s="202" t="s">
        <v>23</v>
      </c>
      <c r="D199" s="76" t="s">
        <v>23</v>
      </c>
      <c r="E199" s="76" t="s">
        <v>23</v>
      </c>
      <c r="F199" s="207" t="s">
        <v>23</v>
      </c>
      <c r="G199" s="207" t="s">
        <v>23</v>
      </c>
      <c r="H199" s="207" t="s">
        <v>23</v>
      </c>
      <c r="I199" s="207" t="s">
        <v>23</v>
      </c>
    </row>
    <row r="200" spans="1:9" x14ac:dyDescent="0.15">
      <c r="A200" s="75" t="s">
        <v>44</v>
      </c>
      <c r="B200" s="77">
        <f>SUM(B196:B199)</f>
        <v>89.5</v>
      </c>
      <c r="C200" s="203">
        <f ca="1">SUM(C196:C199)</f>
        <v>12.849999999999994</v>
      </c>
      <c r="D200" s="77">
        <f t="shared" ref="D200:I200" ca="1" si="63">SUM(D196:D199)</f>
        <v>102.35</v>
      </c>
      <c r="E200" s="206">
        <f t="shared" ca="1" si="63"/>
        <v>81.943028571428556</v>
      </c>
      <c r="F200" s="206">
        <f t="shared" ca="1" si="63"/>
        <v>72.946631599999975</v>
      </c>
      <c r="G200" s="206">
        <f t="shared" ca="1" si="63"/>
        <v>70</v>
      </c>
      <c r="H200" s="206">
        <f t="shared" ca="1" si="63"/>
        <v>70</v>
      </c>
      <c r="I200" s="206">
        <f t="shared" ca="1" si="63"/>
        <v>70</v>
      </c>
    </row>
    <row r="201" spans="1:9" x14ac:dyDescent="0.15">
      <c r="A201" s="9"/>
      <c r="C201" s="201"/>
      <c r="E201" s="23"/>
      <c r="F201" s="23"/>
      <c r="G201" s="23"/>
      <c r="H201" s="23"/>
      <c r="I201" s="23"/>
    </row>
    <row r="202" spans="1:9" x14ac:dyDescent="0.15">
      <c r="A202" s="9" t="s">
        <v>45</v>
      </c>
      <c r="B202" s="9">
        <v>2</v>
      </c>
      <c r="C202" s="198">
        <v>0</v>
      </c>
      <c r="D202" s="32">
        <f>C202+B202</f>
        <v>2</v>
      </c>
      <c r="E202" s="21">
        <f>D202</f>
        <v>2</v>
      </c>
      <c r="F202" s="21">
        <f>E202</f>
        <v>2</v>
      </c>
      <c r="G202" s="21">
        <f>F202</f>
        <v>2</v>
      </c>
      <c r="H202" s="21">
        <f>G202</f>
        <v>2</v>
      </c>
      <c r="I202" s="21">
        <f>H202</f>
        <v>2</v>
      </c>
    </row>
    <row r="203" spans="1:9" x14ac:dyDescent="0.15">
      <c r="A203" s="9"/>
      <c r="B203" s="19" t="s">
        <v>23</v>
      </c>
      <c r="C203" s="199" t="s">
        <v>23</v>
      </c>
      <c r="D203" s="19" t="s">
        <v>23</v>
      </c>
      <c r="E203" s="19" t="s">
        <v>23</v>
      </c>
      <c r="F203" s="20" t="s">
        <v>23</v>
      </c>
      <c r="G203" s="20" t="s">
        <v>23</v>
      </c>
      <c r="H203" s="20" t="s">
        <v>23</v>
      </c>
      <c r="I203" s="20" t="s">
        <v>23</v>
      </c>
    </row>
    <row r="204" spans="1:9" x14ac:dyDescent="0.15">
      <c r="A204" s="9" t="s">
        <v>46</v>
      </c>
      <c r="B204" s="32">
        <f>SUM(B200:B203,B194)</f>
        <v>104.5</v>
      </c>
      <c r="C204" s="200">
        <f ca="1">SUM(C200:C203,C194)</f>
        <v>12.849999999999994</v>
      </c>
      <c r="D204" s="32">
        <f t="shared" ref="D204:I204" ca="1" si="64">SUM(D200:D203,D194)</f>
        <v>117.35</v>
      </c>
      <c r="E204" s="21">
        <f t="shared" ca="1" si="64"/>
        <v>98.243622857142839</v>
      </c>
      <c r="F204" s="21">
        <f t="shared" ca="1" si="64"/>
        <v>90.654999599999982</v>
      </c>
      <c r="G204" s="21">
        <f t="shared" ca="1" si="64"/>
        <v>89.256919085714287</v>
      </c>
      <c r="H204" s="21">
        <f t="shared" ca="1" si="64"/>
        <v>90.960325280000006</v>
      </c>
      <c r="I204" s="21">
        <f t="shared" ca="1" si="64"/>
        <v>92.834072093714298</v>
      </c>
    </row>
    <row r="205" spans="1:9" x14ac:dyDescent="0.15">
      <c r="A205" s="9"/>
      <c r="C205" s="201"/>
      <c r="E205" s="23"/>
      <c r="F205" s="23"/>
      <c r="G205" s="23"/>
      <c r="H205" s="23"/>
      <c r="I205" s="23"/>
    </row>
    <row r="206" spans="1:9" x14ac:dyDescent="0.15">
      <c r="A206" s="9" t="s">
        <v>47</v>
      </c>
      <c r="B206" s="9">
        <v>38</v>
      </c>
      <c r="C206" s="198">
        <v>0</v>
      </c>
      <c r="D206" s="32">
        <f>C206+B206</f>
        <v>38</v>
      </c>
      <c r="E206" s="21">
        <f ca="1">D206+E156</f>
        <v>44.285542857142858</v>
      </c>
      <c r="F206" s="21">
        <f ca="1">E206+F156</f>
        <v>52.760511257142866</v>
      </c>
      <c r="G206" s="21">
        <f ca="1">F206+G156</f>
        <v>63.321987902685727</v>
      </c>
      <c r="H206" s="21">
        <f ca="1">G206+H156</f>
        <v>76.016834526635904</v>
      </c>
      <c r="I206" s="21">
        <f ca="1">H206+I156</f>
        <v>90.992835075275167</v>
      </c>
    </row>
    <row r="207" spans="1:9" ht="6" customHeight="1" x14ac:dyDescent="0.15">
      <c r="A207" s="9"/>
      <c r="B207" s="19" t="s">
        <v>23</v>
      </c>
      <c r="C207" s="199" t="s">
        <v>23</v>
      </c>
      <c r="D207" s="19" t="s">
        <v>23</v>
      </c>
      <c r="E207" s="19" t="s">
        <v>23</v>
      </c>
      <c r="F207" s="20" t="s">
        <v>23</v>
      </c>
      <c r="G207" s="20" t="s">
        <v>23</v>
      </c>
      <c r="H207" s="20" t="s">
        <v>23</v>
      </c>
      <c r="I207" s="20" t="s">
        <v>23</v>
      </c>
    </row>
    <row r="208" spans="1:9" ht="16" x14ac:dyDescent="0.3">
      <c r="A208" s="9" t="s">
        <v>48</v>
      </c>
      <c r="B208" s="33">
        <f>SUM(B204:B207)</f>
        <v>142.5</v>
      </c>
      <c r="C208" s="33">
        <f ca="1">SUM(C204:C207)</f>
        <v>12.849999999999994</v>
      </c>
      <c r="D208" s="33">
        <f t="shared" ref="D208:I208" ca="1" si="65">SUM(D204:D207)</f>
        <v>155.35</v>
      </c>
      <c r="E208" s="84">
        <f t="shared" ca="1" si="65"/>
        <v>142.52916571428568</v>
      </c>
      <c r="F208" s="84">
        <f t="shared" ca="1" si="65"/>
        <v>143.41551085714286</v>
      </c>
      <c r="G208" s="84">
        <f t="shared" ca="1" si="65"/>
        <v>152.57890698840001</v>
      </c>
      <c r="H208" s="84">
        <f t="shared" ca="1" si="65"/>
        <v>166.97715980663591</v>
      </c>
      <c r="I208" s="84">
        <f t="shared" ca="1" si="65"/>
        <v>183.82690716898946</v>
      </c>
    </row>
    <row r="209" spans="1:9" x14ac:dyDescent="0.15">
      <c r="A209" s="9"/>
      <c r="E209" s="23"/>
      <c r="F209" s="23"/>
      <c r="G209" s="23"/>
      <c r="H209" s="23"/>
      <c r="I209" s="23"/>
    </row>
    <row r="210" spans="1:9" x14ac:dyDescent="0.15">
      <c r="A210" s="9" t="s">
        <v>49</v>
      </c>
      <c r="B210" s="34">
        <f>ABS(B208-B188)</f>
        <v>0</v>
      </c>
      <c r="C210" s="34">
        <f ca="1">ABS(C208-C188)</f>
        <v>5.3290705182007514E-15</v>
      </c>
      <c r="D210" s="34">
        <f ca="1">ABS(D208-D188)</f>
        <v>0</v>
      </c>
      <c r="E210" s="43">
        <f ca="1">ABS(E208-E188)+D210</f>
        <v>2.8421709430404007E-14</v>
      </c>
      <c r="F210" s="43">
        <f ca="1">ABS(F208-F188)+E210</f>
        <v>2.8421709430404007E-14</v>
      </c>
      <c r="G210" s="43">
        <f ca="1">ABS(G208-G188)+F210</f>
        <v>5.6843418860808015E-14</v>
      </c>
      <c r="H210" s="43">
        <f ca="1">ABS(H208-H188)+G210</f>
        <v>8.5265128291212022E-14</v>
      </c>
      <c r="I210" s="43">
        <f ca="1">ABS(I208-I188)+H210</f>
        <v>8.5265128291212022E-14</v>
      </c>
    </row>
    <row r="213" spans="1:9" s="24" customFormat="1" ht="18" x14ac:dyDescent="0.2">
      <c r="A213" s="7" t="s">
        <v>89</v>
      </c>
      <c r="B213" s="7"/>
      <c r="C213" s="7"/>
      <c r="D213" s="7"/>
      <c r="E213" s="7"/>
      <c r="F213" s="7"/>
      <c r="G213" s="7"/>
      <c r="H213" s="7"/>
      <c r="I213" s="7"/>
    </row>
    <row r="214" spans="1:9" ht="6" customHeight="1" x14ac:dyDescent="0.15">
      <c r="A214" s="9"/>
    </row>
    <row r="215" spans="1:9" ht="16" x14ac:dyDescent="0.3">
      <c r="A215" s="27"/>
      <c r="D215"/>
      <c r="E215" s="25" t="s">
        <v>1</v>
      </c>
      <c r="F215" s="25"/>
      <c r="G215" s="25"/>
      <c r="H215" s="25"/>
      <c r="I215" s="25"/>
    </row>
    <row r="216" spans="1:9" x14ac:dyDescent="0.15">
      <c r="A216" s="26"/>
      <c r="D216"/>
      <c r="E216" s="4">
        <f>E$54</f>
        <v>2000</v>
      </c>
      <c r="F216" s="4">
        <f>F$54</f>
        <v>2001</v>
      </c>
      <c r="G216" s="4">
        <f>G$54</f>
        <v>2002</v>
      </c>
      <c r="H216" s="4">
        <f>H$54</f>
        <v>2003</v>
      </c>
      <c r="I216" s="4">
        <f>I$54</f>
        <v>2004</v>
      </c>
    </row>
    <row r="217" spans="1:9" ht="6" customHeight="1" x14ac:dyDescent="0.15">
      <c r="A217" s="26"/>
    </row>
    <row r="218" spans="1:9" x14ac:dyDescent="0.15">
      <c r="A218" s="66" t="s">
        <v>90</v>
      </c>
    </row>
    <row r="219" spans="1:9" ht="6" customHeight="1" x14ac:dyDescent="0.15">
      <c r="A219" s="61"/>
    </row>
    <row r="220" spans="1:9" x14ac:dyDescent="0.15">
      <c r="A220" s="67" t="str">
        <f>A156</f>
        <v xml:space="preserve">  Net Income</v>
      </c>
      <c r="E220" s="22">
        <f ca="1">E156</f>
        <v>6.2855428571428602</v>
      </c>
      <c r="F220" s="22">
        <f ca="1">F156</f>
        <v>8.4749684000000087</v>
      </c>
      <c r="G220" s="22">
        <f ca="1">G156</f>
        <v>10.561476645542863</v>
      </c>
      <c r="H220" s="22">
        <f ca="1">H156</f>
        <v>12.694846623950175</v>
      </c>
      <c r="I220" s="22">
        <f ca="1">I156</f>
        <v>14.976000548639263</v>
      </c>
    </row>
    <row r="221" spans="1:9" x14ac:dyDescent="0.15">
      <c r="A221" s="32" t="str">
        <f>A63</f>
        <v xml:space="preserve">  Depreciation</v>
      </c>
      <c r="E221" s="21">
        <f>E63</f>
        <v>1.5</v>
      </c>
      <c r="F221" s="21">
        <f>F63</f>
        <v>1.5</v>
      </c>
      <c r="G221" s="21">
        <f>G63</f>
        <v>1.5</v>
      </c>
      <c r="H221" s="21">
        <f>H63</f>
        <v>1.5</v>
      </c>
      <c r="I221" s="21">
        <f>I63</f>
        <v>1.5</v>
      </c>
    </row>
    <row r="222" spans="1:9" x14ac:dyDescent="0.15">
      <c r="A222" s="32" t="str">
        <f>"  "&amp;A139</f>
        <v xml:space="preserve">  Amortization</v>
      </c>
      <c r="E222" s="21">
        <f>E139</f>
        <v>1</v>
      </c>
      <c r="F222" s="21">
        <f>F139</f>
        <v>1</v>
      </c>
      <c r="G222" s="21">
        <f>G139</f>
        <v>1</v>
      </c>
      <c r="H222" s="21">
        <f>H139</f>
        <v>1</v>
      </c>
      <c r="I222" s="21">
        <f>I139</f>
        <v>1</v>
      </c>
    </row>
    <row r="223" spans="1:9" x14ac:dyDescent="0.15">
      <c r="A223" s="9" t="s">
        <v>91</v>
      </c>
      <c r="E223" s="21">
        <f ca="1">E151</f>
        <v>1.1214285714285714</v>
      </c>
      <c r="F223" s="21">
        <f ca="1">F151</f>
        <v>1.1214285714285714</v>
      </c>
      <c r="G223" s="21">
        <f ca="1">G151</f>
        <v>1.1214285714285714</v>
      </c>
      <c r="H223" s="21">
        <f ca="1">H151</f>
        <v>1.1214285714285714</v>
      </c>
      <c r="I223" s="21">
        <f ca="1">I151</f>
        <v>1.1214285714285714</v>
      </c>
    </row>
    <row r="224" spans="1:9" ht="6" customHeight="1" x14ac:dyDescent="0.15">
      <c r="A224" s="9"/>
      <c r="E224" s="19" t="s">
        <v>23</v>
      </c>
      <c r="F224" s="20" t="s">
        <v>23</v>
      </c>
      <c r="G224" s="20" t="s">
        <v>23</v>
      </c>
      <c r="H224" s="20" t="s">
        <v>23</v>
      </c>
      <c r="I224" s="20" t="s">
        <v>23</v>
      </c>
    </row>
    <row r="225" spans="1:9" x14ac:dyDescent="0.15">
      <c r="A225" s="9" t="s">
        <v>92</v>
      </c>
      <c r="E225" s="21">
        <f ca="1">SUM(E220:E224)</f>
        <v>9.906971428571433</v>
      </c>
      <c r="F225" s="21">
        <f ca="1">SUM(F220:F224)</f>
        <v>12.096396971428581</v>
      </c>
      <c r="G225" s="21">
        <f ca="1">SUM(G220:G224)</f>
        <v>14.182905216971434</v>
      </c>
      <c r="H225" s="21">
        <f ca="1">SUM(H220:H224)</f>
        <v>16.316275195378747</v>
      </c>
      <c r="I225" s="21">
        <f ca="1">SUM(I220:I224)</f>
        <v>18.597429120067833</v>
      </c>
    </row>
    <row r="226" spans="1:9" x14ac:dyDescent="0.15">
      <c r="A226" s="12" t="s">
        <v>93</v>
      </c>
    </row>
    <row r="227" spans="1:9" x14ac:dyDescent="0.15">
      <c r="A227" s="32" t="str">
        <f>"  "&amp;A174</f>
        <v xml:space="preserve">  Accounts Receivable</v>
      </c>
      <c r="E227" s="21">
        <f ca="1">D174-E174</f>
        <v>-1</v>
      </c>
      <c r="F227" s="21">
        <f t="shared" ref="F227:I229" ca="1" si="66">E174-F174</f>
        <v>-1.1000000000000014</v>
      </c>
      <c r="G227" s="21">
        <f t="shared" ca="1" si="66"/>
        <v>-1.2100000000000026</v>
      </c>
      <c r="H227" s="21">
        <f t="shared" ca="1" si="66"/>
        <v>-1.3309999999999995</v>
      </c>
      <c r="I227" s="21">
        <f t="shared" ca="1" si="66"/>
        <v>-1.4641000000000037</v>
      </c>
    </row>
    <row r="228" spans="1:9" x14ac:dyDescent="0.15">
      <c r="A228" s="32" t="str">
        <f>"  "&amp;A175</f>
        <v xml:space="preserve">  Inventory</v>
      </c>
      <c r="E228" s="21">
        <f ca="1">D175-E175</f>
        <v>-0.80036571428571435</v>
      </c>
      <c r="F228" s="21">
        <f t="shared" ca="1" si="66"/>
        <v>-0.86632228571428627</v>
      </c>
      <c r="G228" s="21">
        <f t="shared" ca="1" si="66"/>
        <v>-0.95295451428571631</v>
      </c>
      <c r="H228" s="21">
        <f t="shared" ca="1" si="66"/>
        <v>-1.0482499657142874</v>
      </c>
      <c r="I228" s="21">
        <f t="shared" ca="1" si="66"/>
        <v>-1.1530749622857162</v>
      </c>
    </row>
    <row r="229" spans="1:9" x14ac:dyDescent="0.15">
      <c r="A229" s="32" t="str">
        <f>"  "&amp;A176</f>
        <v xml:space="preserve">  Prepaid Expenses</v>
      </c>
      <c r="E229" s="21">
        <f ca="1">D176-E176</f>
        <v>-0.50022857142857191</v>
      </c>
      <c r="F229" s="21">
        <f t="shared" ca="1" si="66"/>
        <v>-0.54145142857142847</v>
      </c>
      <c r="G229" s="21">
        <f t="shared" ca="1" si="66"/>
        <v>-0.59559657142857336</v>
      </c>
      <c r="H229" s="21">
        <f t="shared" ca="1" si="66"/>
        <v>-0.6551562285714283</v>
      </c>
      <c r="I229" s="21">
        <f t="shared" ca="1" si="66"/>
        <v>-0.72067185142857326</v>
      </c>
    </row>
    <row r="230" spans="1:9" x14ac:dyDescent="0.15">
      <c r="A230" s="32" t="str">
        <f>"  "&amp;A191</f>
        <v xml:space="preserve">  Accounts Payable</v>
      </c>
      <c r="E230" s="21">
        <f ca="1">E191-D191</f>
        <v>0.7003200000000005</v>
      </c>
      <c r="F230" s="21">
        <f t="shared" ref="F230:I231" ca="1" si="67">F191-E191</f>
        <v>0.75803200000000093</v>
      </c>
      <c r="G230" s="21">
        <f t="shared" ca="1" si="67"/>
        <v>0.83383520000000111</v>
      </c>
      <c r="H230" s="21">
        <f t="shared" ca="1" si="67"/>
        <v>0.91721872000000104</v>
      </c>
      <c r="I230" s="21">
        <f t="shared" ca="1" si="67"/>
        <v>1.0089405920000019</v>
      </c>
    </row>
    <row r="231" spans="1:9" x14ac:dyDescent="0.15">
      <c r="A231" s="32" t="str">
        <f>"  "&amp;A192</f>
        <v xml:space="preserve">  Accrued Expenses</v>
      </c>
      <c r="E231" s="21">
        <f ca="1">E192-D192</f>
        <v>0.60027428571428665</v>
      </c>
      <c r="F231" s="21">
        <f t="shared" ca="1" si="67"/>
        <v>0.6497417142857147</v>
      </c>
      <c r="G231" s="21">
        <f t="shared" ca="1" si="67"/>
        <v>0.71471588571428768</v>
      </c>
      <c r="H231" s="21">
        <f t="shared" ca="1" si="67"/>
        <v>0.78618747428571378</v>
      </c>
      <c r="I231" s="21">
        <f t="shared" ca="1" si="67"/>
        <v>0.86480622171428756</v>
      </c>
    </row>
    <row r="232" spans="1:9" ht="6" customHeight="1" x14ac:dyDescent="0.15">
      <c r="A232" s="9"/>
      <c r="E232" s="19" t="s">
        <v>23</v>
      </c>
      <c r="F232" s="20" t="s">
        <v>23</v>
      </c>
      <c r="G232" s="20" t="s">
        <v>23</v>
      </c>
      <c r="H232" s="20" t="s">
        <v>23</v>
      </c>
      <c r="I232" s="20" t="s">
        <v>23</v>
      </c>
    </row>
    <row r="233" spans="1:9" x14ac:dyDescent="0.15">
      <c r="A233" s="9" t="s">
        <v>94</v>
      </c>
      <c r="E233" s="21">
        <f ca="1">SUM(E227:E232)</f>
        <v>-0.99999999999999911</v>
      </c>
      <c r="F233" s="21">
        <f ca="1">SUM(F227:F232)</f>
        <v>-1.1000000000000005</v>
      </c>
      <c r="G233" s="21">
        <f ca="1">SUM(G227:G232)</f>
        <v>-1.2100000000000035</v>
      </c>
      <c r="H233" s="21">
        <f ca="1">SUM(H227:H232)</f>
        <v>-1.3310000000000004</v>
      </c>
      <c r="I233" s="21">
        <f ca="1">SUM(I227:I232)</f>
        <v>-1.4641000000000037</v>
      </c>
    </row>
    <row r="234" spans="1:9" ht="6" customHeight="1" x14ac:dyDescent="0.15">
      <c r="A234" s="13"/>
      <c r="E234" s="19" t="s">
        <v>23</v>
      </c>
      <c r="F234" s="20" t="s">
        <v>23</v>
      </c>
      <c r="G234" s="20" t="s">
        <v>23</v>
      </c>
      <c r="H234" s="20" t="s">
        <v>23</v>
      </c>
      <c r="I234" s="20" t="s">
        <v>23</v>
      </c>
    </row>
    <row r="235" spans="1:9" x14ac:dyDescent="0.15">
      <c r="A235" s="9" t="s">
        <v>95</v>
      </c>
      <c r="E235" s="21">
        <f ca="1">SUM(E233,E225)</f>
        <v>8.9069714285714348</v>
      </c>
      <c r="F235" s="21">
        <f ca="1">SUM(F233,F225)</f>
        <v>10.996396971428581</v>
      </c>
      <c r="G235" s="21">
        <f ca="1">SUM(G233,G225)</f>
        <v>12.97290521697143</v>
      </c>
      <c r="H235" s="21">
        <f ca="1">SUM(H233,H225)</f>
        <v>14.985275195378748</v>
      </c>
      <c r="I235" s="21">
        <f ca="1">SUM(I233,I225)</f>
        <v>17.133329120067827</v>
      </c>
    </row>
    <row r="236" spans="1:9" ht="6" customHeight="1" x14ac:dyDescent="0.15">
      <c r="A236" s="13"/>
    </row>
    <row r="237" spans="1:9" x14ac:dyDescent="0.15">
      <c r="A237" s="66" t="s">
        <v>96</v>
      </c>
    </row>
    <row r="238" spans="1:9" ht="6" customHeight="1" x14ac:dyDescent="0.15">
      <c r="A238" s="61"/>
    </row>
    <row r="239" spans="1:9" x14ac:dyDescent="0.15">
      <c r="A239" s="9" t="s">
        <v>97</v>
      </c>
      <c r="E239" s="21">
        <f ca="1">-E90</f>
        <v>-2</v>
      </c>
      <c r="F239" s="21">
        <f ca="1">-F90</f>
        <v>-2</v>
      </c>
      <c r="G239" s="21">
        <f ca="1">-G90</f>
        <v>-2</v>
      </c>
      <c r="H239" s="21">
        <f ca="1">-H90</f>
        <v>-2</v>
      </c>
      <c r="I239" s="21">
        <f ca="1">-I90</f>
        <v>-2</v>
      </c>
    </row>
    <row r="240" spans="1:9" ht="6" customHeight="1" x14ac:dyDescent="0.15">
      <c r="A240" s="9"/>
      <c r="E240" s="19" t="s">
        <v>23</v>
      </c>
      <c r="F240" s="20" t="s">
        <v>23</v>
      </c>
      <c r="G240" s="20" t="s">
        <v>23</v>
      </c>
      <c r="H240" s="20" t="s">
        <v>23</v>
      </c>
      <c r="I240" s="20" t="s">
        <v>23</v>
      </c>
    </row>
    <row r="241" spans="1:9" x14ac:dyDescent="0.15">
      <c r="A241" s="9" t="s">
        <v>98</v>
      </c>
      <c r="E241" s="21">
        <f ca="1">SUM(E239:E240)</f>
        <v>-2</v>
      </c>
      <c r="F241" s="21">
        <f ca="1">SUM(F239:F240)</f>
        <v>-2</v>
      </c>
      <c r="G241" s="21">
        <f ca="1">SUM(G239:G240)</f>
        <v>-2</v>
      </c>
      <c r="H241" s="21">
        <f ca="1">SUM(H239:H240)</f>
        <v>-2</v>
      </c>
      <c r="I241" s="21">
        <f ca="1">SUM(I239:I240)</f>
        <v>-2</v>
      </c>
    </row>
    <row r="242" spans="1:9" ht="6" customHeight="1" x14ac:dyDescent="0.15">
      <c r="A242" s="13"/>
    </row>
    <row r="243" spans="1:9" x14ac:dyDescent="0.15">
      <c r="A243" s="68" t="s">
        <v>99</v>
      </c>
      <c r="E243" s="81">
        <f ca="1">E241+E235</f>
        <v>6.9069714285714348</v>
      </c>
      <c r="F243" s="69">
        <f ca="1">F241+F235</f>
        <v>8.996396971428581</v>
      </c>
      <c r="G243" s="69">
        <f ca="1">G241+G235</f>
        <v>10.97290521697143</v>
      </c>
      <c r="H243" s="69">
        <f ca="1">H241+H235</f>
        <v>12.985275195378748</v>
      </c>
      <c r="I243" s="69">
        <f ca="1">I241+I235</f>
        <v>15.133329120067827</v>
      </c>
    </row>
    <row r="244" spans="1:9" ht="6" customHeight="1" x14ac:dyDescent="0.15">
      <c r="A244" s="13"/>
    </row>
    <row r="245" spans="1:9" x14ac:dyDescent="0.15">
      <c r="A245" s="61" t="s">
        <v>100</v>
      </c>
    </row>
    <row r="246" spans="1:9" ht="6" customHeight="1" x14ac:dyDescent="0.15">
      <c r="A246" s="61"/>
    </row>
    <row r="247" spans="1:9" x14ac:dyDescent="0.15">
      <c r="A247" s="32" t="str">
        <f>A196</f>
        <v>Revolver</v>
      </c>
      <c r="E247" s="21">
        <f ca="1">E292-E275</f>
        <v>-2.3499999999999943</v>
      </c>
      <c r="F247" s="21">
        <f ca="1">F292-F275</f>
        <v>0</v>
      </c>
      <c r="G247" s="21">
        <f ca="1">G292-G275</f>
        <v>0</v>
      </c>
      <c r="H247" s="21">
        <f ca="1">H292-H275</f>
        <v>0</v>
      </c>
      <c r="I247" s="21">
        <f ca="1">I292-I275</f>
        <v>0</v>
      </c>
    </row>
    <row r="248" spans="1:9" x14ac:dyDescent="0.15">
      <c r="A248" s="32" t="str">
        <f>A197</f>
        <v>Term Loan</v>
      </c>
      <c r="E248" s="21">
        <f ca="1">-E269-E276</f>
        <v>-18.05697142857144</v>
      </c>
      <c r="F248" s="21">
        <f t="shared" ref="F248:I249" ca="1" si="68">-F269-F276</f>
        <v>-8.996396971428581</v>
      </c>
      <c r="G248" s="21">
        <f t="shared" ca="1" si="68"/>
        <v>-2.9466315999999786</v>
      </c>
      <c r="H248" s="21">
        <f t="shared" ca="1" si="68"/>
        <v>0</v>
      </c>
      <c r="I248" s="21">
        <f t="shared" ca="1" si="68"/>
        <v>0</v>
      </c>
    </row>
    <row r="249" spans="1:9" x14ac:dyDescent="0.15">
      <c r="A249" s="32" t="str">
        <f>A198</f>
        <v>Sr. Sub. Notes</v>
      </c>
      <c r="E249" s="21">
        <f ca="1">-E270-E277</f>
        <v>0</v>
      </c>
      <c r="F249" s="21">
        <f t="shared" ca="1" si="68"/>
        <v>0</v>
      </c>
      <c r="G249" s="21">
        <f t="shared" ca="1" si="68"/>
        <v>0</v>
      </c>
      <c r="H249" s="21">
        <f t="shared" ca="1" si="68"/>
        <v>0</v>
      </c>
      <c r="I249" s="21">
        <f t="shared" ca="1" si="68"/>
        <v>0</v>
      </c>
    </row>
    <row r="250" spans="1:9" ht="6" customHeight="1" x14ac:dyDescent="0.15">
      <c r="A250" s="9"/>
      <c r="E250" s="19" t="s">
        <v>23</v>
      </c>
      <c r="F250" s="20" t="s">
        <v>23</v>
      </c>
      <c r="G250" s="20" t="s">
        <v>23</v>
      </c>
      <c r="H250" s="20" t="s">
        <v>23</v>
      </c>
      <c r="I250" s="20" t="s">
        <v>23</v>
      </c>
    </row>
    <row r="251" spans="1:9" x14ac:dyDescent="0.15">
      <c r="A251" s="9" t="s">
        <v>101</v>
      </c>
      <c r="E251" s="21">
        <f ca="1">SUM(E247:E250)</f>
        <v>-20.406971428571435</v>
      </c>
      <c r="F251" s="21">
        <f ca="1">SUM(F247:F250)</f>
        <v>-8.996396971428581</v>
      </c>
      <c r="G251" s="21">
        <f ca="1">SUM(G247:G250)</f>
        <v>-2.9466315999999786</v>
      </c>
      <c r="H251" s="21">
        <f ca="1">SUM(H247:H250)</f>
        <v>0</v>
      </c>
      <c r="I251" s="21">
        <f ca="1">SUM(I247:I250)</f>
        <v>0</v>
      </c>
    </row>
    <row r="252" spans="1:9" ht="6" customHeight="1" x14ac:dyDescent="0.15">
      <c r="A252" s="13"/>
    </row>
    <row r="253" spans="1:9" x14ac:dyDescent="0.15">
      <c r="A253" s="68" t="s">
        <v>102</v>
      </c>
      <c r="E253" s="69">
        <f ca="1">E251+E243</f>
        <v>-13.5</v>
      </c>
      <c r="F253" s="69">
        <f ca="1">F251+F243</f>
        <v>0</v>
      </c>
      <c r="G253" s="69">
        <f ca="1">G251+G243</f>
        <v>8.0262736169714515</v>
      </c>
      <c r="H253" s="69">
        <f ca="1">H251+H243</f>
        <v>12.985275195378748</v>
      </c>
      <c r="I253" s="69">
        <f ca="1">I251+I243</f>
        <v>15.133329120067827</v>
      </c>
    </row>
    <row r="257" spans="1:9" ht="18" x14ac:dyDescent="0.2">
      <c r="A257" s="7" t="s">
        <v>103</v>
      </c>
      <c r="B257" s="70"/>
      <c r="C257" s="70"/>
      <c r="D257" s="70"/>
      <c r="E257" s="70"/>
      <c r="F257" s="70"/>
      <c r="G257" s="70"/>
      <c r="H257" s="70"/>
      <c r="I257" s="70"/>
    </row>
    <row r="258" spans="1:9" ht="6" customHeight="1" x14ac:dyDescent="0.15">
      <c r="A258" s="9"/>
    </row>
    <row r="259" spans="1:9" ht="16" x14ac:dyDescent="0.3">
      <c r="A259"/>
      <c r="D259"/>
      <c r="E259" s="25" t="s">
        <v>1</v>
      </c>
      <c r="F259" s="25"/>
      <c r="G259" s="25"/>
      <c r="H259" s="25"/>
      <c r="I259" s="25"/>
    </row>
    <row r="260" spans="1:9" x14ac:dyDescent="0.15">
      <c r="A260"/>
      <c r="D260"/>
      <c r="E260" s="4">
        <f>E$54</f>
        <v>2000</v>
      </c>
      <c r="F260" s="4">
        <f>F$54</f>
        <v>2001</v>
      </c>
      <c r="G260" s="4">
        <f>G$54</f>
        <v>2002</v>
      </c>
      <c r="H260" s="4">
        <f>H$54</f>
        <v>2003</v>
      </c>
      <c r="I260" s="4">
        <f>I$54</f>
        <v>2004</v>
      </c>
    </row>
    <row r="261" spans="1:9" ht="6" customHeight="1" x14ac:dyDescent="0.15">
      <c r="A261" s="26"/>
    </row>
    <row r="262" spans="1:9" x14ac:dyDescent="0.15">
      <c r="A262" s="66" t="s">
        <v>104</v>
      </c>
    </row>
    <row r="263" spans="1:9" x14ac:dyDescent="0.15">
      <c r="A263" s="67" t="str">
        <f>"  "&amp;A197</f>
        <v xml:space="preserve">  Term Loan</v>
      </c>
      <c r="B263" s="71" t="s">
        <v>118</v>
      </c>
      <c r="C263" s="72"/>
      <c r="D263" s="78">
        <v>7</v>
      </c>
      <c r="E263" s="80">
        <f ca="1">IF(ISERROR($D197/$D263),"NM",$D197/$D263)</f>
        <v>4.2857142857142856</v>
      </c>
      <c r="F263" s="79">
        <f ca="1">IF(ISERROR($D197/$D263),"NM",$D197/$D263)</f>
        <v>4.2857142857142856</v>
      </c>
      <c r="G263" s="79">
        <f ca="1">IF(ISERROR($D197/$D263),"NM",$D197/$D263)</f>
        <v>4.2857142857142856</v>
      </c>
      <c r="H263" s="79">
        <f ca="1">IF(ISERROR($D197/$D263),"NM",$D197/$D263)</f>
        <v>4.2857142857142856</v>
      </c>
      <c r="I263" s="79">
        <f ca="1">IF(ISERROR($D197/$D263),"NM",$D197/$D263)</f>
        <v>4.2857142857142856</v>
      </c>
    </row>
    <row r="264" spans="1:9" x14ac:dyDescent="0.15">
      <c r="A264" s="67" t="str">
        <f>"  "&amp;A198</f>
        <v xml:space="preserve">  Sr. Sub. Notes</v>
      </c>
      <c r="B264" s="13"/>
      <c r="C264" s="13"/>
      <c r="D264" s="13"/>
      <c r="E264" s="17">
        <v>0</v>
      </c>
      <c r="F264" s="17">
        <v>0</v>
      </c>
      <c r="G264" s="17">
        <v>0</v>
      </c>
      <c r="H264" s="17">
        <v>0</v>
      </c>
      <c r="I264" s="17">
        <v>0</v>
      </c>
    </row>
    <row r="265" spans="1:9" ht="6" customHeight="1" x14ac:dyDescent="0.15">
      <c r="A265" s="32"/>
      <c r="B265" s="13"/>
      <c r="C265" s="13"/>
      <c r="D265" s="13"/>
      <c r="E265"/>
      <c r="F265"/>
      <c r="G265"/>
      <c r="H265"/>
      <c r="I265"/>
    </row>
    <row r="266" spans="1:9" x14ac:dyDescent="0.15">
      <c r="A266" s="27" t="s">
        <v>105</v>
      </c>
      <c r="B266" s="13"/>
      <c r="C266" s="13"/>
      <c r="D266" s="13"/>
      <c r="E266"/>
      <c r="F266"/>
      <c r="G266"/>
      <c r="H266"/>
      <c r="I266"/>
    </row>
    <row r="267" spans="1:9" ht="6" customHeight="1" x14ac:dyDescent="0.15">
      <c r="A267" s="27"/>
      <c r="B267" s="13"/>
      <c r="C267" s="13"/>
      <c r="D267" s="13"/>
      <c r="E267"/>
      <c r="F267"/>
      <c r="G267"/>
      <c r="H267"/>
      <c r="I267"/>
    </row>
    <row r="268" spans="1:9" x14ac:dyDescent="0.15">
      <c r="A268" s="66" t="s">
        <v>106</v>
      </c>
      <c r="B268" s="73"/>
      <c r="C268" s="73"/>
      <c r="D268" s="4"/>
      <c r="E268"/>
      <c r="F268"/>
      <c r="G268"/>
      <c r="H268"/>
      <c r="I268"/>
    </row>
    <row r="269" spans="1:9" x14ac:dyDescent="0.15">
      <c r="A269" s="67" t="str">
        <f>"  "&amp;A197</f>
        <v xml:space="preserve">  Term Loan</v>
      </c>
      <c r="B269"/>
      <c r="C269"/>
      <c r="D269"/>
      <c r="E269" s="21">
        <f t="shared" ref="E269:I270" ca="1" si="69">MIN(E263,D197)</f>
        <v>4.2857142857142856</v>
      </c>
      <c r="F269" s="21">
        <f t="shared" ca="1" si="69"/>
        <v>4.2857142857142856</v>
      </c>
      <c r="G269" s="21">
        <f t="shared" ca="1" si="69"/>
        <v>2.9466315999999786</v>
      </c>
      <c r="H269" s="21">
        <f t="shared" ca="1" si="69"/>
        <v>0</v>
      </c>
      <c r="I269" s="21">
        <f t="shared" ca="1" si="69"/>
        <v>0</v>
      </c>
    </row>
    <row r="270" spans="1:9" x14ac:dyDescent="0.15">
      <c r="A270" s="67" t="str">
        <f>"  "&amp;A198</f>
        <v xml:space="preserve">  Sr. Sub. Notes</v>
      </c>
      <c r="B270" s="13"/>
      <c r="C270" s="13"/>
      <c r="D270" s="13"/>
      <c r="E270" s="21">
        <f t="shared" ca="1" si="69"/>
        <v>0</v>
      </c>
      <c r="F270" s="21">
        <f t="shared" ca="1" si="69"/>
        <v>0</v>
      </c>
      <c r="G270" s="21">
        <f t="shared" ca="1" si="69"/>
        <v>0</v>
      </c>
      <c r="H270" s="21">
        <f t="shared" ca="1" si="69"/>
        <v>0</v>
      </c>
      <c r="I270" s="21">
        <f t="shared" ca="1" si="69"/>
        <v>0</v>
      </c>
    </row>
    <row r="271" spans="1:9" ht="6" customHeight="1" x14ac:dyDescent="0.15">
      <c r="A271" s="32"/>
      <c r="B271" s="13"/>
      <c r="C271" s="13"/>
      <c r="D271" s="13"/>
      <c r="E271" s="19" t="s">
        <v>23</v>
      </c>
      <c r="F271" s="20" t="s">
        <v>23</v>
      </c>
      <c r="G271" s="20" t="s">
        <v>23</v>
      </c>
      <c r="H271" s="20" t="s">
        <v>23</v>
      </c>
      <c r="I271" s="20" t="s">
        <v>23</v>
      </c>
    </row>
    <row r="272" spans="1:9" x14ac:dyDescent="0.15">
      <c r="A272" s="32" t="str">
        <f>"    "&amp;A268</f>
        <v xml:space="preserve">    Required Debt Retirement</v>
      </c>
      <c r="B272" s="13"/>
      <c r="C272" s="13"/>
      <c r="D272" s="13"/>
      <c r="E272" s="21">
        <f ca="1">SUM(E269:E271)</f>
        <v>4.2857142857142856</v>
      </c>
      <c r="F272" s="21">
        <f ca="1">SUM(F269:F271)</f>
        <v>4.2857142857142856</v>
      </c>
      <c r="G272" s="21">
        <f ca="1">SUM(G269:G271)</f>
        <v>2.9466315999999786</v>
      </c>
      <c r="H272" s="21">
        <f ca="1">SUM(H269:H271)</f>
        <v>0</v>
      </c>
      <c r="I272" s="21">
        <f ca="1">SUM(I269:I271)</f>
        <v>0</v>
      </c>
    </row>
    <row r="273" spans="1:9" x14ac:dyDescent="0.15">
      <c r="A273" s="32"/>
      <c r="B273" s="13"/>
      <c r="C273" s="13"/>
      <c r="D273" s="13"/>
    </row>
    <row r="274" spans="1:9" x14ac:dyDescent="0.15">
      <c r="A274" s="66" t="s">
        <v>107</v>
      </c>
      <c r="B274" s="73"/>
      <c r="C274" s="73"/>
      <c r="D274" s="74" t="s">
        <v>119</v>
      </c>
    </row>
    <row r="275" spans="1:9" x14ac:dyDescent="0.15">
      <c r="A275" s="67" t="str">
        <f>"  "&amp;A196</f>
        <v xml:space="preserve">  Revolver</v>
      </c>
      <c r="B275"/>
      <c r="C275"/>
      <c r="D275" s="82">
        <v>1</v>
      </c>
      <c r="E275" s="21">
        <f ca="1">MAX(MIN(D196,E$291-SUM(E$272:E274)),0)*$D275</f>
        <v>2.3499999999999943</v>
      </c>
      <c r="F275" s="21">
        <f ca="1">MAX(MIN(E196,F$291-SUM(F$272:F274)),0)*$D275</f>
        <v>0</v>
      </c>
      <c r="G275" s="21">
        <f ca="1">MAX(MIN(F196,G$291-SUM(G$272:G274)),0)*$D275</f>
        <v>0</v>
      </c>
      <c r="H275" s="21">
        <f ca="1">MAX(MIN(G196,H$291-SUM(H$272:H274)),0)*$D275</f>
        <v>0</v>
      </c>
      <c r="I275" s="21">
        <f ca="1">MAX(MIN(H196,I$291-SUM(I$272:I274)),0)*$D275</f>
        <v>0</v>
      </c>
    </row>
    <row r="276" spans="1:9" x14ac:dyDescent="0.15">
      <c r="A276" s="67" t="str">
        <f>"  "&amp;A197</f>
        <v xml:space="preserve">  Term Loan</v>
      </c>
      <c r="B276"/>
      <c r="C276"/>
      <c r="D276" s="82">
        <v>1</v>
      </c>
      <c r="E276" s="21">
        <f ca="1">MAX(MIN(D197-E269,E$291-SUM(E$272:E275)),0)*$D276</f>
        <v>13.771257142857156</v>
      </c>
      <c r="F276" s="21">
        <f ca="1">MAX(MIN(E197-F269,F$291-SUM(F$272:F275)),0)*$D276</f>
        <v>4.7106826857142954</v>
      </c>
      <c r="G276" s="21">
        <f ca="1">MAX(MIN(F197-G269,G$291-SUM(G$272:G275)),0)*$D276</f>
        <v>0</v>
      </c>
      <c r="H276" s="21">
        <f ca="1">MAX(MIN(G197-H269,H$291-SUM(H$272:H275)),0)*$D276</f>
        <v>0</v>
      </c>
      <c r="I276" s="21">
        <f ca="1">MAX(MIN(H197-I269,I$291-SUM(I$272:I275)),0)*$D276</f>
        <v>0</v>
      </c>
    </row>
    <row r="277" spans="1:9" x14ac:dyDescent="0.15">
      <c r="A277" s="67" t="str">
        <f>"  "&amp;A198</f>
        <v xml:space="preserve">  Sr. Sub. Notes</v>
      </c>
      <c r="B277" s="13"/>
      <c r="C277" s="13"/>
      <c r="D277" s="83">
        <v>0</v>
      </c>
      <c r="E277" s="21">
        <f ca="1">MAX(MIN(D198-E270,E$291-SUM(E$272:E276)),0)*$D277</f>
        <v>0</v>
      </c>
      <c r="F277" s="21">
        <f ca="1">MAX(MIN(E198-F270,F$291-SUM(F$272:F276)),0)*$D277</f>
        <v>0</v>
      </c>
      <c r="G277" s="21">
        <f ca="1">MAX(MIN(F198-G270,G$291-SUM(G$272:G276)),0)*$D277</f>
        <v>0</v>
      </c>
      <c r="H277" s="21">
        <f ca="1">MAX(MIN(G198-H270,H$291-SUM(H$272:H276)),0)*$D277</f>
        <v>0</v>
      </c>
      <c r="I277" s="21">
        <f ca="1">MAX(MIN(H198-I270,I$291-SUM(I$272:I276)),0)*$D277</f>
        <v>0</v>
      </c>
    </row>
    <row r="278" spans="1:9" ht="6" customHeight="1" x14ac:dyDescent="0.15">
      <c r="A278" s="32"/>
      <c r="E278" s="19" t="s">
        <v>23</v>
      </c>
      <c r="F278" s="20" t="s">
        <v>23</v>
      </c>
      <c r="G278" s="20" t="s">
        <v>23</v>
      </c>
      <c r="H278" s="20" t="s">
        <v>23</v>
      </c>
      <c r="I278" s="20" t="s">
        <v>23</v>
      </c>
    </row>
    <row r="279" spans="1:9" x14ac:dyDescent="0.15">
      <c r="A279" s="32" t="str">
        <f>"    "&amp;A274</f>
        <v xml:space="preserve">    Optional Debt Retirement</v>
      </c>
      <c r="E279" s="21">
        <f ca="1">SUM(E275:E278)</f>
        <v>16.12125714285715</v>
      </c>
      <c r="F279" s="21">
        <f ca="1">SUM(F275:F278)</f>
        <v>4.7106826857142954</v>
      </c>
      <c r="G279" s="21">
        <f ca="1">SUM(G275:G278)</f>
        <v>0</v>
      </c>
      <c r="H279" s="21">
        <f ca="1">SUM(H275:H278)</f>
        <v>0</v>
      </c>
      <c r="I279" s="21">
        <f ca="1">SUM(I275:I278)</f>
        <v>0</v>
      </c>
    </row>
    <row r="280" spans="1:9" ht="6" customHeight="1" x14ac:dyDescent="0.15">
      <c r="A280" s="32"/>
      <c r="E280" s="19" t="s">
        <v>23</v>
      </c>
      <c r="F280" s="20" t="s">
        <v>23</v>
      </c>
      <c r="G280" s="20" t="s">
        <v>23</v>
      </c>
      <c r="H280" s="20" t="s">
        <v>23</v>
      </c>
      <c r="I280" s="20" t="s">
        <v>23</v>
      </c>
    </row>
    <row r="281" spans="1:9" x14ac:dyDescent="0.15">
      <c r="A281" s="9" t="s">
        <v>108</v>
      </c>
      <c r="E281" s="21">
        <f ca="1">E279+E272</f>
        <v>20.406971428571435</v>
      </c>
      <c r="F281" s="21">
        <f ca="1">F279+F272</f>
        <v>8.996396971428581</v>
      </c>
      <c r="G281" s="21">
        <f ca="1">G279+G272</f>
        <v>2.9466315999999786</v>
      </c>
      <c r="H281" s="21">
        <f ca="1">H279+H272</f>
        <v>0</v>
      </c>
      <c r="I281" s="21">
        <f ca="1">I279+I272</f>
        <v>0</v>
      </c>
    </row>
    <row r="282" spans="1:9" x14ac:dyDescent="0.15">
      <c r="A282" s="9" t="s">
        <v>109</v>
      </c>
      <c r="E282" s="21">
        <f ca="1">MAX(E291-E281,0)</f>
        <v>0</v>
      </c>
      <c r="F282" s="21">
        <f ca="1">MAX(F291-F281,0)</f>
        <v>0</v>
      </c>
      <c r="G282" s="21">
        <f ca="1">MAX(G291-G281,0)</f>
        <v>8.0262736169714515</v>
      </c>
      <c r="H282" s="21">
        <f ca="1">MAX(H291-H281,0)</f>
        <v>21.011548812350199</v>
      </c>
      <c r="I282" s="21">
        <f ca="1">MAX(I291-I281,0)</f>
        <v>36.144877932418026</v>
      </c>
    </row>
    <row r="283" spans="1:9" ht="6" customHeight="1" x14ac:dyDescent="0.15">
      <c r="A283" s="13"/>
      <c r="E283" s="19" t="s">
        <v>23</v>
      </c>
      <c r="F283" s="20" t="s">
        <v>23</v>
      </c>
      <c r="G283" s="20" t="s">
        <v>23</v>
      </c>
      <c r="H283" s="20" t="s">
        <v>23</v>
      </c>
      <c r="I283" s="20" t="s">
        <v>23</v>
      </c>
    </row>
    <row r="284" spans="1:9" x14ac:dyDescent="0.15">
      <c r="A284" s="68" t="s">
        <v>110</v>
      </c>
      <c r="E284" s="69">
        <f ca="1">SUM(E281:E283)</f>
        <v>20.406971428571435</v>
      </c>
      <c r="F284" s="69">
        <f ca="1">SUM(F281:F283)</f>
        <v>8.996396971428581</v>
      </c>
      <c r="G284" s="69">
        <f ca="1">SUM(G281:G283)</f>
        <v>10.97290521697143</v>
      </c>
      <c r="H284" s="69">
        <f ca="1">SUM(H281:H283)</f>
        <v>21.011548812350199</v>
      </c>
      <c r="I284" s="69">
        <f ca="1">SUM(I281:I283)</f>
        <v>36.144877932418026</v>
      </c>
    </row>
    <row r="285" spans="1:9" x14ac:dyDescent="0.15">
      <c r="A285" s="32"/>
    </row>
    <row r="286" spans="1:9" x14ac:dyDescent="0.15">
      <c r="A286" s="27" t="s">
        <v>111</v>
      </c>
    </row>
    <row r="287" spans="1:9" ht="6" customHeight="1" x14ac:dyDescent="0.15">
      <c r="A287" s="32"/>
    </row>
    <row r="288" spans="1:9" x14ac:dyDescent="0.15">
      <c r="A288" s="9" t="s">
        <v>112</v>
      </c>
      <c r="E288" s="22">
        <f ca="1">D173</f>
        <v>13.5</v>
      </c>
      <c r="F288" s="22">
        <f ca="1">E173</f>
        <v>0</v>
      </c>
      <c r="G288" s="22">
        <f ca="1">F173</f>
        <v>0</v>
      </c>
      <c r="H288" s="22">
        <f ca="1">G173</f>
        <v>8.0262736169714515</v>
      </c>
      <c r="I288" s="22">
        <f ca="1">H173</f>
        <v>21.011548812350199</v>
      </c>
    </row>
    <row r="289" spans="1:9" x14ac:dyDescent="0.15">
      <c r="A289" s="9" t="s">
        <v>113</v>
      </c>
      <c r="E289" s="21">
        <f ca="1">E243</f>
        <v>6.9069714285714348</v>
      </c>
      <c r="F289" s="21">
        <f ca="1">F243</f>
        <v>8.996396971428581</v>
      </c>
      <c r="G289" s="21">
        <f ca="1">G243</f>
        <v>10.97290521697143</v>
      </c>
      <c r="H289" s="21">
        <f ca="1">H243</f>
        <v>12.985275195378748</v>
      </c>
      <c r="I289" s="21">
        <f ca="1">I243</f>
        <v>15.133329120067827</v>
      </c>
    </row>
    <row r="290" spans="1:9" ht="6" customHeight="1" x14ac:dyDescent="0.15">
      <c r="A290" s="32"/>
      <c r="E290" s="19" t="s">
        <v>23</v>
      </c>
      <c r="F290" s="20" t="s">
        <v>23</v>
      </c>
      <c r="G290" s="20" t="s">
        <v>23</v>
      </c>
      <c r="H290" s="20" t="s">
        <v>23</v>
      </c>
      <c r="I290" s="20" t="s">
        <v>23</v>
      </c>
    </row>
    <row r="291" spans="1:9" x14ac:dyDescent="0.15">
      <c r="A291" s="9" t="s">
        <v>114</v>
      </c>
      <c r="E291" s="21">
        <f ca="1">SUM(E288:E290)</f>
        <v>20.406971428571435</v>
      </c>
      <c r="F291" s="21">
        <f ca="1">SUM(F288:F290)</f>
        <v>8.996396971428581</v>
      </c>
      <c r="G291" s="21">
        <f ca="1">SUM(G288:G290)</f>
        <v>10.97290521697143</v>
      </c>
      <c r="H291" s="21">
        <f ca="1">SUM(H288:H290)</f>
        <v>21.011548812350199</v>
      </c>
      <c r="I291" s="21">
        <f ca="1">SUM(I288:I290)</f>
        <v>36.144877932418026</v>
      </c>
    </row>
    <row r="292" spans="1:9" x14ac:dyDescent="0.15">
      <c r="A292" s="9" t="s">
        <v>115</v>
      </c>
      <c r="E292" s="21">
        <f ca="1">MAX(E281-E291,0)</f>
        <v>0</v>
      </c>
      <c r="F292" s="21">
        <f ca="1">MAX(F281-F291,0)</f>
        <v>0</v>
      </c>
      <c r="G292" s="21">
        <f ca="1">MAX(G281-G291,0)</f>
        <v>0</v>
      </c>
      <c r="H292" s="21">
        <f ca="1">MAX(H281-H291,0)</f>
        <v>0</v>
      </c>
      <c r="I292" s="21">
        <f ca="1">MAX(I281-I291,0)</f>
        <v>0</v>
      </c>
    </row>
    <row r="293" spans="1:9" ht="6" customHeight="1" x14ac:dyDescent="0.15">
      <c r="A293" s="32"/>
      <c r="E293" s="19" t="s">
        <v>23</v>
      </c>
      <c r="F293" s="20" t="s">
        <v>23</v>
      </c>
      <c r="G293" s="20" t="s">
        <v>23</v>
      </c>
      <c r="H293" s="20" t="s">
        <v>23</v>
      </c>
      <c r="I293" s="20" t="s">
        <v>23</v>
      </c>
    </row>
    <row r="294" spans="1:9" x14ac:dyDescent="0.15">
      <c r="A294" s="68" t="s">
        <v>116</v>
      </c>
      <c r="E294" s="69">
        <f ca="1">SUM(E291:E293)</f>
        <v>20.406971428571435</v>
      </c>
      <c r="F294" s="69">
        <f ca="1">SUM(F291:F293)</f>
        <v>8.996396971428581</v>
      </c>
      <c r="G294" s="69">
        <f ca="1">SUM(G291:G293)</f>
        <v>10.97290521697143</v>
      </c>
      <c r="H294" s="69">
        <f ca="1">SUM(H291:H293)</f>
        <v>21.011548812350199</v>
      </c>
      <c r="I294" s="69">
        <f ca="1">SUM(I291:I293)</f>
        <v>36.144877932418026</v>
      </c>
    </row>
    <row r="295" spans="1:9" x14ac:dyDescent="0.15">
      <c r="A295" s="13"/>
    </row>
    <row r="296" spans="1:9" x14ac:dyDescent="0.15">
      <c r="A296" s="9" t="s">
        <v>117</v>
      </c>
      <c r="E296" s="43">
        <f ca="1">ABS(E294-E284)+D296</f>
        <v>0</v>
      </c>
      <c r="F296" s="43">
        <f ca="1">ABS(F294-F284)+E296</f>
        <v>0</v>
      </c>
      <c r="G296" s="43">
        <f ca="1">ABS(G294-G284)+F296</f>
        <v>0</v>
      </c>
      <c r="H296" s="43">
        <f ca="1">ABS(H294-H284)+G296</f>
        <v>0</v>
      </c>
      <c r="I296" s="43">
        <f ca="1">ABS(I294-I284)+H296</f>
        <v>0</v>
      </c>
    </row>
    <row r="297" spans="1:9" x14ac:dyDescent="0.15">
      <c r="A297" s="9"/>
      <c r="E297" s="43"/>
      <c r="F297" s="43"/>
      <c r="G297" s="43"/>
      <c r="H297" s="43"/>
      <c r="I297" s="43"/>
    </row>
    <row r="298" spans="1:9" s="126" customFormat="1" ht="18" x14ac:dyDescent="0.2">
      <c r="A298" s="107" t="s">
        <v>131</v>
      </c>
      <c r="B298" s="107"/>
      <c r="C298" s="107"/>
      <c r="D298" s="107"/>
      <c r="E298" s="107"/>
      <c r="F298" s="107"/>
      <c r="G298" s="107"/>
      <c r="H298" s="107"/>
      <c r="I298" s="107"/>
    </row>
    <row r="299" spans="1:9" s="120" customFormat="1" ht="16" x14ac:dyDescent="0.3">
      <c r="A299" s="108"/>
      <c r="B299" s="109"/>
      <c r="C299" s="109"/>
      <c r="D299" s="110"/>
      <c r="E299" s="111" t="s">
        <v>1</v>
      </c>
      <c r="F299" s="111"/>
      <c r="G299" s="111"/>
      <c r="H299" s="111"/>
      <c r="I299" s="111"/>
    </row>
    <row r="300" spans="1:9" s="112" customFormat="1" x14ac:dyDescent="0.15">
      <c r="B300" s="109"/>
      <c r="C300" s="109"/>
      <c r="D300" s="113">
        <f t="shared" ref="D300:I300" si="70">D54</f>
        <v>1999</v>
      </c>
      <c r="E300" s="113">
        <f t="shared" si="70"/>
        <v>2000</v>
      </c>
      <c r="F300" s="113">
        <f t="shared" si="70"/>
        <v>2001</v>
      </c>
      <c r="G300" s="113">
        <f t="shared" si="70"/>
        <v>2002</v>
      </c>
      <c r="H300" s="113">
        <f t="shared" si="70"/>
        <v>2003</v>
      </c>
      <c r="I300" s="113">
        <f t="shared" si="70"/>
        <v>2004</v>
      </c>
    </row>
    <row r="301" spans="1:9" s="114" customFormat="1" x14ac:dyDescent="0.15">
      <c r="B301" s="115"/>
      <c r="C301" s="115"/>
      <c r="D301" s="116">
        <v>0</v>
      </c>
      <c r="E301" s="117">
        <f>D301+1</f>
        <v>1</v>
      </c>
      <c r="F301" s="117">
        <f>E301+1</f>
        <v>2</v>
      </c>
      <c r="G301" s="117">
        <f>F301+1</f>
        <v>3</v>
      </c>
      <c r="H301" s="117">
        <f>G301+1</f>
        <v>4</v>
      </c>
      <c r="I301" s="117">
        <f>H301+1</f>
        <v>5</v>
      </c>
    </row>
    <row r="302" spans="1:9" s="112" customFormat="1" x14ac:dyDescent="0.15">
      <c r="A302" s="118" t="s">
        <v>132</v>
      </c>
      <c r="B302" s="109"/>
      <c r="C302" s="109"/>
      <c r="D302" s="119"/>
      <c r="E302" s="119"/>
      <c r="F302" s="119"/>
      <c r="G302" s="119"/>
      <c r="H302" s="119"/>
      <c r="I302" s="119"/>
    </row>
    <row r="303" spans="1:9" s="112" customFormat="1" ht="6" customHeight="1" x14ac:dyDescent="0.15">
      <c r="A303" s="118"/>
      <c r="B303" s="109"/>
      <c r="C303" s="109"/>
      <c r="D303" s="119"/>
      <c r="E303" s="119"/>
      <c r="F303" s="119"/>
      <c r="G303" s="119"/>
      <c r="H303" s="119"/>
      <c r="I303" s="119"/>
    </row>
    <row r="304" spans="1:9" s="120" customFormat="1" x14ac:dyDescent="0.15">
      <c r="A304" s="86" t="s">
        <v>133</v>
      </c>
      <c r="E304" s="127">
        <f ca="1">E141</f>
        <v>22.162000000000006</v>
      </c>
      <c r="F304" s="127">
        <f ca="1">F141</f>
        <v>24.628200000000014</v>
      </c>
      <c r="G304" s="127">
        <f ca="1">G141</f>
        <v>27.341020000000007</v>
      </c>
      <c r="H304" s="127">
        <f ca="1">H141</f>
        <v>30.325122000000007</v>
      </c>
      <c r="I304" s="127">
        <f ca="1">I141</f>
        <v>33.607634200000007</v>
      </c>
    </row>
    <row r="305" spans="1:9" s="120" customFormat="1" x14ac:dyDescent="0.15">
      <c r="A305" s="86" t="s">
        <v>69</v>
      </c>
      <c r="E305" s="40">
        <f t="shared" ref="E305:I306" si="71">E162</f>
        <v>1.5</v>
      </c>
      <c r="F305" s="40">
        <f t="shared" si="71"/>
        <v>1.5</v>
      </c>
      <c r="G305" s="40">
        <f t="shared" si="71"/>
        <v>1.5</v>
      </c>
      <c r="H305" s="40">
        <f t="shared" si="71"/>
        <v>1.5</v>
      </c>
      <c r="I305" s="40">
        <f t="shared" si="71"/>
        <v>1.5</v>
      </c>
    </row>
    <row r="306" spans="1:9" s="120" customFormat="1" x14ac:dyDescent="0.15">
      <c r="A306" s="86" t="s">
        <v>70</v>
      </c>
      <c r="E306" s="40">
        <f t="shared" si="71"/>
        <v>1</v>
      </c>
      <c r="F306" s="40">
        <f t="shared" si="71"/>
        <v>1</v>
      </c>
      <c r="G306" s="40">
        <f t="shared" si="71"/>
        <v>1</v>
      </c>
      <c r="H306" s="40">
        <f t="shared" si="71"/>
        <v>1</v>
      </c>
      <c r="I306" s="40">
        <f t="shared" si="71"/>
        <v>1</v>
      </c>
    </row>
    <row r="307" spans="1:9" s="120" customFormat="1" x14ac:dyDescent="0.15">
      <c r="A307" s="86"/>
      <c r="E307" s="121" t="s">
        <v>23</v>
      </c>
      <c r="F307" s="110" t="s">
        <v>23</v>
      </c>
      <c r="G307" s="110" t="s">
        <v>23</v>
      </c>
      <c r="H307" s="110" t="s">
        <v>23</v>
      </c>
      <c r="I307" s="110" t="s">
        <v>23</v>
      </c>
    </row>
    <row r="308" spans="1:9" s="123" customFormat="1" x14ac:dyDescent="0.15">
      <c r="A308" s="122" t="s">
        <v>134</v>
      </c>
      <c r="E308" s="124">
        <f ca="1">SUM(E304:E307)</f>
        <v>24.662000000000006</v>
      </c>
      <c r="F308" s="124">
        <f ca="1">SUM(F304:F307)</f>
        <v>27.128200000000014</v>
      </c>
      <c r="G308" s="124">
        <f ca="1">SUM(G304:G307)</f>
        <v>29.841020000000007</v>
      </c>
      <c r="H308" s="124">
        <f ca="1">SUM(H304:H307)</f>
        <v>32.825122000000007</v>
      </c>
      <c r="I308" s="124">
        <f ca="1">SUM(I304:I307)</f>
        <v>36.107634200000007</v>
      </c>
    </row>
    <row r="309" spans="1:9" s="120" customFormat="1" x14ac:dyDescent="0.15">
      <c r="A309" s="86" t="s">
        <v>135</v>
      </c>
      <c r="E309" s="40">
        <f ca="1">E239</f>
        <v>-2</v>
      </c>
      <c r="F309" s="40">
        <f ca="1">F239</f>
        <v>-2</v>
      </c>
      <c r="G309" s="40">
        <f ca="1">G239</f>
        <v>-2</v>
      </c>
      <c r="H309" s="40">
        <f ca="1">H239</f>
        <v>-2</v>
      </c>
      <c r="I309" s="40">
        <f ca="1">I239</f>
        <v>-2</v>
      </c>
    </row>
    <row r="310" spans="1:9" s="120" customFormat="1" x14ac:dyDescent="0.15">
      <c r="A310" s="86"/>
      <c r="E310" s="121" t="s">
        <v>23</v>
      </c>
      <c r="F310" s="110" t="s">
        <v>23</v>
      </c>
      <c r="G310" s="110" t="s">
        <v>23</v>
      </c>
      <c r="H310" s="110" t="s">
        <v>23</v>
      </c>
      <c r="I310" s="110" t="s">
        <v>23</v>
      </c>
    </row>
    <row r="311" spans="1:9" s="123" customFormat="1" x14ac:dyDescent="0.15">
      <c r="A311" s="122" t="s">
        <v>136</v>
      </c>
      <c r="E311" s="125">
        <f ca="1">SUM(E308:E310)</f>
        <v>22.662000000000006</v>
      </c>
      <c r="F311" s="125">
        <f ca="1">SUM(F308:F310)</f>
        <v>25.128200000000014</v>
      </c>
      <c r="G311" s="125">
        <f ca="1">SUM(G308:G310)</f>
        <v>27.841020000000007</v>
      </c>
      <c r="H311" s="125">
        <f ca="1">SUM(H308:H310)</f>
        <v>30.825122000000007</v>
      </c>
      <c r="I311" s="125">
        <f ca="1">SUM(I308:I310)</f>
        <v>34.107634200000007</v>
      </c>
    </row>
    <row r="312" spans="1:9" s="120" customFormat="1" x14ac:dyDescent="0.15">
      <c r="A312" s="86" t="s">
        <v>137</v>
      </c>
      <c r="C312" s="128">
        <f>C154</f>
        <v>0.4</v>
      </c>
      <c r="E312" s="40">
        <f ca="1">-$C312*(E304+E306)</f>
        <v>-9.2648000000000028</v>
      </c>
      <c r="F312" s="40">
        <f ca="1">-$C312*(F304+F306)</f>
        <v>-10.251280000000007</v>
      </c>
      <c r="G312" s="40">
        <f ca="1">-$C312*(G304+G306)</f>
        <v>-11.336408000000004</v>
      </c>
      <c r="H312" s="40">
        <f ca="1">-$C312*(H304+H306)</f>
        <v>-12.530048800000003</v>
      </c>
      <c r="I312" s="40">
        <f ca="1">-$C312*(I304+I306)</f>
        <v>-13.843053680000004</v>
      </c>
    </row>
    <row r="313" spans="1:9" s="120" customFormat="1" x14ac:dyDescent="0.15">
      <c r="A313" s="86" t="s">
        <v>138</v>
      </c>
      <c r="E313" s="40">
        <f ca="1">E233</f>
        <v>-0.99999999999999911</v>
      </c>
      <c r="F313" s="40">
        <f ca="1">F233</f>
        <v>-1.1000000000000005</v>
      </c>
      <c r="G313" s="40">
        <f ca="1">G233</f>
        <v>-1.2100000000000035</v>
      </c>
      <c r="H313" s="40">
        <f ca="1">H233</f>
        <v>-1.3310000000000004</v>
      </c>
      <c r="I313" s="40">
        <f ca="1">I233</f>
        <v>-1.4641000000000037</v>
      </c>
    </row>
    <row r="314" spans="1:9" s="120" customFormat="1" x14ac:dyDescent="0.15">
      <c r="A314" s="86"/>
      <c r="E314" s="121" t="s">
        <v>23</v>
      </c>
      <c r="F314" s="110" t="s">
        <v>23</v>
      </c>
      <c r="G314" s="110" t="s">
        <v>23</v>
      </c>
      <c r="H314" s="110" t="s">
        <v>23</v>
      </c>
      <c r="I314" s="110" t="s">
        <v>23</v>
      </c>
    </row>
    <row r="315" spans="1:9" s="123" customFormat="1" x14ac:dyDescent="0.15">
      <c r="A315" s="122" t="s">
        <v>139</v>
      </c>
      <c r="E315" s="125">
        <f ca="1">SUM(E311:E314)</f>
        <v>12.397200000000005</v>
      </c>
      <c r="F315" s="125">
        <f ca="1">SUM(F311:F314)</f>
        <v>13.776920000000008</v>
      </c>
      <c r="G315" s="125">
        <f ca="1">SUM(G311:G314)</f>
        <v>15.294611999999997</v>
      </c>
      <c r="H315" s="125">
        <f ca="1">SUM(H311:H314)</f>
        <v>16.964073200000005</v>
      </c>
      <c r="I315" s="125">
        <f ca="1">SUM(I311:I314)</f>
        <v>18.800480520000001</v>
      </c>
    </row>
    <row r="316" spans="1:9" s="13" customFormat="1" x14ac:dyDescent="0.15"/>
    <row r="317" spans="1:9" s="112" customFormat="1" x14ac:dyDescent="0.15">
      <c r="A317" s="118" t="s">
        <v>140</v>
      </c>
      <c r="B317" s="109"/>
      <c r="C317" s="109"/>
      <c r="D317" s="119"/>
      <c r="E317" s="119"/>
      <c r="F317" s="119"/>
      <c r="G317" s="119"/>
      <c r="H317" s="119"/>
      <c r="I317" s="119"/>
    </row>
    <row r="318" spans="1:9" s="112" customFormat="1" ht="6" customHeight="1" x14ac:dyDescent="0.15">
      <c r="A318" s="118"/>
      <c r="B318" s="109"/>
      <c r="C318" s="109"/>
      <c r="D318" s="119"/>
      <c r="E318" s="119"/>
      <c r="F318" s="119"/>
      <c r="G318" s="119"/>
      <c r="H318" s="119"/>
      <c r="I318" s="119"/>
    </row>
    <row r="319" spans="1:9" s="112" customFormat="1" x14ac:dyDescent="0.15">
      <c r="A319" s="141" t="s">
        <v>141</v>
      </c>
      <c r="B319" s="109"/>
      <c r="C319" s="109"/>
      <c r="D319" s="119"/>
      <c r="E319" s="119"/>
      <c r="F319" s="119"/>
      <c r="G319" s="119"/>
      <c r="H319" s="119"/>
      <c r="I319" s="119"/>
    </row>
    <row r="320" spans="1:9" s="120" customFormat="1" x14ac:dyDescent="0.15">
      <c r="A320" s="86" t="s">
        <v>142</v>
      </c>
      <c r="I320" s="142">
        <v>0.05</v>
      </c>
    </row>
    <row r="321" spans="1:9" s="120" customFormat="1" x14ac:dyDescent="0.15">
      <c r="A321" s="86" t="s">
        <v>143</v>
      </c>
      <c r="I321" s="143">
        <f ca="1">I315*(1+I320)</f>
        <v>19.740504546</v>
      </c>
    </row>
    <row r="322" spans="1:9" s="120" customFormat="1" x14ac:dyDescent="0.15">
      <c r="A322" s="86" t="s">
        <v>144</v>
      </c>
      <c r="I322" s="142">
        <v>0.12</v>
      </c>
    </row>
    <row r="323" spans="1:9" s="120" customFormat="1" x14ac:dyDescent="0.15">
      <c r="A323" s="86" t="s">
        <v>145</v>
      </c>
      <c r="I323" s="143">
        <f ca="1">I321/(I322-I320)</f>
        <v>282.00720780000006</v>
      </c>
    </row>
    <row r="324" spans="1:9" s="120" customFormat="1" x14ac:dyDescent="0.15">
      <c r="A324" s="86" t="s">
        <v>146</v>
      </c>
      <c r="I324" s="144">
        <f ca="1">I323/I308</f>
        <v>7.8101823630416645</v>
      </c>
    </row>
    <row r="325" spans="1:9" s="120" customFormat="1" x14ac:dyDescent="0.15"/>
    <row r="326" spans="1:9" s="120" customFormat="1" x14ac:dyDescent="0.15">
      <c r="A326" s="145" t="s">
        <v>147</v>
      </c>
    </row>
    <row r="327" spans="1:9" s="120" customFormat="1" x14ac:dyDescent="0.15">
      <c r="A327" s="86" t="s">
        <v>139</v>
      </c>
      <c r="E327" s="40">
        <f ca="1">E315/(1+$I$322)^E$301</f>
        <v>11.068928571428575</v>
      </c>
      <c r="F327" s="40">
        <f ca="1">F315/(1+$I$322)^F$301</f>
        <v>10.982876275510209</v>
      </c>
      <c r="G327" s="40">
        <f ca="1">G315/(1+$I$322)^G$301</f>
        <v>10.886402719569967</v>
      </c>
      <c r="H327" s="40">
        <f ca="1">H315/(1+$I$322)^H$301</f>
        <v>10.780975201982898</v>
      </c>
      <c r="I327" s="40">
        <f ca="1">I315/(1+$I$322)^I$301</f>
        <v>10.667897547462376</v>
      </c>
    </row>
    <row r="328" spans="1:9" s="120" customFormat="1" x14ac:dyDescent="0.15">
      <c r="A328" s="86" t="s">
        <v>148</v>
      </c>
      <c r="E328" s="40"/>
      <c r="F328" s="40"/>
      <c r="G328" s="40"/>
      <c r="H328" s="40"/>
      <c r="I328" s="40">
        <f ca="1">I323/(1+$I$322)^I$301</f>
        <v>160.01846321193565</v>
      </c>
    </row>
    <row r="329" spans="1:9" s="120" customFormat="1" x14ac:dyDescent="0.15">
      <c r="E329" s="121" t="s">
        <v>23</v>
      </c>
      <c r="F329" s="110" t="s">
        <v>23</v>
      </c>
      <c r="G329" s="110" t="s">
        <v>23</v>
      </c>
      <c r="H329" s="110" t="s">
        <v>23</v>
      </c>
      <c r="I329" s="110" t="s">
        <v>23</v>
      </c>
    </row>
    <row r="330" spans="1:9" s="120" customFormat="1" x14ac:dyDescent="0.15">
      <c r="A330" s="86" t="s">
        <v>149</v>
      </c>
      <c r="D330" s="120">
        <f ca="1">SUM(E330:I330)</f>
        <v>214.40554352788968</v>
      </c>
      <c r="E330" s="40">
        <f ca="1">SUM(E327:E329)</f>
        <v>11.068928571428575</v>
      </c>
      <c r="F330" s="40">
        <f ca="1">SUM(F327:F329)</f>
        <v>10.982876275510209</v>
      </c>
      <c r="G330" s="40">
        <f ca="1">SUM(G327:G329)</f>
        <v>10.886402719569967</v>
      </c>
      <c r="H330" s="40">
        <f ca="1">SUM(H327:H329)</f>
        <v>10.780975201982898</v>
      </c>
      <c r="I330" s="40">
        <f ca="1">SUM(I327:I329)</f>
        <v>170.68636075939804</v>
      </c>
    </row>
    <row r="331" spans="1:9" s="120" customFormat="1" x14ac:dyDescent="0.15">
      <c r="A331" s="86"/>
      <c r="E331" s="40"/>
      <c r="F331" s="40"/>
      <c r="G331" s="40"/>
      <c r="H331" s="40"/>
      <c r="I331" s="40"/>
    </row>
    <row r="332" spans="1:9" s="120" customFormat="1" ht="16" x14ac:dyDescent="0.3">
      <c r="A332" s="146" t="s">
        <v>211</v>
      </c>
      <c r="B332" s="147"/>
      <c r="C332" s="147"/>
      <c r="D332" s="148"/>
      <c r="F332" s="146" t="s">
        <v>150</v>
      </c>
      <c r="G332" s="147"/>
      <c r="H332" s="147"/>
      <c r="I332" s="148"/>
    </row>
    <row r="333" spans="1:9" s="120" customFormat="1" ht="16" x14ac:dyDescent="0.3">
      <c r="A333" s="129" t="s">
        <v>151</v>
      </c>
      <c r="B333" s="130">
        <f ca="1">SUM(E330:I330)</f>
        <v>214.40554352788968</v>
      </c>
      <c r="C333" s="131">
        <f ca="1">B333/D83</f>
        <v>9.4451781289819241</v>
      </c>
      <c r="D333" s="132"/>
      <c r="F333" s="149" t="s">
        <v>152</v>
      </c>
      <c r="G333" s="150"/>
      <c r="H333" s="150"/>
      <c r="I333" s="151"/>
    </row>
    <row r="334" spans="1:9" s="120" customFormat="1" x14ac:dyDescent="0.15">
      <c r="A334" s="129" t="s">
        <v>210</v>
      </c>
      <c r="B334" s="77">
        <f>-(B200-B173)</f>
        <v>-86</v>
      </c>
      <c r="C334" s="133"/>
      <c r="D334" s="134"/>
      <c r="F334" s="149" t="s">
        <v>153</v>
      </c>
      <c r="G334" s="152">
        <f>H334-0.02</f>
        <v>9.9999999999999992E-2</v>
      </c>
      <c r="H334" s="152">
        <f>I322</f>
        <v>0.12</v>
      </c>
      <c r="I334" s="153">
        <f>H334+0.02</f>
        <v>0.13999999999999999</v>
      </c>
    </row>
    <row r="335" spans="1:9" s="120" customFormat="1" x14ac:dyDescent="0.15">
      <c r="A335" s="135"/>
      <c r="B335" s="76" t="s">
        <v>23</v>
      </c>
      <c r="C335" s="133"/>
      <c r="D335" s="134"/>
      <c r="F335" s="154">
        <f>F336-0.01</f>
        <v>0.03</v>
      </c>
      <c r="G335" s="157">
        <f t="shared" ref="G335:I339" ca="1" si="72">((NPV(G$334,$D$315:$I$315)+(($I$315*(1+$F335))/(G$334-$F335))/((1+G$334)^$I$301))+$B$334)/$B$337</f>
        <v>14.317641277430306</v>
      </c>
      <c r="H335" s="158">
        <f t="shared" ca="1" si="72"/>
        <v>9.0475241136912334</v>
      </c>
      <c r="I335" s="159">
        <f t="shared" ca="1" si="72"/>
        <v>5.7037638413879082</v>
      </c>
    </row>
    <row r="336" spans="1:9" s="120" customFormat="1" x14ac:dyDescent="0.15">
      <c r="A336" s="129" t="s">
        <v>154</v>
      </c>
      <c r="B336" s="77">
        <f ca="1">SUM(B333:B335)</f>
        <v>128.40554352788968</v>
      </c>
      <c r="C336" s="133"/>
      <c r="D336" s="134"/>
      <c r="F336" s="154">
        <f>F337-0.01</f>
        <v>0.04</v>
      </c>
      <c r="G336" s="160">
        <f t="shared" ca="1" si="72"/>
        <v>17.375017744689568</v>
      </c>
      <c r="H336" s="161">
        <f t="shared" ca="1" si="72"/>
        <v>10.706974843296496</v>
      </c>
      <c r="I336" s="162">
        <f t="shared" ca="1" si="72"/>
        <v>6.7157087251128615</v>
      </c>
    </row>
    <row r="337" spans="1:9" s="120" customFormat="1" x14ac:dyDescent="0.15">
      <c r="A337" s="129" t="s">
        <v>209</v>
      </c>
      <c r="B337" s="136">
        <f>E157</f>
        <v>10</v>
      </c>
      <c r="C337" s="133"/>
      <c r="D337" s="134"/>
      <c r="F337" s="154">
        <f>I320</f>
        <v>0.05</v>
      </c>
      <c r="G337" s="160">
        <f t="shared" ca="1" si="72"/>
        <v>21.655344798852536</v>
      </c>
      <c r="H337" s="155">
        <f ca="1">((NPV(H$334,$D$315:$I$315)+(($I$315*(1+$F337))/(H$334-$F337))/((1+H$334)^$I$301))+$B$334)/$B$337</f>
        <v>12.840554352788967</v>
      </c>
      <c r="I337" s="162">
        <f t="shared" ca="1" si="72"/>
        <v>7.9525302496655765</v>
      </c>
    </row>
    <row r="338" spans="1:9" s="120" customFormat="1" x14ac:dyDescent="0.15">
      <c r="A338" s="137" t="s">
        <v>155</v>
      </c>
      <c r="B338" s="138">
        <f ca="1">B336/B337</f>
        <v>12.840554352788967</v>
      </c>
      <c r="C338" s="139">
        <f ca="1">B338/E158</f>
        <v>20.428711798849676</v>
      </c>
      <c r="D338" s="140"/>
      <c r="F338" s="154">
        <f>F337+0.01</f>
        <v>6.0000000000000005E-2</v>
      </c>
      <c r="G338" s="160">
        <f t="shared" ca="1" si="72"/>
        <v>28.075835380096994</v>
      </c>
      <c r="H338" s="161">
        <f t="shared" ca="1" si="72"/>
        <v>15.685327032112273</v>
      </c>
      <c r="I338" s="162">
        <f t="shared" ca="1" si="72"/>
        <v>9.4985571553564743</v>
      </c>
    </row>
    <row r="339" spans="1:9" s="120" customFormat="1" x14ac:dyDescent="0.15">
      <c r="F339" s="156">
        <f>F338+0.01</f>
        <v>7.0000000000000007E-2</v>
      </c>
      <c r="G339" s="163">
        <f t="shared" ca="1" si="72"/>
        <v>38.776653015504415</v>
      </c>
      <c r="H339" s="164">
        <f t="shared" ca="1" si="72"/>
        <v>19.66800878316489</v>
      </c>
      <c r="I339" s="165">
        <f t="shared" ca="1" si="72"/>
        <v>11.486306034101915</v>
      </c>
    </row>
    <row r="340" spans="1:9" s="13" customFormat="1" x14ac:dyDescent="0.15"/>
    <row r="342" spans="1:9" s="88" customFormat="1" ht="18" x14ac:dyDescent="0.2">
      <c r="A342" s="87" t="s">
        <v>120</v>
      </c>
    </row>
    <row r="343" spans="1:9" s="89" customFormat="1" x14ac:dyDescent="0.15"/>
    <row r="344" spans="1:9" s="89" customFormat="1" x14ac:dyDescent="0.15"/>
    <row r="345" spans="1:9" s="89" customFormat="1" ht="16" x14ac:dyDescent="0.2">
      <c r="A345" s="90" t="s">
        <v>121</v>
      </c>
      <c r="B345" s="91">
        <v>1</v>
      </c>
    </row>
    <row r="346" spans="1:9" s="89" customFormat="1" ht="16" x14ac:dyDescent="0.2">
      <c r="A346" s="92" t="s">
        <v>122</v>
      </c>
      <c r="B346" s="93">
        <v>2</v>
      </c>
    </row>
    <row r="347" spans="1:9" s="89" customFormat="1" x14ac:dyDescent="0.15"/>
    <row r="348" spans="1:9" s="89" customFormat="1" x14ac:dyDescent="0.15"/>
    <row r="349" spans="1:9" s="95" customFormat="1" ht="18" x14ac:dyDescent="0.2">
      <c r="A349" s="94" t="s">
        <v>123</v>
      </c>
    </row>
    <row r="350" spans="1:9" s="89" customFormat="1" x14ac:dyDescent="0.15"/>
    <row r="351" spans="1:9" s="89" customFormat="1" x14ac:dyDescent="0.15">
      <c r="A351" s="96" t="s">
        <v>124</v>
      </c>
      <c r="E351" s="97">
        <f>E$54</f>
        <v>2000</v>
      </c>
      <c r="F351" s="97">
        <f>F$54</f>
        <v>2001</v>
      </c>
      <c r="G351" s="97">
        <f>G$54</f>
        <v>2002</v>
      </c>
      <c r="H351" s="97">
        <f>H$54</f>
        <v>2003</v>
      </c>
      <c r="I351" s="97">
        <f>I$54</f>
        <v>2004</v>
      </c>
    </row>
    <row r="352" spans="1:9" s="89" customFormat="1" x14ac:dyDescent="0.15">
      <c r="A352" s="98">
        <v>1</v>
      </c>
      <c r="B352" s="85" t="s">
        <v>125</v>
      </c>
      <c r="E352" s="99">
        <v>0.1</v>
      </c>
      <c r="F352" s="99">
        <v>0.1</v>
      </c>
      <c r="G352" s="99">
        <v>0.1</v>
      </c>
      <c r="H352" s="99">
        <v>0.1</v>
      </c>
      <c r="I352" s="99">
        <v>0.1</v>
      </c>
    </row>
    <row r="353" spans="1:9" s="89" customFormat="1" x14ac:dyDescent="0.15">
      <c r="A353" s="100">
        <f>A352+1</f>
        <v>2</v>
      </c>
      <c r="B353" s="85" t="s">
        <v>126</v>
      </c>
      <c r="E353" s="99">
        <v>0.08</v>
      </c>
      <c r="F353" s="99">
        <v>0.06</v>
      </c>
      <c r="G353" s="99">
        <v>0.05</v>
      </c>
      <c r="H353" s="99">
        <v>7.0000000000000007E-2</v>
      </c>
      <c r="I353" s="99">
        <v>7.4999999999999997E-2</v>
      </c>
    </row>
    <row r="354" spans="1:9" s="89" customFormat="1" x14ac:dyDescent="0.15">
      <c r="A354" s="100">
        <f>A353+1</f>
        <v>3</v>
      </c>
      <c r="B354" s="85" t="s">
        <v>127</v>
      </c>
      <c r="E354" s="99">
        <v>0.03</v>
      </c>
      <c r="F354" s="99">
        <v>0.03</v>
      </c>
      <c r="G354" s="99">
        <v>0.03</v>
      </c>
      <c r="H354" s="99">
        <v>0.03</v>
      </c>
      <c r="I354" s="99">
        <v>0.03</v>
      </c>
    </row>
    <row r="355" spans="1:9" s="89" customFormat="1" x14ac:dyDescent="0.15">
      <c r="A355" s="104">
        <f ca="1">OFFSET(A351,opcase,0)</f>
        <v>1</v>
      </c>
      <c r="B355" s="101" t="str">
        <f t="shared" ref="B355:I355" ca="1" si="73">OFFSET(B351,opcase,0)</f>
        <v>Management Case</v>
      </c>
      <c r="E355" s="105">
        <f t="shared" ca="1" si="73"/>
        <v>0.1</v>
      </c>
      <c r="F355" s="105">
        <f t="shared" ca="1" si="73"/>
        <v>0.1</v>
      </c>
      <c r="G355" s="105">
        <f t="shared" ca="1" si="73"/>
        <v>0.1</v>
      </c>
      <c r="H355" s="105">
        <f t="shared" ca="1" si="73"/>
        <v>0.1</v>
      </c>
      <c r="I355" s="105">
        <f t="shared" ca="1" si="73"/>
        <v>0.1</v>
      </c>
    </row>
    <row r="356" spans="1:9" s="89" customFormat="1" x14ac:dyDescent="0.15">
      <c r="A356" s="98"/>
    </row>
    <row r="357" spans="1:9" s="89" customFormat="1" x14ac:dyDescent="0.15">
      <c r="A357" s="96" t="s">
        <v>128</v>
      </c>
      <c r="E357" s="97">
        <f>E$54</f>
        <v>2000</v>
      </c>
      <c r="F357" s="97">
        <f>F$54</f>
        <v>2001</v>
      </c>
      <c r="G357" s="97">
        <f>G$54</f>
        <v>2002</v>
      </c>
      <c r="H357" s="97">
        <f>H$54</f>
        <v>2003</v>
      </c>
      <c r="I357" s="97">
        <f>I$54</f>
        <v>2004</v>
      </c>
    </row>
    <row r="358" spans="1:9" s="89" customFormat="1" x14ac:dyDescent="0.15">
      <c r="A358" s="100">
        <f>$A$352</f>
        <v>1</v>
      </c>
      <c r="B358" s="102" t="str">
        <f>$B$352</f>
        <v>Management Case</v>
      </c>
      <c r="E358" s="103">
        <v>0.73</v>
      </c>
      <c r="F358" s="103">
        <v>0.73</v>
      </c>
      <c r="G358" s="103">
        <v>0.73</v>
      </c>
      <c r="H358" s="103">
        <v>0.73</v>
      </c>
      <c r="I358" s="103">
        <v>0.73</v>
      </c>
    </row>
    <row r="359" spans="1:9" s="89" customFormat="1" x14ac:dyDescent="0.15">
      <c r="A359" s="100">
        <f>$A$353</f>
        <v>2</v>
      </c>
      <c r="B359" s="102" t="str">
        <f>$B$353</f>
        <v>Base Case</v>
      </c>
      <c r="E359" s="103">
        <v>0.73</v>
      </c>
      <c r="F359" s="103">
        <v>0.73</v>
      </c>
      <c r="G359" s="103">
        <v>0.73499999999999999</v>
      </c>
      <c r="H359" s="103">
        <v>0.73499999999999999</v>
      </c>
      <c r="I359" s="103">
        <v>0.73499999999999999</v>
      </c>
    </row>
    <row r="360" spans="1:9" s="89" customFormat="1" x14ac:dyDescent="0.15">
      <c r="A360" s="100">
        <f>$A$354</f>
        <v>3</v>
      </c>
      <c r="B360" s="102" t="str">
        <f>$B$354</f>
        <v>Downside Case</v>
      </c>
      <c r="E360" s="103">
        <v>0.72499999999999998</v>
      </c>
      <c r="F360" s="103">
        <v>0.73</v>
      </c>
      <c r="G360" s="103">
        <v>0.74</v>
      </c>
      <c r="H360" s="103">
        <v>0.74</v>
      </c>
      <c r="I360" s="103">
        <v>0.74</v>
      </c>
    </row>
    <row r="361" spans="1:9" s="89" customFormat="1" x14ac:dyDescent="0.15">
      <c r="A361" s="104">
        <f ca="1">OFFSET(A357,opcase,0)</f>
        <v>1</v>
      </c>
      <c r="B361" s="101" t="str">
        <f t="shared" ref="B361:I361" ca="1" si="74">OFFSET(B357,opcase,0)</f>
        <v>Management Case</v>
      </c>
      <c r="E361" s="105">
        <f t="shared" ca="1" si="74"/>
        <v>0.73</v>
      </c>
      <c r="F361" s="105">
        <f t="shared" ca="1" si="74"/>
        <v>0.73</v>
      </c>
      <c r="G361" s="105">
        <f t="shared" ca="1" si="74"/>
        <v>0.73</v>
      </c>
      <c r="H361" s="105">
        <f t="shared" ca="1" si="74"/>
        <v>0.73</v>
      </c>
      <c r="I361" s="105">
        <f t="shared" ca="1" si="74"/>
        <v>0.73</v>
      </c>
    </row>
    <row r="362" spans="1:9" s="89" customFormat="1" x14ac:dyDescent="0.15">
      <c r="A362" s="98"/>
    </row>
    <row r="363" spans="1:9" s="89" customFormat="1" x14ac:dyDescent="0.15">
      <c r="A363" s="96" t="s">
        <v>129</v>
      </c>
      <c r="E363" s="97">
        <f>E$54</f>
        <v>2000</v>
      </c>
      <c r="F363" s="97">
        <f>F$54</f>
        <v>2001</v>
      </c>
      <c r="G363" s="97">
        <f>G$54</f>
        <v>2002</v>
      </c>
      <c r="H363" s="97">
        <f>H$54</f>
        <v>2003</v>
      </c>
      <c r="I363" s="97">
        <f>I$54</f>
        <v>2004</v>
      </c>
    </row>
    <row r="364" spans="1:9" s="89" customFormat="1" x14ac:dyDescent="0.15">
      <c r="A364" s="100">
        <f>$A$352</f>
        <v>1</v>
      </c>
      <c r="B364" s="102" t="str">
        <f>$B$352</f>
        <v>Management Case</v>
      </c>
      <c r="E364" s="103">
        <v>0.08</v>
      </c>
      <c r="F364" s="103">
        <v>0.08</v>
      </c>
      <c r="G364" s="103">
        <v>0.08</v>
      </c>
      <c r="H364" s="103">
        <v>0.08</v>
      </c>
      <c r="I364" s="103">
        <v>0.08</v>
      </c>
    </row>
    <row r="365" spans="1:9" s="89" customFormat="1" x14ac:dyDescent="0.15">
      <c r="A365" s="100">
        <f>$A$353</f>
        <v>2</v>
      </c>
      <c r="B365" s="102" t="str">
        <f>$B$353</f>
        <v>Base Case</v>
      </c>
      <c r="E365" s="103">
        <v>8.5000000000000006E-2</v>
      </c>
      <c r="F365" s="103">
        <v>8.5000000000000006E-2</v>
      </c>
      <c r="G365" s="103">
        <v>8.5000000000000006E-2</v>
      </c>
      <c r="H365" s="103">
        <v>8.5000000000000006E-2</v>
      </c>
      <c r="I365" s="103">
        <v>8.5000000000000006E-2</v>
      </c>
    </row>
    <row r="366" spans="1:9" s="89" customFormat="1" x14ac:dyDescent="0.15">
      <c r="A366" s="100">
        <f>$A$354</f>
        <v>3</v>
      </c>
      <c r="B366" s="102" t="str">
        <f>$B$354</f>
        <v>Downside Case</v>
      </c>
      <c r="E366" s="103">
        <v>0.08</v>
      </c>
      <c r="F366" s="103">
        <v>8.5000000000000006E-2</v>
      </c>
      <c r="G366" s="103">
        <v>0.09</v>
      </c>
      <c r="H366" s="103">
        <v>0.09</v>
      </c>
      <c r="I366" s="103">
        <v>0.09</v>
      </c>
    </row>
    <row r="367" spans="1:9" s="89" customFormat="1" x14ac:dyDescent="0.15">
      <c r="A367" s="104">
        <f ca="1">OFFSET(A363,opcase,0)</f>
        <v>1</v>
      </c>
      <c r="B367" s="101" t="str">
        <f t="shared" ref="B367:I367" ca="1" si="75">OFFSET(B363,opcase,0)</f>
        <v>Management Case</v>
      </c>
      <c r="E367" s="105">
        <f t="shared" ca="1" si="75"/>
        <v>0.08</v>
      </c>
      <c r="F367" s="105">
        <f t="shared" ca="1" si="75"/>
        <v>0.08</v>
      </c>
      <c r="G367" s="105">
        <f t="shared" ca="1" si="75"/>
        <v>0.08</v>
      </c>
      <c r="H367" s="105">
        <f t="shared" ca="1" si="75"/>
        <v>0.08</v>
      </c>
      <c r="I367" s="105">
        <f t="shared" ca="1" si="75"/>
        <v>0.08</v>
      </c>
    </row>
    <row r="368" spans="1:9" s="89" customFormat="1" x14ac:dyDescent="0.15">
      <c r="A368" s="98"/>
    </row>
    <row r="369" spans="1:9" s="89" customFormat="1" x14ac:dyDescent="0.15">
      <c r="A369" s="96" t="s">
        <v>130</v>
      </c>
      <c r="E369" s="97">
        <f>E$54</f>
        <v>2000</v>
      </c>
      <c r="F369" s="97">
        <f>F$54</f>
        <v>2001</v>
      </c>
      <c r="G369" s="97">
        <f>G$54</f>
        <v>2002</v>
      </c>
      <c r="H369" s="97">
        <f>H$54</f>
        <v>2003</v>
      </c>
      <c r="I369" s="97">
        <f>I$54</f>
        <v>2004</v>
      </c>
    </row>
    <row r="370" spans="1:9" s="89" customFormat="1" x14ac:dyDescent="0.15">
      <c r="A370" s="100">
        <f>$A$352</f>
        <v>1</v>
      </c>
      <c r="B370" s="102" t="str">
        <f>$B$352</f>
        <v>Management Case</v>
      </c>
      <c r="E370" s="85">
        <v>2</v>
      </c>
      <c r="F370" s="85">
        <v>2</v>
      </c>
      <c r="G370" s="85">
        <v>2</v>
      </c>
      <c r="H370" s="85">
        <v>2</v>
      </c>
      <c r="I370" s="85">
        <v>2</v>
      </c>
    </row>
    <row r="371" spans="1:9" s="89" customFormat="1" x14ac:dyDescent="0.15">
      <c r="A371" s="100">
        <f>$A$353</f>
        <v>2</v>
      </c>
      <c r="B371" s="102" t="str">
        <f>$B$353</f>
        <v>Base Case</v>
      </c>
      <c r="E371" s="85">
        <v>2.5</v>
      </c>
      <c r="F371" s="85">
        <v>2.5</v>
      </c>
      <c r="G371" s="85">
        <v>2.5</v>
      </c>
      <c r="H371" s="85">
        <v>2.5</v>
      </c>
      <c r="I371" s="85">
        <v>2.5</v>
      </c>
    </row>
    <row r="372" spans="1:9" s="89" customFormat="1" x14ac:dyDescent="0.15">
      <c r="A372" s="100">
        <f>$A$354</f>
        <v>3</v>
      </c>
      <c r="B372" s="102" t="str">
        <f>$B$354</f>
        <v>Downside Case</v>
      </c>
      <c r="E372" s="85">
        <v>2.5</v>
      </c>
      <c r="F372" s="85">
        <v>3</v>
      </c>
      <c r="G372" s="85">
        <v>3</v>
      </c>
      <c r="H372" s="85">
        <v>3</v>
      </c>
      <c r="I372" s="85">
        <v>3</v>
      </c>
    </row>
    <row r="373" spans="1:9" s="89" customFormat="1" x14ac:dyDescent="0.15">
      <c r="A373" s="104">
        <f ca="1">OFFSET(A369,opcase,0)</f>
        <v>1</v>
      </c>
      <c r="B373" s="101" t="str">
        <f t="shared" ref="B373:I373" ca="1" si="76">OFFSET(B369,opcase,0)</f>
        <v>Management Case</v>
      </c>
      <c r="E373" s="106">
        <f t="shared" ca="1" si="76"/>
        <v>2</v>
      </c>
      <c r="F373" s="106">
        <f t="shared" ca="1" si="76"/>
        <v>2</v>
      </c>
      <c r="G373" s="106">
        <f t="shared" ca="1" si="76"/>
        <v>2</v>
      </c>
      <c r="H373" s="106">
        <f t="shared" ca="1" si="76"/>
        <v>2</v>
      </c>
      <c r="I373" s="106">
        <f t="shared" ca="1" si="76"/>
        <v>2</v>
      </c>
    </row>
    <row r="374" spans="1:9" s="89" customFormat="1" x14ac:dyDescent="0.15">
      <c r="A374" s="98"/>
    </row>
    <row r="375" spans="1:9" s="95" customFormat="1" ht="18" x14ac:dyDescent="0.2">
      <c r="A375" s="94" t="s">
        <v>156</v>
      </c>
    </row>
    <row r="376" spans="1:9" s="89" customFormat="1" x14ac:dyDescent="0.15"/>
    <row r="377" spans="1:9" s="166" customFormat="1" x14ac:dyDescent="0.15">
      <c r="A377" s="89"/>
      <c r="B377" s="89"/>
      <c r="C377" s="89"/>
      <c r="D377" s="89"/>
      <c r="E377" s="89"/>
      <c r="F377" s="89"/>
      <c r="G377" s="89"/>
      <c r="H377" s="167" t="s">
        <v>157</v>
      </c>
    </row>
    <row r="378" spans="1:9" s="166" customFormat="1" x14ac:dyDescent="0.15">
      <c r="A378" s="168" t="s">
        <v>158</v>
      </c>
      <c r="B378" s="169"/>
      <c r="C378" s="170" t="s">
        <v>159</v>
      </c>
      <c r="D378" s="171">
        <v>1</v>
      </c>
      <c r="E378" s="172">
        <f>D378+1</f>
        <v>2</v>
      </c>
      <c r="F378" s="172">
        <f>E378+1</f>
        <v>3</v>
      </c>
      <c r="G378" s="172"/>
      <c r="H378" s="172">
        <f ca="1">OFFSET(C378,0,transcase)</f>
        <v>2</v>
      </c>
    </row>
    <row r="379" spans="1:9" s="166" customFormat="1" x14ac:dyDescent="0.15">
      <c r="A379" s="89"/>
      <c r="B379" s="89"/>
      <c r="C379" s="173"/>
      <c r="D379" s="89"/>
      <c r="E379" s="89"/>
      <c r="F379" s="89"/>
      <c r="G379" s="89"/>
      <c r="H379" s="89"/>
    </row>
    <row r="380" spans="1:9" s="166" customFormat="1" ht="104" x14ac:dyDescent="0.15">
      <c r="A380" s="174" t="s">
        <v>160</v>
      </c>
      <c r="B380" s="175"/>
      <c r="C380" s="176" t="s">
        <v>159</v>
      </c>
      <c r="D380" s="174" t="s">
        <v>161</v>
      </c>
      <c r="E380" s="189" t="str">
        <f>"Refinance w/ $"&amp;FIXED(E385,1,0)&amp;" Term Loan, $"&amp;FIXED(E386,1,0)&amp;" High Yield"</f>
        <v>Refinance w/ $30.0 Term Loan, $70.0 High Yield</v>
      </c>
      <c r="F380" s="189" t="str">
        <f>"Refinance w/ $"&amp;FIXED(F385,1,0)&amp;" Term Loan, $"&amp;FIXED(F386,1,0)&amp;" High Yield"</f>
        <v>Refinance w/ $0.0 Term Loan, $100.0 High Yield</v>
      </c>
      <c r="G380" s="177"/>
      <c r="H380" s="194" t="str">
        <f ca="1">OFFSET(C380,0,transcase)</f>
        <v>Refinance w/ $30.0 Term Loan, $70.0 High Yield</v>
      </c>
    </row>
    <row r="381" spans="1:9" s="166" customFormat="1" x14ac:dyDescent="0.15">
      <c r="A381" s="89"/>
      <c r="B381" s="89"/>
      <c r="C381" s="89"/>
      <c r="D381" s="89"/>
      <c r="E381" s="89"/>
      <c r="F381" s="89"/>
      <c r="G381" s="89"/>
      <c r="H381" s="89"/>
    </row>
    <row r="382" spans="1:9" s="166" customFormat="1" x14ac:dyDescent="0.15">
      <c r="A382" s="178" t="s">
        <v>162</v>
      </c>
      <c r="B382" s="89"/>
      <c r="C382" s="179"/>
      <c r="D382" s="89"/>
      <c r="E382" s="89"/>
      <c r="F382" s="89"/>
      <c r="G382" s="89"/>
      <c r="H382" s="89"/>
    </row>
    <row r="383" spans="1:9" s="166" customFormat="1" x14ac:dyDescent="0.15">
      <c r="A383" s="85" t="s">
        <v>163</v>
      </c>
      <c r="B383" s="89"/>
      <c r="C383" s="170" t="s">
        <v>159</v>
      </c>
      <c r="D383" s="85">
        <v>0</v>
      </c>
      <c r="E383" s="85">
        <v>0</v>
      </c>
      <c r="F383" s="85">
        <v>0</v>
      </c>
      <c r="G383" s="85"/>
      <c r="H383" s="169">
        <f ca="1">OFFSET(C383,0,transcase)</f>
        <v>0</v>
      </c>
    </row>
    <row r="384" spans="1:9" s="166" customFormat="1" x14ac:dyDescent="0.15">
      <c r="A384" s="85" t="s">
        <v>164</v>
      </c>
      <c r="B384" s="89"/>
      <c r="C384" s="170" t="s">
        <v>159</v>
      </c>
      <c r="D384" s="85">
        <v>0</v>
      </c>
      <c r="E384" s="85">
        <v>0</v>
      </c>
      <c r="F384" s="85">
        <v>0</v>
      </c>
      <c r="G384" s="85"/>
      <c r="H384" s="169">
        <f ca="1">OFFSET(C384,0,transcase)</f>
        <v>0</v>
      </c>
    </row>
    <row r="385" spans="1:8" s="166" customFormat="1" x14ac:dyDescent="0.15">
      <c r="A385" s="85" t="s">
        <v>165</v>
      </c>
      <c r="B385" s="89"/>
      <c r="C385" s="170" t="s">
        <v>159</v>
      </c>
      <c r="D385" s="85">
        <v>0</v>
      </c>
      <c r="E385" s="85">
        <v>30</v>
      </c>
      <c r="F385" s="85">
        <v>0</v>
      </c>
      <c r="G385" s="85"/>
      <c r="H385" s="169">
        <f ca="1">OFFSET(C385,0,transcase)</f>
        <v>30</v>
      </c>
    </row>
    <row r="386" spans="1:8" s="166" customFormat="1" x14ac:dyDescent="0.15">
      <c r="A386" s="85" t="s">
        <v>166</v>
      </c>
      <c r="B386" s="89"/>
      <c r="C386" s="170" t="s">
        <v>159</v>
      </c>
      <c r="D386" s="85">
        <v>0</v>
      </c>
      <c r="E386" s="85">
        <v>70</v>
      </c>
      <c r="F386" s="85">
        <v>100</v>
      </c>
      <c r="G386" s="85"/>
      <c r="H386" s="169">
        <f ca="1">OFFSET(C386,0,transcase)</f>
        <v>70</v>
      </c>
    </row>
    <row r="387" spans="1:8" s="166" customFormat="1" x14ac:dyDescent="0.15">
      <c r="A387" s="89"/>
      <c r="B387" s="89"/>
      <c r="C387" s="173"/>
      <c r="D387" s="180" t="s">
        <v>23</v>
      </c>
      <c r="E387" s="181" t="s">
        <v>23</v>
      </c>
      <c r="F387" s="181" t="s">
        <v>23</v>
      </c>
      <c r="G387" s="181"/>
      <c r="H387" s="181" t="s">
        <v>23</v>
      </c>
    </row>
    <row r="388" spans="1:8" s="166" customFormat="1" x14ac:dyDescent="0.15">
      <c r="A388" s="178" t="s">
        <v>167</v>
      </c>
      <c r="B388" s="169"/>
      <c r="C388" s="170"/>
      <c r="D388" s="182">
        <f>SUM(D383:D387)</f>
        <v>0</v>
      </c>
      <c r="E388" s="182">
        <f>SUM(E383:E387)</f>
        <v>100</v>
      </c>
      <c r="F388" s="182">
        <f>SUM(F383:F387)</f>
        <v>100</v>
      </c>
      <c r="G388" s="182"/>
      <c r="H388" s="182">
        <f ca="1">SUM(H383:H387)</f>
        <v>100</v>
      </c>
    </row>
    <row r="389" spans="1:8" s="166" customFormat="1" x14ac:dyDescent="0.15">
      <c r="A389" s="89"/>
      <c r="B389" s="89"/>
      <c r="C389" s="173"/>
      <c r="D389" s="89"/>
      <c r="E389" s="89"/>
      <c r="F389" s="89"/>
      <c r="G389" s="89"/>
      <c r="H389" s="89"/>
    </row>
    <row r="390" spans="1:8" s="166" customFormat="1" x14ac:dyDescent="0.15">
      <c r="A390" s="178" t="s">
        <v>168</v>
      </c>
      <c r="B390" s="89"/>
      <c r="C390" s="170"/>
      <c r="D390" s="89"/>
      <c r="E390" s="89"/>
      <c r="F390" s="89"/>
      <c r="G390" s="89"/>
      <c r="H390" s="89"/>
    </row>
    <row r="391" spans="1:8" s="166" customFormat="1" x14ac:dyDescent="0.15">
      <c r="A391" s="85" t="s">
        <v>169</v>
      </c>
      <c r="B391" s="89"/>
      <c r="C391" s="170" t="s">
        <v>159</v>
      </c>
      <c r="D391" s="85">
        <v>0</v>
      </c>
      <c r="E391" s="183">
        <v>10</v>
      </c>
      <c r="F391" s="183">
        <v>10</v>
      </c>
      <c r="G391" s="85"/>
      <c r="H391" s="193">
        <f t="shared" ref="H391:H396" ca="1" si="77">OFFSET(C391,0,transcase)</f>
        <v>10</v>
      </c>
    </row>
    <row r="392" spans="1:8" s="166" customFormat="1" x14ac:dyDescent="0.15">
      <c r="A392" s="85" t="s">
        <v>170</v>
      </c>
      <c r="B392" s="89"/>
      <c r="C392" s="170" t="s">
        <v>159</v>
      </c>
      <c r="D392" s="183">
        <v>0</v>
      </c>
      <c r="E392" s="191">
        <f>E388-SUM(E391,E393:E397)</f>
        <v>87.15</v>
      </c>
      <c r="F392" s="191">
        <f>F388-SUM(F391,F393:F397)</f>
        <v>87</v>
      </c>
      <c r="G392" s="184"/>
      <c r="H392" s="193">
        <f t="shared" ca="1" si="77"/>
        <v>87.15</v>
      </c>
    </row>
    <row r="393" spans="1:8" s="166" customFormat="1" x14ac:dyDescent="0.15">
      <c r="A393" s="85" t="s">
        <v>171</v>
      </c>
      <c r="B393" s="89"/>
      <c r="C393" s="170" t="s">
        <v>159</v>
      </c>
      <c r="D393" s="85">
        <v>0</v>
      </c>
      <c r="E393" s="85">
        <v>0</v>
      </c>
      <c r="F393" s="85">
        <v>0</v>
      </c>
      <c r="G393" s="102"/>
      <c r="H393" s="193">
        <f t="shared" ca="1" si="77"/>
        <v>0</v>
      </c>
    </row>
    <row r="394" spans="1:8" s="166" customFormat="1" x14ac:dyDescent="0.15">
      <c r="A394" s="85" t="s">
        <v>172</v>
      </c>
      <c r="B394" s="89"/>
      <c r="C394" s="170" t="s">
        <v>159</v>
      </c>
      <c r="D394" s="85">
        <v>0</v>
      </c>
      <c r="E394" s="85">
        <v>0</v>
      </c>
      <c r="F394" s="85">
        <v>0</v>
      </c>
      <c r="G394" s="85"/>
      <c r="H394" s="193">
        <f t="shared" ca="1" si="77"/>
        <v>0</v>
      </c>
    </row>
    <row r="395" spans="1:8" s="166" customFormat="1" x14ac:dyDescent="0.15">
      <c r="A395" s="85" t="s">
        <v>173</v>
      </c>
      <c r="B395" s="89"/>
      <c r="C395" s="170" t="s">
        <v>159</v>
      </c>
      <c r="D395" s="183">
        <v>0</v>
      </c>
      <c r="E395" s="191">
        <f>E403*E385</f>
        <v>0.75</v>
      </c>
      <c r="F395" s="191">
        <f>F403*F385</f>
        <v>0</v>
      </c>
      <c r="G395" s="102"/>
      <c r="H395" s="193">
        <f t="shared" ca="1" si="77"/>
        <v>0.75</v>
      </c>
    </row>
    <row r="396" spans="1:8" s="166" customFormat="1" x14ac:dyDescent="0.15">
      <c r="A396" s="85" t="s">
        <v>174</v>
      </c>
      <c r="B396" s="89"/>
      <c r="C396" s="170" t="s">
        <v>159</v>
      </c>
      <c r="D396" s="183">
        <v>0</v>
      </c>
      <c r="E396" s="191">
        <f>E404*E386</f>
        <v>2.1</v>
      </c>
      <c r="F396" s="191">
        <f>F404*F386</f>
        <v>3</v>
      </c>
      <c r="G396" s="102"/>
      <c r="H396" s="193">
        <f t="shared" ca="1" si="77"/>
        <v>2.1</v>
      </c>
    </row>
    <row r="397" spans="1:8" s="166" customFormat="1" x14ac:dyDescent="0.15">
      <c r="A397" s="89"/>
      <c r="B397" s="89"/>
      <c r="C397" s="89"/>
      <c r="D397" s="180" t="s">
        <v>23</v>
      </c>
      <c r="E397" s="181" t="s">
        <v>23</v>
      </c>
      <c r="F397" s="181" t="s">
        <v>23</v>
      </c>
      <c r="G397" s="181"/>
      <c r="H397" s="181" t="s">
        <v>23</v>
      </c>
    </row>
    <row r="398" spans="1:8" s="166" customFormat="1" x14ac:dyDescent="0.15">
      <c r="A398" s="178" t="s">
        <v>175</v>
      </c>
      <c r="B398" s="89"/>
      <c r="C398" s="179"/>
      <c r="D398" s="182">
        <f>SUM(D391:D397)</f>
        <v>0</v>
      </c>
      <c r="E398" s="182">
        <f>SUM(E391:E397)</f>
        <v>100</v>
      </c>
      <c r="F398" s="182">
        <f>SUM(F391:F397)</f>
        <v>100</v>
      </c>
      <c r="G398" s="182"/>
      <c r="H398" s="182">
        <f ca="1">SUM(H391:H397)</f>
        <v>100</v>
      </c>
    </row>
    <row r="399" spans="1:8" s="166" customFormat="1" x14ac:dyDescent="0.15">
      <c r="A399" s="89"/>
      <c r="B399" s="89"/>
      <c r="C399" s="89"/>
      <c r="D399" s="89"/>
      <c r="E399" s="89"/>
      <c r="F399" s="89"/>
      <c r="G399" s="89"/>
      <c r="H399" s="89"/>
    </row>
    <row r="400" spans="1:8" s="166" customFormat="1" x14ac:dyDescent="0.15">
      <c r="A400" s="185" t="s">
        <v>176</v>
      </c>
      <c r="B400" s="186"/>
      <c r="C400" s="186"/>
      <c r="D400" s="190">
        <f>ABS(D388-D398)</f>
        <v>0</v>
      </c>
      <c r="E400" s="190">
        <f>ABS(E388-E398)</f>
        <v>0</v>
      </c>
      <c r="F400" s="190">
        <f>ABS(F388-F398)</f>
        <v>0</v>
      </c>
      <c r="G400" s="187"/>
      <c r="H400" s="190">
        <f ca="1">ABS(H388-H398)</f>
        <v>0</v>
      </c>
    </row>
    <row r="401" spans="1:8" s="166" customFormat="1" x14ac:dyDescent="0.15">
      <c r="A401" s="89"/>
      <c r="B401" s="89"/>
      <c r="C401" s="89"/>
      <c r="D401" s="89"/>
      <c r="E401" s="89"/>
      <c r="F401" s="89"/>
      <c r="G401" s="89"/>
      <c r="H401" s="89"/>
    </row>
    <row r="402" spans="1:8" s="166" customFormat="1" x14ac:dyDescent="0.15">
      <c r="A402" s="178" t="s">
        <v>177</v>
      </c>
      <c r="B402" s="89"/>
      <c r="C402" s="89"/>
      <c r="D402" s="89"/>
      <c r="E402" s="89"/>
      <c r="F402" s="89"/>
      <c r="G402" s="89"/>
      <c r="H402" s="89"/>
    </row>
    <row r="403" spans="1:8" s="166" customFormat="1" x14ac:dyDescent="0.15">
      <c r="A403" s="85" t="s">
        <v>178</v>
      </c>
      <c r="B403" s="89"/>
      <c r="C403" s="89"/>
      <c r="D403" s="99">
        <v>2.5000000000000001E-2</v>
      </c>
      <c r="E403" s="99">
        <v>2.5000000000000001E-2</v>
      </c>
      <c r="F403" s="99">
        <v>2.5000000000000001E-2</v>
      </c>
      <c r="G403" s="103"/>
      <c r="H403" s="192">
        <f ca="1">OFFSET(C403,0,transcase)</f>
        <v>2.5000000000000001E-2</v>
      </c>
    </row>
    <row r="404" spans="1:8" s="166" customFormat="1" x14ac:dyDescent="0.15">
      <c r="A404" s="85" t="s">
        <v>179</v>
      </c>
      <c r="B404" s="89"/>
      <c r="C404" s="89"/>
      <c r="D404" s="99">
        <v>0.03</v>
      </c>
      <c r="E404" s="99">
        <v>0.03</v>
      </c>
      <c r="F404" s="99">
        <v>0.03</v>
      </c>
      <c r="G404" s="103"/>
      <c r="H404" s="192">
        <f ca="1">OFFSET(C404,0,transcase)</f>
        <v>0.03</v>
      </c>
    </row>
    <row r="405" spans="1:8" s="166" customFormat="1" x14ac:dyDescent="0.15">
      <c r="A405" s="103" t="s">
        <v>180</v>
      </c>
      <c r="B405" s="188"/>
      <c r="C405" s="188"/>
      <c r="D405" s="99">
        <v>8.5000000000000006E-2</v>
      </c>
      <c r="E405" s="99">
        <v>8.5000000000000006E-2</v>
      </c>
      <c r="F405" s="99">
        <v>8.5000000000000006E-2</v>
      </c>
      <c r="G405" s="103"/>
      <c r="H405" s="192">
        <f ca="1">OFFSET(C405,0,transcase)</f>
        <v>8.5000000000000006E-2</v>
      </c>
    </row>
    <row r="406" spans="1:8" s="166" customFormat="1" x14ac:dyDescent="0.15">
      <c r="A406" s="103" t="s">
        <v>181</v>
      </c>
      <c r="B406" s="188"/>
      <c r="C406" s="188"/>
      <c r="D406" s="99">
        <v>0.11</v>
      </c>
      <c r="E406" s="99">
        <v>0.11</v>
      </c>
      <c r="F406" s="99">
        <v>0.115</v>
      </c>
      <c r="G406" s="103"/>
      <c r="H406" s="192">
        <f ca="1">OFFSET(C406,0,transcase)</f>
        <v>0.11</v>
      </c>
    </row>
    <row r="407" spans="1:8" s="166" customFormat="1" x14ac:dyDescent="0.15"/>
    <row r="408" spans="1:8" s="166" customFormat="1" x14ac:dyDescent="0.15"/>
    <row r="409" spans="1:8" s="166" customFormat="1" x14ac:dyDescent="0.15"/>
    <row r="410" spans="1:8" s="166" customFormat="1" x14ac:dyDescent="0.15"/>
  </sheetData>
  <phoneticPr fontId="0" type="noConversion"/>
  <conditionalFormatting sqref="D275:D277">
    <cfRule type="cellIs" dxfId="1" priority="1" stopIfTrue="1" operator="greaterThan">
      <formula>1</formula>
    </cfRule>
    <cfRule type="cellIs" dxfId="0" priority="2" stopIfTrue="1" operator="between">
      <formula>0.00001</formula>
      <formula>0.99999</formula>
    </cfRule>
  </conditionalFormatting>
  <pageMargins left="0.5" right="0.5" top="0.5" bottom="0.5" header="0.5" footer="0.5"/>
  <pageSetup scale="85" orientation="landscape"/>
  <headerFooter>
    <oddFooter>&amp;L© 1999-2002 by DealMaven, Inc.&amp;CPage &amp;P&amp;R&amp;F / &amp;D / &amp;T</oddFooter>
  </headerFooter>
  <rowBreaks count="7" manualBreakCount="7">
    <brk id="50" max="8" man="1"/>
    <brk id="91" max="8" man="1"/>
    <brk id="127" max="8" man="1"/>
    <brk id="167" max="8" man="1"/>
    <brk id="212" max="8" man="1"/>
    <brk id="256" max="16383" man="1"/>
    <brk id="297" max="8" man="1"/>
  </row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Projections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2017-06-05T21:56:56Z</dcterms:modified>
</cp:coreProperties>
</file>