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mc:AlternateContent xmlns:mc="http://schemas.openxmlformats.org/markup-compatibility/2006">
    <mc:Choice Requires="x15">
      <x15ac:absPath xmlns:x15ac="http://schemas.microsoft.com/office/spreadsheetml/2010/11/ac" url="https://ccgs-my.sharepoint.com/personal/1091560_student_ccgs_wa_edu_au/Documents/Computer Stuff/Desktop/folder/engineering studies/electromagneticMarbleMachine/simulation files/"/>
    </mc:Choice>
  </mc:AlternateContent>
  <xr:revisionPtr revIDLastSave="1097" documentId="8_{5BC93FA3-6DE5-462B-B897-51A886D8D6FF}" xr6:coauthVersionLast="47" xr6:coauthVersionMax="47" xr10:uidLastSave="{2CB6FB3F-A997-4708-9923-9AAED351A33D}"/>
  <bookViews>
    <workbookView minimized="1" xWindow="2610" yWindow="1545" windowWidth="14483" windowHeight="10020" xr2:uid="{CF256258-7E9F-4B12-B871-A8C1829CDE4F}"/>
  </bookViews>
  <sheets>
    <sheet name="femm simula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" i="1" l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23" i="1"/>
  <c r="H20" i="1"/>
  <c r="H21" i="1" s="1"/>
  <c r="H22" i="1" s="1"/>
  <c r="J20" i="1"/>
  <c r="J21" i="1" s="1"/>
  <c r="J22" i="1" s="1"/>
  <c r="H18" i="1"/>
  <c r="H9" i="1"/>
  <c r="J9" i="1"/>
  <c r="H10" i="1"/>
  <c r="J10" i="1"/>
  <c r="W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  <c r="J4" i="1"/>
  <c r="J7" i="1" s="1"/>
  <c r="H4" i="1"/>
  <c r="H5" i="1" s="1"/>
  <c r="H6" i="1" s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C4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J23" i="1" l="1"/>
  <c r="H23" i="1"/>
  <c r="J13" i="1"/>
  <c r="H13" i="1"/>
  <c r="W24" i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E34" i="1"/>
  <c r="J16" i="1" s="1"/>
  <c r="C34" i="1"/>
  <c r="J5" i="1"/>
  <c r="J6" i="1" s="1"/>
  <c r="H7" i="1"/>
  <c r="H16" i="1" l="1"/>
  <c r="H15" i="1" s="1"/>
  <c r="J11" i="1"/>
  <c r="J17" i="1" s="1"/>
  <c r="H12" i="1"/>
  <c r="H17" i="1" l="1"/>
  <c r="J12" i="1"/>
  <c r="J18" i="1" s="1"/>
  <c r="J15" i="1"/>
  <c r="S5" i="1"/>
  <c r="T5" i="1" s="1"/>
  <c r="S21" i="1"/>
  <c r="T21" i="1" s="1"/>
  <c r="S37" i="1"/>
  <c r="T37" i="1" s="1"/>
  <c r="S53" i="1"/>
  <c r="T53" i="1" s="1"/>
  <c r="S6" i="1"/>
  <c r="T6" i="1" s="1"/>
  <c r="S22" i="1"/>
  <c r="T22" i="1" s="1"/>
  <c r="S38" i="1"/>
  <c r="T38" i="1" s="1"/>
  <c r="S54" i="1"/>
  <c r="T54" i="1" s="1"/>
  <c r="S7" i="1"/>
  <c r="T7" i="1" s="1"/>
  <c r="S4" i="1"/>
  <c r="T4" i="1" s="1"/>
  <c r="S24" i="1"/>
  <c r="T24" i="1" s="1"/>
  <c r="S9" i="1"/>
  <c r="T9" i="1" s="1"/>
  <c r="S10" i="1"/>
  <c r="T10" i="1" s="1"/>
  <c r="S26" i="1"/>
  <c r="T26" i="1" s="1"/>
  <c r="S42" i="1"/>
  <c r="T42" i="1" s="1"/>
  <c r="S31" i="1"/>
  <c r="T31" i="1" s="1"/>
  <c r="S11" i="1"/>
  <c r="T11" i="1" s="1"/>
  <c r="S27" i="1"/>
  <c r="T27" i="1" s="1"/>
  <c r="S43" i="1"/>
  <c r="T43" i="1" s="1"/>
  <c r="S29" i="1"/>
  <c r="T29" i="1" s="1"/>
  <c r="S45" i="1"/>
  <c r="T45" i="1" s="1"/>
  <c r="S30" i="1"/>
  <c r="T30" i="1" s="1"/>
  <c r="S25" i="1"/>
  <c r="T25" i="1" s="1"/>
  <c r="S12" i="1"/>
  <c r="T12" i="1" s="1"/>
  <c r="S28" i="1"/>
  <c r="T28" i="1" s="1"/>
  <c r="S44" i="1"/>
  <c r="T44" i="1" s="1"/>
  <c r="S13" i="1"/>
  <c r="T13" i="1" s="1"/>
  <c r="S14" i="1"/>
  <c r="T14" i="1" s="1"/>
  <c r="S46" i="1"/>
  <c r="T46" i="1" s="1"/>
  <c r="S15" i="1"/>
  <c r="T15" i="1" s="1"/>
  <c r="S47" i="1"/>
  <c r="T47" i="1" s="1"/>
  <c r="S41" i="1"/>
  <c r="T41" i="1" s="1"/>
  <c r="S16" i="1"/>
  <c r="T16" i="1" s="1"/>
  <c r="S32" i="1"/>
  <c r="T32" i="1" s="1"/>
  <c r="S48" i="1"/>
  <c r="T48" i="1" s="1"/>
  <c r="S17" i="1"/>
  <c r="T17" i="1" s="1"/>
  <c r="S33" i="1"/>
  <c r="T33" i="1" s="1"/>
  <c r="S49" i="1"/>
  <c r="T49" i="1" s="1"/>
  <c r="S23" i="1"/>
  <c r="T23" i="1" s="1"/>
  <c r="S40" i="1"/>
  <c r="T40" i="1" s="1"/>
  <c r="S18" i="1"/>
  <c r="T18" i="1" s="1"/>
  <c r="S34" i="1"/>
  <c r="T34" i="1" s="1"/>
  <c r="S50" i="1"/>
  <c r="T50" i="1" s="1"/>
  <c r="S36" i="1"/>
  <c r="T36" i="1" s="1"/>
  <c r="S52" i="1"/>
  <c r="T52" i="1" s="1"/>
  <c r="S39" i="1"/>
  <c r="T39" i="1" s="1"/>
  <c r="S8" i="1"/>
  <c r="T8" i="1" s="1"/>
  <c r="S19" i="1"/>
  <c r="T19" i="1" s="1"/>
  <c r="S35" i="1"/>
  <c r="T35" i="1" s="1"/>
  <c r="S51" i="1"/>
  <c r="T51" i="1" s="1"/>
  <c r="S20" i="1"/>
  <c r="T20" i="1" s="1"/>
  <c r="H11" i="1"/>
  <c r="P5" i="1" l="1"/>
  <c r="Q5" i="1" s="1"/>
  <c r="P21" i="1"/>
  <c r="Q21" i="1" s="1"/>
  <c r="P37" i="1"/>
  <c r="Q37" i="1" s="1"/>
  <c r="P53" i="1"/>
  <c r="Q53" i="1" s="1"/>
  <c r="P6" i="1"/>
  <c r="Q6" i="1" s="1"/>
  <c r="P22" i="1"/>
  <c r="Q22" i="1" s="1"/>
  <c r="P38" i="1"/>
  <c r="Q38" i="1" s="1"/>
  <c r="P54" i="1"/>
  <c r="Q54" i="1" s="1"/>
  <c r="P23" i="1"/>
  <c r="Q23" i="1" s="1"/>
  <c r="P8" i="1"/>
  <c r="Q8" i="1" s="1"/>
  <c r="P10" i="1"/>
  <c r="Q10" i="1" s="1"/>
  <c r="P26" i="1"/>
  <c r="Q26" i="1" s="1"/>
  <c r="P42" i="1"/>
  <c r="Q42" i="1" s="1"/>
  <c r="P9" i="1"/>
  <c r="Q9" i="1" s="1"/>
  <c r="P11" i="1"/>
  <c r="Q11" i="1" s="1"/>
  <c r="P27" i="1"/>
  <c r="Q27" i="1" s="1"/>
  <c r="P43" i="1"/>
  <c r="Q43" i="1" s="1"/>
  <c r="P29" i="1"/>
  <c r="Q29" i="1" s="1"/>
  <c r="P14" i="1"/>
  <c r="Q14" i="1" s="1"/>
  <c r="P46" i="1"/>
  <c r="Q46" i="1" s="1"/>
  <c r="P47" i="1"/>
  <c r="Q47" i="1" s="1"/>
  <c r="P12" i="1"/>
  <c r="Q12" i="1" s="1"/>
  <c r="P28" i="1"/>
  <c r="Q28" i="1" s="1"/>
  <c r="P44" i="1"/>
  <c r="Q44" i="1" s="1"/>
  <c r="P13" i="1"/>
  <c r="Q13" i="1" s="1"/>
  <c r="P45" i="1"/>
  <c r="Q45" i="1" s="1"/>
  <c r="P30" i="1"/>
  <c r="Q30" i="1" s="1"/>
  <c r="P15" i="1"/>
  <c r="Q15" i="1" s="1"/>
  <c r="P31" i="1"/>
  <c r="Q31" i="1" s="1"/>
  <c r="P16" i="1"/>
  <c r="Q16" i="1" s="1"/>
  <c r="P32" i="1"/>
  <c r="Q32" i="1" s="1"/>
  <c r="P48" i="1"/>
  <c r="Q48" i="1" s="1"/>
  <c r="P17" i="1"/>
  <c r="Q17" i="1" s="1"/>
  <c r="P33" i="1"/>
  <c r="Q33" i="1" s="1"/>
  <c r="P49" i="1"/>
  <c r="Q49" i="1" s="1"/>
  <c r="P4" i="1"/>
  <c r="Q4" i="1" s="1"/>
  <c r="P40" i="1"/>
  <c r="Q40" i="1" s="1"/>
  <c r="P41" i="1"/>
  <c r="Q41" i="1" s="1"/>
  <c r="P18" i="1"/>
  <c r="Q18" i="1" s="1"/>
  <c r="P34" i="1"/>
  <c r="Q34" i="1" s="1"/>
  <c r="P50" i="1"/>
  <c r="Q50" i="1" s="1"/>
  <c r="P20" i="1"/>
  <c r="Q20" i="1" s="1"/>
  <c r="P36" i="1"/>
  <c r="Q36" i="1" s="1"/>
  <c r="P52" i="1"/>
  <c r="Q52" i="1" s="1"/>
  <c r="P7" i="1"/>
  <c r="Q7" i="1" s="1"/>
  <c r="P39" i="1"/>
  <c r="Q39" i="1" s="1"/>
  <c r="P24" i="1"/>
  <c r="Q24" i="1" s="1"/>
  <c r="P25" i="1"/>
  <c r="Q25" i="1" s="1"/>
  <c r="P19" i="1"/>
  <c r="Q19" i="1" s="1"/>
  <c r="P35" i="1"/>
  <c r="Q35" i="1" s="1"/>
  <c r="P51" i="1"/>
  <c r="Q51" i="1" s="1"/>
</calcChain>
</file>

<file path=xl/sharedStrings.xml><?xml version="1.0" encoding="utf-8"?>
<sst xmlns="http://schemas.openxmlformats.org/spreadsheetml/2006/main" count="72" uniqueCount="33">
  <si>
    <t>FEMM model output</t>
  </si>
  <si>
    <t>FEMM model calculations</t>
  </si>
  <si>
    <t>constants</t>
  </si>
  <si>
    <t>velocity vs voltage for coils @ 680uF</t>
  </si>
  <si>
    <t>50-turn 1.6mm coil</t>
  </si>
  <si>
    <t>40-turn 2.0mm coil</t>
  </si>
  <si>
    <t>440V 50-turn 1.6mm coil</t>
  </si>
  <si>
    <t>440V 40-turn 2.0mm coil</t>
  </si>
  <si>
    <t>mass (g)</t>
  </si>
  <si>
    <t>distance (m)</t>
  </si>
  <si>
    <t>force (N)</t>
  </si>
  <si>
    <t>integral (J)</t>
  </si>
  <si>
    <t>estimated outputs</t>
  </si>
  <si>
    <t>capacitance (uF)</t>
  </si>
  <si>
    <t>voltage (V)</t>
  </si>
  <si>
    <r>
      <t xml:space="preserve">velocity </t>
    </r>
    <r>
      <rPr>
        <b/>
        <sz val="10"/>
        <color theme="0"/>
        <rFont val="Calibri"/>
        <family val="2"/>
      </rPr>
      <t>(ms</t>
    </r>
    <r>
      <rPr>
        <b/>
        <vertAlign val="superscript"/>
        <sz val="10"/>
        <color theme="0"/>
        <rFont val="Calibri"/>
        <family val="2"/>
      </rPr>
      <t>-1</t>
    </r>
    <r>
      <rPr>
        <b/>
        <sz val="10"/>
        <color theme="0"/>
        <rFont val="Calibri"/>
        <family val="2"/>
      </rPr>
      <t>)</t>
    </r>
  </si>
  <si>
    <r>
      <t xml:space="preserve">velocity </t>
    </r>
    <r>
      <rPr>
        <b/>
        <sz val="9"/>
        <color theme="0"/>
        <rFont val="Calibri"/>
        <family val="2"/>
      </rPr>
      <t>(kmh</t>
    </r>
    <r>
      <rPr>
        <b/>
        <vertAlign val="superscript"/>
        <sz val="9"/>
        <color theme="0"/>
        <rFont val="Calibri"/>
        <family val="2"/>
      </rPr>
      <t>-1</t>
    </r>
    <r>
      <rPr>
        <b/>
        <sz val="9"/>
        <color theme="0"/>
        <rFont val="Calibri"/>
        <family val="2"/>
      </rPr>
      <t>)</t>
    </r>
  </si>
  <si>
    <t>energy</t>
  </si>
  <si>
    <r>
      <t>velocity (ms</t>
    </r>
    <r>
      <rPr>
        <b/>
        <vertAlign val="superscript"/>
        <sz val="10"/>
        <color theme="1"/>
        <rFont val="Calibri"/>
        <family val="2"/>
      </rPr>
      <t>-1</t>
    </r>
    <r>
      <rPr>
        <b/>
        <sz val="10"/>
        <color theme="1"/>
        <rFont val="Calibri"/>
        <family val="2"/>
      </rPr>
      <t>)</t>
    </r>
  </si>
  <si>
    <t>custom inputs</t>
  </si>
  <si>
    <r>
      <t>velocity (kmh</t>
    </r>
    <r>
      <rPr>
        <b/>
        <vertAlign val="superscript"/>
        <sz val="10"/>
        <color theme="1"/>
        <rFont val="Calibri"/>
        <family val="2"/>
      </rPr>
      <t>-1</t>
    </r>
    <r>
      <rPr>
        <b/>
        <sz val="10"/>
        <color theme="1"/>
        <rFont val="Calibri"/>
        <family val="2"/>
      </rPr>
      <t>)</t>
    </r>
  </si>
  <si>
    <t>height (m)</t>
  </si>
  <si>
    <t>single coil outputs</t>
  </si>
  <si>
    <t>energy (J)</t>
  </si>
  <si>
    <t>all coils have a winding length of 16mm</t>
  </si>
  <si>
    <t>integral of eq. = 0.5mv^2-0.5mu^2</t>
  </si>
  <si>
    <t>efficiency (%)</t>
  </si>
  <si>
    <t>5-coil outputs</t>
  </si>
  <si>
    <t>`</t>
  </si>
  <si>
    <t>custom input calculation</t>
  </si>
  <si>
    <r>
      <t>№</t>
    </r>
    <r>
      <rPr>
        <b/>
        <vertAlign val="subscript"/>
        <sz val="11"/>
        <color theme="0"/>
        <rFont val="Calibri"/>
        <family val="2"/>
      </rPr>
      <t xml:space="preserve"> </t>
    </r>
    <r>
      <rPr>
        <b/>
        <sz val="11"/>
        <color theme="0"/>
        <rFont val="Calibri"/>
        <family val="2"/>
      </rPr>
      <t>of coils vs muzzle velocity</t>
    </r>
  </si>
  <si>
    <t>№ of coils</t>
  </si>
  <si>
    <r>
      <t xml:space="preserve">velocity </t>
    </r>
    <r>
      <rPr>
        <b/>
        <sz val="10"/>
        <color theme="0"/>
        <rFont val="Calibri"/>
        <family val="2"/>
      </rPr>
      <t>(kmh</t>
    </r>
    <r>
      <rPr>
        <b/>
        <vertAlign val="superscript"/>
        <sz val="10"/>
        <color theme="0"/>
        <rFont val="Calibri"/>
        <family val="2"/>
      </rPr>
      <t>-1</t>
    </r>
    <r>
      <rPr>
        <b/>
        <sz val="10"/>
        <color theme="0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</si>
</sst>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0.0000"/>
    <numFmt numFmtId="166" formatCode="0.000000"/>
    <numFmt numFmtId="167" formatCode="0.0000000"/>
  </numFmts>
  <fonts count="14">
    <font>
      <sz val="11"/>
      <color theme="1"/>
      <name val="Aptos Narrow"/>
      <family val="2"/>
      <scheme val="minor"/>
    </font>
    <font>
      <sz val="11"/>
      <color rgb="FF0C0C0C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0"/>
      <color theme="1"/>
      <name val="Calibri"/>
      <family val="2"/>
    </font>
    <font>
      <b/>
      <vertAlign val="superscript"/>
      <sz val="10"/>
      <color theme="1"/>
      <name val="Calibri"/>
      <family val="2"/>
    </font>
    <font>
      <b/>
      <sz val="11"/>
      <color rgb="FF0C0C0C"/>
      <name val="Calibri"/>
      <family val="2"/>
    </font>
    <font>
      <b/>
      <sz val="10"/>
      <color theme="0"/>
      <name val="Calibri"/>
      <family val="2"/>
    </font>
    <font>
      <b/>
      <vertAlign val="superscript"/>
      <sz val="10"/>
      <color theme="0"/>
      <name val="Calibri"/>
      <family val="2"/>
    </font>
    <font>
      <b/>
      <sz val="12"/>
      <color theme="0"/>
      <name val="Calibri"/>
      <family val="2"/>
    </font>
    <font>
      <b/>
      <sz val="9"/>
      <color theme="0"/>
      <name val="Calibri"/>
      <family val="2"/>
    </font>
    <font>
      <b/>
      <vertAlign val="superscript"/>
      <sz val="9"/>
      <color theme="0"/>
      <name val="Calibri"/>
      <family val="2"/>
    </font>
    <font>
      <b/>
      <vertAlign val="subscript"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/>
    <xf numFmtId="11" fontId="3" fillId="0" borderId="0" xfId="0" applyNumberFormat="1" applyFont="1"/>
    <xf numFmtId="0" fontId="5" fillId="0" borderId="0" xfId="0" applyFont="1"/>
    <xf numFmtId="164" fontId="3" fillId="0" borderId="0" xfId="0" applyNumberFormat="1" applyFont="1"/>
    <xf numFmtId="0" fontId="5" fillId="0" borderId="3" xfId="0" applyFont="1" applyBorder="1"/>
    <xf numFmtId="164" fontId="3" fillId="0" borderId="5" xfId="0" applyNumberFormat="1" applyFont="1" applyBorder="1"/>
    <xf numFmtId="0" fontId="5" fillId="0" borderId="9" xfId="0" applyFont="1" applyBorder="1"/>
    <xf numFmtId="0" fontId="5" fillId="0" borderId="10" xfId="0" applyFont="1" applyBorder="1"/>
    <xf numFmtId="164" fontId="3" fillId="0" borderId="11" xfId="0" applyNumberFormat="1" applyFont="1" applyBorder="1"/>
    <xf numFmtId="0" fontId="5" fillId="0" borderId="12" xfId="0" applyFont="1" applyBorder="1"/>
    <xf numFmtId="0" fontId="2" fillId="4" borderId="0" xfId="0" applyFont="1" applyFill="1" applyAlignment="1">
      <alignment horizontal="center"/>
    </xf>
    <xf numFmtId="0" fontId="2" fillId="4" borderId="14" xfId="0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166" fontId="1" fillId="0" borderId="14" xfId="0" applyNumberFormat="1" applyFont="1" applyBorder="1" applyAlignment="1">
      <alignment horizontal="left" vertical="center"/>
    </xf>
    <xf numFmtId="165" fontId="3" fillId="0" borderId="17" xfId="0" applyNumberFormat="1" applyFont="1" applyBorder="1" applyAlignment="1">
      <alignment horizontal="left"/>
    </xf>
    <xf numFmtId="0" fontId="3" fillId="0" borderId="18" xfId="0" applyFont="1" applyBorder="1"/>
    <xf numFmtId="0" fontId="3" fillId="0" borderId="5" xfId="0" applyFont="1" applyBorder="1"/>
    <xf numFmtId="0" fontId="3" fillId="0" borderId="11" xfId="0" applyFont="1" applyBorder="1"/>
    <xf numFmtId="0" fontId="4" fillId="0" borderId="0" xfId="0" applyFont="1" applyAlignment="1">
      <alignment horizontal="center"/>
    </xf>
    <xf numFmtId="0" fontId="5" fillId="0" borderId="19" xfId="0" applyFont="1" applyBorder="1"/>
    <xf numFmtId="0" fontId="3" fillId="0" borderId="20" xfId="0" applyFont="1" applyBorder="1"/>
    <xf numFmtId="0" fontId="5" fillId="0" borderId="21" xfId="0" applyFont="1" applyBorder="1"/>
    <xf numFmtId="0" fontId="3" fillId="0" borderId="22" xfId="0" applyFont="1" applyBorder="1"/>
    <xf numFmtId="164" fontId="3" fillId="0" borderId="20" xfId="0" applyNumberFormat="1" applyFont="1" applyBorder="1"/>
    <xf numFmtId="0" fontId="5" fillId="0" borderId="8" xfId="0" applyFont="1" applyBorder="1"/>
    <xf numFmtId="164" fontId="3" fillId="0" borderId="8" xfId="0" applyNumberFormat="1" applyFont="1" applyBorder="1"/>
    <xf numFmtId="0" fontId="3" fillId="0" borderId="8" xfId="0" applyFont="1" applyBorder="1"/>
    <xf numFmtId="0" fontId="4" fillId="4" borderId="2" xfId="0" applyFont="1" applyFill="1" applyBorder="1" applyAlignment="1">
      <alignment horizontal="center"/>
    </xf>
    <xf numFmtId="165" fontId="3" fillId="0" borderId="2" xfId="0" applyNumberFormat="1" applyFont="1" applyBorder="1" applyAlignment="1">
      <alignment horizontal="left"/>
    </xf>
    <xf numFmtId="0" fontId="3" fillId="0" borderId="14" xfId="0" applyFont="1" applyBorder="1"/>
    <xf numFmtId="0" fontId="3" fillId="0" borderId="15" xfId="0" applyFont="1" applyBorder="1"/>
    <xf numFmtId="0" fontId="4" fillId="4" borderId="3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left"/>
    </xf>
    <xf numFmtId="165" fontId="1" fillId="0" borderId="5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65" fontId="3" fillId="0" borderId="26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166" fontId="1" fillId="0" borderId="31" xfId="0" applyNumberFormat="1" applyFont="1" applyBorder="1" applyAlignment="1">
      <alignment horizontal="left" vertical="center"/>
    </xf>
    <xf numFmtId="0" fontId="3" fillId="3" borderId="14" xfId="0" applyFont="1" applyFill="1" applyBorder="1"/>
    <xf numFmtId="0" fontId="3" fillId="3" borderId="24" xfId="0" applyFont="1" applyFill="1" applyBorder="1"/>
    <xf numFmtId="0" fontId="3" fillId="5" borderId="32" xfId="0" applyFont="1" applyFill="1" applyBorder="1"/>
    <xf numFmtId="0" fontId="2" fillId="4" borderId="22" xfId="0" applyFont="1" applyFill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166" fontId="7" fillId="0" borderId="31" xfId="0" applyNumberFormat="1" applyFont="1" applyBorder="1" applyAlignment="1">
      <alignment horizontal="left" vertical="center"/>
    </xf>
    <xf numFmtId="0" fontId="3" fillId="0" borderId="0" xfId="0" applyFont="1" applyAlignment="1">
      <alignment vertical="top" wrapText="1"/>
    </xf>
    <xf numFmtId="0" fontId="3" fillId="0" borderId="2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167" fontId="3" fillId="0" borderId="0" xfId="0" applyNumberFormat="1" applyFont="1"/>
    <xf numFmtId="0" fontId="3" fillId="0" borderId="0" xfId="0" applyFont="1" applyAlignment="1">
      <alignment horizontal="left"/>
    </xf>
    <xf numFmtId="164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4" fillId="2" borderId="3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Calibri"/>
        <family val="2"/>
        <scheme val="none"/>
      </font>
      <numFmt numFmtId="166" formatCode="0.000000"/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none"/>
      </font>
      <numFmt numFmtId="165" formatCode="0.00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Calibri"/>
        <family val="2"/>
        <scheme val="none"/>
      </font>
      <numFmt numFmtId="166" formatCode="0.000000"/>
      <alignment horizontal="left" vertical="center" textRotation="0" wrapText="0" indent="0" justifyLastLine="0" shrinkToFit="0" readingOrder="0"/>
    </dxf>
    <dxf>
      <border>
        <top style="thin">
          <color indexed="64"/>
        </top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none"/>
      </font>
      <numFmt numFmtId="165" formatCode="0.00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8E817F64-4293-4D9B-8C8E-BF4CEBD5F7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electromagnetic force vs distance for coils @ 680uF 440V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52361865919281E-2"/>
          <c:y val="0.14976513015066667"/>
          <c:w val="0.89879928003681242"/>
          <c:h val="0.80014656317974109"/>
        </c:manualLayout>
      </c:layout>
      <c:scatterChart>
        <c:scatterStyle val="smoothMarker"/>
        <c:varyColors val="0"/>
        <c:ser>
          <c:idx val="0"/>
          <c:order val="0"/>
          <c:tx>
            <c:v>50-turn 1.6mm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'femm simulation'!$A$4:$A$64</c:f>
              <c:numCache>
                <c:formatCode>General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-2.6000000000000002E-2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-1.8000000000000002E-2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-1.3000000000000001E-2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-9.0000000000000011E-3</c:v>
                </c:pt>
                <c:pt idx="22">
                  <c:v>-8.0000000000000002E-3</c:v>
                </c:pt>
                <c:pt idx="23">
                  <c:v>-7.0000000000000001E-3</c:v>
                </c:pt>
                <c:pt idx="24">
                  <c:v>-6.0000000000000001E-3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-1E-3</c:v>
                </c:pt>
                <c:pt idx="30">
                  <c:v>0</c:v>
                </c:pt>
                <c:pt idx="31">
                  <c:v>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9.0000000000000011E-3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1.3000000000000001E-2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1.8000000000000002E-2</c:v>
                </c:pt>
                <c:pt idx="49">
                  <c:v>1.9E-2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2.3E-2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2.6000000000000002E-2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0.03</c:v>
                </c:pt>
              </c:numCache>
            </c:numRef>
          </c:xVal>
          <c:yVal>
            <c:numRef>
              <c:f>'femm simulation'!$B$4:$B$64</c:f>
              <c:numCache>
                <c:formatCode>0.0000</c:formatCode>
                <c:ptCount val="61"/>
                <c:pt idx="0">
                  <c:v>2.4708096744826902</c:v>
                </c:pt>
                <c:pt idx="1">
                  <c:v>2.9810166805032998</c:v>
                </c:pt>
                <c:pt idx="2">
                  <c:v>3.6093040826121801</c:v>
                </c:pt>
                <c:pt idx="3">
                  <c:v>4.3840463176290996</c:v>
                </c:pt>
                <c:pt idx="4">
                  <c:v>5.3406636198390602</c:v>
                </c:pt>
                <c:pt idx="5">
                  <c:v>6.5305279438256996</c:v>
                </c:pt>
                <c:pt idx="6">
                  <c:v>8.0000485031915307</c:v>
                </c:pt>
                <c:pt idx="7">
                  <c:v>9.8171208848514606</c:v>
                </c:pt>
                <c:pt idx="8">
                  <c:v>12.0622394205398</c:v>
                </c:pt>
                <c:pt idx="9">
                  <c:v>14.8273082745518</c:v>
                </c:pt>
                <c:pt idx="10">
                  <c:v>18.213491212333999</c:v>
                </c:pt>
                <c:pt idx="11">
                  <c:v>22.3233257629707</c:v>
                </c:pt>
                <c:pt idx="12">
                  <c:v>27.2610130874215</c:v>
                </c:pt>
                <c:pt idx="13">
                  <c:v>33.1086785850204</c:v>
                </c:pt>
                <c:pt idx="14">
                  <c:v>39.898174387185698</c:v>
                </c:pt>
                <c:pt idx="15">
                  <c:v>47.592910759522802</c:v>
                </c:pt>
                <c:pt idx="16">
                  <c:v>56.054233085232397</c:v>
                </c:pt>
                <c:pt idx="17">
                  <c:v>64.985139194579205</c:v>
                </c:pt>
                <c:pt idx="18">
                  <c:v>73.921707370122107</c:v>
                </c:pt>
                <c:pt idx="19">
                  <c:v>82.241895869778702</c:v>
                </c:pt>
                <c:pt idx="20">
                  <c:v>89.197255384235305</c:v>
                </c:pt>
                <c:pt idx="21">
                  <c:v>94.025705435884007</c:v>
                </c:pt>
                <c:pt idx="22">
                  <c:v>95.996856074082203</c:v>
                </c:pt>
                <c:pt idx="23">
                  <c:v>94.657457121039599</c:v>
                </c:pt>
                <c:pt idx="24">
                  <c:v>89.684298474356098</c:v>
                </c:pt>
                <c:pt idx="25">
                  <c:v>81.136416932848505</c:v>
                </c:pt>
                <c:pt idx="26">
                  <c:v>69.282193363116804</c:v>
                </c:pt>
                <c:pt idx="27">
                  <c:v>54.607012090395102</c:v>
                </c:pt>
                <c:pt idx="28">
                  <c:v>37.678761746089798</c:v>
                </c:pt>
                <c:pt idx="29">
                  <c:v>19.205953576665699</c:v>
                </c:pt>
                <c:pt idx="30">
                  <c:v>0</c:v>
                </c:pt>
                <c:pt idx="31">
                  <c:v>-19.205953576665699</c:v>
                </c:pt>
                <c:pt idx="32">
                  <c:v>-37.678761746089798</c:v>
                </c:pt>
                <c:pt idx="33">
                  <c:v>-54.607012090395102</c:v>
                </c:pt>
                <c:pt idx="34">
                  <c:v>-69.282193363116804</c:v>
                </c:pt>
                <c:pt idx="35">
                  <c:v>-81.136416932848505</c:v>
                </c:pt>
                <c:pt idx="36">
                  <c:v>-89.684298474356098</c:v>
                </c:pt>
                <c:pt idx="37">
                  <c:v>-94.657457121039599</c:v>
                </c:pt>
                <c:pt idx="38">
                  <c:v>-95.996856074082203</c:v>
                </c:pt>
                <c:pt idx="39">
                  <c:v>-94.025705435884007</c:v>
                </c:pt>
                <c:pt idx="40">
                  <c:v>-89.197255384235305</c:v>
                </c:pt>
                <c:pt idx="41">
                  <c:v>-82.241895869778702</c:v>
                </c:pt>
                <c:pt idx="42">
                  <c:v>-73.921707370122107</c:v>
                </c:pt>
                <c:pt idx="43">
                  <c:v>-64.985139194579205</c:v>
                </c:pt>
                <c:pt idx="44">
                  <c:v>-56.054233085232397</c:v>
                </c:pt>
                <c:pt idx="45">
                  <c:v>-47.592910759522802</c:v>
                </c:pt>
                <c:pt idx="46">
                  <c:v>-39.898174387185698</c:v>
                </c:pt>
                <c:pt idx="47">
                  <c:v>-33.1086785850204</c:v>
                </c:pt>
                <c:pt idx="48">
                  <c:v>-27.2610130874215</c:v>
                </c:pt>
                <c:pt idx="49">
                  <c:v>-22.3233257629707</c:v>
                </c:pt>
                <c:pt idx="50">
                  <c:v>-18.213491212333999</c:v>
                </c:pt>
                <c:pt idx="51">
                  <c:v>-14.8273082745518</c:v>
                </c:pt>
                <c:pt idx="52">
                  <c:v>-12.0622394205398</c:v>
                </c:pt>
                <c:pt idx="53">
                  <c:v>-9.8171208848514606</c:v>
                </c:pt>
                <c:pt idx="54">
                  <c:v>-8.0000485031915307</c:v>
                </c:pt>
                <c:pt idx="55">
                  <c:v>-6.5305279438256996</c:v>
                </c:pt>
                <c:pt idx="56">
                  <c:v>-5.3406636198390602</c:v>
                </c:pt>
                <c:pt idx="57">
                  <c:v>-4.3840463176290996</c:v>
                </c:pt>
                <c:pt idx="58">
                  <c:v>-3.6093040826121801</c:v>
                </c:pt>
                <c:pt idx="59">
                  <c:v>-2.9810166805032998</c:v>
                </c:pt>
                <c:pt idx="60">
                  <c:v>-2.4708096744826902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AE0-4ABC-918A-3B853496A3E3}"/>
            </c:ext>
          </c:extLst>
        </c:ser>
        <c:ser>
          <c:idx val="1"/>
          <c:order val="1"/>
          <c:tx>
            <c:v>40-turn 2.0mm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'femm simulation'!$A$4:$A$64</c:f>
              <c:numCache>
                <c:formatCode>General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-2.6000000000000002E-2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-1.8000000000000002E-2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-1.3000000000000001E-2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-9.0000000000000011E-3</c:v>
                </c:pt>
                <c:pt idx="22">
                  <c:v>-8.0000000000000002E-3</c:v>
                </c:pt>
                <c:pt idx="23">
                  <c:v>-7.0000000000000001E-3</c:v>
                </c:pt>
                <c:pt idx="24">
                  <c:v>-6.0000000000000001E-3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-1E-3</c:v>
                </c:pt>
                <c:pt idx="30">
                  <c:v>0</c:v>
                </c:pt>
                <c:pt idx="31">
                  <c:v>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9.0000000000000011E-3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1.3000000000000001E-2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1.8000000000000002E-2</c:v>
                </c:pt>
                <c:pt idx="49">
                  <c:v>1.9E-2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2.3E-2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2.6000000000000002E-2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0.03</c:v>
                </c:pt>
              </c:numCache>
            </c:numRef>
          </c:xVal>
          <c:yVal>
            <c:numRef>
              <c:f>'femm simulation'!$D$4:$D$64</c:f>
              <c:numCache>
                <c:formatCode>General</c:formatCode>
                <c:ptCount val="61"/>
                <c:pt idx="0">
                  <c:v>1.9919652257037299</c:v>
                </c:pt>
                <c:pt idx="1">
                  <c:v>2.3799775888260402</c:v>
                </c:pt>
                <c:pt idx="2">
                  <c:v>2.8506298309514402</c:v>
                </c:pt>
                <c:pt idx="3">
                  <c:v>3.4249102537281799</c:v>
                </c:pt>
                <c:pt idx="4">
                  <c:v>4.1245593859307998</c:v>
                </c:pt>
                <c:pt idx="5">
                  <c:v>4.9788895002781599</c:v>
                </c:pt>
                <c:pt idx="6">
                  <c:v>6.02178481465989</c:v>
                </c:pt>
                <c:pt idx="7">
                  <c:v>7.29063411918096</c:v>
                </c:pt>
                <c:pt idx="8">
                  <c:v>8.8343301265349101</c:v>
                </c:pt>
                <c:pt idx="9">
                  <c:v>10.7037534291194</c:v>
                </c:pt>
                <c:pt idx="10">
                  <c:v>12.953761733173801</c:v>
                </c:pt>
                <c:pt idx="11">
                  <c:v>15.6395876029005</c:v>
                </c:pt>
                <c:pt idx="12">
                  <c:v>18.8163072102098</c:v>
                </c:pt>
                <c:pt idx="13">
                  <c:v>22.517725543813398</c:v>
                </c:pt>
                <c:pt idx="14">
                  <c:v>26.742607468214601</c:v>
                </c:pt>
                <c:pt idx="15">
                  <c:v>31.467380998922401</c:v>
                </c:pt>
                <c:pt idx="16">
                  <c:v>36.5903889312724</c:v>
                </c:pt>
                <c:pt idx="17">
                  <c:v>41.921778723723598</c:v>
                </c:pt>
                <c:pt idx="18">
                  <c:v>47.165578780949502</c:v>
                </c:pt>
                <c:pt idx="19">
                  <c:v>51.979766916347401</c:v>
                </c:pt>
                <c:pt idx="20">
                  <c:v>55.9069700548119</c:v>
                </c:pt>
                <c:pt idx="21">
                  <c:v>58.530399453938699</c:v>
                </c:pt>
                <c:pt idx="22">
                  <c:v>59.429416201742399</c:v>
                </c:pt>
                <c:pt idx="23">
                  <c:v>58.333424938490602</c:v>
                </c:pt>
                <c:pt idx="24">
                  <c:v>55.0710545712654</c:v>
                </c:pt>
                <c:pt idx="25">
                  <c:v>49.697760632772997</c:v>
                </c:pt>
                <c:pt idx="26">
                  <c:v>42.3495838672969</c:v>
                </c:pt>
                <c:pt idx="27">
                  <c:v>33.334308870115699</c:v>
                </c:pt>
                <c:pt idx="28">
                  <c:v>22.9782251524841</c:v>
                </c:pt>
                <c:pt idx="29">
                  <c:v>11.7432121737726</c:v>
                </c:pt>
                <c:pt idx="30" formatCode="0.0000">
                  <c:v>0</c:v>
                </c:pt>
                <c:pt idx="31" formatCode="0.0000">
                  <c:v>-11.7432121737726</c:v>
                </c:pt>
                <c:pt idx="32" formatCode="0.0000">
                  <c:v>-22.9782251524841</c:v>
                </c:pt>
                <c:pt idx="33" formatCode="0.0000">
                  <c:v>-33.334308870115699</c:v>
                </c:pt>
                <c:pt idx="34" formatCode="0.0000">
                  <c:v>-42.3495838672969</c:v>
                </c:pt>
                <c:pt idx="35" formatCode="0.0000">
                  <c:v>-49.697760632772997</c:v>
                </c:pt>
                <c:pt idx="36" formatCode="0.0000">
                  <c:v>-55.0710545712654</c:v>
                </c:pt>
                <c:pt idx="37" formatCode="0.0000">
                  <c:v>-58.333424938490602</c:v>
                </c:pt>
                <c:pt idx="38" formatCode="0.0000">
                  <c:v>-59.429416201742399</c:v>
                </c:pt>
                <c:pt idx="39" formatCode="0.0000">
                  <c:v>-58.530399453938699</c:v>
                </c:pt>
                <c:pt idx="40" formatCode="0.0000">
                  <c:v>-55.9069700548119</c:v>
                </c:pt>
                <c:pt idx="41" formatCode="0.0000">
                  <c:v>-51.979766916347401</c:v>
                </c:pt>
                <c:pt idx="42" formatCode="0.0000">
                  <c:v>-47.165578780949502</c:v>
                </c:pt>
                <c:pt idx="43" formatCode="0.0000">
                  <c:v>-41.921778723723598</c:v>
                </c:pt>
                <c:pt idx="44" formatCode="0.0000">
                  <c:v>-36.5903889312724</c:v>
                </c:pt>
                <c:pt idx="45" formatCode="0.0000">
                  <c:v>-31.467380998922401</c:v>
                </c:pt>
                <c:pt idx="46" formatCode="0.0000">
                  <c:v>-26.742607468214601</c:v>
                </c:pt>
                <c:pt idx="47" formatCode="0.0000">
                  <c:v>-22.517725543813398</c:v>
                </c:pt>
                <c:pt idx="48" formatCode="0.0000">
                  <c:v>-18.8163072102098</c:v>
                </c:pt>
                <c:pt idx="49" formatCode="0.0000">
                  <c:v>-15.6395876029005</c:v>
                </c:pt>
                <c:pt idx="50" formatCode="0.0000">
                  <c:v>-12.953761733173801</c:v>
                </c:pt>
                <c:pt idx="51" formatCode="0.0000">
                  <c:v>-10.7037534291194</c:v>
                </c:pt>
                <c:pt idx="52" formatCode="0.0000">
                  <c:v>-8.8343301265349101</c:v>
                </c:pt>
                <c:pt idx="53" formatCode="0.0000">
                  <c:v>-7.29063411918096</c:v>
                </c:pt>
                <c:pt idx="54" formatCode="0.0000">
                  <c:v>-6.02178481465989</c:v>
                </c:pt>
                <c:pt idx="55" formatCode="0.0000">
                  <c:v>-4.9788895002781599</c:v>
                </c:pt>
                <c:pt idx="56" formatCode="0.0000">
                  <c:v>-4.1245593859307998</c:v>
                </c:pt>
                <c:pt idx="57" formatCode="0.0000">
                  <c:v>-3.4249102537281799</c:v>
                </c:pt>
                <c:pt idx="58" formatCode="0.0000">
                  <c:v>-2.8506298309514402</c:v>
                </c:pt>
                <c:pt idx="59" formatCode="0.0000">
                  <c:v>-2.3799775888260402</c:v>
                </c:pt>
                <c:pt idx="60" formatCode="0.0000">
                  <c:v>-1.9919652257037299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AE0-4ABC-918A-3B853496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671951"/>
        <c:axId val="1349665231"/>
      </c:scatterChart>
      <c:valAx>
        <c:axId val="1349671951"/>
        <c:scaling>
          <c:orientation val="minMax"/>
          <c:max val="3.0000000000000006E-2"/>
          <c:min val="-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/>
                  <a:t>distance from centre of coil to centre of marble (m)</a:t>
                </a:r>
              </a:p>
            </c:rich>
          </c:tx>
          <c:layout>
            <c:manualLayout>
              <c:xMode val="edge"/>
              <c:yMode val="edge"/>
              <c:x val="0.2929770104185998"/>
              <c:y val="0.9494969017474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65231"/>
        <c:crosses val="autoZero"/>
        <c:crossBetween val="midCat"/>
      </c:valAx>
      <c:valAx>
        <c:axId val="13496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/>
                  <a:t>force (N)</a:t>
                </a:r>
              </a:p>
            </c:rich>
          </c:tx>
          <c:layout>
            <c:manualLayout>
              <c:xMode val="edge"/>
              <c:yMode val="edge"/>
              <c:x val="0"/>
              <c:y val="0.48536944304160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7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69141192056159"/>
          <c:y val="9.0331720807080851E-2"/>
          <c:w val="0.41756991056678167"/>
          <c:h val="5.6050216457915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velocity vs voltage for</a:t>
            </a:r>
            <a:r>
              <a:rPr lang="en-AU" b="1" baseline="0"/>
              <a:t> </a:t>
            </a:r>
            <a:r>
              <a:rPr lang="en-AU" b="1"/>
              <a:t>coils @ 680uF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7373745170886"/>
          <c:y val="0.14166963288852646"/>
          <c:w val="0.82525527650092789"/>
          <c:h val="0.76161488353797857"/>
        </c:manualLayout>
      </c:layout>
      <c:scatterChart>
        <c:scatterStyle val="lineMarker"/>
        <c:varyColors val="0"/>
        <c:ser>
          <c:idx val="0"/>
          <c:order val="0"/>
          <c:tx>
            <c:v>50-turn 1.6mm</c:v>
          </c:tx>
          <c:spPr>
            <a:ln w="25400" cap="rnd">
              <a:solidFill>
                <a:schemeClr val="accent1"/>
              </a:solidFill>
              <a:prstDash val="solid"/>
              <a:round/>
              <a:tailEnd type="triangle"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7294805375255566E-2"/>
                  <c:y val="6.03715817577066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'femm simulation'!$O$4:$O$54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'femm simulation'!$P$4:$P$54</c:f>
              <c:numCache>
                <c:formatCode>0.0000</c:formatCode>
                <c:ptCount val="51"/>
                <c:pt idx="0">
                  <c:v>0</c:v>
                </c:pt>
                <c:pt idx="1">
                  <c:v>0.28520918089100628</c:v>
                </c:pt>
                <c:pt idx="2">
                  <c:v>0.57041836178201255</c:v>
                </c:pt>
                <c:pt idx="3">
                  <c:v>0.85562754267301888</c:v>
                </c:pt>
                <c:pt idx="4">
                  <c:v>1.1408367235640251</c:v>
                </c:pt>
                <c:pt idx="5">
                  <c:v>1.4260459044550313</c:v>
                </c:pt>
                <c:pt idx="6">
                  <c:v>1.7112550853460378</c:v>
                </c:pt>
                <c:pt idx="7">
                  <c:v>1.996464266237044</c:v>
                </c:pt>
                <c:pt idx="8">
                  <c:v>2.2816734471280502</c:v>
                </c:pt>
                <c:pt idx="9">
                  <c:v>2.566882628019056</c:v>
                </c:pt>
                <c:pt idx="10">
                  <c:v>2.8520918089100626</c:v>
                </c:pt>
                <c:pt idx="11">
                  <c:v>3.1373009898010689</c:v>
                </c:pt>
                <c:pt idx="12">
                  <c:v>3.4225101706920755</c:v>
                </c:pt>
                <c:pt idx="13">
                  <c:v>3.7077193515830813</c:v>
                </c:pt>
                <c:pt idx="14">
                  <c:v>3.992928532474088</c:v>
                </c:pt>
                <c:pt idx="15">
                  <c:v>4.2781377133650942</c:v>
                </c:pt>
                <c:pt idx="16">
                  <c:v>4.5633468942561004</c:v>
                </c:pt>
                <c:pt idx="17">
                  <c:v>4.8485560751471057</c:v>
                </c:pt>
                <c:pt idx="18">
                  <c:v>5.133765256038112</c:v>
                </c:pt>
                <c:pt idx="19">
                  <c:v>5.4189744369291191</c:v>
                </c:pt>
                <c:pt idx="20">
                  <c:v>5.7041836178201253</c:v>
                </c:pt>
                <c:pt idx="21">
                  <c:v>5.9893927987111306</c:v>
                </c:pt>
                <c:pt idx="22">
                  <c:v>6.2746019796021377</c:v>
                </c:pt>
                <c:pt idx="23">
                  <c:v>6.5598111604931439</c:v>
                </c:pt>
                <c:pt idx="24">
                  <c:v>6.8450203413841511</c:v>
                </c:pt>
                <c:pt idx="25">
                  <c:v>7.1302295222751555</c:v>
                </c:pt>
                <c:pt idx="26">
                  <c:v>7.4154387031661626</c:v>
                </c:pt>
                <c:pt idx="27">
                  <c:v>7.7006478840571688</c:v>
                </c:pt>
                <c:pt idx="28">
                  <c:v>7.9858570649481759</c:v>
                </c:pt>
                <c:pt idx="29">
                  <c:v>8.2710662458391813</c:v>
                </c:pt>
                <c:pt idx="30">
                  <c:v>8.5562754267301884</c:v>
                </c:pt>
                <c:pt idx="31">
                  <c:v>8.8414846076211937</c:v>
                </c:pt>
                <c:pt idx="32">
                  <c:v>9.1266937885122008</c:v>
                </c:pt>
                <c:pt idx="33">
                  <c:v>9.4119029694032061</c:v>
                </c:pt>
                <c:pt idx="34">
                  <c:v>9.6971121502942115</c:v>
                </c:pt>
                <c:pt idx="35">
                  <c:v>9.9823213311852186</c:v>
                </c:pt>
                <c:pt idx="36">
                  <c:v>10.267530512076224</c:v>
                </c:pt>
                <c:pt idx="37">
                  <c:v>10.552739692967231</c:v>
                </c:pt>
                <c:pt idx="38">
                  <c:v>10.837948873858238</c:v>
                </c:pt>
                <c:pt idx="39">
                  <c:v>11.123158054749245</c:v>
                </c:pt>
                <c:pt idx="40">
                  <c:v>11.408367235640251</c:v>
                </c:pt>
                <c:pt idx="41">
                  <c:v>11.693576416531258</c:v>
                </c:pt>
                <c:pt idx="42">
                  <c:v>11.978785597422261</c:v>
                </c:pt>
                <c:pt idx="43">
                  <c:v>12.263994778313268</c:v>
                </c:pt>
                <c:pt idx="44">
                  <c:v>12.549203959204275</c:v>
                </c:pt>
                <c:pt idx="45">
                  <c:v>12.834413140095283</c:v>
                </c:pt>
                <c:pt idx="46">
                  <c:v>13.119622320986288</c:v>
                </c:pt>
                <c:pt idx="47">
                  <c:v>13.404831501877295</c:v>
                </c:pt>
                <c:pt idx="48">
                  <c:v>13.690040682768302</c:v>
                </c:pt>
                <c:pt idx="49">
                  <c:v>13.975249863659306</c:v>
                </c:pt>
                <c:pt idx="50">
                  <c:v>14.260459044550311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B-4DA3-ACEE-2040F66F6619}"/>
            </c:ext>
          </c:extLst>
        </c:ser>
        <c:ser>
          <c:idx val="1"/>
          <c:order val="1"/>
          <c:tx>
            <c:v>40-turn 2mm</c:v>
          </c:tx>
          <c:spPr>
            <a:ln w="25400" cap="rnd">
              <a:solidFill>
                <a:schemeClr val="accent2"/>
              </a:solidFill>
              <a:prstDash val="solid"/>
              <a:round/>
              <a:tailEnd type="triangle"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3658270311042295E-3"/>
                  <c:y val="0.1069723018147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'femm simulation'!$O$4:$O$54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'femm simulation'!$S$4:$S$54</c:f>
              <c:numCache>
                <c:formatCode>0.0000</c:formatCode>
                <c:ptCount val="51"/>
                <c:pt idx="0">
                  <c:v>0</c:v>
                </c:pt>
                <c:pt idx="1">
                  <c:v>0.22794994153335382</c:v>
                </c:pt>
                <c:pt idx="2">
                  <c:v>0.45589988306670765</c:v>
                </c:pt>
                <c:pt idx="3">
                  <c:v>0.6838498246000615</c:v>
                </c:pt>
                <c:pt idx="4">
                  <c:v>0.91179976613341529</c:v>
                </c:pt>
                <c:pt idx="5">
                  <c:v>1.1397497076667691</c:v>
                </c:pt>
                <c:pt idx="6">
                  <c:v>1.367699649200123</c:v>
                </c:pt>
                <c:pt idx="7">
                  <c:v>1.5956495907334769</c:v>
                </c:pt>
                <c:pt idx="8">
                  <c:v>1.8235995322668306</c:v>
                </c:pt>
                <c:pt idx="9">
                  <c:v>2.0515494738001845</c:v>
                </c:pt>
                <c:pt idx="10">
                  <c:v>2.2794994153335382</c:v>
                </c:pt>
                <c:pt idx="11">
                  <c:v>2.5074493568668923</c:v>
                </c:pt>
                <c:pt idx="12">
                  <c:v>2.735399298400246</c:v>
                </c:pt>
                <c:pt idx="13">
                  <c:v>2.9633492399336001</c:v>
                </c:pt>
                <c:pt idx="14">
                  <c:v>3.1912991814669538</c:v>
                </c:pt>
                <c:pt idx="15">
                  <c:v>3.4192491230003075</c:v>
                </c:pt>
                <c:pt idx="16">
                  <c:v>3.6471990645336612</c:v>
                </c:pt>
                <c:pt idx="17">
                  <c:v>3.8751490060670153</c:v>
                </c:pt>
                <c:pt idx="18">
                  <c:v>4.103098947600369</c:v>
                </c:pt>
                <c:pt idx="19">
                  <c:v>4.3310488891337231</c:v>
                </c:pt>
                <c:pt idx="20">
                  <c:v>4.5589988306670763</c:v>
                </c:pt>
                <c:pt idx="21">
                  <c:v>4.7869487722004305</c:v>
                </c:pt>
                <c:pt idx="22">
                  <c:v>5.0148987137337846</c:v>
                </c:pt>
                <c:pt idx="23">
                  <c:v>5.2428486552671378</c:v>
                </c:pt>
                <c:pt idx="24">
                  <c:v>5.470798596800492</c:v>
                </c:pt>
                <c:pt idx="25">
                  <c:v>5.6987485383338452</c:v>
                </c:pt>
                <c:pt idx="26">
                  <c:v>5.9266984798672002</c:v>
                </c:pt>
                <c:pt idx="27">
                  <c:v>6.1546484214005535</c:v>
                </c:pt>
                <c:pt idx="28">
                  <c:v>6.3825983629339076</c:v>
                </c:pt>
                <c:pt idx="29">
                  <c:v>6.6105483044672608</c:v>
                </c:pt>
                <c:pt idx="30">
                  <c:v>6.838498246000615</c:v>
                </c:pt>
                <c:pt idx="31">
                  <c:v>7.0664481875339691</c:v>
                </c:pt>
                <c:pt idx="32">
                  <c:v>7.2943981290673223</c:v>
                </c:pt>
                <c:pt idx="33">
                  <c:v>7.5223480706006765</c:v>
                </c:pt>
                <c:pt idx="34">
                  <c:v>7.7502980121340306</c:v>
                </c:pt>
                <c:pt idx="35">
                  <c:v>7.9782479536673847</c:v>
                </c:pt>
                <c:pt idx="36">
                  <c:v>8.2061978952007379</c:v>
                </c:pt>
                <c:pt idx="37">
                  <c:v>8.434147836734093</c:v>
                </c:pt>
                <c:pt idx="38">
                  <c:v>8.6620977782674462</c:v>
                </c:pt>
                <c:pt idx="39">
                  <c:v>8.8900477198007994</c:v>
                </c:pt>
                <c:pt idx="40">
                  <c:v>9.1179976613341527</c:v>
                </c:pt>
                <c:pt idx="41">
                  <c:v>9.3459476028675077</c:v>
                </c:pt>
                <c:pt idx="42">
                  <c:v>9.5738975444008609</c:v>
                </c:pt>
                <c:pt idx="43">
                  <c:v>9.8018474859342142</c:v>
                </c:pt>
                <c:pt idx="44">
                  <c:v>10.029797427467569</c:v>
                </c:pt>
                <c:pt idx="45">
                  <c:v>10.257747369000922</c:v>
                </c:pt>
                <c:pt idx="46">
                  <c:v>10.485697310534276</c:v>
                </c:pt>
                <c:pt idx="47">
                  <c:v>10.713647252067631</c:v>
                </c:pt>
                <c:pt idx="48">
                  <c:v>10.941597193600984</c:v>
                </c:pt>
                <c:pt idx="49">
                  <c:v>11.169547135134337</c:v>
                </c:pt>
                <c:pt idx="50">
                  <c:v>11.39749707666769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B-4DA3-ACEE-2040F66F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94959"/>
        <c:axId val="705096879"/>
      </c:scatterChart>
      <c:valAx>
        <c:axId val="705094959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/>
                  <a:t>voltage</a:t>
                </a:r>
                <a:r>
                  <a:rPr lang="en-AU" i="1" baseline="0"/>
                  <a:t> (V)</a:t>
                </a:r>
                <a:endParaRPr lang="en-AU" i="1"/>
              </a:p>
            </c:rich>
          </c:tx>
          <c:layout>
            <c:manualLayout>
              <c:xMode val="edge"/>
              <c:yMode val="edge"/>
              <c:x val="0.44824581670758007"/>
              <c:y val="0.9494969017474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96879"/>
        <c:crosses val="autoZero"/>
        <c:crossBetween val="midCat"/>
      </c:valAx>
      <c:valAx>
        <c:axId val="705096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/>
                  <a:t>velocity (ms</a:t>
                </a:r>
                <a:r>
                  <a:rPr lang="en-AU" i="1" baseline="30000"/>
                  <a:t>-1</a:t>
                </a:r>
                <a:r>
                  <a:rPr lang="en-AU" i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9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1173736417293468"/>
          <c:y val="8.5123106492708669E-2"/>
          <c:w val="0.38418160195317186"/>
          <c:h val="6.101738924700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№ of coils vs muzzle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'femm simulation'!$V$23:$V$42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'femm simulation'!$W$23:$W$42</c:f>
              <c:numCache>
                <c:formatCode>0.000</c:formatCode>
                <c:ptCount val="20"/>
                <c:pt idx="0">
                  <c:v>12.549203959204275</c:v>
                </c:pt>
                <c:pt idx="1">
                  <c:v>37.581949336485138</c:v>
                </c:pt>
                <c:pt idx="2">
                  <c:v>62.575374179130741</c:v>
                </c:pt>
                <c:pt idx="3">
                  <c:v>80.093819598785416</c:v>
                </c:pt>
                <c:pt idx="4">
                  <c:v>90.370705872468704</c:v>
                </c:pt>
                <c:pt idx="5">
                  <c:v>95.888232371113077</c:v>
                </c:pt>
                <c:pt idx="6">
                  <c:v>98.723379992385873</c:v>
                </c:pt>
                <c:pt idx="7">
                  <c:v>100.14899160375153</c:v>
                </c:pt>
                <c:pt idx="8">
                  <c:v>100.85822564563021</c:v>
                </c:pt>
                <c:pt idx="9">
                  <c:v>101.20921442523269</c:v>
                </c:pt>
                <c:pt idx="10">
                  <c:v>101.38246378212052</c:v>
                </c:pt>
                <c:pt idx="11">
                  <c:v>101.46787126091569</c:v>
                </c:pt>
                <c:pt idx="12">
                  <c:v>101.50994850802199</c:v>
                </c:pt>
                <c:pt idx="13">
                  <c:v>101.53067206914325</c:v>
                </c:pt>
                <c:pt idx="14">
                  <c:v>101.54087712307803</c:v>
                </c:pt>
                <c:pt idx="15">
                  <c:v>101.54590209514862</c:v>
                </c:pt>
                <c:pt idx="16">
                  <c:v>101.54837630176353</c:v>
                </c:pt>
                <c:pt idx="17">
                  <c:v>101.54959453481861</c:v>
                </c:pt>
                <c:pt idx="18">
                  <c:v>101.55019435477004</c:v>
                </c:pt>
                <c:pt idx="19">
                  <c:v>101.55048968610005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BB-4CD8-BF66-A8AEFD36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70447"/>
        <c:axId val="1870360703"/>
      </c:scatterChart>
      <c:valAx>
        <c:axId val="3319704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coils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60703"/>
        <c:crosses val="autoZero"/>
        <c:crossBetween val="midCat"/>
      </c:valAx>
      <c:valAx>
        <c:axId val="18703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velocity (ms</a:t>
                </a:r>
                <a:r>
                  <a:rPr lang="en-AU" baseline="30000"/>
                  <a:t>-1</a:t>
                </a:r>
                <a:r>
                  <a:rPr lang="en-A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7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1</xdr:rowOff>
    </xdr:from>
    <xdr:to>
      <xdr:col>13</xdr:col>
      <xdr:colOff>0</xdr:colOff>
      <xdr:row>44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B35C53-11DD-ECD1-1451-CE3E09E7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45</xdr:row>
      <xdr:rowOff>0</xdr:rowOff>
    </xdr:from>
    <xdr:to>
      <xdr:col>10</xdr:col>
      <xdr:colOff>1</xdr:colOff>
      <xdr:row>64</xdr:row>
      <xdr:rowOff>6614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A991676-FFAB-05C3-E242-267FFB15A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8907" y="8235157"/>
          <a:ext cx="3651251" cy="3413124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635000</xdr:colOff>
      <xdr:row>20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3DD1F7-F4FE-5F80-D1AE-4E95A01E4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24924</xdr:colOff>
      <xdr:row>21</xdr:row>
      <xdr:rowOff>1964</xdr:rowOff>
    </xdr:from>
    <xdr:to>
      <xdr:col>32</xdr:col>
      <xdr:colOff>31408</xdr:colOff>
      <xdr:row>35</xdr:row>
      <xdr:rowOff>174108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6658-89C3-1140-B8BA-A486AFBDD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D72779-57C6-4DE5-B0DF-1F400521F023}" name="Table1" displayName="Table1" ref="A3:B64" totalsRowShown="0" headerRowDxfId="13">
  <autoFilter ref="A3:B64" xr:uid="{98D72779-57C6-4DE5-B0DF-1F400521F023}">
    <filterColumn colId="0" hiddenButton="1"/>
    <filterColumn colId="1" hiddenButton="1"/>
  </autoFilter>
  <tableColumns count="2">
    <tableColumn id="1" xr3:uid="{DD9A6261-AC66-47CF-AB9E-11A47D3D37DE}" name="distance (m)" dataDxfId="12"/>
    <tableColumn id="2" xr3:uid="{8E048CC7-045F-41B0-B313-CEAEB7017984}" name="force (N)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862F57-4DA4-4BDB-86F1-417DE5FFFBED}" name="Table2" displayName="Table2" ref="C3:C34" totalsRowCount="1" headerRowDxfId="10" dataDxfId="9" totalsRowDxfId="8" totalsRowBorderDxfId="7">
  <autoFilter ref="C3:C33" xr:uid="{A3862F57-4DA4-4BDB-86F1-417DE5FFFBED}">
    <filterColumn colId="0" hiddenButton="1"/>
  </autoFilter>
  <tableColumns count="1">
    <tableColumn id="1" xr3:uid="{0ABAABC4-BFB8-4FF9-BE64-EBD30334558A}" name="integral (J)" totalsRowFunction="sum" totalsRowDxfId="6">
      <calculatedColumnFormula>((B4+B5)/2)*(A5-A4)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3CCE99-D4A1-4434-A751-448C0AB18BAA}" name="Table3" displayName="Table3" ref="D3:D64" totalsRowShown="0" headerRowDxfId="5">
  <autoFilter ref="D3:D64" xr:uid="{5B3CCE99-D4A1-4434-A751-448C0AB18BAA}">
    <filterColumn colId="0" hiddenButton="1"/>
  </autoFilter>
  <tableColumns count="1">
    <tableColumn id="2" xr3:uid="{CAF8F10B-EEC2-4296-B11B-1589D657576E}" name="force (N)" dataDxfId="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241C0F-2DE2-4EFE-B9EF-0A23BF7E1AAF}" name="Table4" displayName="Table4" ref="E3:E34" totalsRowCount="1" headerRowDxfId="3" dataDxfId="2" totalsRowBorderDxfId="1">
  <autoFilter ref="E3:E33" xr:uid="{31241C0F-2DE2-4EFE-B9EF-0A23BF7E1AAF}">
    <filterColumn colId="0" hiddenButton="1"/>
  </autoFilter>
  <tableColumns count="1">
    <tableColumn id="1" xr3:uid="{7E1D46B8-9F65-40FD-A6B3-9D379F91C491}" name="integral (J)" totalsRowFunction="sum" totalsRowDxfId="0">
      <calculatedColumnFormula>((D4+D5)/2)*0.001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4326-F609-4614-8A62-FE82D77F3828}">
  <dimension ref="A1:Y64"/>
  <sheetViews>
    <sheetView tabSelected="1" topLeftCell="B1" zoomScale="68" zoomScaleNormal="54" workbookViewId="0">
      <selection activeCell="Q21" sqref="Q21"/>
    </sheetView>
  </sheetViews>
  <sheetFormatPr defaultColWidth="9.140625" defaultRowHeight="14.25"/>
  <cols>
    <col min="1" max="5" width="12.7109375" style="1" customWidth="1"/>
    <col min="6" max="6" width="9.140625" style="1"/>
    <col min="7" max="10" width="12.7109375" style="1" customWidth="1"/>
    <col min="11" max="11" width="9.140625" style="1"/>
    <col min="12" max="12" width="12.5703125" style="1" customWidth="1"/>
    <col min="13" max="13" width="9.140625" style="1" customWidth="1"/>
    <col min="14" max="14" width="9.140625" style="1"/>
    <col min="15" max="16" width="12.7109375" style="1" customWidth="1"/>
    <col min="17" max="17" width="13.7109375" style="1" customWidth="1"/>
    <col min="18" max="19" width="12.7109375" style="1" customWidth="1"/>
    <col min="20" max="20" width="13.7109375" style="1" customWidth="1"/>
    <col min="21" max="21" width="9.140625" style="1"/>
    <col min="22" max="24" width="12.5703125" style="1" customWidth="1"/>
    <col min="25" max="16384" width="9.140625" style="1"/>
  </cols>
  <sheetData>
    <row r="1" spans="1:20" ht="16.149999999999999" thickBot="1">
      <c r="A1" s="76" t="s">
        <v>0</v>
      </c>
      <c r="B1" s="77"/>
      <c r="C1" s="77"/>
      <c r="D1" s="77"/>
      <c r="E1" s="78"/>
      <c r="F1" s="30"/>
      <c r="G1" s="68" t="s">
        <v>1</v>
      </c>
      <c r="H1" s="69"/>
      <c r="I1" s="69"/>
      <c r="J1" s="70"/>
      <c r="K1" s="23"/>
      <c r="L1" s="64" t="s">
        <v>2</v>
      </c>
      <c r="M1" s="65"/>
      <c r="O1" s="76" t="s">
        <v>3</v>
      </c>
      <c r="P1" s="77"/>
      <c r="Q1" s="77"/>
      <c r="R1" s="77"/>
      <c r="S1" s="77"/>
      <c r="T1" s="78"/>
    </row>
    <row r="2" spans="1:20" ht="14.65" thickBot="1">
      <c r="A2" s="46"/>
      <c r="B2" s="79" t="s">
        <v>4</v>
      </c>
      <c r="C2" s="67"/>
      <c r="D2" s="79" t="s">
        <v>5</v>
      </c>
      <c r="E2" s="67"/>
      <c r="F2" s="30"/>
      <c r="G2" s="71" t="s">
        <v>6</v>
      </c>
      <c r="H2" s="72"/>
      <c r="I2" s="66" t="s">
        <v>7</v>
      </c>
      <c r="J2" s="67"/>
      <c r="K2" s="23"/>
      <c r="L2" s="22" t="s">
        <v>8</v>
      </c>
      <c r="M2" s="16">
        <v>16</v>
      </c>
      <c r="O2" s="80" t="s">
        <v>4</v>
      </c>
      <c r="P2" s="81"/>
      <c r="Q2" s="82"/>
      <c r="R2" s="83" t="s">
        <v>5</v>
      </c>
      <c r="S2" s="84"/>
      <c r="T2" s="85"/>
    </row>
    <row r="3" spans="1:20" ht="15">
      <c r="A3" s="47" t="s">
        <v>9</v>
      </c>
      <c r="B3" s="11" t="s">
        <v>10</v>
      </c>
      <c r="C3" s="12" t="s">
        <v>11</v>
      </c>
      <c r="D3" s="11" t="s">
        <v>10</v>
      </c>
      <c r="E3" s="12" t="s">
        <v>11</v>
      </c>
      <c r="G3" s="61" t="s">
        <v>12</v>
      </c>
      <c r="H3" s="62"/>
      <c r="I3" s="62"/>
      <c r="J3" s="63"/>
      <c r="L3" s="7" t="s">
        <v>13</v>
      </c>
      <c r="M3" s="17">
        <v>680</v>
      </c>
      <c r="N3" s="31"/>
      <c r="O3" s="33" t="s">
        <v>14</v>
      </c>
      <c r="P3" s="32" t="s">
        <v>15</v>
      </c>
      <c r="Q3" s="34" t="s">
        <v>16</v>
      </c>
      <c r="R3" s="32" t="s">
        <v>14</v>
      </c>
      <c r="S3" s="28" t="s">
        <v>15</v>
      </c>
      <c r="T3" s="34" t="s">
        <v>16</v>
      </c>
    </row>
    <row r="4" spans="1:20">
      <c r="A4" s="48">
        <v>-0.03</v>
      </c>
      <c r="B4" s="13">
        <v>2.4708096744826902</v>
      </c>
      <c r="C4" s="14">
        <f t="shared" ref="C4:C33" si="0">((B4+B5)/2)*(A5-A4)</f>
        <v>2.7259131774929877E-3</v>
      </c>
      <c r="D4" s="1">
        <v>1.9919652257037299</v>
      </c>
      <c r="E4" s="14">
        <f>((D4+D5)/2)*0.001</f>
        <v>2.1859714072648851E-3</v>
      </c>
      <c r="G4" s="7" t="s">
        <v>17</v>
      </c>
      <c r="H4" s="6">
        <f>0.5*($M$3*10^-6)*$M$4^2</f>
        <v>65.823999999999998</v>
      </c>
      <c r="I4" s="5" t="s">
        <v>17</v>
      </c>
      <c r="J4" s="6">
        <f>0.5*($M$3*10^-6)*$M$4^2</f>
        <v>65.823999999999998</v>
      </c>
      <c r="L4" s="20" t="s">
        <v>14</v>
      </c>
      <c r="M4" s="21">
        <v>440</v>
      </c>
      <c r="N4" s="31"/>
      <c r="O4" s="35">
        <v>0</v>
      </c>
      <c r="P4" s="29">
        <f t="shared" ref="P4:P35" si="1">SQRT(((680*10^-6)*(O4^2)*($H$13/100))/($M$2*10^-3))</f>
        <v>0</v>
      </c>
      <c r="Q4" s="36">
        <f>3.6*P4</f>
        <v>0</v>
      </c>
      <c r="R4" s="41">
        <v>0</v>
      </c>
      <c r="S4" s="29">
        <f t="shared" ref="S4:S35" si="2">SQRT(((680*10^-6)*(R4^2)*($J$13/100))/($M$2*10^-3))</f>
        <v>0</v>
      </c>
      <c r="T4" s="36">
        <f>3.6*S4</f>
        <v>0</v>
      </c>
    </row>
    <row r="5" spans="1:20" ht="15">
      <c r="A5" s="48">
        <v>-2.9000000000000001E-2</v>
      </c>
      <c r="B5" s="13">
        <v>2.9810166805032998</v>
      </c>
      <c r="C5" s="14">
        <f t="shared" si="0"/>
        <v>3.295160381557743E-3</v>
      </c>
      <c r="D5" s="1">
        <v>2.3799775888260402</v>
      </c>
      <c r="E5" s="14">
        <f t="shared" ref="E5:E33" si="3">((D5+D6)/2)*0.001</f>
        <v>2.6153037098887401E-3</v>
      </c>
      <c r="G5" s="7" t="s">
        <v>18</v>
      </c>
      <c r="H5" s="6">
        <f>SQRT((2*H4)/(M2*10^-3))</f>
        <v>90.708323763588538</v>
      </c>
      <c r="I5" s="5" t="s">
        <v>18</v>
      </c>
      <c r="J5" s="6">
        <f>SQRT((2*J4)/(M2*10^-3))</f>
        <v>90.708323763588538</v>
      </c>
      <c r="L5" s="64" t="s">
        <v>19</v>
      </c>
      <c r="M5" s="65"/>
      <c r="O5" s="37">
        <v>10</v>
      </c>
      <c r="P5" s="29">
        <f t="shared" si="1"/>
        <v>0.28520918089100628</v>
      </c>
      <c r="Q5" s="36">
        <f t="shared" ref="Q5:Q54" si="4">3.6*P5</f>
        <v>1.0267530512076226</v>
      </c>
      <c r="R5" s="41">
        <v>10</v>
      </c>
      <c r="S5" s="29">
        <f t="shared" si="2"/>
        <v>0.22794994153335382</v>
      </c>
      <c r="T5" s="36">
        <f t="shared" ref="T5:T54" si="5">3.6*S5</f>
        <v>0.82061978952007375</v>
      </c>
    </row>
    <row r="6" spans="1:20" ht="15">
      <c r="A6" s="48">
        <v>-2.8000000000000001E-2</v>
      </c>
      <c r="B6" s="13">
        <v>3.6093040826121801</v>
      </c>
      <c r="C6" s="14">
        <f t="shared" si="0"/>
        <v>3.996675200120643E-3</v>
      </c>
      <c r="D6" s="1">
        <v>2.8506298309514402</v>
      </c>
      <c r="E6" s="14">
        <f t="shared" si="3"/>
        <v>3.1377700423398103E-3</v>
      </c>
      <c r="G6" s="7" t="s">
        <v>20</v>
      </c>
      <c r="H6" s="6">
        <f>H5*3.6</f>
        <v>326.54996554891875</v>
      </c>
      <c r="I6" s="5" t="s">
        <v>20</v>
      </c>
      <c r="J6" s="6">
        <f>J5*3.6</f>
        <v>326.54996554891875</v>
      </c>
      <c r="K6" s="23"/>
      <c r="L6" s="22" t="s">
        <v>14</v>
      </c>
      <c r="M6" s="16">
        <v>440</v>
      </c>
      <c r="O6" s="37">
        <v>20</v>
      </c>
      <c r="P6" s="29">
        <f t="shared" si="1"/>
        <v>0.57041836178201255</v>
      </c>
      <c r="Q6" s="36">
        <f t="shared" si="4"/>
        <v>2.0535061024152452</v>
      </c>
      <c r="R6" s="41">
        <v>20</v>
      </c>
      <c r="S6" s="29">
        <f t="shared" si="2"/>
        <v>0.45589988306670765</v>
      </c>
      <c r="T6" s="36">
        <f t="shared" si="5"/>
        <v>1.6412395790401475</v>
      </c>
    </row>
    <row r="7" spans="1:20" ht="14.65" thickBot="1">
      <c r="A7" s="48">
        <v>-2.7E-2</v>
      </c>
      <c r="B7" s="13">
        <v>4.3840463176290996</v>
      </c>
      <c r="C7" s="14">
        <f t="shared" si="0"/>
        <v>4.8623549687340671E-3</v>
      </c>
      <c r="D7" s="1">
        <v>3.4249102537281799</v>
      </c>
      <c r="E7" s="14">
        <f t="shared" si="3"/>
        <v>3.7747348198294904E-3</v>
      </c>
      <c r="G7" s="8" t="s">
        <v>21</v>
      </c>
      <c r="H7" s="9">
        <f>H4/((M2*10^-3)*9.81)</f>
        <v>419.367991845056</v>
      </c>
      <c r="I7" s="10" t="s">
        <v>21</v>
      </c>
      <c r="J7" s="9">
        <f>J4/((M2*10^-3)*9.81)</f>
        <v>419.367991845056</v>
      </c>
      <c r="L7" s="8" t="s">
        <v>13</v>
      </c>
      <c r="M7" s="18">
        <v>680</v>
      </c>
      <c r="O7" s="37">
        <v>30</v>
      </c>
      <c r="P7" s="29">
        <f t="shared" si="1"/>
        <v>0.85562754267301888</v>
      </c>
      <c r="Q7" s="36">
        <f t="shared" si="4"/>
        <v>3.0802591536228681</v>
      </c>
      <c r="R7" s="41">
        <v>30</v>
      </c>
      <c r="S7" s="29">
        <f t="shared" si="2"/>
        <v>0.6838498246000615</v>
      </c>
      <c r="T7" s="36">
        <f t="shared" si="5"/>
        <v>2.4618593685602215</v>
      </c>
    </row>
    <row r="8" spans="1:20">
      <c r="A8" s="48">
        <v>-2.6000000000000002E-2</v>
      </c>
      <c r="B8" s="13">
        <v>5.3406636198390602</v>
      </c>
      <c r="C8" s="14">
        <f t="shared" si="0"/>
        <v>5.9355957818323845E-3</v>
      </c>
      <c r="D8" s="1">
        <v>4.1245593859307998</v>
      </c>
      <c r="E8" s="14">
        <f t="shared" si="3"/>
        <v>4.5517244431044794E-3</v>
      </c>
      <c r="G8" s="61" t="s">
        <v>22</v>
      </c>
      <c r="H8" s="62"/>
      <c r="I8" s="62"/>
      <c r="J8" s="63"/>
      <c r="O8" s="37">
        <v>40</v>
      </c>
      <c r="P8" s="29">
        <f t="shared" si="1"/>
        <v>1.1408367235640251</v>
      </c>
      <c r="Q8" s="36">
        <f t="shared" si="4"/>
        <v>4.1070122048304905</v>
      </c>
      <c r="R8" s="41">
        <v>40</v>
      </c>
      <c r="S8" s="29">
        <f t="shared" si="2"/>
        <v>0.91179976613341529</v>
      </c>
      <c r="T8" s="36">
        <f t="shared" si="5"/>
        <v>3.282479158080295</v>
      </c>
    </row>
    <row r="9" spans="1:20" ht="14.25" customHeight="1">
      <c r="A9" s="48">
        <v>-2.5000000000000001E-2</v>
      </c>
      <c r="B9" s="13">
        <v>6.5305279438256996</v>
      </c>
      <c r="C9" s="14">
        <f t="shared" si="0"/>
        <v>7.2652882235086213E-3</v>
      </c>
      <c r="D9" s="1">
        <v>4.9788895002781599</v>
      </c>
      <c r="E9" s="14">
        <f t="shared" si="3"/>
        <v>5.5003371574690249E-3</v>
      </c>
      <c r="G9" s="7" t="s">
        <v>23</v>
      </c>
      <c r="H9" s="6">
        <f>Table2[[#Totals],[integral (J)]]</f>
        <v>1.2598601600776662</v>
      </c>
      <c r="I9" s="5" t="s">
        <v>23</v>
      </c>
      <c r="J9" s="6">
        <f>Table4[[#Totals],[integral (J)]]</f>
        <v>0.80477469148828051</v>
      </c>
      <c r="L9" s="73" t="s">
        <v>24</v>
      </c>
      <c r="M9" s="73"/>
      <c r="O9" s="37">
        <v>50</v>
      </c>
      <c r="P9" s="29">
        <f t="shared" si="1"/>
        <v>1.4260459044550313</v>
      </c>
      <c r="Q9" s="36">
        <f t="shared" si="4"/>
        <v>5.1337652560381128</v>
      </c>
      <c r="R9" s="41">
        <v>50</v>
      </c>
      <c r="S9" s="29">
        <f t="shared" si="2"/>
        <v>1.1397497076667691</v>
      </c>
      <c r="T9" s="36">
        <f t="shared" si="5"/>
        <v>4.103098947600369</v>
      </c>
    </row>
    <row r="10" spans="1:20" ht="15">
      <c r="A10" s="48">
        <v>-2.4E-2</v>
      </c>
      <c r="B10" s="13">
        <v>8.0000485031915307</v>
      </c>
      <c r="C10" s="14">
        <f t="shared" si="0"/>
        <v>8.9085846940215041E-3</v>
      </c>
      <c r="D10" s="1">
        <v>6.02178481465989</v>
      </c>
      <c r="E10" s="14">
        <f t="shared" si="3"/>
        <v>6.6562094669204248E-3</v>
      </c>
      <c r="G10" s="7" t="s">
        <v>18</v>
      </c>
      <c r="H10" s="6">
        <f>SQRT((2*C34)/(M2*10^-3))</f>
        <v>12.549203959204275</v>
      </c>
      <c r="I10" s="5" t="s">
        <v>18</v>
      </c>
      <c r="J10" s="6">
        <f>SQRT((2*E34)/(M2*10^-3))</f>
        <v>10.029797427467569</v>
      </c>
      <c r="L10" s="73"/>
      <c r="M10" s="73"/>
      <c r="O10" s="37">
        <v>60</v>
      </c>
      <c r="P10" s="29">
        <f t="shared" si="1"/>
        <v>1.7112550853460378</v>
      </c>
      <c r="Q10" s="36">
        <f t="shared" si="4"/>
        <v>6.1605183072457361</v>
      </c>
      <c r="R10" s="41">
        <v>60</v>
      </c>
      <c r="S10" s="29">
        <f t="shared" si="2"/>
        <v>1.367699649200123</v>
      </c>
      <c r="T10" s="36">
        <f t="shared" si="5"/>
        <v>4.9237187371204429</v>
      </c>
    </row>
    <row r="11" spans="1:20" ht="15" customHeight="1">
      <c r="A11" s="48">
        <v>-2.3E-2</v>
      </c>
      <c r="B11" s="13">
        <v>9.8171208848514606</v>
      </c>
      <c r="C11" s="14">
        <f t="shared" si="0"/>
        <v>1.0939680152695639E-2</v>
      </c>
      <c r="D11" s="1">
        <v>7.29063411918096</v>
      </c>
      <c r="E11" s="14">
        <f t="shared" si="3"/>
        <v>8.0624821228579349E-3</v>
      </c>
      <c r="G11" s="7" t="s">
        <v>20</v>
      </c>
      <c r="H11" s="6">
        <f>H10*3.6</f>
        <v>45.177134253135392</v>
      </c>
      <c r="I11" s="5" t="s">
        <v>20</v>
      </c>
      <c r="J11" s="6">
        <f>J10*3.6</f>
        <v>36.107270738883251</v>
      </c>
      <c r="L11" s="73" t="s">
        <v>25</v>
      </c>
      <c r="M11" s="73"/>
      <c r="O11" s="37">
        <v>70</v>
      </c>
      <c r="P11" s="29">
        <f t="shared" si="1"/>
        <v>1.996464266237044</v>
      </c>
      <c r="Q11" s="36">
        <f t="shared" si="4"/>
        <v>7.1872713584533585</v>
      </c>
      <c r="R11" s="41">
        <v>70</v>
      </c>
      <c r="S11" s="29">
        <f t="shared" si="2"/>
        <v>1.5956495907334769</v>
      </c>
      <c r="T11" s="36">
        <f t="shared" si="5"/>
        <v>5.7443385266405169</v>
      </c>
    </row>
    <row r="12" spans="1:20">
      <c r="A12" s="48">
        <v>-2.1999999999999999E-2</v>
      </c>
      <c r="B12" s="13">
        <v>12.0622394205398</v>
      </c>
      <c r="C12" s="14">
        <f t="shared" si="0"/>
        <v>1.3444773847545766E-2</v>
      </c>
      <c r="D12" s="1">
        <v>8.8343301265349101</v>
      </c>
      <c r="E12" s="14">
        <f t="shared" si="3"/>
        <v>9.769041777827156E-3</v>
      </c>
      <c r="G12" s="7" t="s">
        <v>21</v>
      </c>
      <c r="H12" s="6">
        <f>H9/((M2*10^-3)*9.81)</f>
        <v>8.0266320086497576</v>
      </c>
      <c r="I12" s="5" t="s">
        <v>21</v>
      </c>
      <c r="J12" s="6">
        <f>J9/((M2*10^-3)*9.81)</f>
        <v>5.1272597571883312</v>
      </c>
      <c r="L12" s="73"/>
      <c r="M12" s="73"/>
      <c r="O12" s="37">
        <v>80</v>
      </c>
      <c r="P12" s="29">
        <f t="shared" si="1"/>
        <v>2.2816734471280502</v>
      </c>
      <c r="Q12" s="36">
        <f t="shared" si="4"/>
        <v>8.2140244096609809</v>
      </c>
      <c r="R12" s="41">
        <v>80</v>
      </c>
      <c r="S12" s="29">
        <f t="shared" si="2"/>
        <v>1.8235995322668306</v>
      </c>
      <c r="T12" s="36">
        <f t="shared" si="5"/>
        <v>6.56495831616059</v>
      </c>
    </row>
    <row r="13" spans="1:20" ht="14.65" thickBot="1">
      <c r="A13" s="48">
        <v>-2.1000000000000001E-2</v>
      </c>
      <c r="B13" s="13">
        <v>14.8273082745518</v>
      </c>
      <c r="C13" s="14">
        <f t="shared" si="0"/>
        <v>1.6520399743442916E-2</v>
      </c>
      <c r="D13" s="1">
        <v>10.7037534291194</v>
      </c>
      <c r="E13" s="14">
        <f t="shared" si="3"/>
        <v>1.18287575811466E-2</v>
      </c>
      <c r="G13" s="8" t="s">
        <v>26</v>
      </c>
      <c r="H13" s="9">
        <f>(H9/H4)*100</f>
        <v>1.9139829850474996</v>
      </c>
      <c r="I13" s="10" t="s">
        <v>26</v>
      </c>
      <c r="J13" s="9">
        <f>(J9/J4)*100</f>
        <v>1.2226159022366927</v>
      </c>
      <c r="L13" s="51"/>
      <c r="M13" s="51"/>
      <c r="O13" s="37">
        <v>90</v>
      </c>
      <c r="P13" s="29">
        <f t="shared" si="1"/>
        <v>2.566882628019056</v>
      </c>
      <c r="Q13" s="36">
        <f t="shared" si="4"/>
        <v>9.2407774608686015</v>
      </c>
      <c r="R13" s="41">
        <v>90</v>
      </c>
      <c r="S13" s="29">
        <f t="shared" si="2"/>
        <v>2.0515494738001845</v>
      </c>
      <c r="T13" s="36">
        <f t="shared" si="5"/>
        <v>7.385578105680664</v>
      </c>
    </row>
    <row r="14" spans="1:20">
      <c r="A14" s="48">
        <v>-0.02</v>
      </c>
      <c r="B14" s="13">
        <v>18.213491212333999</v>
      </c>
      <c r="C14" s="14">
        <f t="shared" si="0"/>
        <v>2.0268408487652368E-2</v>
      </c>
      <c r="D14" s="1">
        <v>12.953761733173801</v>
      </c>
      <c r="E14" s="14">
        <f t="shared" si="3"/>
        <v>1.429667466803715E-2</v>
      </c>
      <c r="G14" s="61" t="s">
        <v>27</v>
      </c>
      <c r="H14" s="62"/>
      <c r="I14" s="62"/>
      <c r="J14" s="63"/>
      <c r="L14" s="51"/>
      <c r="M14" s="51" t="s">
        <v>28</v>
      </c>
      <c r="O14" s="37">
        <v>100</v>
      </c>
      <c r="P14" s="29">
        <f t="shared" si="1"/>
        <v>2.8520918089100626</v>
      </c>
      <c r="Q14" s="36">
        <f t="shared" si="4"/>
        <v>10.267530512076226</v>
      </c>
      <c r="R14" s="41">
        <v>100</v>
      </c>
      <c r="S14" s="29">
        <f t="shared" si="2"/>
        <v>2.2794994153335382</v>
      </c>
      <c r="T14" s="36">
        <f t="shared" si="5"/>
        <v>8.2061978952007379</v>
      </c>
    </row>
    <row r="15" spans="1:20">
      <c r="A15" s="48">
        <v>-1.9E-2</v>
      </c>
      <c r="B15" s="13">
        <v>22.3233257629707</v>
      </c>
      <c r="C15" s="14">
        <f t="shared" si="0"/>
        <v>2.4792169425196037E-2</v>
      </c>
      <c r="D15" s="1">
        <v>15.6395876029005</v>
      </c>
      <c r="E15" s="14">
        <f t="shared" si="3"/>
        <v>1.7227947406555151E-2</v>
      </c>
      <c r="G15" s="7" t="s">
        <v>23</v>
      </c>
      <c r="H15" s="6">
        <f>0.5*(M2*10^-3)*H16^2</f>
        <v>65.334915839106003</v>
      </c>
      <c r="I15" s="5" t="s">
        <v>23</v>
      </c>
      <c r="J15" s="6">
        <f>J9*5</f>
        <v>4.0238734574414021</v>
      </c>
      <c r="L15" s="51"/>
      <c r="M15" s="51"/>
      <c r="O15" s="37">
        <v>110</v>
      </c>
      <c r="P15" s="29">
        <f t="shared" si="1"/>
        <v>3.1373009898010689</v>
      </c>
      <c r="Q15" s="36">
        <f t="shared" si="4"/>
        <v>11.294283563283848</v>
      </c>
      <c r="R15" s="41">
        <v>110</v>
      </c>
      <c r="S15" s="29">
        <f t="shared" si="2"/>
        <v>2.5074493568668923</v>
      </c>
      <c r="T15" s="36">
        <f t="shared" si="5"/>
        <v>9.0268176847208128</v>
      </c>
    </row>
    <row r="16" spans="1:20" ht="15">
      <c r="A16" s="48">
        <v>-1.8000000000000002E-2</v>
      </c>
      <c r="B16" s="13">
        <v>27.2610130874215</v>
      </c>
      <c r="C16" s="14">
        <f t="shared" si="0"/>
        <v>3.018484583622098E-2</v>
      </c>
      <c r="D16" s="1">
        <v>18.8163072102098</v>
      </c>
      <c r="E16" s="14">
        <f t="shared" si="3"/>
        <v>2.0667016377011599E-2</v>
      </c>
      <c r="G16" s="7" t="s">
        <v>18</v>
      </c>
      <c r="H16" s="6">
        <f>W27</f>
        <v>90.370705872468704</v>
      </c>
      <c r="I16" s="5" t="s">
        <v>18</v>
      </c>
      <c r="J16" s="6">
        <f>J10*5</f>
        <v>50.148987137337848</v>
      </c>
      <c r="L16" s="51"/>
      <c r="M16" s="51"/>
      <c r="O16" s="37">
        <v>120</v>
      </c>
      <c r="P16" s="29">
        <f t="shared" si="1"/>
        <v>3.4225101706920755</v>
      </c>
      <c r="Q16" s="36">
        <f t="shared" si="4"/>
        <v>12.321036614491472</v>
      </c>
      <c r="R16" s="41">
        <v>120</v>
      </c>
      <c r="S16" s="29">
        <f t="shared" si="2"/>
        <v>2.735399298400246</v>
      </c>
      <c r="T16" s="36">
        <f t="shared" si="5"/>
        <v>9.8474374742408859</v>
      </c>
    </row>
    <row r="17" spans="1:25" ht="15">
      <c r="A17" s="48">
        <v>-1.7000000000000001E-2</v>
      </c>
      <c r="B17" s="13">
        <v>33.1086785850204</v>
      </c>
      <c r="C17" s="14">
        <f t="shared" si="0"/>
        <v>3.6503426486103087E-2</v>
      </c>
      <c r="D17" s="1">
        <v>22.517725543813398</v>
      </c>
      <c r="E17" s="14">
        <f t="shared" si="3"/>
        <v>2.4630166506014E-2</v>
      </c>
      <c r="G17" s="7" t="s">
        <v>20</v>
      </c>
      <c r="H17" s="6">
        <f>H16*3.6</f>
        <v>325.33454114088732</v>
      </c>
      <c r="I17" s="5" t="s">
        <v>20</v>
      </c>
      <c r="J17" s="6">
        <f>J11*5</f>
        <v>180.53635369441625</v>
      </c>
      <c r="L17" s="51"/>
      <c r="M17" s="51"/>
      <c r="O17" s="37">
        <v>130</v>
      </c>
      <c r="P17" s="29">
        <f t="shared" si="1"/>
        <v>3.7077193515830813</v>
      </c>
      <c r="Q17" s="36">
        <f t="shared" si="4"/>
        <v>13.347789665699093</v>
      </c>
      <c r="R17" s="41">
        <v>130</v>
      </c>
      <c r="S17" s="29">
        <f t="shared" si="2"/>
        <v>2.9633492399336001</v>
      </c>
      <c r="T17" s="36">
        <f t="shared" si="5"/>
        <v>10.668057263760961</v>
      </c>
    </row>
    <row r="18" spans="1:25" ht="14.65" thickBot="1">
      <c r="A18" s="48">
        <v>-1.6E-2</v>
      </c>
      <c r="B18" s="13">
        <v>39.898174387185698</v>
      </c>
      <c r="C18" s="14">
        <f t="shared" si="0"/>
        <v>4.3745542573354286E-2</v>
      </c>
      <c r="D18" s="1">
        <v>26.742607468214601</v>
      </c>
      <c r="E18" s="14">
        <f t="shared" si="3"/>
        <v>2.91049942335685E-2</v>
      </c>
      <c r="G18" s="8" t="s">
        <v>21</v>
      </c>
      <c r="H18" s="9">
        <f>H12*5</f>
        <v>40.133160043248786</v>
      </c>
      <c r="I18" s="10" t="s">
        <v>21</v>
      </c>
      <c r="J18" s="9">
        <f>J12*5</f>
        <v>25.636298785941655</v>
      </c>
      <c r="O18" s="37">
        <v>140</v>
      </c>
      <c r="P18" s="29">
        <f t="shared" si="1"/>
        <v>3.992928532474088</v>
      </c>
      <c r="Q18" s="36">
        <f t="shared" si="4"/>
        <v>14.374542716906717</v>
      </c>
      <c r="R18" s="41">
        <v>140</v>
      </c>
      <c r="S18" s="29">
        <f t="shared" si="2"/>
        <v>3.1912991814669538</v>
      </c>
      <c r="T18" s="36">
        <f t="shared" si="5"/>
        <v>11.488677053281034</v>
      </c>
    </row>
    <row r="19" spans="1:25">
      <c r="A19" s="48">
        <v>-1.4999999999999999E-2</v>
      </c>
      <c r="B19" s="13">
        <v>47.592910759522802</v>
      </c>
      <c r="C19" s="14">
        <f t="shared" si="0"/>
        <v>5.1823571922377555E-2</v>
      </c>
      <c r="D19" s="1">
        <v>31.467380998922401</v>
      </c>
      <c r="E19" s="14">
        <f t="shared" si="3"/>
        <v>3.4028884965097407E-2</v>
      </c>
      <c r="G19" s="61" t="s">
        <v>29</v>
      </c>
      <c r="H19" s="62"/>
      <c r="I19" s="62"/>
      <c r="J19" s="63"/>
      <c r="O19" s="37">
        <v>150</v>
      </c>
      <c r="P19" s="29">
        <f t="shared" si="1"/>
        <v>4.2781377133650942</v>
      </c>
      <c r="Q19" s="36">
        <f t="shared" si="4"/>
        <v>15.401295768114339</v>
      </c>
      <c r="R19" s="41">
        <v>150</v>
      </c>
      <c r="S19" s="29">
        <f t="shared" si="2"/>
        <v>3.4192491230003075</v>
      </c>
      <c r="T19" s="36">
        <f t="shared" si="5"/>
        <v>12.309296842801107</v>
      </c>
    </row>
    <row r="20" spans="1:25">
      <c r="A20" s="48">
        <v>-1.4E-2</v>
      </c>
      <c r="B20" s="13">
        <v>56.054233085232397</v>
      </c>
      <c r="C20" s="14">
        <f t="shared" si="0"/>
        <v>6.051968613990575E-2</v>
      </c>
      <c r="D20" s="1">
        <v>36.5903889312724</v>
      </c>
      <c r="E20" s="14">
        <f t="shared" si="3"/>
        <v>3.9256083827498005E-2</v>
      </c>
      <c r="G20" s="7" t="s">
        <v>23</v>
      </c>
      <c r="H20" s="6">
        <f>0.5*(M7*10^-6)*M6^2*(H13/100)</f>
        <v>1.2598601600776662</v>
      </c>
      <c r="I20" s="7" t="s">
        <v>23</v>
      </c>
      <c r="J20" s="6">
        <f>0.5*(M7*10^-6)*M6^2*(J13/100)</f>
        <v>0.80477469148828051</v>
      </c>
      <c r="O20" s="37">
        <v>160</v>
      </c>
      <c r="P20" s="29">
        <f t="shared" si="1"/>
        <v>4.5633468942561004</v>
      </c>
      <c r="Q20" s="36">
        <f t="shared" si="4"/>
        <v>16.428048819321962</v>
      </c>
      <c r="R20" s="41">
        <v>160</v>
      </c>
      <c r="S20" s="29">
        <f t="shared" si="2"/>
        <v>3.6471990645336612</v>
      </c>
      <c r="T20" s="36">
        <f t="shared" si="5"/>
        <v>13.12991663232118</v>
      </c>
    </row>
    <row r="21" spans="1:25" ht="15" customHeight="1">
      <c r="A21" s="48">
        <v>-1.3000000000000001E-2</v>
      </c>
      <c r="B21" s="13">
        <v>64.985139194579205</v>
      </c>
      <c r="C21" s="14">
        <f t="shared" si="0"/>
        <v>6.9453423282350712E-2</v>
      </c>
      <c r="D21" s="1">
        <v>41.921778723723598</v>
      </c>
      <c r="E21" s="14">
        <f t="shared" si="3"/>
        <v>4.454367875233655E-2</v>
      </c>
      <c r="G21" s="7" t="s">
        <v>18</v>
      </c>
      <c r="H21" s="6">
        <f>SQRT((2*H20)/(M2*10^-3))</f>
        <v>12.549203959204275</v>
      </c>
      <c r="I21" s="7" t="s">
        <v>18</v>
      </c>
      <c r="J21" s="6">
        <f>SQRT((2*J20)/(M2*10^-3))</f>
        <v>10.029797427467569</v>
      </c>
      <c r="O21" s="37">
        <v>170</v>
      </c>
      <c r="P21" s="29">
        <f t="shared" si="1"/>
        <v>4.8485560751471057</v>
      </c>
      <c r="Q21" s="36">
        <f t="shared" si="4"/>
        <v>17.454801870529582</v>
      </c>
      <c r="R21" s="41">
        <v>170</v>
      </c>
      <c r="S21" s="29">
        <f t="shared" si="2"/>
        <v>3.8751490060670153</v>
      </c>
      <c r="T21" s="36">
        <f t="shared" si="5"/>
        <v>13.950536421841255</v>
      </c>
      <c r="V21" s="74" t="s">
        <v>30</v>
      </c>
      <c r="W21" s="75"/>
      <c r="X21" s="75"/>
    </row>
    <row r="22" spans="1:25" ht="15">
      <c r="A22" s="48">
        <v>-1.2E-2</v>
      </c>
      <c r="B22" s="13">
        <v>73.921707370122107</v>
      </c>
      <c r="C22" s="14">
        <f t="shared" si="0"/>
        <v>7.8081801619950472E-2</v>
      </c>
      <c r="D22" s="1">
        <v>47.165578780949502</v>
      </c>
      <c r="E22" s="14">
        <f t="shared" si="3"/>
        <v>4.9572672848648455E-2</v>
      </c>
      <c r="G22" s="7" t="s">
        <v>20</v>
      </c>
      <c r="H22" s="6">
        <f>H21*3.6</f>
        <v>45.177134253135392</v>
      </c>
      <c r="I22" s="7" t="s">
        <v>20</v>
      </c>
      <c r="J22" s="6">
        <f>J21*3.6</f>
        <v>36.107270738883251</v>
      </c>
      <c r="O22" s="37">
        <v>180</v>
      </c>
      <c r="P22" s="29">
        <f t="shared" si="1"/>
        <v>5.133765256038112</v>
      </c>
      <c r="Q22" s="36">
        <f t="shared" si="4"/>
        <v>18.481554921737203</v>
      </c>
      <c r="R22" s="41">
        <v>180</v>
      </c>
      <c r="S22" s="29">
        <f t="shared" si="2"/>
        <v>4.103098947600369</v>
      </c>
      <c r="T22" s="36">
        <f t="shared" si="5"/>
        <v>14.771156211361328</v>
      </c>
      <c r="V22" s="28" t="s">
        <v>31</v>
      </c>
      <c r="W22" s="32" t="s">
        <v>15</v>
      </c>
      <c r="X22" s="32" t="s">
        <v>32</v>
      </c>
    </row>
    <row r="23" spans="1:25" ht="14.65" thickBot="1">
      <c r="A23" s="48">
        <v>-1.0999999999999999E-2</v>
      </c>
      <c r="B23" s="13">
        <v>82.241895869778702</v>
      </c>
      <c r="C23" s="14">
        <f t="shared" si="0"/>
        <v>8.5719575627006925E-2</v>
      </c>
      <c r="D23" s="1">
        <v>51.979766916347401</v>
      </c>
      <c r="E23" s="14">
        <f t="shared" si="3"/>
        <v>5.3943368485579658E-2</v>
      </c>
      <c r="G23" s="20" t="s">
        <v>21</v>
      </c>
      <c r="H23" s="24">
        <f>H20/((M2*10^-3)*9.81)</f>
        <v>8.0266320086497576</v>
      </c>
      <c r="I23" s="20" t="s">
        <v>21</v>
      </c>
      <c r="J23" s="24">
        <f>J20/((M2*10^-3)*9.81)</f>
        <v>5.1272597571883312</v>
      </c>
      <c r="O23" s="37">
        <v>190</v>
      </c>
      <c r="P23" s="29">
        <f t="shared" si="1"/>
        <v>5.4189744369291191</v>
      </c>
      <c r="Q23" s="36">
        <f t="shared" si="4"/>
        <v>19.508307972944831</v>
      </c>
      <c r="R23" s="41">
        <v>190</v>
      </c>
      <c r="S23" s="29">
        <f t="shared" si="2"/>
        <v>4.3310488891337231</v>
      </c>
      <c r="T23" s="36">
        <f t="shared" si="5"/>
        <v>15.591776000881403</v>
      </c>
      <c r="V23" s="52">
        <v>1</v>
      </c>
      <c r="W23" s="56">
        <f>H10</f>
        <v>12.549203959204275</v>
      </c>
      <c r="X23" s="57">
        <f>3.6*W23</f>
        <v>45.177134253135392</v>
      </c>
      <c r="Y23" s="4"/>
    </row>
    <row r="24" spans="1:25">
      <c r="A24" s="48">
        <v>-0.01</v>
      </c>
      <c r="B24" s="13">
        <v>89.197255384235305</v>
      </c>
      <c r="C24" s="14">
        <f t="shared" si="0"/>
        <v>9.1611480410059579E-2</v>
      </c>
      <c r="D24" s="1">
        <v>55.9069700548119</v>
      </c>
      <c r="E24" s="14">
        <f t="shared" si="3"/>
        <v>5.7218684754375304E-2</v>
      </c>
      <c r="G24" s="25"/>
      <c r="H24" s="26"/>
      <c r="I24" s="27"/>
      <c r="J24" s="27"/>
      <c r="O24" s="37">
        <v>200</v>
      </c>
      <c r="P24" s="29">
        <f t="shared" si="1"/>
        <v>5.7041836178201253</v>
      </c>
      <c r="Q24" s="36">
        <f t="shared" si="4"/>
        <v>20.535061024152451</v>
      </c>
      <c r="R24" s="41">
        <v>200</v>
      </c>
      <c r="S24" s="29">
        <f t="shared" si="2"/>
        <v>4.5589988306670763</v>
      </c>
      <c r="T24" s="36">
        <f t="shared" si="5"/>
        <v>16.412395790401476</v>
      </c>
      <c r="V24" s="52">
        <v>2</v>
      </c>
      <c r="W24" s="56">
        <f>SQRT(($H$9+(0.5*($M$2*10^-3)*(W23*10^2)))/(0.5*($M$2*10^-3)))</f>
        <v>37.581949336485138</v>
      </c>
      <c r="X24" s="58">
        <f t="shared" ref="X24:X42" si="6">3.6*W24</f>
        <v>135.29501761134651</v>
      </c>
    </row>
    <row r="25" spans="1:25">
      <c r="A25" s="48">
        <v>-9.0000000000000011E-3</v>
      </c>
      <c r="B25" s="13">
        <v>94.025705435884007</v>
      </c>
      <c r="C25" s="14">
        <f t="shared" si="0"/>
        <v>9.5011280754983191E-2</v>
      </c>
      <c r="D25" s="1">
        <v>58.530399453938699</v>
      </c>
      <c r="E25" s="14">
        <f t="shared" si="3"/>
        <v>5.8979907827840551E-2</v>
      </c>
      <c r="O25" s="37">
        <v>210</v>
      </c>
      <c r="P25" s="29">
        <f t="shared" si="1"/>
        <v>5.9893927987111306</v>
      </c>
      <c r="Q25" s="36">
        <f t="shared" si="4"/>
        <v>21.561814075360072</v>
      </c>
      <c r="R25" s="41">
        <v>210</v>
      </c>
      <c r="S25" s="29">
        <f t="shared" si="2"/>
        <v>4.7869487722004305</v>
      </c>
      <c r="T25" s="36">
        <f t="shared" si="5"/>
        <v>17.233015579921549</v>
      </c>
      <c r="V25" s="52">
        <v>3</v>
      </c>
      <c r="W25" s="56">
        <f>SQRT(($H$9+(0.5*($M$2*10^-3)*(W24*10^2)))/(0.5*($M$2*10^-3)))</f>
        <v>62.575374179130741</v>
      </c>
      <c r="X25" s="59">
        <f t="shared" si="6"/>
        <v>225.27134704487068</v>
      </c>
      <c r="Y25" s="4"/>
    </row>
    <row r="26" spans="1:25">
      <c r="A26" s="48">
        <v>-8.0000000000000002E-3</v>
      </c>
      <c r="B26" s="13">
        <v>95.996856074082203</v>
      </c>
      <c r="C26" s="14">
        <f t="shared" si="0"/>
        <v>9.53271565975609E-2</v>
      </c>
      <c r="D26" s="1">
        <v>59.429416201742399</v>
      </c>
      <c r="E26" s="14">
        <f t="shared" si="3"/>
        <v>5.8881420570116506E-2</v>
      </c>
      <c r="L26" s="3"/>
      <c r="M26" s="4"/>
      <c r="O26" s="37">
        <v>220</v>
      </c>
      <c r="P26" s="29">
        <f t="shared" si="1"/>
        <v>6.2746019796021377</v>
      </c>
      <c r="Q26" s="36">
        <f t="shared" si="4"/>
        <v>22.588567126567696</v>
      </c>
      <c r="R26" s="41">
        <v>220</v>
      </c>
      <c r="S26" s="29">
        <f t="shared" si="2"/>
        <v>5.0148987137337846</v>
      </c>
      <c r="T26" s="36">
        <f t="shared" si="5"/>
        <v>18.053635369441626</v>
      </c>
      <c r="V26" s="52">
        <v>4</v>
      </c>
      <c r="W26" s="56">
        <f>SQRT(($H$9+(0.5*($M$2*10^-3)*(W25*10^2)))/(0.5*($M$2*10^-3)))</f>
        <v>80.093819598785416</v>
      </c>
      <c r="X26" s="57">
        <f t="shared" si="6"/>
        <v>288.33775055562751</v>
      </c>
      <c r="Y26" s="4"/>
    </row>
    <row r="27" spans="1:25">
      <c r="A27" s="48">
        <v>-7.0000000000000001E-3</v>
      </c>
      <c r="B27" s="13">
        <v>94.657457121039599</v>
      </c>
      <c r="C27" s="14">
        <f t="shared" si="0"/>
        <v>9.2170877797697837E-2</v>
      </c>
      <c r="D27" s="1">
        <v>58.333424938490602</v>
      </c>
      <c r="E27" s="14">
        <f t="shared" si="3"/>
        <v>5.6702239754878002E-2</v>
      </c>
      <c r="O27" s="37">
        <v>230</v>
      </c>
      <c r="P27" s="29">
        <f t="shared" si="1"/>
        <v>6.5598111604931439</v>
      </c>
      <c r="Q27" s="36">
        <f t="shared" si="4"/>
        <v>23.61532017777532</v>
      </c>
      <c r="R27" s="41">
        <v>230</v>
      </c>
      <c r="S27" s="29">
        <f t="shared" si="2"/>
        <v>5.2428486552671378</v>
      </c>
      <c r="T27" s="36">
        <f t="shared" si="5"/>
        <v>18.874255158961695</v>
      </c>
      <c r="V27" s="52">
        <v>5</v>
      </c>
      <c r="W27" s="56">
        <f>SQRT(($H$9+(0.5*($M$2*10^-3)*(W26*10^2)))/(0.5*($M$2*10^-3)))</f>
        <v>90.370705872468704</v>
      </c>
      <c r="X27" s="58">
        <f t="shared" si="6"/>
        <v>325.33454114088732</v>
      </c>
      <c r="Y27" s="4"/>
    </row>
    <row r="28" spans="1:25">
      <c r="A28" s="48">
        <v>-6.0000000000000001E-3</v>
      </c>
      <c r="B28" s="13">
        <v>89.684298474356098</v>
      </c>
      <c r="C28" s="14">
        <f t="shared" si="0"/>
        <v>8.5410357703602308E-2</v>
      </c>
      <c r="D28" s="1">
        <v>55.0710545712654</v>
      </c>
      <c r="E28" s="14">
        <f t="shared" si="3"/>
        <v>5.2384407602019199E-2</v>
      </c>
      <c r="O28" s="37">
        <v>240</v>
      </c>
      <c r="P28" s="29">
        <f t="shared" si="1"/>
        <v>6.8450203413841511</v>
      </c>
      <c r="Q28" s="36">
        <f t="shared" si="4"/>
        <v>24.642073228982944</v>
      </c>
      <c r="R28" s="41">
        <v>240</v>
      </c>
      <c r="S28" s="29">
        <f t="shared" si="2"/>
        <v>5.470798596800492</v>
      </c>
      <c r="T28" s="36">
        <f t="shared" si="5"/>
        <v>19.694874948481772</v>
      </c>
      <c r="V28" s="52">
        <v>6</v>
      </c>
      <c r="W28" s="56">
        <f>SQRT(($H$9+(0.5*($M$2*10^-3)*(W27*10^2)))/(0.5*($M$2*10^-3)))</f>
        <v>95.888232371113077</v>
      </c>
      <c r="X28" s="59">
        <f t="shared" si="6"/>
        <v>345.19763653600711</v>
      </c>
      <c r="Y28" s="4"/>
    </row>
    <row r="29" spans="1:25">
      <c r="A29" s="48">
        <v>-5.0000000000000001E-3</v>
      </c>
      <c r="B29" s="13">
        <v>81.136416932848505</v>
      </c>
      <c r="C29" s="14">
        <f t="shared" si="0"/>
        <v>7.5209305147982658E-2</v>
      </c>
      <c r="D29" s="1">
        <v>49.697760632772997</v>
      </c>
      <c r="E29" s="14">
        <f t="shared" si="3"/>
        <v>4.6023672250034953E-2</v>
      </c>
      <c r="O29" s="37">
        <v>250</v>
      </c>
      <c r="P29" s="29">
        <f t="shared" si="1"/>
        <v>7.1302295222751555</v>
      </c>
      <c r="Q29" s="36">
        <f t="shared" si="4"/>
        <v>25.668826280190562</v>
      </c>
      <c r="R29" s="41">
        <v>250</v>
      </c>
      <c r="S29" s="29">
        <f t="shared" si="2"/>
        <v>5.6987485383338452</v>
      </c>
      <c r="T29" s="36">
        <f t="shared" si="5"/>
        <v>20.515494738001845</v>
      </c>
      <c r="V29" s="52">
        <v>7</v>
      </c>
      <c r="W29" s="56">
        <f t="shared" ref="W29:W32" si="7">SQRT(($H$9+(0.5*($M$2*10^-3)*(W28*10^2)))/(0.5*($M$2*10^-3)))</f>
        <v>98.723379992385873</v>
      </c>
      <c r="X29" s="57">
        <f t="shared" si="6"/>
        <v>355.40416797258916</v>
      </c>
      <c r="Y29" s="4"/>
    </row>
    <row r="30" spans="1:25">
      <c r="A30" s="48">
        <v>-4.0000000000000001E-3</v>
      </c>
      <c r="B30" s="13">
        <v>69.282193363116804</v>
      </c>
      <c r="C30" s="14">
        <f t="shared" si="0"/>
        <v>6.1944602726755955E-2</v>
      </c>
      <c r="D30" s="1">
        <v>42.3495838672969</v>
      </c>
      <c r="E30" s="14">
        <f t="shared" si="3"/>
        <v>3.7841946368706303E-2</v>
      </c>
      <c r="O30" s="37">
        <v>260</v>
      </c>
      <c r="P30" s="29">
        <f t="shared" si="1"/>
        <v>7.4154387031661626</v>
      </c>
      <c r="Q30" s="36">
        <f t="shared" si="4"/>
        <v>26.695579331398186</v>
      </c>
      <c r="R30" s="41">
        <v>260</v>
      </c>
      <c r="S30" s="29">
        <f t="shared" si="2"/>
        <v>5.9266984798672002</v>
      </c>
      <c r="T30" s="36">
        <f t="shared" si="5"/>
        <v>21.336114527521922</v>
      </c>
      <c r="V30" s="52">
        <v>8</v>
      </c>
      <c r="W30" s="56">
        <f t="shared" si="7"/>
        <v>100.14899160375153</v>
      </c>
      <c r="X30" s="59">
        <f t="shared" si="6"/>
        <v>360.5363697735055</v>
      </c>
      <c r="Y30" s="4"/>
    </row>
    <row r="31" spans="1:25">
      <c r="A31" s="48">
        <v>-3.0000000000000001E-3</v>
      </c>
      <c r="B31" s="13">
        <v>54.607012090395102</v>
      </c>
      <c r="C31" s="14">
        <f t="shared" si="0"/>
        <v>4.6142886918242455E-2</v>
      </c>
      <c r="D31" s="1">
        <v>33.334308870115699</v>
      </c>
      <c r="E31" s="14">
        <f t="shared" si="3"/>
        <v>2.8156267011299901E-2</v>
      </c>
      <c r="O31" s="37">
        <v>270</v>
      </c>
      <c r="P31" s="29">
        <f t="shared" si="1"/>
        <v>7.7006478840571688</v>
      </c>
      <c r="Q31" s="36">
        <f t="shared" si="4"/>
        <v>27.72233238260581</v>
      </c>
      <c r="R31" s="41">
        <v>270</v>
      </c>
      <c r="S31" s="29">
        <f t="shared" si="2"/>
        <v>6.1546484214005535</v>
      </c>
      <c r="T31" s="36">
        <f t="shared" si="5"/>
        <v>22.156734317041995</v>
      </c>
      <c r="V31" s="52">
        <v>9</v>
      </c>
      <c r="W31" s="56">
        <f t="shared" si="7"/>
        <v>100.85822564563021</v>
      </c>
      <c r="X31" s="57">
        <f t="shared" si="6"/>
        <v>363.08961232426878</v>
      </c>
      <c r="Y31" s="4"/>
    </row>
    <row r="32" spans="1:25">
      <c r="A32" s="48">
        <v>-2E-3</v>
      </c>
      <c r="B32" s="13">
        <v>37.678761746089798</v>
      </c>
      <c r="C32" s="14">
        <f t="shared" si="0"/>
        <v>2.8442357661377749E-2</v>
      </c>
      <c r="D32" s="1">
        <v>22.9782251524841</v>
      </c>
      <c r="E32" s="14">
        <f t="shared" si="3"/>
        <v>1.7360718663128348E-2</v>
      </c>
      <c r="O32" s="37">
        <v>280</v>
      </c>
      <c r="P32" s="29">
        <f t="shared" si="1"/>
        <v>7.9858570649481759</v>
      </c>
      <c r="Q32" s="36">
        <f t="shared" si="4"/>
        <v>28.749085433813434</v>
      </c>
      <c r="R32" s="41">
        <v>280</v>
      </c>
      <c r="S32" s="29">
        <f t="shared" si="2"/>
        <v>6.3825983629339076</v>
      </c>
      <c r="T32" s="36">
        <f t="shared" si="5"/>
        <v>22.977354106562068</v>
      </c>
      <c r="V32" s="53">
        <v>10</v>
      </c>
      <c r="W32" s="60">
        <f t="shared" si="7"/>
        <v>101.20921442523269</v>
      </c>
      <c r="X32" s="57">
        <f t="shared" si="6"/>
        <v>364.35317193083768</v>
      </c>
      <c r="Y32" s="4"/>
    </row>
    <row r="33" spans="1:25">
      <c r="A33" s="48">
        <v>-1E-3</v>
      </c>
      <c r="B33" s="13">
        <v>19.205953576665699</v>
      </c>
      <c r="C33" s="14">
        <f t="shared" si="0"/>
        <v>9.6029767883328496E-3</v>
      </c>
      <c r="D33" s="1">
        <v>11.7432121737726</v>
      </c>
      <c r="E33" s="14">
        <f t="shared" si="3"/>
        <v>5.8716060868862999E-3</v>
      </c>
      <c r="O33" s="37">
        <v>290</v>
      </c>
      <c r="P33" s="29">
        <f t="shared" si="1"/>
        <v>8.2710662458391813</v>
      </c>
      <c r="Q33" s="36">
        <f t="shared" si="4"/>
        <v>29.775838485021055</v>
      </c>
      <c r="R33" s="41">
        <v>290</v>
      </c>
      <c r="S33" s="29">
        <f t="shared" si="2"/>
        <v>6.6105483044672608</v>
      </c>
      <c r="T33" s="36">
        <f t="shared" si="5"/>
        <v>23.797973896082141</v>
      </c>
      <c r="V33" s="53">
        <v>11</v>
      </c>
      <c r="W33" s="60">
        <f t="shared" ref="W33:W42" si="8">SQRT(($H$9+(0.5*($M$2*10^-3)*(W32*10^2)))/(0.5*($M$2*10^-3)))</f>
        <v>101.38246378212052</v>
      </c>
      <c r="X33" s="57">
        <f t="shared" si="6"/>
        <v>364.97686961563392</v>
      </c>
      <c r="Y33" s="4"/>
    </row>
    <row r="34" spans="1:25" ht="15" customHeight="1" thickBot="1">
      <c r="A34" s="48">
        <v>0</v>
      </c>
      <c r="B34" s="13">
        <v>0</v>
      </c>
      <c r="C34" s="50">
        <f>SUBTOTAL(109,Table2[integral (J)])</f>
        <v>1.2598601600776662</v>
      </c>
      <c r="D34" s="13">
        <v>0</v>
      </c>
      <c r="E34" s="43">
        <f>SUBTOTAL(109,Table4[integral (J)])</f>
        <v>0.80477469148828051</v>
      </c>
      <c r="F34" s="19"/>
      <c r="O34" s="37">
        <v>300</v>
      </c>
      <c r="P34" s="29">
        <f t="shared" si="1"/>
        <v>8.5562754267301884</v>
      </c>
      <c r="Q34" s="36">
        <f t="shared" si="4"/>
        <v>30.802591536228679</v>
      </c>
      <c r="R34" s="41">
        <v>300</v>
      </c>
      <c r="S34" s="29">
        <f t="shared" si="2"/>
        <v>6.838498246000615</v>
      </c>
      <c r="T34" s="36">
        <f t="shared" si="5"/>
        <v>24.618593685602214</v>
      </c>
      <c r="V34" s="53">
        <v>12</v>
      </c>
      <c r="W34" s="60">
        <f t="shared" si="8"/>
        <v>101.46787126091569</v>
      </c>
      <c r="X34" s="57">
        <f t="shared" si="6"/>
        <v>365.28433653929648</v>
      </c>
      <c r="Y34" s="4"/>
    </row>
    <row r="35" spans="1:25" ht="14.65" thickTop="1">
      <c r="A35" s="48">
        <v>1E-3</v>
      </c>
      <c r="B35" s="13">
        <f>-B33</f>
        <v>-19.205953576665699</v>
      </c>
      <c r="C35" s="44"/>
      <c r="D35" s="13">
        <f>-D33</f>
        <v>-11.7432121737726</v>
      </c>
      <c r="E35" s="44"/>
      <c r="O35" s="37">
        <v>310</v>
      </c>
      <c r="P35" s="29">
        <f t="shared" si="1"/>
        <v>8.8414846076211937</v>
      </c>
      <c r="Q35" s="36">
        <f t="shared" si="4"/>
        <v>31.829344587436299</v>
      </c>
      <c r="R35" s="41">
        <v>310</v>
      </c>
      <c r="S35" s="29">
        <f t="shared" si="2"/>
        <v>7.0664481875339691</v>
      </c>
      <c r="T35" s="36">
        <f t="shared" si="5"/>
        <v>25.43921347512229</v>
      </c>
      <c r="V35" s="53">
        <v>13</v>
      </c>
      <c r="W35" s="60">
        <f t="shared" si="8"/>
        <v>101.50994850802199</v>
      </c>
      <c r="X35" s="57">
        <f t="shared" si="6"/>
        <v>365.4358146288792</v>
      </c>
      <c r="Y35" s="4"/>
    </row>
    <row r="36" spans="1:25">
      <c r="A36" s="48">
        <v>2E-3</v>
      </c>
      <c r="B36" s="13">
        <f>-B32</f>
        <v>-37.678761746089798</v>
      </c>
      <c r="C36" s="44"/>
      <c r="D36" s="13">
        <f>-D32</f>
        <v>-22.9782251524841</v>
      </c>
      <c r="E36" s="44"/>
      <c r="O36" s="37">
        <v>320</v>
      </c>
      <c r="P36" s="29">
        <f t="shared" ref="P36:P54" si="9">SQRT(((680*10^-6)*(O36^2)*($H$13/100))/($M$2*10^-3))</f>
        <v>9.1266937885122008</v>
      </c>
      <c r="Q36" s="36">
        <f t="shared" si="4"/>
        <v>32.856097638643924</v>
      </c>
      <c r="R36" s="41">
        <v>320</v>
      </c>
      <c r="S36" s="29">
        <f t="shared" ref="S36:S54" si="10">SQRT(((680*10^-6)*(R36^2)*($J$13/100))/($M$2*10^-3))</f>
        <v>7.2943981290673223</v>
      </c>
      <c r="T36" s="36">
        <f t="shared" si="5"/>
        <v>26.25983326464236</v>
      </c>
      <c r="V36" s="53">
        <v>14</v>
      </c>
      <c r="W36" s="60">
        <f t="shared" si="8"/>
        <v>101.53067206914325</v>
      </c>
      <c r="X36" s="58">
        <f t="shared" si="6"/>
        <v>365.51041944891568</v>
      </c>
      <c r="Y36" s="4"/>
    </row>
    <row r="37" spans="1:25">
      <c r="A37" s="48">
        <v>3.0000000000000001E-3</v>
      </c>
      <c r="B37" s="13">
        <f>-B31</f>
        <v>-54.607012090395102</v>
      </c>
      <c r="C37" s="44"/>
      <c r="D37" s="13">
        <f>-D31</f>
        <v>-33.334308870115699</v>
      </c>
      <c r="E37" s="44"/>
      <c r="O37" s="37">
        <v>330</v>
      </c>
      <c r="P37" s="29">
        <f t="shared" si="9"/>
        <v>9.4119029694032061</v>
      </c>
      <c r="Q37" s="36">
        <f t="shared" si="4"/>
        <v>33.882850689851544</v>
      </c>
      <c r="R37" s="41">
        <v>330</v>
      </c>
      <c r="S37" s="29">
        <f t="shared" si="10"/>
        <v>7.5223480706006765</v>
      </c>
      <c r="T37" s="36">
        <f t="shared" si="5"/>
        <v>27.080453054162437</v>
      </c>
      <c r="V37" s="53">
        <v>15</v>
      </c>
      <c r="W37" s="60">
        <f t="shared" si="8"/>
        <v>101.54087712307803</v>
      </c>
      <c r="X37" s="58">
        <f t="shared" si="6"/>
        <v>365.54715764308094</v>
      </c>
      <c r="Y37" s="4"/>
    </row>
    <row r="38" spans="1:25">
      <c r="A38" s="48">
        <v>4.0000000000000001E-3</v>
      </c>
      <c r="B38" s="13">
        <f>-B30</f>
        <v>-69.282193363116804</v>
      </c>
      <c r="C38" s="44"/>
      <c r="D38" s="13">
        <f>-D30</f>
        <v>-42.3495838672969</v>
      </c>
      <c r="E38" s="44"/>
      <c r="O38" s="37">
        <v>340</v>
      </c>
      <c r="P38" s="29">
        <f t="shared" si="9"/>
        <v>9.6971121502942115</v>
      </c>
      <c r="Q38" s="36">
        <f t="shared" si="4"/>
        <v>34.909603741059165</v>
      </c>
      <c r="R38" s="41">
        <v>340</v>
      </c>
      <c r="S38" s="29">
        <f t="shared" si="10"/>
        <v>7.7502980121340306</v>
      </c>
      <c r="T38" s="36">
        <f t="shared" si="5"/>
        <v>27.90107284368251</v>
      </c>
      <c r="V38" s="53">
        <v>16</v>
      </c>
      <c r="W38" s="60">
        <f t="shared" si="8"/>
        <v>101.54590209514862</v>
      </c>
      <c r="X38" s="59">
        <f t="shared" si="6"/>
        <v>365.56524754253502</v>
      </c>
      <c r="Y38" s="4"/>
    </row>
    <row r="39" spans="1:25">
      <c r="A39" s="48">
        <v>5.0000000000000001E-3</v>
      </c>
      <c r="B39" s="13">
        <f>-B29</f>
        <v>-81.136416932848505</v>
      </c>
      <c r="C39" s="44"/>
      <c r="D39" s="13">
        <f>-D29</f>
        <v>-49.697760632772997</v>
      </c>
      <c r="E39" s="44"/>
      <c r="O39" s="37">
        <v>350</v>
      </c>
      <c r="P39" s="29">
        <f t="shared" si="9"/>
        <v>9.9823213311852186</v>
      </c>
      <c r="Q39" s="36">
        <f t="shared" si="4"/>
        <v>35.936356792266785</v>
      </c>
      <c r="R39" s="41">
        <v>350</v>
      </c>
      <c r="S39" s="29">
        <f t="shared" si="10"/>
        <v>7.9782479536673847</v>
      </c>
      <c r="T39" s="36">
        <f t="shared" si="5"/>
        <v>28.721692633202586</v>
      </c>
      <c r="V39" s="53">
        <v>17</v>
      </c>
      <c r="W39" s="60">
        <f t="shared" si="8"/>
        <v>101.54837630176353</v>
      </c>
      <c r="X39" s="57">
        <f t="shared" si="6"/>
        <v>365.57415468634872</v>
      </c>
      <c r="Y39" s="4"/>
    </row>
    <row r="40" spans="1:25">
      <c r="A40" s="48">
        <v>6.0000000000000001E-3</v>
      </c>
      <c r="B40" s="13">
        <f>-B28</f>
        <v>-89.684298474356098</v>
      </c>
      <c r="C40" s="44"/>
      <c r="D40" s="13">
        <f>-D28</f>
        <v>-55.0710545712654</v>
      </c>
      <c r="E40" s="44"/>
      <c r="O40" s="37">
        <v>360</v>
      </c>
      <c r="P40" s="29">
        <f t="shared" si="9"/>
        <v>10.267530512076224</v>
      </c>
      <c r="Q40" s="36">
        <f t="shared" si="4"/>
        <v>36.963109843474406</v>
      </c>
      <c r="R40" s="41">
        <v>360</v>
      </c>
      <c r="S40" s="29">
        <f t="shared" si="10"/>
        <v>8.2061978952007379</v>
      </c>
      <c r="T40" s="36">
        <f t="shared" si="5"/>
        <v>29.542312422722656</v>
      </c>
      <c r="V40" s="53">
        <v>18</v>
      </c>
      <c r="W40" s="60">
        <f t="shared" si="8"/>
        <v>101.54959453481861</v>
      </c>
      <c r="X40" s="58">
        <f t="shared" si="6"/>
        <v>365.57854032534698</v>
      </c>
      <c r="Y40" s="4"/>
    </row>
    <row r="41" spans="1:25">
      <c r="A41" s="48">
        <v>7.0000000000000001E-3</v>
      </c>
      <c r="B41" s="13">
        <f>-B27</f>
        <v>-94.657457121039599</v>
      </c>
      <c r="C41" s="44"/>
      <c r="D41" s="13">
        <f>-D27</f>
        <v>-58.333424938490602</v>
      </c>
      <c r="E41" s="44"/>
      <c r="O41" s="37">
        <v>370</v>
      </c>
      <c r="P41" s="29">
        <f t="shared" si="9"/>
        <v>10.552739692967231</v>
      </c>
      <c r="Q41" s="36">
        <f t="shared" si="4"/>
        <v>37.989862894682034</v>
      </c>
      <c r="R41" s="41">
        <v>370</v>
      </c>
      <c r="S41" s="29">
        <f t="shared" si="10"/>
        <v>8.434147836734093</v>
      </c>
      <c r="T41" s="36">
        <f t="shared" si="5"/>
        <v>30.362932212242736</v>
      </c>
      <c r="V41" s="53">
        <v>19</v>
      </c>
      <c r="W41" s="60">
        <f t="shared" si="8"/>
        <v>101.55019435477004</v>
      </c>
      <c r="X41" s="58">
        <f t="shared" si="6"/>
        <v>365.58069967717216</v>
      </c>
      <c r="Y41" s="4"/>
    </row>
    <row r="42" spans="1:25">
      <c r="A42" s="48">
        <v>8.0000000000000002E-3</v>
      </c>
      <c r="B42" s="13">
        <f>-B26</f>
        <v>-95.996856074082203</v>
      </c>
      <c r="C42" s="44"/>
      <c r="D42" s="13">
        <f>-D26</f>
        <v>-59.429416201742399</v>
      </c>
      <c r="E42" s="44"/>
      <c r="O42" s="37">
        <v>380</v>
      </c>
      <c r="P42" s="29">
        <f t="shared" si="9"/>
        <v>10.837948873858238</v>
      </c>
      <c r="Q42" s="36">
        <f t="shared" si="4"/>
        <v>39.016615945889662</v>
      </c>
      <c r="R42" s="41">
        <v>380</v>
      </c>
      <c r="S42" s="29">
        <f t="shared" si="10"/>
        <v>8.6620977782674462</v>
      </c>
      <c r="T42" s="36">
        <f t="shared" si="5"/>
        <v>31.183552001762806</v>
      </c>
      <c r="V42" s="52">
        <v>20</v>
      </c>
      <c r="W42" s="56">
        <f t="shared" si="8"/>
        <v>101.55048968610005</v>
      </c>
      <c r="X42" s="58">
        <f t="shared" si="6"/>
        <v>365.58176286996019</v>
      </c>
      <c r="Y42" s="4"/>
    </row>
    <row r="43" spans="1:25">
      <c r="A43" s="48">
        <v>9.0000000000000011E-3</v>
      </c>
      <c r="B43" s="13">
        <f>-B25</f>
        <v>-94.025705435884007</v>
      </c>
      <c r="C43" s="44"/>
      <c r="D43" s="13">
        <f>-D25</f>
        <v>-58.530399453938699</v>
      </c>
      <c r="E43" s="44"/>
      <c r="O43" s="37">
        <v>390</v>
      </c>
      <c r="P43" s="29">
        <f t="shared" si="9"/>
        <v>11.123158054749245</v>
      </c>
      <c r="Q43" s="36">
        <f t="shared" si="4"/>
        <v>40.043368997097282</v>
      </c>
      <c r="R43" s="41">
        <v>390</v>
      </c>
      <c r="S43" s="29">
        <f t="shared" si="10"/>
        <v>8.8900477198007994</v>
      </c>
      <c r="T43" s="36">
        <f t="shared" si="5"/>
        <v>32.004171791282879</v>
      </c>
      <c r="V43" s="55"/>
      <c r="W43" s="55"/>
      <c r="X43" s="54"/>
      <c r="Y43" s="4"/>
    </row>
    <row r="44" spans="1:25">
      <c r="A44" s="48">
        <v>0.01</v>
      </c>
      <c r="B44" s="13">
        <f>-B24</f>
        <v>-89.197255384235305</v>
      </c>
      <c r="C44" s="44"/>
      <c r="D44" s="13">
        <f>-D24</f>
        <v>-55.9069700548119</v>
      </c>
      <c r="E44" s="44"/>
      <c r="O44" s="37">
        <v>400</v>
      </c>
      <c r="P44" s="29">
        <f t="shared" si="9"/>
        <v>11.408367235640251</v>
      </c>
      <c r="Q44" s="36">
        <f t="shared" si="4"/>
        <v>41.070122048304903</v>
      </c>
      <c r="R44" s="41">
        <v>400</v>
      </c>
      <c r="S44" s="29">
        <f t="shared" si="10"/>
        <v>9.1179976613341527</v>
      </c>
      <c r="T44" s="36">
        <f t="shared" si="5"/>
        <v>32.824791580802952</v>
      </c>
      <c r="V44" s="55"/>
      <c r="W44" s="55"/>
      <c r="X44" s="54"/>
      <c r="Y44" s="4"/>
    </row>
    <row r="45" spans="1:25">
      <c r="A45" s="48">
        <v>1.0999999999999999E-2</v>
      </c>
      <c r="B45" s="13">
        <f>-B23</f>
        <v>-82.241895869778702</v>
      </c>
      <c r="C45" s="44"/>
      <c r="D45" s="13">
        <f>-D23</f>
        <v>-51.979766916347401</v>
      </c>
      <c r="E45" s="44"/>
      <c r="O45" s="37">
        <v>410</v>
      </c>
      <c r="P45" s="29">
        <f t="shared" si="9"/>
        <v>11.693576416531258</v>
      </c>
      <c r="Q45" s="36">
        <f t="shared" si="4"/>
        <v>42.09687509951253</v>
      </c>
      <c r="R45" s="41">
        <v>410</v>
      </c>
      <c r="S45" s="29">
        <f t="shared" si="10"/>
        <v>9.3459476028675077</v>
      </c>
      <c r="T45" s="36">
        <f t="shared" si="5"/>
        <v>33.645411370323032</v>
      </c>
      <c r="V45" s="55"/>
      <c r="W45" s="55"/>
      <c r="X45" s="54"/>
      <c r="Y45" s="4"/>
    </row>
    <row r="46" spans="1:25">
      <c r="A46" s="48">
        <v>1.2E-2</v>
      </c>
      <c r="B46" s="13">
        <f>-B22</f>
        <v>-73.921707370122107</v>
      </c>
      <c r="C46" s="44"/>
      <c r="D46" s="13">
        <f>-D22</f>
        <v>-47.165578780949502</v>
      </c>
      <c r="E46" s="44"/>
      <c r="O46" s="37">
        <v>420</v>
      </c>
      <c r="P46" s="29">
        <f t="shared" si="9"/>
        <v>11.978785597422261</v>
      </c>
      <c r="Q46" s="36">
        <f t="shared" si="4"/>
        <v>43.123628150720144</v>
      </c>
      <c r="R46" s="41">
        <v>420</v>
      </c>
      <c r="S46" s="29">
        <f t="shared" si="10"/>
        <v>9.5738975444008609</v>
      </c>
      <c r="T46" s="36">
        <f t="shared" si="5"/>
        <v>34.466031159843098</v>
      </c>
      <c r="V46" s="55"/>
      <c r="W46" s="55"/>
      <c r="X46" s="54"/>
      <c r="Y46" s="4"/>
    </row>
    <row r="47" spans="1:25">
      <c r="A47" s="48">
        <v>1.3000000000000001E-2</v>
      </c>
      <c r="B47" s="13">
        <f>-B21</f>
        <v>-64.985139194579205</v>
      </c>
      <c r="C47" s="44"/>
      <c r="D47" s="13">
        <f>-D21</f>
        <v>-41.921778723723598</v>
      </c>
      <c r="E47" s="44"/>
      <c r="O47" s="37">
        <v>430</v>
      </c>
      <c r="P47" s="29">
        <f t="shared" si="9"/>
        <v>12.263994778313268</v>
      </c>
      <c r="Q47" s="36">
        <f t="shared" si="4"/>
        <v>44.150381201927765</v>
      </c>
      <c r="R47" s="41">
        <v>430</v>
      </c>
      <c r="S47" s="29">
        <f t="shared" si="10"/>
        <v>9.8018474859342142</v>
      </c>
      <c r="T47" s="36">
        <f t="shared" si="5"/>
        <v>35.286650949363171</v>
      </c>
      <c r="V47" s="55"/>
      <c r="W47" s="55"/>
      <c r="X47" s="54"/>
      <c r="Y47" s="4"/>
    </row>
    <row r="48" spans="1:25">
      <c r="A48" s="48">
        <v>1.4E-2</v>
      </c>
      <c r="B48" s="13">
        <f>-B20</f>
        <v>-56.054233085232397</v>
      </c>
      <c r="C48" s="44"/>
      <c r="D48" s="13">
        <f>-D20</f>
        <v>-36.5903889312724</v>
      </c>
      <c r="E48" s="44"/>
      <c r="O48" s="37">
        <v>440</v>
      </c>
      <c r="P48" s="29">
        <f t="shared" si="9"/>
        <v>12.549203959204275</v>
      </c>
      <c r="Q48" s="36">
        <f t="shared" si="4"/>
        <v>45.177134253135392</v>
      </c>
      <c r="R48" s="41">
        <v>440</v>
      </c>
      <c r="S48" s="29">
        <f t="shared" si="10"/>
        <v>10.029797427467569</v>
      </c>
      <c r="T48" s="36">
        <f t="shared" si="5"/>
        <v>36.107270738883251</v>
      </c>
      <c r="V48" s="55"/>
      <c r="W48" s="55"/>
      <c r="X48" s="54"/>
      <c r="Y48" s="4"/>
    </row>
    <row r="49" spans="1:25">
      <c r="A49" s="48">
        <v>1.4999999999999999E-2</v>
      </c>
      <c r="B49" s="13">
        <f>-B19</f>
        <v>-47.592910759522802</v>
      </c>
      <c r="C49" s="44"/>
      <c r="D49" s="13">
        <f>-D19</f>
        <v>-31.467380998922401</v>
      </c>
      <c r="E49" s="44"/>
      <c r="O49" s="37">
        <v>450</v>
      </c>
      <c r="P49" s="29">
        <f t="shared" si="9"/>
        <v>12.834413140095283</v>
      </c>
      <c r="Q49" s="36">
        <f t="shared" si="4"/>
        <v>46.20388730434302</v>
      </c>
      <c r="R49" s="41">
        <v>450</v>
      </c>
      <c r="S49" s="29">
        <f t="shared" si="10"/>
        <v>10.257747369000922</v>
      </c>
      <c r="T49" s="36">
        <f t="shared" si="5"/>
        <v>36.927890528403324</v>
      </c>
      <c r="V49" s="55"/>
      <c r="W49" s="55"/>
      <c r="X49" s="54"/>
      <c r="Y49" s="4"/>
    </row>
    <row r="50" spans="1:25">
      <c r="A50" s="48">
        <v>1.6E-2</v>
      </c>
      <c r="B50" s="13">
        <f>-B18</f>
        <v>-39.898174387185698</v>
      </c>
      <c r="C50" s="44"/>
      <c r="D50" s="13">
        <f>-D18</f>
        <v>-26.742607468214601</v>
      </c>
      <c r="E50" s="44"/>
      <c r="O50" s="37">
        <v>460</v>
      </c>
      <c r="P50" s="29">
        <f t="shared" si="9"/>
        <v>13.119622320986288</v>
      </c>
      <c r="Q50" s="36">
        <f t="shared" si="4"/>
        <v>47.230640355550641</v>
      </c>
      <c r="R50" s="41">
        <v>460</v>
      </c>
      <c r="S50" s="29">
        <f t="shared" si="10"/>
        <v>10.485697310534276</v>
      </c>
      <c r="T50" s="36">
        <f t="shared" si="5"/>
        <v>37.74851031792339</v>
      </c>
      <c r="V50" s="55"/>
      <c r="W50" s="55"/>
      <c r="X50" s="54"/>
      <c r="Y50" s="4"/>
    </row>
    <row r="51" spans="1:25">
      <c r="A51" s="48">
        <v>1.7000000000000001E-2</v>
      </c>
      <c r="B51" s="13">
        <f>-B17</f>
        <v>-33.1086785850204</v>
      </c>
      <c r="C51" s="44"/>
      <c r="D51" s="13">
        <f>-D17</f>
        <v>-22.517725543813398</v>
      </c>
      <c r="E51" s="44"/>
      <c r="O51" s="37">
        <v>470</v>
      </c>
      <c r="P51" s="29">
        <f t="shared" si="9"/>
        <v>13.404831501877295</v>
      </c>
      <c r="Q51" s="36">
        <f t="shared" si="4"/>
        <v>48.257393406758261</v>
      </c>
      <c r="R51" s="41">
        <v>470</v>
      </c>
      <c r="S51" s="29">
        <f t="shared" si="10"/>
        <v>10.713647252067631</v>
      </c>
      <c r="T51" s="36">
        <f t="shared" si="5"/>
        <v>38.56913010744347</v>
      </c>
      <c r="V51" s="55"/>
      <c r="W51" s="55"/>
      <c r="X51" s="54"/>
    </row>
    <row r="52" spans="1:25">
      <c r="A52" s="48">
        <v>1.8000000000000002E-2</v>
      </c>
      <c r="B52" s="13">
        <f>-B16</f>
        <v>-27.2610130874215</v>
      </c>
      <c r="C52" s="44"/>
      <c r="D52" s="13">
        <f>-D16</f>
        <v>-18.8163072102098</v>
      </c>
      <c r="E52" s="44"/>
      <c r="O52" s="37">
        <v>480</v>
      </c>
      <c r="P52" s="29">
        <f t="shared" si="9"/>
        <v>13.690040682768302</v>
      </c>
      <c r="Q52" s="36">
        <f t="shared" si="4"/>
        <v>49.284146457965889</v>
      </c>
      <c r="R52" s="41">
        <v>480</v>
      </c>
      <c r="S52" s="29">
        <f t="shared" si="10"/>
        <v>10.941597193600984</v>
      </c>
      <c r="T52" s="36">
        <f t="shared" si="5"/>
        <v>39.389749896963544</v>
      </c>
      <c r="V52" s="55"/>
      <c r="W52" s="55"/>
      <c r="X52" s="54"/>
    </row>
    <row r="53" spans="1:25">
      <c r="A53" s="48">
        <v>1.9E-2</v>
      </c>
      <c r="B53" s="13">
        <f>-B15</f>
        <v>-22.3233257629707</v>
      </c>
      <c r="C53" s="44"/>
      <c r="D53" s="13">
        <f>-D15</f>
        <v>-15.6395876029005</v>
      </c>
      <c r="E53" s="44"/>
      <c r="O53" s="37">
        <v>490</v>
      </c>
      <c r="P53" s="29">
        <f t="shared" si="9"/>
        <v>13.975249863659306</v>
      </c>
      <c r="Q53" s="36">
        <f t="shared" si="4"/>
        <v>50.310899509173503</v>
      </c>
      <c r="R53" s="41">
        <v>490</v>
      </c>
      <c r="S53" s="29">
        <f t="shared" si="10"/>
        <v>11.169547135134337</v>
      </c>
      <c r="T53" s="36">
        <f t="shared" si="5"/>
        <v>40.210369686483617</v>
      </c>
      <c r="V53" s="55"/>
      <c r="W53" s="55"/>
      <c r="X53" s="54"/>
    </row>
    <row r="54" spans="1:25" ht="14.65" thickBot="1">
      <c r="A54" s="48">
        <v>0.02</v>
      </c>
      <c r="B54" s="13">
        <f>-B14</f>
        <v>-18.213491212333999</v>
      </c>
      <c r="C54" s="44"/>
      <c r="D54" s="13">
        <f>-D14</f>
        <v>-12.953761733173801</v>
      </c>
      <c r="E54" s="44"/>
      <c r="N54" s="2"/>
      <c r="O54" s="38">
        <v>500</v>
      </c>
      <c r="P54" s="39">
        <f t="shared" si="9"/>
        <v>14.260459044550311</v>
      </c>
      <c r="Q54" s="40">
        <f t="shared" si="4"/>
        <v>51.337652560381123</v>
      </c>
      <c r="R54" s="42">
        <v>500</v>
      </c>
      <c r="S54" s="39">
        <f t="shared" si="10"/>
        <v>11.39749707666769</v>
      </c>
      <c r="T54" s="40">
        <f t="shared" si="5"/>
        <v>41.03098947600369</v>
      </c>
      <c r="V54" s="55"/>
      <c r="W54" s="55"/>
      <c r="X54" s="54"/>
    </row>
    <row r="55" spans="1:25">
      <c r="A55" s="48">
        <v>2.1000000000000001E-2</v>
      </c>
      <c r="B55" s="13">
        <f>-B13</f>
        <v>-14.8273082745518</v>
      </c>
      <c r="C55" s="44"/>
      <c r="D55" s="13">
        <f>-D13</f>
        <v>-10.7037534291194</v>
      </c>
      <c r="E55" s="44"/>
      <c r="V55" s="55"/>
      <c r="W55" s="55"/>
    </row>
    <row r="56" spans="1:25">
      <c r="A56" s="48">
        <v>2.1999999999999999E-2</v>
      </c>
      <c r="B56" s="13">
        <f>-B12</f>
        <v>-12.0622394205398</v>
      </c>
      <c r="C56" s="44"/>
      <c r="D56" s="13">
        <f>-D12</f>
        <v>-8.8343301265349101</v>
      </c>
      <c r="E56" s="44"/>
      <c r="V56" s="55"/>
      <c r="W56" s="55"/>
    </row>
    <row r="57" spans="1:25">
      <c r="A57" s="48">
        <v>2.3E-2</v>
      </c>
      <c r="B57" s="13">
        <f>-B11</f>
        <v>-9.8171208848514606</v>
      </c>
      <c r="C57" s="44"/>
      <c r="D57" s="13">
        <f>-D11</f>
        <v>-7.29063411918096</v>
      </c>
      <c r="E57" s="44"/>
      <c r="V57" s="55"/>
      <c r="W57" s="55"/>
    </row>
    <row r="58" spans="1:25">
      <c r="A58" s="48">
        <v>2.4E-2</v>
      </c>
      <c r="B58" s="13">
        <f>-B10</f>
        <v>-8.0000485031915307</v>
      </c>
      <c r="C58" s="44"/>
      <c r="D58" s="13">
        <f>-D10</f>
        <v>-6.02178481465989</v>
      </c>
      <c r="E58" s="44"/>
      <c r="V58" s="55"/>
      <c r="W58" s="55"/>
    </row>
    <row r="59" spans="1:25">
      <c r="A59" s="48">
        <v>2.5000000000000001E-2</v>
      </c>
      <c r="B59" s="13">
        <f>-B9</f>
        <v>-6.5305279438256996</v>
      </c>
      <c r="C59" s="44"/>
      <c r="D59" s="13">
        <f>-D9</f>
        <v>-4.9788895002781599</v>
      </c>
      <c r="E59" s="44"/>
      <c r="V59" s="55"/>
      <c r="W59" s="55"/>
    </row>
    <row r="60" spans="1:25">
      <c r="A60" s="48">
        <v>2.6000000000000002E-2</v>
      </c>
      <c r="B60" s="13">
        <f>-B8</f>
        <v>-5.3406636198390602</v>
      </c>
      <c r="C60" s="44"/>
      <c r="D60" s="13">
        <f>-D8</f>
        <v>-4.1245593859307998</v>
      </c>
      <c r="E60" s="44"/>
      <c r="V60" s="55"/>
      <c r="W60" s="55"/>
    </row>
    <row r="61" spans="1:25">
      <c r="A61" s="48">
        <v>2.7E-2</v>
      </c>
      <c r="B61" s="13">
        <f>-B7</f>
        <v>-4.3840463176290996</v>
      </c>
      <c r="C61" s="44"/>
      <c r="D61" s="13">
        <f>-D7</f>
        <v>-3.4249102537281799</v>
      </c>
      <c r="E61" s="44"/>
      <c r="V61" s="55"/>
      <c r="W61" s="55"/>
    </row>
    <row r="62" spans="1:25">
      <c r="A62" s="48">
        <v>2.8000000000000001E-2</v>
      </c>
      <c r="B62" s="13">
        <f>-B6</f>
        <v>-3.6093040826121801</v>
      </c>
      <c r="C62" s="44"/>
      <c r="D62" s="13">
        <f>-D6</f>
        <v>-2.8506298309514402</v>
      </c>
      <c r="E62" s="44"/>
      <c r="V62" s="55"/>
      <c r="W62" s="55"/>
    </row>
    <row r="63" spans="1:25">
      <c r="A63" s="48">
        <v>2.9000000000000001E-2</v>
      </c>
      <c r="B63" s="13">
        <f>-B5</f>
        <v>-2.9810166805032998</v>
      </c>
      <c r="C63" s="44"/>
      <c r="D63" s="13">
        <f>-D5</f>
        <v>-2.3799775888260402</v>
      </c>
      <c r="E63" s="44"/>
    </row>
    <row r="64" spans="1:25" ht="14.65" thickBot="1">
      <c r="A64" s="49">
        <v>0.03</v>
      </c>
      <c r="B64" s="15">
        <f>-B4</f>
        <v>-2.4708096744826902</v>
      </c>
      <c r="C64" s="45"/>
      <c r="D64" s="15">
        <f>-D4</f>
        <v>-1.9919652257037299</v>
      </c>
      <c r="E64" s="45"/>
    </row>
  </sheetData>
  <mergeCells count="18">
    <mergeCell ref="V21:X21"/>
    <mergeCell ref="A1:E1"/>
    <mergeCell ref="O1:T1"/>
    <mergeCell ref="G8:J8"/>
    <mergeCell ref="G14:J14"/>
    <mergeCell ref="B2:C2"/>
    <mergeCell ref="D2:E2"/>
    <mergeCell ref="O2:Q2"/>
    <mergeCell ref="R2:T2"/>
    <mergeCell ref="L11:M12"/>
    <mergeCell ref="G19:J19"/>
    <mergeCell ref="L1:M1"/>
    <mergeCell ref="I2:J2"/>
    <mergeCell ref="L5:M5"/>
    <mergeCell ref="G1:J1"/>
    <mergeCell ref="G2:H2"/>
    <mergeCell ref="G3:J3"/>
    <mergeCell ref="L9:M10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Louise Bray</dc:creator>
  <cp:keywords/>
  <dc:description/>
  <cp:lastModifiedBy>James Bray (Y11)</cp:lastModifiedBy>
  <cp:revision/>
  <dcterms:created xsi:type="dcterms:W3CDTF">2024-06-09T04:08:59Z</dcterms:created>
  <dcterms:modified xsi:type="dcterms:W3CDTF">2024-06-28T12:45:27Z</dcterms:modified>
  <cp:category/>
  <cp:contentStatus/>
</cp:coreProperties>
</file>