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" sheetId="1" state="visible" r:id="rId3"/>
    <sheet name="Tuckshop" sheetId="2" state="visible" r:id="rId4"/>
    <sheet name="Pricing Structure" sheetId="3" state="visible" r:id="rId5"/>
    <sheet name="Sheet4" sheetId="4" state="visible" r:id="rId6"/>
  </sheets>
  <definedNames>
    <definedName function="false" hidden="false" localSheetId="0" name="_xlnm.Print_Area" vbProcedure="false">Bar!$A$2:$G$110</definedName>
    <definedName function="false" hidden="false" localSheetId="1" name="_xlnm.Print_Area" vbProcedure="false">Tuckshop!$A$2:$E$87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<sst xmlns="http://schemas.openxmlformats.org/spreadsheetml/2006/main" count="899" uniqueCount="262">
  <si>
    <t xml:space="preserve">CATEGORY:</t>
  </si>
  <si>
    <t xml:space="preserve">PRODUCT NAME:</t>
  </si>
  <si>
    <t xml:space="preserve">DESCRIPTION:</t>
  </si>
  <si>
    <t xml:space="preserve">STOCK ON HAND:</t>
  </si>
  <si>
    <t xml:space="preserve">Cost Price</t>
  </si>
  <si>
    <t xml:space="preserve">STORE</t>
  </si>
  <si>
    <t xml:space="preserve">NEW BAR</t>
  </si>
  <si>
    <t xml:space="preserve">OLD BAR</t>
  </si>
  <si>
    <t xml:space="preserve">TOTAL</t>
  </si>
  <si>
    <t xml:space="preserve">VALUE AT COST</t>
  </si>
  <si>
    <t xml:space="preserve">BEER:</t>
  </si>
  <si>
    <t xml:space="preserve">BLACK LABEL</t>
  </si>
  <si>
    <t xml:space="preserve">340ML</t>
  </si>
  <si>
    <t xml:space="preserve">CASTLE LAGER</t>
  </si>
  <si>
    <t xml:space="preserve">CASTLE LITE</t>
  </si>
  <si>
    <t xml:space="preserve">COURT</t>
  </si>
  <si>
    <t xml:space="preserve">CORONA</t>
  </si>
  <si>
    <t xml:space="preserve">HANSA</t>
  </si>
  <si>
    <t xml:space="preserve">AMSTEL RADLER</t>
  </si>
  <si>
    <t xml:space="preserve">LION LAGER</t>
  </si>
  <si>
    <t xml:space="preserve">HEINEKEN LAGER</t>
  </si>
  <si>
    <t xml:space="preserve">HEINEKEN FREE</t>
  </si>
  <si>
    <t xml:space="preserve">HEINEKEN SILVER</t>
  </si>
  <si>
    <t xml:space="preserve">WINDHOEK DRAUGHT</t>
  </si>
  <si>
    <t xml:space="preserve">440ML</t>
  </si>
  <si>
    <t xml:space="preserve">WINDHOEK LAGER</t>
  </si>
  <si>
    <t xml:space="preserve">STELLA ARTOIS</t>
  </si>
  <si>
    <t xml:space="preserve">BOTTLE</t>
  </si>
  <si>
    <t xml:space="preserve">TAFEL LAGER</t>
  </si>
  <si>
    <t xml:space="preserve">BRANDY:</t>
  </si>
  <si>
    <t xml:space="preserve">KLIPDRIFT</t>
  </si>
  <si>
    <t xml:space="preserve">25ML TOT</t>
  </si>
  <si>
    <t xml:space="preserve">RICHELIEU</t>
  </si>
  <si>
    <t xml:space="preserve">CIDERS:</t>
  </si>
  <si>
    <t xml:space="preserve">FLYING FISH LEMON</t>
  </si>
  <si>
    <t xml:space="preserve">BERNINI</t>
  </si>
  <si>
    <t xml:space="preserve">HUNTERS DRY</t>
  </si>
  <si>
    <t xml:space="preserve">HUNTERS GOLD</t>
  </si>
  <si>
    <t xml:space="preserve">SAVANNA LIGHT</t>
  </si>
  <si>
    <t xml:space="preserve">SAVANNA DRY </t>
  </si>
  <si>
    <t xml:space="preserve">SAVANNA FREE</t>
  </si>
  <si>
    <t xml:space="preserve">GINOLOGIST GIN &amp; BITTER LEMON</t>
  </si>
  <si>
    <t xml:space="preserve">GINOLOGIST GIN &amp; TONIC</t>
  </si>
  <si>
    <t xml:space="preserve">GINOLOGIST PINEAPPLE</t>
  </si>
  <si>
    <t xml:space="preserve">GINOLOGIST STRAWBERRY</t>
  </si>
  <si>
    <t xml:space="preserve">FORTIFIED SPIRITS:</t>
  </si>
  <si>
    <t xml:space="preserve">ALLESVERLOREN</t>
  </si>
  <si>
    <t xml:space="preserve">50ML TOT</t>
  </si>
  <si>
    <t xml:space="preserve">OLD BROWN</t>
  </si>
  <si>
    <t xml:space="preserve">BANGBROEK</t>
  </si>
  <si>
    <t xml:space="preserve">PIMMS</t>
  </si>
  <si>
    <t xml:space="preserve">MIXERS:</t>
  </si>
  <si>
    <t xml:space="preserve">APPLETIZER</t>
  </si>
  <si>
    <t xml:space="preserve">CAN</t>
  </si>
  <si>
    <t xml:space="preserve">1250ML</t>
  </si>
  <si>
    <t xml:space="preserve">FL ROCK SHANDY</t>
  </si>
  <si>
    <t xml:space="preserve">330ML CAN</t>
  </si>
  <si>
    <t xml:space="preserve">COKE</t>
  </si>
  <si>
    <t xml:space="preserve">440ML PET</t>
  </si>
  <si>
    <t xml:space="preserve">1000ML</t>
  </si>
  <si>
    <t xml:space="preserve">1500ML</t>
  </si>
  <si>
    <t xml:space="preserve">COKE ZERO</t>
  </si>
  <si>
    <t xml:space="preserve">500ML PET</t>
  </si>
  <si>
    <t xml:space="preserve">CRÈME SODA</t>
  </si>
  <si>
    <t xml:space="preserve">POWERADE</t>
  </si>
  <si>
    <t xml:space="preserve">500ML</t>
  </si>
  <si>
    <t xml:space="preserve">FANTA GRAPE</t>
  </si>
  <si>
    <t xml:space="preserve">FANTA ORANGE</t>
  </si>
  <si>
    <t xml:space="preserve">FL BITTER LEMON</t>
  </si>
  <si>
    <t xml:space="preserve">200ML CAN</t>
  </si>
  <si>
    <t xml:space="preserve">FL INDIAN TONIC LITE</t>
  </si>
  <si>
    <t xml:space="preserve">FL LEMONADE</t>
  </si>
  <si>
    <t xml:space="preserve">FL PINK TONIC</t>
  </si>
  <si>
    <t xml:space="preserve">1000LT</t>
  </si>
  <si>
    <t xml:space="preserve">ICED TEA</t>
  </si>
  <si>
    <t xml:space="preserve">RED GRAPETIZER</t>
  </si>
  <si>
    <t xml:space="preserve">ROSES KOLA TONIC</t>
  </si>
  <si>
    <t xml:space="preserve">ROSES LIME CORDIAL</t>
  </si>
  <si>
    <t xml:space="preserve">ROSES PASSION FRUIT</t>
  </si>
  <si>
    <t xml:space="preserve">SCHWEPPS GINGERALE</t>
  </si>
  <si>
    <t xml:space="preserve">SCHWEPPS SODA WATER</t>
  </si>
  <si>
    <t xml:space="preserve">LIQUI FRUIT</t>
  </si>
  <si>
    <t xml:space="preserve">SCHWEPPS TONIC WATER</t>
  </si>
  <si>
    <t xml:space="preserve">SPARKLING WATER</t>
  </si>
  <si>
    <t xml:space="preserve">SPRITE</t>
  </si>
  <si>
    <t xml:space="preserve">SPRITE ZERO</t>
  </si>
  <si>
    <t xml:space="preserve">STILL WATER</t>
  </si>
  <si>
    <t xml:space="preserve">STONEY</t>
  </si>
  <si>
    <t xml:space="preserve">TWIST GRANADILLA</t>
  </si>
  <si>
    <t xml:space="preserve">TWIST LEMON</t>
  </si>
  <si>
    <t xml:space="preserve">PREMIUM SPIRITS:</t>
  </si>
  <si>
    <t xml:space="preserve">KWV 10YO</t>
  </si>
  <si>
    <t xml:space="preserve">RED WINE:</t>
  </si>
  <si>
    <t xml:space="preserve">PETIT PINOTAGE</t>
  </si>
  <si>
    <t xml:space="preserve">PETIT MERLOT</t>
  </si>
  <si>
    <t xml:space="preserve">MCGREGOR SHIRAZ</t>
  </si>
  <si>
    <t xml:space="preserve">BRUCE JACK PINOTAGE MALBEC</t>
  </si>
  <si>
    <t xml:space="preserve">DIEMERSDAL CAB-MERLOT</t>
  </si>
  <si>
    <t xml:space="preserve">GUARDIAN PEAK MERLOT</t>
  </si>
  <si>
    <t xml:space="preserve">BEYERSKLOOF PINOTAGE</t>
  </si>
  <si>
    <t xml:space="preserve">RICKETY BRIDGE MERLOT</t>
  </si>
  <si>
    <t xml:space="preserve">RUM:</t>
  </si>
  <si>
    <t xml:space="preserve">CAPTAIN MORGAN - DARK RUM</t>
  </si>
  <si>
    <t xml:space="preserve">CAPTAIN MORGAN - SPICED GOLD</t>
  </si>
  <si>
    <t xml:space="preserve">RED HEART</t>
  </si>
  <si>
    <t xml:space="preserve">SHOOTERS:</t>
  </si>
  <si>
    <t xml:space="preserve">AMARULA</t>
  </si>
  <si>
    <t xml:space="preserve">KAHLUA</t>
  </si>
  <si>
    <t xml:space="preserve">APEROL</t>
  </si>
  <si>
    <t xml:space="preserve">CACTUS JACK</t>
  </si>
  <si>
    <t xml:space="preserve">BUTLERS PEPPERMINT</t>
  </si>
  <si>
    <t xml:space="preserve">JAGERMEISTER</t>
  </si>
  <si>
    <t xml:space="preserve">STRAWBERRY LIPS</t>
  </si>
  <si>
    <t xml:space="preserve">JOSE CUERVO GOLD</t>
  </si>
  <si>
    <t xml:space="preserve">TANG</t>
  </si>
  <si>
    <t xml:space="preserve">SPARKLING WINE:</t>
  </si>
  <si>
    <t xml:space="preserve">BRUCE JACK BUMBLE BEE</t>
  </si>
  <si>
    <t xml:space="preserve">750ML</t>
  </si>
  <si>
    <t xml:space="preserve">MISS MOLLY MCC BRUT</t>
  </si>
  <si>
    <t xml:space="preserve">JC LE ROUX LE DOMAINE</t>
  </si>
  <si>
    <t xml:space="preserve">PROSECCO</t>
  </si>
  <si>
    <t xml:space="preserve">WHISKY:</t>
  </si>
  <si>
    <t xml:space="preserve">BELLS</t>
  </si>
  <si>
    <t xml:space="preserve">JOHNNY WALKER BLACK</t>
  </si>
  <si>
    <t xml:space="preserve">JAMESON</t>
  </si>
  <si>
    <t xml:space="preserve">WHITE SPIRITS:</t>
  </si>
  <si>
    <t xml:space="preserve">CAPE TO RIO CANE</t>
  </si>
  <si>
    <t xml:space="preserve">GORDONS GIN</t>
  </si>
  <si>
    <t xml:space="preserve">BOMBAY SAPPHIRE GIN</t>
  </si>
  <si>
    <t xml:space="preserve">SMIRNOFF INFUSIONS</t>
  </si>
  <si>
    <t xml:space="preserve">SMIRNOFF 1818 VODKA</t>
  </si>
  <si>
    <t xml:space="preserve">WHITE WINE:</t>
  </si>
  <si>
    <t xml:space="preserve">SOPHIE WHITE</t>
  </si>
  <si>
    <t xml:space="preserve">PETIT CHENIN BLANC</t>
  </si>
  <si>
    <t xml:space="preserve">GUARDIAN PEAK CHENIN BLANC</t>
  </si>
  <si>
    <t xml:space="preserve">ROSE WINE:</t>
  </si>
  <si>
    <t xml:space="preserve">LIMESTONE HILL CHARDONNAY</t>
  </si>
  <si>
    <t xml:space="preserve">SOPHIE ROSE</t>
  </si>
  <si>
    <t xml:space="preserve">BRUCE JACK RESERVE SAUVIGNON BLANC</t>
  </si>
  <si>
    <t xml:space="preserve">LEAPARDS LEAP ROSE</t>
  </si>
  <si>
    <t xml:space="preserve">PETIT SAUVIGNON BLANC</t>
  </si>
  <si>
    <t xml:space="preserve">TOTALS:</t>
  </si>
  <si>
    <t xml:space="preserve">TUCKSHOP</t>
  </si>
  <si>
    <t xml:space="preserve">CHIPS</t>
  </si>
  <si>
    <t xml:space="preserve">LAYS 36G</t>
  </si>
  <si>
    <t xml:space="preserve">EACH</t>
  </si>
  <si>
    <t xml:space="preserve">DORITOS 45G</t>
  </si>
  <si>
    <t xml:space="preserve">SIMBA 36G</t>
  </si>
  <si>
    <t xml:space="preserve">FRITOS</t>
  </si>
  <si>
    <t xml:space="preserve">NIKNAKS 20G</t>
  </si>
  <si>
    <t xml:space="preserve">STANTON BAGLEYS 90G</t>
  </si>
  <si>
    <t xml:space="preserve">POPCORN</t>
  </si>
  <si>
    <t xml:space="preserve">STANTON BAGLEYS 12G</t>
  </si>
  <si>
    <t xml:space="preserve">BILTONG</t>
  </si>
  <si>
    <t xml:space="preserve">VENISON BILTONG</t>
  </si>
  <si>
    <t xml:space="preserve">100G</t>
  </si>
  <si>
    <t xml:space="preserve">VENISON DRYWORS</t>
  </si>
  <si>
    <t xml:space="preserve">CRACKLING</t>
  </si>
  <si>
    <t xml:space="preserve">COOKIES</t>
  </si>
  <si>
    <t xml:space="preserve">OREO 36,8G</t>
  </si>
  <si>
    <t xml:space="preserve">SLABS</t>
  </si>
  <si>
    <t xml:space="preserve">CADBURY 80G</t>
  </si>
  <si>
    <t xml:space="preserve">CHOCOLATE</t>
  </si>
  <si>
    <t xml:space="preserve">KIT KAT 2 FINGER</t>
  </si>
  <si>
    <t xml:space="preserve">KIT KAT 4 FINGER</t>
  </si>
  <si>
    <t xml:space="preserve">LUNCH BAR</t>
  </si>
  <si>
    <t xml:space="preserve">LUNCH BAR MINI</t>
  </si>
  <si>
    <t xml:space="preserve">CRUNCHIE 40G</t>
  </si>
  <si>
    <t xml:space="preserve">BAR ONE 52G</t>
  </si>
  <si>
    <t xml:space="preserve">BAR ONE MINI</t>
  </si>
  <si>
    <t xml:space="preserve">5 STAR CHOC</t>
  </si>
  <si>
    <t xml:space="preserve">PS BAR</t>
  </si>
  <si>
    <t xml:space="preserve">PS MINI</t>
  </si>
  <si>
    <t xml:space="preserve">NOSH</t>
  </si>
  <si>
    <t xml:space="preserve">SMARTIES 17G</t>
  </si>
  <si>
    <t xml:space="preserve">TEX 40G</t>
  </si>
  <si>
    <t xml:space="preserve">TEX MINI</t>
  </si>
  <si>
    <t xml:space="preserve">WONDERBAR</t>
  </si>
  <si>
    <t xml:space="preserve">JUNGLE ENERGY BAR</t>
  </si>
  <si>
    <t xml:space="preserve">SWEETS</t>
  </si>
  <si>
    <t xml:space="preserve">CHAMPION TOFFEE</t>
  </si>
  <si>
    <t xml:space="preserve">XXX PEPPERMINT ROLLS</t>
  </si>
  <si>
    <t xml:space="preserve">BEACON FUNNY FACES</t>
  </si>
  <si>
    <t xml:space="preserve">LOLLIPOP</t>
  </si>
  <si>
    <t xml:space="preserve">BLUE MOUTH SHERBET</t>
  </si>
  <si>
    <t xml:space="preserve">PENGO SWEETS</t>
  </si>
  <si>
    <t xml:space="preserve">PENGO FIZZERS</t>
  </si>
  <si>
    <t xml:space="preserve">MINI BITZ</t>
  </si>
  <si>
    <t xml:space="preserve">SHOCKERS</t>
  </si>
  <si>
    <t xml:space="preserve">TOROS GUM SWEETS 100'S</t>
  </si>
  <si>
    <t xml:space="preserve">TOROS GUM SWEETS 50'S</t>
  </si>
  <si>
    <t xml:space="preserve">ENERGADE JELLIES 75G</t>
  </si>
  <si>
    <t xml:space="preserve">MINT IMPERIALS 24 X 75G</t>
  </si>
  <si>
    <t xml:space="preserve">ALL SORTS MINIS</t>
  </si>
  <si>
    <t xml:space="preserve">MAYNARDS WINE GUM ROLLS</t>
  </si>
  <si>
    <t xml:space="preserve">MAYNARDS JELLIES 75G</t>
  </si>
  <si>
    <t xml:space="preserve">COLD DRINKS</t>
  </si>
  <si>
    <t xml:space="preserve">APPLETISER</t>
  </si>
  <si>
    <t xml:space="preserve">CAPPY ORANGE JUICE</t>
  </si>
  <si>
    <t xml:space="preserve">COCA COLA ORIG</t>
  </si>
  <si>
    <t xml:space="preserve">300ML PET</t>
  </si>
  <si>
    <t xml:space="preserve">ENERGADE</t>
  </si>
  <si>
    <t xml:space="preserve">500ML BOTTLE</t>
  </si>
  <si>
    <t xml:space="preserve">GRAPETISER RED</t>
  </si>
  <si>
    <t xml:space="preserve">ICED TEA LIPTON</t>
  </si>
  <si>
    <t xml:space="preserve">IRON BREW</t>
  </si>
  <si>
    <t xml:space="preserve">SPRITE  </t>
  </si>
  <si>
    <t xml:space="preserve">HOT DRINKS</t>
  </si>
  <si>
    <t xml:space="preserve">NESPRESSO DECAF</t>
  </si>
  <si>
    <t xml:space="preserve">POD</t>
  </si>
  <si>
    <t xml:space="preserve">NESPRESSO BIANCO</t>
  </si>
  <si>
    <t xml:space="preserve">NESPRESSO RISTRETTO</t>
  </si>
  <si>
    <t xml:space="preserve">NESPRESSO LEGGERO</t>
  </si>
  <si>
    <t xml:space="preserve">NESCAFE HOT CHOCOLATE</t>
  </si>
  <si>
    <t xml:space="preserve">STICK</t>
  </si>
  <si>
    <t xml:space="preserve">ICE CREAM</t>
  </si>
  <si>
    <t xml:space="preserve">ZEST CHOC</t>
  </si>
  <si>
    <t xml:space="preserve">ZEST VANILLA</t>
  </si>
  <si>
    <t xml:space="preserve">ZEST BUBBLEGUM</t>
  </si>
  <si>
    <t xml:space="preserve">APPLE MUNCH</t>
  </si>
  <si>
    <t xml:space="preserve">KING CONE</t>
  </si>
  <si>
    <t xml:space="preserve">MEGA COOKIES</t>
  </si>
  <si>
    <t xml:space="preserve">MEGA ALMOND</t>
  </si>
  <si>
    <t xml:space="preserve">JIVE STRAWBERRY</t>
  </si>
  <si>
    <t xml:space="preserve">ZOOTY TROPICAL TUBE</t>
  </si>
  <si>
    <t xml:space="preserve">ZOOTY POP ORANGE</t>
  </si>
  <si>
    <t xml:space="preserve">Selling Price</t>
  </si>
  <si>
    <t xml:space="preserve">GP%</t>
  </si>
  <si>
    <t xml:space="preserve">AMSTEL</t>
  </si>
  <si>
    <t xml:space="preserve">340ML BOTTLE</t>
  </si>
  <si>
    <t xml:space="preserve">Special Pricing</t>
  </si>
  <si>
    <t xml:space="preserve">HEINEKEN</t>
  </si>
  <si>
    <t xml:space="preserve">WINDHOEK DRAFT</t>
  </si>
  <si>
    <t xml:space="preserve">440ML BOTTLE</t>
  </si>
  <si>
    <t xml:space="preserve">BRUTAL FRUIT RUBY APPLE</t>
  </si>
  <si>
    <t xml:space="preserve">SAVANNA LITE</t>
  </si>
  <si>
    <t xml:space="preserve">ALLESVERLOEREN</t>
  </si>
  <si>
    <t xml:space="preserve">60ML TOT</t>
  </si>
  <si>
    <t xml:space="preserve">30ML TOT</t>
  </si>
  <si>
    <t xml:space="preserve">WHITE GRAPE SPARKLING JUICE</t>
  </si>
  <si>
    <t xml:space="preserve">1000ML BOTTLE</t>
  </si>
  <si>
    <t xml:space="preserve">ROSES LIME</t>
  </si>
  <si>
    <t xml:space="preserve">RHODES JUICE BOX</t>
  </si>
  <si>
    <t xml:space="preserve">200ML</t>
  </si>
  <si>
    <t xml:space="preserve">KWV 10YR</t>
  </si>
  <si>
    <t xml:space="preserve">FLAGSTONE MERLOT</t>
  </si>
  <si>
    <t xml:space="preserve">ALVI'S DRIFT MERLOT</t>
  </si>
  <si>
    <t xml:space="preserve">DIEMERSDAL CAB/ MERLOT</t>
  </si>
  <si>
    <t xml:space="preserve">WARWICK CABERNET SAUVIGNON</t>
  </si>
  <si>
    <t xml:space="preserve">THE GOOSE CABERNET SAUVIGNON</t>
  </si>
  <si>
    <t xml:space="preserve">JC LE ROUX SPARKLING APPLE</t>
  </si>
  <si>
    <t xml:space="preserve">BRUT PIETER CRUYTHOF</t>
  </si>
  <si>
    <t xml:space="preserve">BOMBAY SAPHIRE GIN</t>
  </si>
  <si>
    <t xml:space="preserve">HAYWARDS GIN</t>
  </si>
  <si>
    <t xml:space="preserve">HAYWARDS VODKA</t>
  </si>
  <si>
    <t xml:space="preserve">BRUCE JACK CHENIN BLANC</t>
  </si>
  <si>
    <t xml:space="preserve">DE WETSHOF CHARDONNAY</t>
  </si>
  <si>
    <t xml:space="preserve">FISH HOEK ROSE - FAIRTRADE</t>
  </si>
  <si>
    <t xml:space="preserve">PEACOCK SAUVIGNON BLANC</t>
  </si>
  <si>
    <t xml:space="preserve">SPECIAL PRICE</t>
  </si>
  <si>
    <t xml:space="preserve">LIFE FROM STONE SAV BLANC</t>
  </si>
  <si>
    <t xml:space="preserve">QUART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</si>
</sst>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\R* #,##0.00_-;&quot;-R&quot;* #,##0.00_-;_-\R* \-??_-;_-@_-"/>
    <numFmt numFmtId="166" formatCode="General"/>
    <numFmt numFmtId="167" formatCode="0%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36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30"/>
      <color theme="1"/>
      <name val="Calibri"/>
      <family val="2"/>
      <charset val="1"/>
    </font>
    <font>
      <b val="true"/>
      <sz val="8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3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3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6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3" borderId="1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3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0" borderId="3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9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4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5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1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77" activePane="bottomLeft" state="frozen"/>
      <selection pane="topLeft" activeCell="A1" activeCellId="0" sqref="A1"/>
      <selection pane="bottomLeft" activeCell="B99" activeCellId="0" sqref="B9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7.3"/>
    <col collapsed="false" customWidth="true" hidden="false" outlineLevel="0" max="2" min="2" style="2" width="34.14"/>
    <col collapsed="false" customWidth="true" hidden="false" outlineLevel="0" max="3" min="3" style="3" width="13.57"/>
    <col collapsed="false" customWidth="true" hidden="false" outlineLevel="0" max="4" min="4" style="4" width="11"/>
    <col collapsed="false" customWidth="true" hidden="false" outlineLevel="0" max="5" min="5" style="5" width="16.29"/>
    <col collapsed="false" customWidth="true" hidden="false" outlineLevel="0" max="7" min="6" style="5" width="16.14"/>
    <col collapsed="false" customWidth="true" hidden="false" outlineLevel="0" max="8" min="8" style="5" width="10.57"/>
    <col collapsed="false" customWidth="true" hidden="false" outlineLevel="0" max="9" min="9" style="5" width="15.28"/>
    <col collapsed="false" customWidth="false" hidden="false" outlineLevel="0" max="16384" min="10" style="2" width="9.14"/>
  </cols>
  <sheetData>
    <row r="1" s="13" customFormat="true" ht="101.45" hidden="false" customHeight="true" outlineLevel="0" collapsed="false">
      <c r="A1" s="6" t="s">
        <v>0</v>
      </c>
      <c r="B1" s="7" t="s">
        <v>1</v>
      </c>
      <c r="C1" s="8" t="s">
        <v>2</v>
      </c>
      <c r="D1" s="9"/>
      <c r="E1" s="10" t="s">
        <v>3</v>
      </c>
      <c r="F1" s="10"/>
      <c r="G1" s="10"/>
      <c r="H1" s="10"/>
      <c r="I1" s="11"/>
      <c r="J1" s="12"/>
      <c r="K1" s="12"/>
    </row>
    <row r="2" s="21" customFormat="true" ht="57.45" hidden="false" customHeight="false" outlineLevel="0" collapsed="false">
      <c r="A2" s="14"/>
      <c r="B2" s="15"/>
      <c r="C2" s="15"/>
      <c r="D2" s="16" t="s">
        <v>4</v>
      </c>
      <c r="E2" s="17" t="s">
        <v>5</v>
      </c>
      <c r="F2" s="17" t="s">
        <v>6</v>
      </c>
      <c r="G2" s="17" t="s">
        <v>7</v>
      </c>
      <c r="H2" s="18" t="s">
        <v>8</v>
      </c>
      <c r="I2" s="19" t="s">
        <v>9</v>
      </c>
      <c r="J2" s="20"/>
      <c r="K2" s="20"/>
    </row>
    <row r="3" customFormat="false" ht="15" hidden="false" customHeight="false" outlineLevel="0" collapsed="false">
      <c r="A3" s="22" t="s">
        <v>10</v>
      </c>
      <c r="B3" s="23" t="s">
        <v>11</v>
      </c>
      <c r="C3" s="24" t="s">
        <v>12</v>
      </c>
      <c r="D3" s="25" t="n">
        <f aca="false">295/24</f>
        <v>12.2916666666667</v>
      </c>
      <c r="E3" s="26"/>
      <c r="F3" s="27"/>
      <c r="G3" s="27"/>
      <c r="H3" s="28" t="n">
        <f aca="false">SUM(E3+F3+G3)</f>
        <v>0</v>
      </c>
      <c r="I3" s="29" t="n">
        <f aca="false">SUM(H3*D3)</f>
        <v>0</v>
      </c>
    </row>
    <row r="4" customFormat="false" ht="15" hidden="false" customHeight="false" outlineLevel="0" collapsed="false">
      <c r="A4" s="22" t="s">
        <v>10</v>
      </c>
      <c r="B4" s="23" t="s">
        <v>13</v>
      </c>
      <c r="C4" s="24" t="s">
        <v>12</v>
      </c>
      <c r="D4" s="25" t="n">
        <f aca="false">280/24</f>
        <v>11.6666666666667</v>
      </c>
      <c r="E4" s="26"/>
      <c r="F4" s="27"/>
      <c r="G4" s="27"/>
      <c r="H4" s="30" t="n">
        <f aca="false">SUM(E4+F4+G4)</f>
        <v>0</v>
      </c>
      <c r="I4" s="29" t="n">
        <f aca="false">SUM(H4*D4)</f>
        <v>0</v>
      </c>
    </row>
    <row r="5" customFormat="false" ht="15" hidden="false" customHeight="false" outlineLevel="0" collapsed="false">
      <c r="A5" s="22" t="s">
        <v>10</v>
      </c>
      <c r="B5" s="23" t="s">
        <v>14</v>
      </c>
      <c r="C5" s="24" t="s">
        <v>12</v>
      </c>
      <c r="D5" s="25" t="n">
        <f aca="false">269.91/24</f>
        <v>11.24625</v>
      </c>
      <c r="E5" s="26"/>
      <c r="F5" s="27"/>
      <c r="G5" s="27"/>
      <c r="H5" s="30" t="n">
        <f aca="false">SUM(E5+F5+G5)</f>
        <v>0</v>
      </c>
      <c r="I5" s="29" t="n">
        <f aca="false">SUM(H5*D5)</f>
        <v>0</v>
      </c>
    </row>
    <row r="6" customFormat="false" ht="15" hidden="false" customHeight="false" outlineLevel="0" collapsed="false">
      <c r="A6" s="22" t="s">
        <v>10</v>
      </c>
      <c r="B6" s="23" t="s">
        <v>14</v>
      </c>
      <c r="C6" s="24" t="s">
        <v>15</v>
      </c>
      <c r="D6" s="25" t="n">
        <f aca="false">237/12</f>
        <v>19.75</v>
      </c>
      <c r="E6" s="26"/>
      <c r="F6" s="27"/>
      <c r="G6" s="27"/>
      <c r="H6" s="30" t="n">
        <f aca="false">SUM(E6+F6+G6)</f>
        <v>0</v>
      </c>
      <c r="I6" s="29" t="n">
        <f aca="false">SUM(H6*D6)</f>
        <v>0</v>
      </c>
    </row>
    <row r="7" customFormat="false" ht="15" hidden="false" customHeight="false" outlineLevel="0" collapsed="false">
      <c r="A7" s="22" t="s">
        <v>10</v>
      </c>
      <c r="B7" s="23" t="s">
        <v>16</v>
      </c>
      <c r="C7" s="24" t="s">
        <v>12</v>
      </c>
      <c r="D7" s="25" t="n">
        <f aca="false">410/24</f>
        <v>17.0833333333333</v>
      </c>
      <c r="E7" s="26"/>
      <c r="F7" s="27"/>
      <c r="G7" s="27"/>
      <c r="H7" s="30" t="n">
        <f aca="false">SUM(E7+F7+G7)</f>
        <v>0</v>
      </c>
      <c r="I7" s="29" t="n">
        <f aca="false">SUM(H7*D7)</f>
        <v>0</v>
      </c>
    </row>
    <row r="8" customFormat="false" ht="15" hidden="false" customHeight="false" outlineLevel="0" collapsed="false">
      <c r="A8" s="22" t="s">
        <v>10</v>
      </c>
      <c r="B8" s="23" t="s">
        <v>17</v>
      </c>
      <c r="C8" s="24" t="s">
        <v>12</v>
      </c>
      <c r="D8" s="25" t="n">
        <f aca="false">263/24</f>
        <v>10.9583333333333</v>
      </c>
      <c r="E8" s="26"/>
      <c r="F8" s="27"/>
      <c r="G8" s="27"/>
      <c r="H8" s="30" t="n">
        <f aca="false">SUM(E8+F8+G8)</f>
        <v>0</v>
      </c>
      <c r="I8" s="29" t="n">
        <f aca="false">SUM(H8*D8)</f>
        <v>0</v>
      </c>
    </row>
    <row r="9" customFormat="false" ht="15" hidden="false" customHeight="false" outlineLevel="0" collapsed="false">
      <c r="A9" s="22" t="s">
        <v>10</v>
      </c>
      <c r="B9" s="23" t="s">
        <v>17</v>
      </c>
      <c r="C9" s="24" t="s">
        <v>15</v>
      </c>
      <c r="D9" s="25" t="n">
        <f aca="false">216/12</f>
        <v>18</v>
      </c>
      <c r="E9" s="26"/>
      <c r="F9" s="27"/>
      <c r="G9" s="27"/>
      <c r="H9" s="30" t="n">
        <f aca="false">SUM(E9+F9+G9)</f>
        <v>0</v>
      </c>
      <c r="I9" s="29" t="n">
        <f aca="false">SUM(H9*D9)</f>
        <v>0</v>
      </c>
    </row>
    <row r="10" customFormat="false" ht="15" hidden="false" customHeight="false" outlineLevel="0" collapsed="false">
      <c r="A10" s="22" t="s">
        <v>10</v>
      </c>
      <c r="B10" s="23" t="s">
        <v>18</v>
      </c>
      <c r="C10" s="24" t="s">
        <v>12</v>
      </c>
      <c r="D10" s="25" t="n">
        <f aca="false">340/24</f>
        <v>14.1666666666667</v>
      </c>
      <c r="E10" s="26"/>
      <c r="F10" s="27"/>
      <c r="G10" s="27"/>
      <c r="H10" s="30" t="n">
        <f aca="false">SUM(E10+F10+G10)</f>
        <v>0</v>
      </c>
      <c r="I10" s="29" t="n">
        <f aca="false">SUM(H10*D10)</f>
        <v>0</v>
      </c>
    </row>
    <row r="11" customFormat="false" ht="15" hidden="false" customHeight="false" outlineLevel="0" collapsed="false">
      <c r="A11" s="22" t="s">
        <v>10</v>
      </c>
      <c r="B11" s="23" t="s">
        <v>19</v>
      </c>
      <c r="C11" s="24" t="s">
        <v>15</v>
      </c>
      <c r="D11" s="25" t="n">
        <f aca="false">192/12</f>
        <v>16</v>
      </c>
      <c r="E11" s="26"/>
      <c r="F11" s="27"/>
      <c r="G11" s="27"/>
      <c r="H11" s="30" t="n">
        <f aca="false">SUM(E11+F11+G11)</f>
        <v>0</v>
      </c>
      <c r="I11" s="29" t="n">
        <f aca="false">SUM(H11*D11)</f>
        <v>0</v>
      </c>
    </row>
    <row r="12" customFormat="false" ht="15" hidden="false" customHeight="false" outlineLevel="0" collapsed="false">
      <c r="A12" s="22" t="s">
        <v>10</v>
      </c>
      <c r="B12" s="23" t="s">
        <v>20</v>
      </c>
      <c r="C12" s="24" t="s">
        <v>12</v>
      </c>
      <c r="D12" s="25" t="n">
        <f aca="false">400/24</f>
        <v>16.6666666666667</v>
      </c>
      <c r="E12" s="26"/>
      <c r="F12" s="27"/>
      <c r="G12" s="27"/>
      <c r="H12" s="30" t="n">
        <f aca="false">SUM(E12+F12+G12)</f>
        <v>0</v>
      </c>
      <c r="I12" s="29" t="n">
        <f aca="false">SUM(H12*D12)</f>
        <v>0</v>
      </c>
    </row>
    <row r="13" customFormat="false" ht="15" hidden="false" customHeight="false" outlineLevel="0" collapsed="false">
      <c r="A13" s="22" t="s">
        <v>10</v>
      </c>
      <c r="B13" s="23" t="s">
        <v>21</v>
      </c>
      <c r="C13" s="24" t="s">
        <v>12</v>
      </c>
      <c r="D13" s="25" t="n">
        <f aca="false">400/24</f>
        <v>16.6666666666667</v>
      </c>
      <c r="E13" s="26"/>
      <c r="F13" s="27"/>
      <c r="G13" s="27"/>
      <c r="H13" s="30" t="n">
        <f aca="false">SUM(E13+F13+G13)</f>
        <v>0</v>
      </c>
      <c r="I13" s="29" t="n">
        <f aca="false">SUM(H13*D13)</f>
        <v>0</v>
      </c>
    </row>
    <row r="14" customFormat="false" ht="15" hidden="false" customHeight="false" outlineLevel="0" collapsed="false">
      <c r="A14" s="22" t="s">
        <v>10</v>
      </c>
      <c r="B14" s="23" t="s">
        <v>22</v>
      </c>
      <c r="C14" s="24" t="s">
        <v>12</v>
      </c>
      <c r="D14" s="25" t="n">
        <f aca="false">400/24</f>
        <v>16.6666666666667</v>
      </c>
      <c r="E14" s="26"/>
      <c r="F14" s="27"/>
      <c r="G14" s="27"/>
      <c r="H14" s="30" t="n">
        <f aca="false">SUM(E14+F14+G14)</f>
        <v>0</v>
      </c>
      <c r="I14" s="29" t="n">
        <f aca="false">SUM(H14*D14)</f>
        <v>0</v>
      </c>
    </row>
    <row r="15" customFormat="false" ht="15" hidden="false" customHeight="false" outlineLevel="0" collapsed="false">
      <c r="A15" s="22" t="s">
        <v>10</v>
      </c>
      <c r="B15" s="23" t="s">
        <v>23</v>
      </c>
      <c r="C15" s="24" t="s">
        <v>24</v>
      </c>
      <c r="D15" s="25" t="n">
        <f aca="false">369/24</f>
        <v>15.375</v>
      </c>
      <c r="E15" s="26"/>
      <c r="F15" s="27"/>
      <c r="G15" s="27"/>
      <c r="H15" s="30" t="n">
        <f aca="false">SUM(E15+F15+G15)</f>
        <v>0</v>
      </c>
      <c r="I15" s="29" t="n">
        <f aca="false">SUM(H15*D15)</f>
        <v>0</v>
      </c>
    </row>
    <row r="16" customFormat="false" ht="15" hidden="false" customHeight="false" outlineLevel="0" collapsed="false">
      <c r="A16" s="22" t="s">
        <v>10</v>
      </c>
      <c r="B16" s="23" t="s">
        <v>25</v>
      </c>
      <c r="C16" s="24" t="s">
        <v>12</v>
      </c>
      <c r="D16" s="25" t="n">
        <f aca="false">430/24</f>
        <v>17.9166666666667</v>
      </c>
      <c r="E16" s="26"/>
      <c r="F16" s="27"/>
      <c r="G16" s="27"/>
      <c r="H16" s="30" t="n">
        <f aca="false">SUM(E16+F16+G16)</f>
        <v>0</v>
      </c>
      <c r="I16" s="29" t="n">
        <f aca="false">SUM(H16*D16)</f>
        <v>0</v>
      </c>
    </row>
    <row r="17" customFormat="false" ht="15" hidden="false" customHeight="false" outlineLevel="0" collapsed="false">
      <c r="A17" s="22" t="s">
        <v>10</v>
      </c>
      <c r="B17" s="31" t="s">
        <v>26</v>
      </c>
      <c r="C17" s="24" t="s">
        <v>27</v>
      </c>
      <c r="D17" s="32" t="n">
        <f aca="false">330/24</f>
        <v>13.75</v>
      </c>
      <c r="E17" s="33"/>
      <c r="F17" s="34"/>
      <c r="G17" s="34"/>
      <c r="H17" s="30" t="n">
        <f aca="false">SUM(E17+F17+G17)</f>
        <v>0</v>
      </c>
      <c r="I17" s="29" t="n">
        <f aca="false">SUM(H17*D17)</f>
        <v>0</v>
      </c>
    </row>
    <row r="18" customFormat="false" ht="15" hidden="false" customHeight="false" outlineLevel="0" collapsed="false">
      <c r="A18" s="22" t="s">
        <v>10</v>
      </c>
      <c r="B18" s="31" t="s">
        <v>28</v>
      </c>
      <c r="C18" s="24" t="s">
        <v>12</v>
      </c>
      <c r="D18" s="32" t="n">
        <f aca="false">310/24</f>
        <v>12.9166666666667</v>
      </c>
      <c r="E18" s="33"/>
      <c r="F18" s="34"/>
      <c r="G18" s="34"/>
      <c r="H18" s="30" t="n">
        <f aca="false">SUM(E18+F18+G18)</f>
        <v>0</v>
      </c>
      <c r="I18" s="29" t="n">
        <f aca="false">SUM(H18*D18)</f>
        <v>0</v>
      </c>
    </row>
    <row r="19" customFormat="false" ht="15" hidden="false" customHeight="false" outlineLevel="0" collapsed="false">
      <c r="A19" s="35" t="s">
        <v>29</v>
      </c>
      <c r="B19" s="36" t="s">
        <v>30</v>
      </c>
      <c r="C19" s="37" t="s">
        <v>31</v>
      </c>
      <c r="D19" s="38" t="n">
        <f aca="false">195/30</f>
        <v>6.5</v>
      </c>
      <c r="E19" s="39"/>
      <c r="F19" s="40"/>
      <c r="G19" s="40"/>
      <c r="H19" s="30" t="n">
        <f aca="false">SUM(E19+F19+G19)</f>
        <v>0</v>
      </c>
      <c r="I19" s="29" t="n">
        <f aca="false">SUM(H19*D19)</f>
        <v>0</v>
      </c>
    </row>
    <row r="20" customFormat="false" ht="15" hidden="false" customHeight="false" outlineLevel="0" collapsed="false">
      <c r="A20" s="41" t="s">
        <v>29</v>
      </c>
      <c r="B20" s="42" t="s">
        <v>32</v>
      </c>
      <c r="C20" s="43" t="s">
        <v>31</v>
      </c>
      <c r="D20" s="44" t="n">
        <f aca="false">215/30</f>
        <v>7.16666666666667</v>
      </c>
      <c r="E20" s="45"/>
      <c r="F20" s="46"/>
      <c r="G20" s="46"/>
      <c r="H20" s="30" t="n">
        <f aca="false">SUM(E20+F20+G20)</f>
        <v>0</v>
      </c>
      <c r="I20" s="29" t="n">
        <f aca="false">SUM(H20*D20)</f>
        <v>0</v>
      </c>
    </row>
    <row r="21" customFormat="false" ht="15" hidden="false" customHeight="false" outlineLevel="0" collapsed="false">
      <c r="A21" s="22" t="s">
        <v>33</v>
      </c>
      <c r="B21" s="23" t="s">
        <v>34</v>
      </c>
      <c r="C21" s="24" t="s">
        <v>12</v>
      </c>
      <c r="D21" s="25" t="n">
        <f aca="false">299/24</f>
        <v>12.4583333333333</v>
      </c>
      <c r="E21" s="26"/>
      <c r="F21" s="27"/>
      <c r="G21" s="27"/>
      <c r="H21" s="30" t="n">
        <f aca="false">SUM(E21+F21+G21)</f>
        <v>0</v>
      </c>
      <c r="I21" s="29" t="n">
        <f aca="false">SUM(H21*D21)</f>
        <v>0</v>
      </c>
    </row>
    <row r="22" customFormat="false" ht="15" hidden="false" customHeight="false" outlineLevel="0" collapsed="false">
      <c r="A22" s="22" t="s">
        <v>33</v>
      </c>
      <c r="B22" s="23" t="s">
        <v>35</v>
      </c>
      <c r="C22" s="24" t="s">
        <v>12</v>
      </c>
      <c r="D22" s="25" t="n">
        <f aca="false">310/24</f>
        <v>12.9166666666667</v>
      </c>
      <c r="E22" s="26"/>
      <c r="F22" s="27"/>
      <c r="G22" s="27"/>
      <c r="H22" s="30" t="n">
        <f aca="false">SUM(E22+F22+G22)</f>
        <v>0</v>
      </c>
      <c r="I22" s="29" t="n">
        <f aca="false">SUM(H22*D22)</f>
        <v>0</v>
      </c>
    </row>
    <row r="23" customFormat="false" ht="15" hidden="false" customHeight="false" outlineLevel="0" collapsed="false">
      <c r="A23" s="22" t="s">
        <v>33</v>
      </c>
      <c r="B23" s="23" t="s">
        <v>36</v>
      </c>
      <c r="C23" s="24" t="s">
        <v>12</v>
      </c>
      <c r="D23" s="25" t="n">
        <f aca="false">359/24</f>
        <v>14.9583333333333</v>
      </c>
      <c r="E23" s="26"/>
      <c r="F23" s="27"/>
      <c r="G23" s="27"/>
      <c r="H23" s="30" t="n">
        <f aca="false">SUM(E23+F23+G23)</f>
        <v>0</v>
      </c>
      <c r="I23" s="29" t="n">
        <f aca="false">SUM(H23*D23)</f>
        <v>0</v>
      </c>
    </row>
    <row r="24" customFormat="false" ht="15" hidden="false" customHeight="false" outlineLevel="0" collapsed="false">
      <c r="A24" s="22" t="s">
        <v>33</v>
      </c>
      <c r="B24" s="23" t="s">
        <v>37</v>
      </c>
      <c r="C24" s="24" t="s">
        <v>12</v>
      </c>
      <c r="D24" s="25" t="n">
        <f aca="false">359/24</f>
        <v>14.9583333333333</v>
      </c>
      <c r="E24" s="26"/>
      <c r="F24" s="27"/>
      <c r="G24" s="27"/>
      <c r="H24" s="30" t="n">
        <f aca="false">SUM(E24+F24+G24)</f>
        <v>0</v>
      </c>
      <c r="I24" s="29" t="n">
        <f aca="false">SUM(H24*D24)</f>
        <v>0</v>
      </c>
    </row>
    <row r="25" customFormat="false" ht="15" hidden="false" customHeight="false" outlineLevel="0" collapsed="false">
      <c r="A25" s="22" t="s">
        <v>33</v>
      </c>
      <c r="B25" s="23" t="s">
        <v>38</v>
      </c>
      <c r="C25" s="24" t="s">
        <v>12</v>
      </c>
      <c r="D25" s="25" t="n">
        <f aca="false">405/24</f>
        <v>16.875</v>
      </c>
      <c r="E25" s="26"/>
      <c r="F25" s="27"/>
      <c r="G25" s="27"/>
      <c r="H25" s="30" t="n">
        <f aca="false">SUM(E25+F25+G25)</f>
        <v>0</v>
      </c>
      <c r="I25" s="29" t="n">
        <f aca="false">SUM(H25*D25)</f>
        <v>0</v>
      </c>
    </row>
    <row r="26" customFormat="false" ht="15" hidden="false" customHeight="false" outlineLevel="0" collapsed="false">
      <c r="A26" s="22" t="s">
        <v>33</v>
      </c>
      <c r="B26" s="23" t="s">
        <v>39</v>
      </c>
      <c r="C26" s="24" t="s">
        <v>12</v>
      </c>
      <c r="D26" s="25" t="n">
        <f aca="false">375/24</f>
        <v>15.625</v>
      </c>
      <c r="E26" s="26"/>
      <c r="F26" s="27"/>
      <c r="G26" s="27"/>
      <c r="H26" s="30" t="n">
        <f aca="false">SUM(E26+F26+G26)</f>
        <v>0</v>
      </c>
      <c r="I26" s="29" t="n">
        <f aca="false">SUM(H26*D26)</f>
        <v>0</v>
      </c>
    </row>
    <row r="27" customFormat="false" ht="15" hidden="false" customHeight="false" outlineLevel="0" collapsed="false">
      <c r="A27" s="22" t="s">
        <v>33</v>
      </c>
      <c r="B27" s="31" t="s">
        <v>40</v>
      </c>
      <c r="C27" s="24" t="s">
        <v>12</v>
      </c>
      <c r="D27" s="32" t="n">
        <f aca="false">440/24</f>
        <v>18.3333333333333</v>
      </c>
      <c r="E27" s="33"/>
      <c r="F27" s="34"/>
      <c r="G27" s="34"/>
      <c r="H27" s="30" t="n">
        <f aca="false">SUM(E27+F27+G27)</f>
        <v>0</v>
      </c>
      <c r="I27" s="29" t="n">
        <f aca="false">SUM(H27*D27)</f>
        <v>0</v>
      </c>
    </row>
    <row r="28" customFormat="false" ht="15" hidden="false" customHeight="false" outlineLevel="0" collapsed="false">
      <c r="A28" s="22" t="s">
        <v>33</v>
      </c>
      <c r="B28" s="31" t="s">
        <v>41</v>
      </c>
      <c r="C28" s="24" t="s">
        <v>12</v>
      </c>
      <c r="D28" s="32" t="n">
        <f aca="false">450/24</f>
        <v>18.75</v>
      </c>
      <c r="E28" s="33"/>
      <c r="F28" s="34"/>
      <c r="G28" s="34"/>
      <c r="H28" s="30" t="n">
        <f aca="false">SUM(E28+F28+G28)</f>
        <v>0</v>
      </c>
      <c r="I28" s="29" t="n">
        <f aca="false">SUM(H28*D28)</f>
        <v>0</v>
      </c>
    </row>
    <row r="29" customFormat="false" ht="15" hidden="false" customHeight="false" outlineLevel="0" collapsed="false">
      <c r="A29" s="22" t="s">
        <v>33</v>
      </c>
      <c r="B29" s="31" t="s">
        <v>42</v>
      </c>
      <c r="C29" s="24" t="s">
        <v>12</v>
      </c>
      <c r="D29" s="32" t="n">
        <f aca="false">520/24</f>
        <v>21.6666666666667</v>
      </c>
      <c r="E29" s="33"/>
      <c r="F29" s="34"/>
      <c r="G29" s="34"/>
      <c r="H29" s="30" t="n">
        <f aca="false">SUM(E29+F29+G29)</f>
        <v>0</v>
      </c>
      <c r="I29" s="29" t="n">
        <f aca="false">SUM(H29*D29)</f>
        <v>0</v>
      </c>
    </row>
    <row r="30" customFormat="false" ht="15" hidden="false" customHeight="false" outlineLevel="0" collapsed="false">
      <c r="A30" s="22" t="s">
        <v>33</v>
      </c>
      <c r="B30" s="31" t="s">
        <v>43</v>
      </c>
      <c r="C30" s="24" t="s">
        <v>12</v>
      </c>
      <c r="D30" s="32" t="n">
        <f aca="false">450/24</f>
        <v>18.75</v>
      </c>
      <c r="E30" s="33"/>
      <c r="F30" s="34"/>
      <c r="G30" s="34"/>
      <c r="H30" s="30" t="n">
        <f aca="false">SUM(E30+F30+G30)</f>
        <v>0</v>
      </c>
      <c r="I30" s="29" t="n">
        <f aca="false">SUM(H30*D30)</f>
        <v>0</v>
      </c>
    </row>
    <row r="31" customFormat="false" ht="15" hidden="false" customHeight="false" outlineLevel="0" collapsed="false">
      <c r="A31" s="22" t="s">
        <v>33</v>
      </c>
      <c r="B31" s="31" t="s">
        <v>44</v>
      </c>
      <c r="C31" s="24" t="s">
        <v>12</v>
      </c>
      <c r="D31" s="32" t="n">
        <f aca="false">450/24</f>
        <v>18.75</v>
      </c>
      <c r="E31" s="33"/>
      <c r="F31" s="34"/>
      <c r="G31" s="34"/>
      <c r="H31" s="30" t="n">
        <f aca="false">SUM(E31+F31+G31)</f>
        <v>0</v>
      </c>
      <c r="I31" s="29" t="n">
        <f aca="false">SUM(H31*D31)</f>
        <v>0</v>
      </c>
    </row>
    <row r="32" customFormat="false" ht="15" hidden="false" customHeight="false" outlineLevel="0" collapsed="false">
      <c r="A32" s="35" t="s">
        <v>45</v>
      </c>
      <c r="B32" s="36" t="s">
        <v>46</v>
      </c>
      <c r="C32" s="47" t="s">
        <v>47</v>
      </c>
      <c r="D32" s="38" t="n">
        <f aca="false">190/15</f>
        <v>12.6666666666667</v>
      </c>
      <c r="E32" s="39"/>
      <c r="F32" s="40"/>
      <c r="G32" s="40"/>
      <c r="H32" s="30" t="n">
        <f aca="false">SUM(E32+F32+G32)</f>
        <v>0</v>
      </c>
      <c r="I32" s="29" t="n">
        <f aca="false">SUM(H32*D32)</f>
        <v>0</v>
      </c>
    </row>
    <row r="33" customFormat="false" ht="15" hidden="false" customHeight="false" outlineLevel="0" collapsed="false">
      <c r="A33" s="22" t="s">
        <v>45</v>
      </c>
      <c r="B33" s="23" t="s">
        <v>48</v>
      </c>
      <c r="C33" s="48" t="s">
        <v>47</v>
      </c>
      <c r="D33" s="25" t="n">
        <f aca="false">65/15</f>
        <v>4.33333333333333</v>
      </c>
      <c r="E33" s="26"/>
      <c r="F33" s="27"/>
      <c r="G33" s="27"/>
      <c r="H33" s="30" t="n">
        <f aca="false">SUM(E33+F33+G33)</f>
        <v>0</v>
      </c>
      <c r="I33" s="29" t="n">
        <f aca="false">SUM(H33*D33)</f>
        <v>0</v>
      </c>
    </row>
    <row r="34" customFormat="false" ht="15" hidden="false" customHeight="false" outlineLevel="0" collapsed="false">
      <c r="A34" s="22" t="s">
        <v>45</v>
      </c>
      <c r="B34" s="31" t="s">
        <v>49</v>
      </c>
      <c r="C34" s="49" t="s">
        <v>31</v>
      </c>
      <c r="D34" s="32" t="n">
        <f aca="false">250/30</f>
        <v>8.33333333333333</v>
      </c>
      <c r="E34" s="33"/>
      <c r="F34" s="34"/>
      <c r="G34" s="34"/>
      <c r="H34" s="30" t="n">
        <f aca="false">SUM(E34+F34+G34)</f>
        <v>0</v>
      </c>
      <c r="I34" s="29" t="n">
        <f aca="false">SUM(H34*D34)</f>
        <v>0</v>
      </c>
    </row>
    <row r="35" customFormat="false" ht="15" hidden="false" customHeight="false" outlineLevel="0" collapsed="false">
      <c r="A35" s="41" t="s">
        <v>45</v>
      </c>
      <c r="B35" s="42" t="s">
        <v>50</v>
      </c>
      <c r="C35" s="50" t="s">
        <v>47</v>
      </c>
      <c r="D35" s="44" t="n">
        <f aca="false">200/30</f>
        <v>6.66666666666667</v>
      </c>
      <c r="E35" s="45"/>
      <c r="F35" s="46"/>
      <c r="G35" s="46"/>
      <c r="H35" s="30" t="n">
        <f aca="false">SUM(E35+F35+G35)</f>
        <v>0</v>
      </c>
      <c r="I35" s="29" t="n">
        <f aca="false">SUM(H35*D35)</f>
        <v>0</v>
      </c>
    </row>
    <row r="36" customFormat="false" ht="15" hidden="false" customHeight="false" outlineLevel="0" collapsed="false">
      <c r="A36" s="22" t="s">
        <v>51</v>
      </c>
      <c r="B36" s="31" t="s">
        <v>52</v>
      </c>
      <c r="C36" s="51" t="s">
        <v>53</v>
      </c>
      <c r="D36" s="32" t="n">
        <f aca="false">405.1/24</f>
        <v>16.8791666666667</v>
      </c>
      <c r="E36" s="33"/>
      <c r="F36" s="34"/>
      <c r="G36" s="34"/>
      <c r="H36" s="30" t="n">
        <f aca="false">SUM(E36+F36+G36)</f>
        <v>0</v>
      </c>
      <c r="I36" s="29" t="n">
        <f aca="false">SUM(H36*D36)</f>
        <v>0</v>
      </c>
    </row>
    <row r="37" customFormat="false" ht="15" hidden="false" customHeight="false" outlineLevel="0" collapsed="false">
      <c r="A37" s="22" t="s">
        <v>51</v>
      </c>
      <c r="B37" s="31" t="s">
        <v>52</v>
      </c>
      <c r="C37" s="52" t="s">
        <v>54</v>
      </c>
      <c r="D37" s="32" t="n">
        <v>32.27</v>
      </c>
      <c r="E37" s="33"/>
      <c r="F37" s="34"/>
      <c r="G37" s="34"/>
      <c r="H37" s="30" t="n">
        <f aca="false">SUM(E37+F37+G37)</f>
        <v>0</v>
      </c>
      <c r="I37" s="29" t="n">
        <f aca="false">SUM(H37*D37)</f>
        <v>0</v>
      </c>
    </row>
    <row r="38" customFormat="false" ht="15" hidden="false" customHeight="false" outlineLevel="0" collapsed="false">
      <c r="A38" s="22" t="s">
        <v>51</v>
      </c>
      <c r="B38" s="23" t="s">
        <v>55</v>
      </c>
      <c r="C38" s="24" t="s">
        <v>56</v>
      </c>
      <c r="D38" s="25" t="n">
        <f aca="false">167/24</f>
        <v>6.95833333333333</v>
      </c>
      <c r="E38" s="26"/>
      <c r="F38" s="27"/>
      <c r="G38" s="27"/>
      <c r="H38" s="30" t="n">
        <f aca="false">SUM(E38+F38+G38)</f>
        <v>0</v>
      </c>
      <c r="I38" s="29" t="n">
        <f aca="false">SUM(H38*D38)</f>
        <v>0</v>
      </c>
    </row>
    <row r="39" customFormat="false" ht="15" hidden="false" customHeight="false" outlineLevel="0" collapsed="false">
      <c r="A39" s="22" t="s">
        <v>51</v>
      </c>
      <c r="B39" s="23" t="s">
        <v>57</v>
      </c>
      <c r="C39" s="24" t="s">
        <v>58</v>
      </c>
      <c r="D39" s="25" t="n">
        <f aca="false">256.5/24</f>
        <v>10.6875</v>
      </c>
      <c r="E39" s="26"/>
      <c r="F39" s="27"/>
      <c r="G39" s="27"/>
      <c r="H39" s="30" t="n">
        <f aca="false">SUM(E39+F39+G39)</f>
        <v>0</v>
      </c>
      <c r="I39" s="29" t="n">
        <f aca="false">SUM(H39*D39)</f>
        <v>0</v>
      </c>
    </row>
    <row r="40" customFormat="false" ht="15" hidden="false" customHeight="false" outlineLevel="0" collapsed="false">
      <c r="A40" s="22" t="s">
        <v>51</v>
      </c>
      <c r="B40" s="23" t="s">
        <v>57</v>
      </c>
      <c r="C40" s="24" t="s">
        <v>59</v>
      </c>
      <c r="D40" s="25" t="n">
        <v>15.8</v>
      </c>
      <c r="E40" s="26"/>
      <c r="F40" s="27"/>
      <c r="G40" s="27"/>
      <c r="H40" s="30" t="n">
        <f aca="false">SUM(E40+F40+G40)</f>
        <v>0</v>
      </c>
      <c r="I40" s="29" t="n">
        <f aca="false">SUM(H40*D40)</f>
        <v>0</v>
      </c>
    </row>
    <row r="41" customFormat="false" ht="15" hidden="false" customHeight="false" outlineLevel="0" collapsed="false">
      <c r="A41" s="22" t="s">
        <v>51</v>
      </c>
      <c r="B41" s="23" t="s">
        <v>57</v>
      </c>
      <c r="C41" s="24" t="s">
        <v>60</v>
      </c>
      <c r="D41" s="25" t="n">
        <v>19.38</v>
      </c>
      <c r="E41" s="26"/>
      <c r="F41" s="27"/>
      <c r="G41" s="27"/>
      <c r="H41" s="30" t="n">
        <f aca="false">SUM(E41+F41+G41)</f>
        <v>0</v>
      </c>
      <c r="I41" s="29" t="n">
        <f aca="false">SUM(H41*D41)</f>
        <v>0</v>
      </c>
    </row>
    <row r="42" customFormat="false" ht="15" hidden="false" customHeight="false" outlineLevel="0" collapsed="false">
      <c r="A42" s="22" t="s">
        <v>51</v>
      </c>
      <c r="B42" s="23" t="s">
        <v>61</v>
      </c>
      <c r="C42" s="24" t="s">
        <v>60</v>
      </c>
      <c r="D42" s="25" t="n">
        <f aca="false">200.1/12</f>
        <v>16.675</v>
      </c>
      <c r="E42" s="26"/>
      <c r="F42" s="27"/>
      <c r="G42" s="27"/>
      <c r="H42" s="30" t="n">
        <f aca="false">SUM(E42+F42+G42)</f>
        <v>0</v>
      </c>
      <c r="I42" s="29" t="n">
        <f aca="false">SUM(H42*D42)</f>
        <v>0</v>
      </c>
    </row>
    <row r="43" customFormat="false" ht="15" hidden="false" customHeight="false" outlineLevel="0" collapsed="false">
      <c r="A43" s="22" t="s">
        <v>51</v>
      </c>
      <c r="B43" s="23" t="s">
        <v>61</v>
      </c>
      <c r="C43" s="24" t="s">
        <v>62</v>
      </c>
      <c r="D43" s="25" t="n">
        <f aca="false">256.5/24</f>
        <v>10.6875</v>
      </c>
      <c r="E43" s="26"/>
      <c r="F43" s="27"/>
      <c r="G43" s="27"/>
      <c r="H43" s="30" t="n">
        <f aca="false">SUM(E43+F43+G43)</f>
        <v>0</v>
      </c>
      <c r="I43" s="29" t="n">
        <f aca="false">SUM(H43*D43)</f>
        <v>0</v>
      </c>
    </row>
    <row r="44" customFormat="false" ht="15" hidden="false" customHeight="false" outlineLevel="0" collapsed="false">
      <c r="A44" s="22" t="s">
        <v>51</v>
      </c>
      <c r="B44" s="23" t="s">
        <v>63</v>
      </c>
      <c r="C44" s="24" t="s">
        <v>58</v>
      </c>
      <c r="D44" s="25" t="n">
        <f aca="false">256.5/24</f>
        <v>10.6875</v>
      </c>
      <c r="E44" s="26"/>
      <c r="F44" s="27"/>
      <c r="G44" s="27"/>
      <c r="H44" s="30" t="n">
        <f aca="false">SUM(E44+F44+G44)</f>
        <v>0</v>
      </c>
      <c r="I44" s="29" t="n">
        <f aca="false">SUM(H44*D44)</f>
        <v>0</v>
      </c>
    </row>
    <row r="45" customFormat="false" ht="15" hidden="false" customHeight="false" outlineLevel="0" collapsed="false">
      <c r="A45" s="22" t="s">
        <v>51</v>
      </c>
      <c r="B45" s="23" t="s">
        <v>64</v>
      </c>
      <c r="C45" s="24" t="s">
        <v>65</v>
      </c>
      <c r="D45" s="25" t="n">
        <f aca="false">315.8/24</f>
        <v>13.1583333333333</v>
      </c>
      <c r="E45" s="26"/>
      <c r="F45" s="27"/>
      <c r="G45" s="27"/>
      <c r="H45" s="30" t="n">
        <f aca="false">SUM(E45+F45+G45)</f>
        <v>0</v>
      </c>
      <c r="I45" s="29" t="n">
        <f aca="false">SUM(H45*D45)</f>
        <v>0</v>
      </c>
    </row>
    <row r="46" customFormat="false" ht="15" hidden="false" customHeight="false" outlineLevel="0" collapsed="false">
      <c r="A46" s="22" t="s">
        <v>51</v>
      </c>
      <c r="B46" s="23" t="s">
        <v>66</v>
      </c>
      <c r="C46" s="24" t="s">
        <v>58</v>
      </c>
      <c r="D46" s="25" t="n">
        <f aca="false">256.5/24</f>
        <v>10.6875</v>
      </c>
      <c r="E46" s="26"/>
      <c r="F46" s="27"/>
      <c r="G46" s="27"/>
      <c r="H46" s="30" t="n">
        <f aca="false">SUM(E46+F46+G46)</f>
        <v>0</v>
      </c>
      <c r="I46" s="29" t="n">
        <f aca="false">SUM(H46*D46)</f>
        <v>0</v>
      </c>
    </row>
    <row r="47" customFormat="false" ht="15" hidden="false" customHeight="false" outlineLevel="0" collapsed="false">
      <c r="A47" s="22" t="s">
        <v>51</v>
      </c>
      <c r="B47" s="23" t="s">
        <v>67</v>
      </c>
      <c r="C47" s="24" t="s">
        <v>58</v>
      </c>
      <c r="D47" s="25" t="n">
        <f aca="false">256.5/24</f>
        <v>10.6875</v>
      </c>
      <c r="E47" s="26"/>
      <c r="F47" s="27"/>
      <c r="G47" s="27"/>
      <c r="H47" s="30" t="n">
        <f aca="false">SUM(E47+F47+G47)</f>
        <v>0</v>
      </c>
      <c r="I47" s="29" t="n">
        <f aca="false">SUM(H47*D47)</f>
        <v>0</v>
      </c>
    </row>
    <row r="48" customFormat="false" ht="15" hidden="false" customHeight="false" outlineLevel="0" collapsed="false">
      <c r="A48" s="22" t="s">
        <v>51</v>
      </c>
      <c r="B48" s="23" t="s">
        <v>68</v>
      </c>
      <c r="C48" s="24" t="s">
        <v>69</v>
      </c>
      <c r="D48" s="25" t="n">
        <v>7.66</v>
      </c>
      <c r="E48" s="26"/>
      <c r="F48" s="27"/>
      <c r="G48" s="27"/>
      <c r="H48" s="30" t="n">
        <f aca="false">SUM(E48+F48+G48)</f>
        <v>0</v>
      </c>
      <c r="I48" s="29" t="n">
        <f aca="false">SUM(H48*D48)</f>
        <v>0</v>
      </c>
    </row>
    <row r="49" customFormat="false" ht="15" hidden="false" customHeight="false" outlineLevel="0" collapsed="false">
      <c r="A49" s="22" t="s">
        <v>51</v>
      </c>
      <c r="B49" s="23" t="s">
        <v>70</v>
      </c>
      <c r="C49" s="24" t="s">
        <v>69</v>
      </c>
      <c r="D49" s="25" t="n">
        <f aca="false">183.89/24</f>
        <v>7.66208333333333</v>
      </c>
      <c r="E49" s="26"/>
      <c r="F49" s="27"/>
      <c r="G49" s="27"/>
      <c r="H49" s="30" t="n">
        <f aca="false">SUM(E49+F49+G49)</f>
        <v>0</v>
      </c>
      <c r="I49" s="29" t="n">
        <f aca="false">SUM(H49*D49)</f>
        <v>0</v>
      </c>
    </row>
    <row r="50" customFormat="false" ht="15" hidden="false" customHeight="false" outlineLevel="0" collapsed="false">
      <c r="A50" s="22" t="s">
        <v>51</v>
      </c>
      <c r="B50" s="23" t="s">
        <v>71</v>
      </c>
      <c r="C50" s="24" t="s">
        <v>69</v>
      </c>
      <c r="D50" s="25" t="n">
        <f aca="false">183.89/24</f>
        <v>7.66208333333333</v>
      </c>
      <c r="E50" s="26"/>
      <c r="F50" s="27"/>
      <c r="G50" s="27"/>
      <c r="H50" s="30" t="n">
        <f aca="false">SUM(E50+F50+G50)</f>
        <v>0</v>
      </c>
      <c r="I50" s="29" t="n">
        <f aca="false">SUM(H50*D50)</f>
        <v>0</v>
      </c>
    </row>
    <row r="51" customFormat="false" ht="15" hidden="false" customHeight="false" outlineLevel="0" collapsed="false">
      <c r="A51" s="22" t="s">
        <v>51</v>
      </c>
      <c r="B51" s="23" t="s">
        <v>72</v>
      </c>
      <c r="C51" s="24" t="s">
        <v>73</v>
      </c>
      <c r="D51" s="25" t="n">
        <v>15.81</v>
      </c>
      <c r="E51" s="26"/>
      <c r="F51" s="27"/>
      <c r="G51" s="27"/>
      <c r="H51" s="30" t="n">
        <f aca="false">SUM(E51+F51+G51)</f>
        <v>0</v>
      </c>
      <c r="I51" s="29" t="n">
        <f aca="false">SUM(H51*D51)</f>
        <v>0</v>
      </c>
    </row>
    <row r="52" customFormat="false" ht="15" hidden="false" customHeight="false" outlineLevel="0" collapsed="false">
      <c r="A52" s="22" t="s">
        <v>51</v>
      </c>
      <c r="B52" s="23" t="s">
        <v>74</v>
      </c>
      <c r="C52" s="24" t="s">
        <v>53</v>
      </c>
      <c r="D52" s="25" t="n">
        <f aca="false">278.76/24</f>
        <v>11.615</v>
      </c>
      <c r="E52" s="26"/>
      <c r="F52" s="27"/>
      <c r="G52" s="27"/>
      <c r="H52" s="30" t="n">
        <f aca="false">SUM(E52+F52+G52)</f>
        <v>0</v>
      </c>
      <c r="I52" s="29" t="n">
        <f aca="false">SUM(H52*D52)</f>
        <v>0</v>
      </c>
    </row>
    <row r="53" customFormat="false" ht="15" hidden="false" customHeight="false" outlineLevel="0" collapsed="false">
      <c r="A53" s="22" t="s">
        <v>51</v>
      </c>
      <c r="B53" s="23" t="s">
        <v>75</v>
      </c>
      <c r="C53" s="24" t="s">
        <v>56</v>
      </c>
      <c r="D53" s="32" t="n">
        <f aca="false">405.1/24</f>
        <v>16.8791666666667</v>
      </c>
      <c r="E53" s="26"/>
      <c r="F53" s="27"/>
      <c r="G53" s="27"/>
      <c r="H53" s="30" t="n">
        <f aca="false">SUM(E53+F53+G53)</f>
        <v>0</v>
      </c>
      <c r="I53" s="29" t="n">
        <f aca="false">SUM(H53*D53)</f>
        <v>0</v>
      </c>
    </row>
    <row r="54" customFormat="false" ht="15" hidden="false" customHeight="false" outlineLevel="0" collapsed="false">
      <c r="A54" s="22" t="s">
        <v>51</v>
      </c>
      <c r="B54" s="23" t="s">
        <v>76</v>
      </c>
      <c r="C54" s="24" t="s">
        <v>31</v>
      </c>
      <c r="D54" s="25" t="n">
        <f aca="false">50.55/30</f>
        <v>1.685</v>
      </c>
      <c r="E54" s="26"/>
      <c r="F54" s="27"/>
      <c r="G54" s="27"/>
      <c r="H54" s="30" t="n">
        <f aca="false">SUM(E54+F54+G54)</f>
        <v>0</v>
      </c>
      <c r="I54" s="29" t="n">
        <f aca="false">SUM(H54*D54)</f>
        <v>0</v>
      </c>
    </row>
    <row r="55" customFormat="false" ht="15" hidden="false" customHeight="false" outlineLevel="0" collapsed="false">
      <c r="A55" s="22" t="s">
        <v>51</v>
      </c>
      <c r="B55" s="23" t="s">
        <v>77</v>
      </c>
      <c r="C55" s="24" t="s">
        <v>31</v>
      </c>
      <c r="D55" s="25" t="n">
        <f aca="false">50.55/30</f>
        <v>1.685</v>
      </c>
      <c r="E55" s="26"/>
      <c r="F55" s="27"/>
      <c r="G55" s="27"/>
      <c r="H55" s="30" t="n">
        <f aca="false">SUM(E55+F55+G55)</f>
        <v>0</v>
      </c>
      <c r="I55" s="29" t="n">
        <f aca="false">SUM(H55*D55)</f>
        <v>0</v>
      </c>
    </row>
    <row r="56" customFormat="false" ht="15" hidden="false" customHeight="false" outlineLevel="0" collapsed="false">
      <c r="A56" s="22" t="s">
        <v>51</v>
      </c>
      <c r="B56" s="23" t="s">
        <v>78</v>
      </c>
      <c r="C56" s="24" t="s">
        <v>31</v>
      </c>
      <c r="D56" s="25" t="n">
        <f aca="false">50.55/30</f>
        <v>1.685</v>
      </c>
      <c r="E56" s="26"/>
      <c r="F56" s="27"/>
      <c r="G56" s="27"/>
      <c r="H56" s="30" t="n">
        <f aca="false">SUM(E56+F56+G56)</f>
        <v>0</v>
      </c>
      <c r="I56" s="29" t="n">
        <f aca="false">SUM(H56*D56)</f>
        <v>0</v>
      </c>
    </row>
    <row r="57" customFormat="false" ht="15" hidden="false" customHeight="false" outlineLevel="0" collapsed="false">
      <c r="A57" s="22" t="s">
        <v>51</v>
      </c>
      <c r="B57" s="23" t="s">
        <v>79</v>
      </c>
      <c r="C57" s="24" t="s">
        <v>59</v>
      </c>
      <c r="D57" s="25" t="n">
        <f aca="false">189.5/12</f>
        <v>15.7916666666667</v>
      </c>
      <c r="E57" s="26"/>
      <c r="F57" s="27"/>
      <c r="G57" s="27"/>
      <c r="H57" s="30" t="n">
        <f aca="false">SUM(E57+F57+G57)</f>
        <v>0</v>
      </c>
      <c r="I57" s="29" t="n">
        <f aca="false">SUM(H57*D57)</f>
        <v>0</v>
      </c>
    </row>
    <row r="58" customFormat="false" ht="15" hidden="false" customHeight="false" outlineLevel="0" collapsed="false">
      <c r="A58" s="22" t="s">
        <v>51</v>
      </c>
      <c r="B58" s="23" t="s">
        <v>80</v>
      </c>
      <c r="C58" s="24" t="s">
        <v>59</v>
      </c>
      <c r="D58" s="25" t="n">
        <f aca="false">189.5/12</f>
        <v>15.7916666666667</v>
      </c>
      <c r="E58" s="26"/>
      <c r="F58" s="27"/>
      <c r="G58" s="27"/>
      <c r="H58" s="30" t="n">
        <f aca="false">SUM(E58+F58+G58)</f>
        <v>0</v>
      </c>
      <c r="I58" s="29" t="n">
        <f aca="false">SUM(H58*D58)</f>
        <v>0</v>
      </c>
    </row>
    <row r="59" customFormat="false" ht="15" hidden="false" customHeight="false" outlineLevel="0" collapsed="false">
      <c r="A59" s="22" t="s">
        <v>51</v>
      </c>
      <c r="B59" s="23" t="s">
        <v>81</v>
      </c>
      <c r="C59" s="24" t="s">
        <v>53</v>
      </c>
      <c r="D59" s="25" t="n">
        <f aca="false">313.26/24</f>
        <v>13.0525</v>
      </c>
      <c r="E59" s="26"/>
      <c r="F59" s="27"/>
      <c r="G59" s="27"/>
      <c r="H59" s="30" t="n">
        <f aca="false">SUM(E59+F59+G59)</f>
        <v>0</v>
      </c>
      <c r="I59" s="29" t="n">
        <f aca="false">SUM(H59*D59)</f>
        <v>0</v>
      </c>
    </row>
    <row r="60" customFormat="false" ht="15" hidden="false" customHeight="false" outlineLevel="0" collapsed="false">
      <c r="A60" s="22" t="s">
        <v>51</v>
      </c>
      <c r="B60" s="23" t="s">
        <v>82</v>
      </c>
      <c r="C60" s="24" t="s">
        <v>59</v>
      </c>
      <c r="D60" s="25" t="n">
        <f aca="false">189.5/12</f>
        <v>15.7916666666667</v>
      </c>
      <c r="E60" s="26"/>
      <c r="F60" s="27"/>
      <c r="G60" s="27"/>
      <c r="H60" s="30" t="n">
        <f aca="false">SUM(E60+F60+G60)</f>
        <v>0</v>
      </c>
      <c r="I60" s="29" t="n">
        <f aca="false">SUM(H60*D60)</f>
        <v>0</v>
      </c>
    </row>
    <row r="61" customFormat="false" ht="15" hidden="false" customHeight="false" outlineLevel="0" collapsed="false">
      <c r="A61" s="22" t="s">
        <v>51</v>
      </c>
      <c r="B61" s="23" t="s">
        <v>83</v>
      </c>
      <c r="C61" s="24" t="s">
        <v>65</v>
      </c>
      <c r="D61" s="25" t="n">
        <f aca="false">78/12</f>
        <v>6.5</v>
      </c>
      <c r="E61" s="26"/>
      <c r="F61" s="27"/>
      <c r="G61" s="27"/>
      <c r="H61" s="30" t="n">
        <f aca="false">SUM(E61+F61+G61)</f>
        <v>0</v>
      </c>
      <c r="I61" s="29" t="n">
        <f aca="false">SUM(H61*D61)</f>
        <v>0</v>
      </c>
    </row>
    <row r="62" customFormat="false" ht="15" hidden="false" customHeight="false" outlineLevel="0" collapsed="false">
      <c r="A62" s="22" t="s">
        <v>51</v>
      </c>
      <c r="B62" s="23" t="s">
        <v>84</v>
      </c>
      <c r="C62" s="24" t="s">
        <v>58</v>
      </c>
      <c r="D62" s="25" t="n">
        <f aca="false">256.5/24</f>
        <v>10.6875</v>
      </c>
      <c r="E62" s="26"/>
      <c r="F62" s="27"/>
      <c r="G62" s="27"/>
      <c r="H62" s="30" t="n">
        <f aca="false">SUM(E62+F62+G62)</f>
        <v>0</v>
      </c>
      <c r="I62" s="29" t="n">
        <f aca="false">SUM(H62*D62)</f>
        <v>0</v>
      </c>
    </row>
    <row r="63" customFormat="false" ht="15" hidden="false" customHeight="false" outlineLevel="0" collapsed="false">
      <c r="A63" s="22" t="s">
        <v>51</v>
      </c>
      <c r="B63" s="23" t="s">
        <v>85</v>
      </c>
      <c r="C63" s="24" t="s">
        <v>62</v>
      </c>
      <c r="D63" s="25" t="n">
        <f aca="false">256.5/24</f>
        <v>10.6875</v>
      </c>
      <c r="E63" s="26"/>
      <c r="F63" s="27"/>
      <c r="G63" s="27"/>
      <c r="H63" s="30" t="n">
        <f aca="false">SUM(E63+F63+G63)</f>
        <v>0</v>
      </c>
      <c r="I63" s="29" t="n">
        <f aca="false">SUM(H63*D63)</f>
        <v>0</v>
      </c>
    </row>
    <row r="64" customFormat="false" ht="15" hidden="false" customHeight="false" outlineLevel="0" collapsed="false">
      <c r="A64" s="22" t="s">
        <v>51</v>
      </c>
      <c r="B64" s="23" t="s">
        <v>86</v>
      </c>
      <c r="C64" s="24" t="s">
        <v>65</v>
      </c>
      <c r="D64" s="25" t="n">
        <f aca="false">125/25</f>
        <v>5</v>
      </c>
      <c r="E64" s="26"/>
      <c r="F64" s="27"/>
      <c r="G64" s="27"/>
      <c r="H64" s="30" t="n">
        <f aca="false">SUM(E64+F64+G64)</f>
        <v>0</v>
      </c>
      <c r="I64" s="29" t="n">
        <f aca="false">SUM(H64*D64)</f>
        <v>0</v>
      </c>
    </row>
    <row r="65" customFormat="false" ht="15" hidden="false" customHeight="false" outlineLevel="0" collapsed="false">
      <c r="A65" s="22" t="s">
        <v>51</v>
      </c>
      <c r="B65" s="31" t="s">
        <v>87</v>
      </c>
      <c r="C65" s="24" t="s">
        <v>58</v>
      </c>
      <c r="D65" s="25" t="n">
        <f aca="false">256.5/24</f>
        <v>10.6875</v>
      </c>
      <c r="E65" s="33"/>
      <c r="F65" s="34"/>
      <c r="G65" s="34"/>
      <c r="H65" s="30" t="n">
        <f aca="false">SUM(E65+F65+G65)</f>
        <v>0</v>
      </c>
      <c r="I65" s="29" t="n">
        <f aca="false">SUM(H65*D65)</f>
        <v>0</v>
      </c>
    </row>
    <row r="66" customFormat="false" ht="15" hidden="false" customHeight="false" outlineLevel="0" collapsed="false">
      <c r="A66" s="22" t="s">
        <v>51</v>
      </c>
      <c r="B66" s="31" t="s">
        <v>88</v>
      </c>
      <c r="C66" s="24" t="s">
        <v>58</v>
      </c>
      <c r="D66" s="25" t="n">
        <f aca="false">256.5/24</f>
        <v>10.6875</v>
      </c>
      <c r="E66" s="33"/>
      <c r="F66" s="34"/>
      <c r="G66" s="34"/>
      <c r="H66" s="30" t="n">
        <f aca="false">SUM(E66+F66+G66)</f>
        <v>0</v>
      </c>
      <c r="I66" s="29" t="n">
        <f aca="false">SUM(H66*D66)</f>
        <v>0</v>
      </c>
    </row>
    <row r="67" customFormat="false" ht="15" hidden="false" customHeight="false" outlineLevel="0" collapsed="false">
      <c r="A67" s="41" t="s">
        <v>51</v>
      </c>
      <c r="B67" s="42" t="s">
        <v>89</v>
      </c>
      <c r="C67" s="50" t="s">
        <v>58</v>
      </c>
      <c r="D67" s="53" t="n">
        <f aca="false">256.5/24</f>
        <v>10.6875</v>
      </c>
      <c r="E67" s="45"/>
      <c r="F67" s="46"/>
      <c r="G67" s="46"/>
      <c r="H67" s="30" t="n">
        <f aca="false">SUM(E67+F67+G67)</f>
        <v>0</v>
      </c>
      <c r="I67" s="29" t="n">
        <f aca="false">SUM(H67*D67)</f>
        <v>0</v>
      </c>
    </row>
    <row r="68" customFormat="false" ht="15" hidden="false" customHeight="false" outlineLevel="0" collapsed="false">
      <c r="A68" s="22" t="s">
        <v>90</v>
      </c>
      <c r="B68" s="23" t="s">
        <v>91</v>
      </c>
      <c r="C68" s="54" t="s">
        <v>31</v>
      </c>
      <c r="D68" s="55" t="n">
        <f aca="false">400/30</f>
        <v>13.3333333333333</v>
      </c>
      <c r="E68" s="26"/>
      <c r="F68" s="27"/>
      <c r="G68" s="27"/>
      <c r="H68" s="30" t="n">
        <f aca="false">SUM(E68+F68+G68)</f>
        <v>0</v>
      </c>
      <c r="I68" s="29" t="n">
        <f aca="false">SUM(H68*D68)</f>
        <v>0</v>
      </c>
    </row>
    <row r="69" customFormat="false" ht="15" hidden="false" customHeight="false" outlineLevel="0" collapsed="false">
      <c r="A69" s="35" t="s">
        <v>92</v>
      </c>
      <c r="B69" s="36" t="s">
        <v>93</v>
      </c>
      <c r="C69" s="56" t="s">
        <v>27</v>
      </c>
      <c r="D69" s="57" t="n">
        <v>68</v>
      </c>
      <c r="E69" s="39"/>
      <c r="F69" s="40"/>
      <c r="G69" s="40"/>
      <c r="H69" s="30" t="n">
        <f aca="false">SUM(E69+F69+G69)</f>
        <v>0</v>
      </c>
      <c r="I69" s="29" t="n">
        <f aca="false">SUM(H69*D69)</f>
        <v>0</v>
      </c>
    </row>
    <row r="70" customFormat="false" ht="15" hidden="false" customHeight="false" outlineLevel="0" collapsed="false">
      <c r="A70" s="58" t="s">
        <v>92</v>
      </c>
      <c r="B70" s="59" t="s">
        <v>94</v>
      </c>
      <c r="C70" s="60" t="s">
        <v>27</v>
      </c>
      <c r="D70" s="61" t="n">
        <v>68</v>
      </c>
      <c r="E70" s="62"/>
      <c r="F70" s="63"/>
      <c r="G70" s="63"/>
      <c r="H70" s="30" t="n">
        <f aca="false">SUM(E70+F70+G70)</f>
        <v>0</v>
      </c>
      <c r="I70" s="29" t="n">
        <f aca="false">SUM(H70*D70)</f>
        <v>0</v>
      </c>
    </row>
    <row r="71" customFormat="false" ht="15" hidden="false" customHeight="false" outlineLevel="0" collapsed="false">
      <c r="A71" s="58" t="s">
        <v>92</v>
      </c>
      <c r="B71" s="59" t="s">
        <v>95</v>
      </c>
      <c r="C71" s="60" t="s">
        <v>27</v>
      </c>
      <c r="D71" s="61" t="n">
        <v>60</v>
      </c>
      <c r="E71" s="62"/>
      <c r="F71" s="63"/>
      <c r="G71" s="63"/>
      <c r="H71" s="30" t="n">
        <f aca="false">SUM(E71+F71+G71)</f>
        <v>0</v>
      </c>
      <c r="I71" s="29" t="n">
        <f aca="false">SUM(H71*D71)</f>
        <v>0</v>
      </c>
    </row>
    <row r="72" customFormat="false" ht="15" hidden="false" customHeight="false" outlineLevel="0" collapsed="false">
      <c r="A72" s="58" t="s">
        <v>92</v>
      </c>
      <c r="B72" s="59" t="s">
        <v>96</v>
      </c>
      <c r="C72" s="60" t="s">
        <v>27</v>
      </c>
      <c r="D72" s="61" t="n">
        <v>79</v>
      </c>
      <c r="E72" s="62"/>
      <c r="F72" s="63"/>
      <c r="G72" s="63"/>
      <c r="H72" s="30" t="n">
        <f aca="false">SUM(E72+F72+G72)</f>
        <v>0</v>
      </c>
      <c r="I72" s="29" t="n">
        <f aca="false">SUM(H72*D72)</f>
        <v>0</v>
      </c>
    </row>
    <row r="73" customFormat="false" ht="15" hidden="false" customHeight="false" outlineLevel="0" collapsed="false">
      <c r="A73" s="58" t="s">
        <v>92</v>
      </c>
      <c r="B73" s="59" t="s">
        <v>97</v>
      </c>
      <c r="C73" s="60" t="s">
        <v>27</v>
      </c>
      <c r="D73" s="61" t="n">
        <v>84</v>
      </c>
      <c r="E73" s="62"/>
      <c r="F73" s="63"/>
      <c r="G73" s="63"/>
      <c r="H73" s="30" t="n">
        <f aca="false">SUM(E73+F73+G73)</f>
        <v>0</v>
      </c>
      <c r="I73" s="29" t="n">
        <f aca="false">SUM(H73*D73)</f>
        <v>0</v>
      </c>
    </row>
    <row r="74" customFormat="false" ht="15" hidden="false" customHeight="false" outlineLevel="0" collapsed="false">
      <c r="A74" s="58" t="s">
        <v>92</v>
      </c>
      <c r="B74" s="59" t="s">
        <v>98</v>
      </c>
      <c r="C74" s="60" t="s">
        <v>27</v>
      </c>
      <c r="D74" s="61" t="n">
        <v>87.5</v>
      </c>
      <c r="E74" s="62"/>
      <c r="F74" s="63"/>
      <c r="G74" s="63"/>
      <c r="H74" s="30" t="n">
        <f aca="false">SUM(E74+F74+G74)</f>
        <v>0</v>
      </c>
      <c r="I74" s="29" t="n">
        <f aca="false">SUM(H74*D74)</f>
        <v>0</v>
      </c>
    </row>
    <row r="75" customFormat="false" ht="15" hidden="false" customHeight="false" outlineLevel="0" collapsed="false">
      <c r="A75" s="58" t="s">
        <v>92</v>
      </c>
      <c r="B75" s="59" t="s">
        <v>99</v>
      </c>
      <c r="C75" s="60" t="s">
        <v>27</v>
      </c>
      <c r="D75" s="61" t="n">
        <v>105</v>
      </c>
      <c r="E75" s="62"/>
      <c r="F75" s="63"/>
      <c r="G75" s="63"/>
      <c r="H75" s="30" t="n">
        <f aca="false">SUM(E75+F75+G75)</f>
        <v>0</v>
      </c>
      <c r="I75" s="29" t="n">
        <f aca="false">SUM(H75*D75)</f>
        <v>0</v>
      </c>
    </row>
    <row r="76" customFormat="false" ht="15" hidden="false" customHeight="false" outlineLevel="0" collapsed="false">
      <c r="A76" s="22" t="s">
        <v>92</v>
      </c>
      <c r="B76" s="23" t="s">
        <v>100</v>
      </c>
      <c r="C76" s="60" t="s">
        <v>27</v>
      </c>
      <c r="D76" s="64" t="n">
        <v>129</v>
      </c>
      <c r="E76" s="26"/>
      <c r="F76" s="27"/>
      <c r="G76" s="27"/>
      <c r="H76" s="30" t="n">
        <f aca="false">SUM(E76+F76+G76)</f>
        <v>0</v>
      </c>
      <c r="I76" s="29" t="n">
        <f aca="false">SUM(H76*D76)</f>
        <v>0</v>
      </c>
    </row>
    <row r="77" customFormat="false" ht="15" hidden="false" customHeight="false" outlineLevel="0" collapsed="false">
      <c r="A77" s="35" t="s">
        <v>101</v>
      </c>
      <c r="B77" s="36" t="s">
        <v>102</v>
      </c>
      <c r="C77" s="47" t="s">
        <v>31</v>
      </c>
      <c r="D77" s="38" t="n">
        <f aca="false">219/30</f>
        <v>7.3</v>
      </c>
      <c r="E77" s="39"/>
      <c r="F77" s="40"/>
      <c r="G77" s="40"/>
      <c r="H77" s="30" t="n">
        <f aca="false">SUM(E77+F77+G77)</f>
        <v>0</v>
      </c>
      <c r="I77" s="29" t="n">
        <f aca="false">SUM(H77*D77)</f>
        <v>0</v>
      </c>
    </row>
    <row r="78" customFormat="false" ht="15" hidden="false" customHeight="false" outlineLevel="0" collapsed="false">
      <c r="A78" s="22" t="s">
        <v>101</v>
      </c>
      <c r="B78" s="23" t="s">
        <v>103</v>
      </c>
      <c r="C78" s="48" t="s">
        <v>31</v>
      </c>
      <c r="D78" s="25" t="n">
        <f aca="false">185/30</f>
        <v>6.16666666666667</v>
      </c>
      <c r="E78" s="26"/>
      <c r="F78" s="27"/>
      <c r="G78" s="27"/>
      <c r="H78" s="30" t="n">
        <f aca="false">SUM(E78+F78+G78)</f>
        <v>0</v>
      </c>
      <c r="I78" s="29" t="n">
        <f aca="false">SUM(H78*D78)</f>
        <v>0</v>
      </c>
    </row>
    <row r="79" customFormat="false" ht="15" hidden="false" customHeight="false" outlineLevel="0" collapsed="false">
      <c r="A79" s="22" t="s">
        <v>101</v>
      </c>
      <c r="B79" s="23" t="s">
        <v>104</v>
      </c>
      <c r="C79" s="48" t="s">
        <v>31</v>
      </c>
      <c r="D79" s="25" t="n">
        <f aca="false">209/30</f>
        <v>6.96666666666667</v>
      </c>
      <c r="E79" s="26"/>
      <c r="F79" s="27"/>
      <c r="G79" s="27"/>
      <c r="H79" s="30" t="n">
        <f aca="false">SUM(E79+F79+G79)</f>
        <v>0</v>
      </c>
      <c r="I79" s="29" t="n">
        <f aca="false">SUM(H79*D79)</f>
        <v>0</v>
      </c>
    </row>
    <row r="80" customFormat="false" ht="15" hidden="false" customHeight="false" outlineLevel="0" collapsed="false">
      <c r="A80" s="35" t="s">
        <v>105</v>
      </c>
      <c r="B80" s="36" t="s">
        <v>106</v>
      </c>
      <c r="C80" s="47" t="s">
        <v>31</v>
      </c>
      <c r="D80" s="38" t="n">
        <f aca="false">170/30</f>
        <v>5.66666666666667</v>
      </c>
      <c r="E80" s="39"/>
      <c r="F80" s="40"/>
      <c r="G80" s="40"/>
      <c r="H80" s="30" t="n">
        <f aca="false">SUM(E80+F80+G80)</f>
        <v>0</v>
      </c>
      <c r="I80" s="29" t="n">
        <f aca="false">SUM(H80*D80)</f>
        <v>0</v>
      </c>
    </row>
    <row r="81" customFormat="false" ht="15" hidden="false" customHeight="false" outlineLevel="0" collapsed="false">
      <c r="A81" s="58" t="s">
        <v>105</v>
      </c>
      <c r="B81" s="59" t="s">
        <v>107</v>
      </c>
      <c r="C81" s="65" t="s">
        <v>31</v>
      </c>
      <c r="D81" s="55" t="n">
        <f aca="false">299/30</f>
        <v>9.96666666666667</v>
      </c>
      <c r="E81" s="62"/>
      <c r="F81" s="63"/>
      <c r="G81" s="63"/>
      <c r="H81" s="30" t="n">
        <f aca="false">SUM(E81+F81+G81)</f>
        <v>0</v>
      </c>
      <c r="I81" s="29" t="n">
        <f aca="false">SUM(H81*D81)</f>
        <v>0</v>
      </c>
    </row>
    <row r="82" customFormat="false" ht="15" hidden="false" customHeight="false" outlineLevel="0" collapsed="false">
      <c r="A82" s="58" t="s">
        <v>105</v>
      </c>
      <c r="B82" s="59" t="s">
        <v>108</v>
      </c>
      <c r="C82" s="65" t="s">
        <v>31</v>
      </c>
      <c r="D82" s="55" t="n">
        <f aca="false">260/30</f>
        <v>8.66666666666667</v>
      </c>
      <c r="E82" s="62"/>
      <c r="F82" s="63"/>
      <c r="G82" s="63"/>
      <c r="H82" s="30" t="n">
        <f aca="false">SUM(E82+F82+G82)</f>
        <v>0</v>
      </c>
      <c r="I82" s="29" t="n">
        <f aca="false">SUM(H82*D82)</f>
        <v>0</v>
      </c>
    </row>
    <row r="83" customFormat="false" ht="15" hidden="false" customHeight="false" outlineLevel="0" collapsed="false">
      <c r="A83" s="22" t="s">
        <v>105</v>
      </c>
      <c r="B83" s="23" t="s">
        <v>109</v>
      </c>
      <c r="C83" s="48" t="s">
        <v>31</v>
      </c>
      <c r="D83" s="25" t="n">
        <f aca="false">170/30</f>
        <v>5.66666666666667</v>
      </c>
      <c r="E83" s="26"/>
      <c r="F83" s="27"/>
      <c r="G83" s="27"/>
      <c r="H83" s="30" t="n">
        <f aca="false">SUM(E83+F83+G83)</f>
        <v>0</v>
      </c>
      <c r="I83" s="29" t="n">
        <f aca="false">SUM(H83*D83)</f>
        <v>0</v>
      </c>
    </row>
    <row r="84" customFormat="false" ht="15" hidden="false" customHeight="false" outlineLevel="0" collapsed="false">
      <c r="A84" s="22" t="s">
        <v>105</v>
      </c>
      <c r="B84" s="23" t="s">
        <v>110</v>
      </c>
      <c r="C84" s="48" t="s">
        <v>31</v>
      </c>
      <c r="D84" s="25" t="n">
        <f aca="false">169/30</f>
        <v>5.63333333333333</v>
      </c>
      <c r="E84" s="26"/>
      <c r="F84" s="27"/>
      <c r="G84" s="27"/>
      <c r="H84" s="30" t="n">
        <f aca="false">SUM(E84+F84+G84)</f>
        <v>0</v>
      </c>
      <c r="I84" s="29" t="n">
        <f aca="false">SUM(H84*D84)</f>
        <v>0</v>
      </c>
    </row>
    <row r="85" customFormat="false" ht="15" hidden="false" customHeight="false" outlineLevel="0" collapsed="false">
      <c r="A85" s="22" t="s">
        <v>105</v>
      </c>
      <c r="B85" s="23" t="s">
        <v>111</v>
      </c>
      <c r="C85" s="48" t="s">
        <v>31</v>
      </c>
      <c r="D85" s="25" t="n">
        <f aca="false">330/30</f>
        <v>11</v>
      </c>
      <c r="E85" s="26"/>
      <c r="F85" s="27"/>
      <c r="G85" s="27"/>
      <c r="H85" s="30" t="n">
        <f aca="false">SUM(E85+F85+G85)</f>
        <v>0</v>
      </c>
      <c r="I85" s="29" t="n">
        <f aca="false">SUM(H85*D85)</f>
        <v>0</v>
      </c>
    </row>
    <row r="86" customFormat="false" ht="15" hidden="false" customHeight="false" outlineLevel="0" collapsed="false">
      <c r="A86" s="22" t="s">
        <v>105</v>
      </c>
      <c r="B86" s="23" t="s">
        <v>112</v>
      </c>
      <c r="C86" s="48" t="s">
        <v>31</v>
      </c>
      <c r="D86" s="25" t="n">
        <f aca="false">150/30</f>
        <v>5</v>
      </c>
      <c r="E86" s="26"/>
      <c r="F86" s="27"/>
      <c r="G86" s="27"/>
      <c r="H86" s="30" t="n">
        <f aca="false">SUM(E86+F86+G86)</f>
        <v>0</v>
      </c>
      <c r="I86" s="29" t="n">
        <f aca="false">SUM(H86*D86)</f>
        <v>0</v>
      </c>
    </row>
    <row r="87" customFormat="false" ht="15" hidden="false" customHeight="false" outlineLevel="0" collapsed="false">
      <c r="A87" s="22" t="s">
        <v>105</v>
      </c>
      <c r="B87" s="23" t="s">
        <v>113</v>
      </c>
      <c r="C87" s="48" t="s">
        <v>31</v>
      </c>
      <c r="D87" s="25" t="n">
        <f aca="false">320/30</f>
        <v>10.6666666666667</v>
      </c>
      <c r="E87" s="26"/>
      <c r="F87" s="27"/>
      <c r="G87" s="27"/>
      <c r="H87" s="30" t="n">
        <f aca="false">SUM(E87+F87+G87)</f>
        <v>0</v>
      </c>
      <c r="I87" s="29" t="n">
        <f aca="false">SUM(H87*D87)</f>
        <v>0</v>
      </c>
    </row>
    <row r="88" customFormat="false" ht="15" hidden="false" customHeight="false" outlineLevel="0" collapsed="false">
      <c r="A88" s="41" t="s">
        <v>105</v>
      </c>
      <c r="B88" s="42" t="s">
        <v>114</v>
      </c>
      <c r="C88" s="50" t="s">
        <v>31</v>
      </c>
      <c r="D88" s="44" t="n">
        <f aca="false">100/30</f>
        <v>3.33333333333333</v>
      </c>
      <c r="E88" s="45"/>
      <c r="F88" s="46"/>
      <c r="G88" s="46"/>
      <c r="H88" s="30" t="n">
        <f aca="false">SUM(E88+F88+G88)</f>
        <v>0</v>
      </c>
      <c r="I88" s="29" t="n">
        <f aca="false">SUM(H88*D88)</f>
        <v>0</v>
      </c>
    </row>
    <row r="89" customFormat="false" ht="15" hidden="false" customHeight="false" outlineLevel="0" collapsed="false">
      <c r="A89" s="22" t="s">
        <v>115</v>
      </c>
      <c r="B89" s="23" t="s">
        <v>116</v>
      </c>
      <c r="C89" s="66" t="s">
        <v>117</v>
      </c>
      <c r="D89" s="64" t="n">
        <f aca="false">534/6</f>
        <v>89</v>
      </c>
      <c r="E89" s="26"/>
      <c r="F89" s="27"/>
      <c r="G89" s="27"/>
      <c r="H89" s="30" t="n">
        <f aca="false">SUM(E89+F89+G89)</f>
        <v>0</v>
      </c>
      <c r="I89" s="29" t="n">
        <f aca="false">SUM(H89*D89)</f>
        <v>0</v>
      </c>
    </row>
    <row r="90" customFormat="false" ht="15" hidden="false" customHeight="false" outlineLevel="0" collapsed="false">
      <c r="A90" s="22" t="s">
        <v>115</v>
      </c>
      <c r="B90" s="31" t="s">
        <v>118</v>
      </c>
      <c r="C90" s="66" t="s">
        <v>117</v>
      </c>
      <c r="D90" s="67" t="n">
        <v>113.25</v>
      </c>
      <c r="E90" s="33"/>
      <c r="F90" s="34"/>
      <c r="G90" s="34"/>
      <c r="H90" s="30" t="n">
        <f aca="false">SUM(E90+F90+G90)</f>
        <v>0</v>
      </c>
      <c r="I90" s="29" t="n">
        <f aca="false">SUM(H90*D90)</f>
        <v>0</v>
      </c>
    </row>
    <row r="91" customFormat="false" ht="15" hidden="false" customHeight="false" outlineLevel="0" collapsed="false">
      <c r="A91" s="22" t="s">
        <v>115</v>
      </c>
      <c r="B91" s="31" t="s">
        <v>119</v>
      </c>
      <c r="C91" s="66" t="s">
        <v>117</v>
      </c>
      <c r="D91" s="67" t="n">
        <v>100</v>
      </c>
      <c r="E91" s="33"/>
      <c r="F91" s="34"/>
      <c r="G91" s="34"/>
      <c r="H91" s="30" t="n">
        <f aca="false">SUM(E91+F91+G91)</f>
        <v>0</v>
      </c>
      <c r="I91" s="29" t="n">
        <f aca="false">SUM(H91*D91)</f>
        <v>0</v>
      </c>
    </row>
    <row r="92" customFormat="false" ht="15" hidden="false" customHeight="false" outlineLevel="0" collapsed="false">
      <c r="A92" s="22" t="s">
        <v>115</v>
      </c>
      <c r="B92" s="42" t="s">
        <v>120</v>
      </c>
      <c r="C92" s="68" t="s">
        <v>117</v>
      </c>
      <c r="D92" s="69" t="n">
        <f aca="false">2160/12</f>
        <v>180</v>
      </c>
      <c r="E92" s="45"/>
      <c r="F92" s="46"/>
      <c r="G92" s="46"/>
      <c r="H92" s="30" t="n">
        <f aca="false">SUM(E92+F92+G92)</f>
        <v>0</v>
      </c>
      <c r="I92" s="29" t="n">
        <f aca="false">SUM(H92*D92)</f>
        <v>0</v>
      </c>
    </row>
    <row r="93" customFormat="false" ht="15" hidden="false" customHeight="false" outlineLevel="0" collapsed="false">
      <c r="A93" s="35" t="s">
        <v>121</v>
      </c>
      <c r="B93" s="36" t="s">
        <v>122</v>
      </c>
      <c r="C93" s="48" t="s">
        <v>31</v>
      </c>
      <c r="D93" s="38" t="n">
        <f aca="false">220/30</f>
        <v>7.33333333333333</v>
      </c>
      <c r="E93" s="39"/>
      <c r="F93" s="40"/>
      <c r="G93" s="40"/>
      <c r="H93" s="30" t="n">
        <f aca="false">SUM(E93+F93+G93)</f>
        <v>0</v>
      </c>
      <c r="I93" s="29" t="n">
        <f aca="false">SUM(H93*D93)</f>
        <v>0</v>
      </c>
    </row>
    <row r="94" customFormat="false" ht="15" hidden="false" customHeight="false" outlineLevel="0" collapsed="false">
      <c r="A94" s="58" t="s">
        <v>121</v>
      </c>
      <c r="B94" s="59" t="s">
        <v>123</v>
      </c>
      <c r="C94" s="49" t="s">
        <v>31</v>
      </c>
      <c r="D94" s="55" t="n">
        <f aca="false">500/30</f>
        <v>16.6666666666667</v>
      </c>
      <c r="E94" s="62"/>
      <c r="F94" s="63"/>
      <c r="G94" s="63"/>
      <c r="H94" s="30" t="n">
        <f aca="false">SUM(E94+F94+G94)</f>
        <v>0</v>
      </c>
      <c r="I94" s="29" t="n">
        <f aca="false">SUM(H94*D94)</f>
        <v>0</v>
      </c>
    </row>
    <row r="95" customFormat="false" ht="15" hidden="false" customHeight="false" outlineLevel="0" collapsed="false">
      <c r="A95" s="22" t="s">
        <v>121</v>
      </c>
      <c r="B95" s="23" t="s">
        <v>124</v>
      </c>
      <c r="C95" s="50" t="s">
        <v>31</v>
      </c>
      <c r="D95" s="25" t="n">
        <f aca="false">350/30</f>
        <v>11.6666666666667</v>
      </c>
      <c r="E95" s="26"/>
      <c r="F95" s="27"/>
      <c r="G95" s="27"/>
      <c r="H95" s="30" t="n">
        <f aca="false">SUM(E95+F95+G95)</f>
        <v>0</v>
      </c>
      <c r="I95" s="29" t="n">
        <f aca="false">SUM(H95*D95)</f>
        <v>0</v>
      </c>
    </row>
    <row r="96" customFormat="false" ht="15" hidden="false" customHeight="false" outlineLevel="0" collapsed="false">
      <c r="A96" s="35" t="s">
        <v>125</v>
      </c>
      <c r="B96" s="36" t="s">
        <v>126</v>
      </c>
      <c r="C96" s="65" t="s">
        <v>31</v>
      </c>
      <c r="D96" s="38" t="n">
        <f aca="false">160/30</f>
        <v>5.33333333333333</v>
      </c>
      <c r="E96" s="39"/>
      <c r="F96" s="40"/>
      <c r="G96" s="40"/>
      <c r="H96" s="30" t="n">
        <f aca="false">SUM(E96+F96+G96)</f>
        <v>0</v>
      </c>
      <c r="I96" s="29" t="n">
        <f aca="false">SUM(H96*D96)</f>
        <v>0</v>
      </c>
    </row>
    <row r="97" customFormat="false" ht="15" hidden="false" customHeight="false" outlineLevel="0" collapsed="false">
      <c r="A97" s="22" t="s">
        <v>125</v>
      </c>
      <c r="B97" s="23" t="s">
        <v>127</v>
      </c>
      <c r="C97" s="48" t="s">
        <v>31</v>
      </c>
      <c r="D97" s="25" t="n">
        <f aca="false">169.9/30</f>
        <v>5.66333333333333</v>
      </c>
      <c r="E97" s="26"/>
      <c r="F97" s="27"/>
      <c r="G97" s="27"/>
      <c r="H97" s="30" t="n">
        <f aca="false">SUM(E97+F97+G97)</f>
        <v>0</v>
      </c>
      <c r="I97" s="29" t="n">
        <f aca="false">SUM(H97*D97)</f>
        <v>0</v>
      </c>
    </row>
    <row r="98" customFormat="false" ht="15" hidden="false" customHeight="false" outlineLevel="0" collapsed="false">
      <c r="A98" s="22" t="s">
        <v>125</v>
      </c>
      <c r="B98" s="31" t="s">
        <v>128</v>
      </c>
      <c r="C98" s="48" t="s">
        <v>31</v>
      </c>
      <c r="D98" s="32" t="n">
        <f aca="false">380/30</f>
        <v>12.6666666666667</v>
      </c>
      <c r="E98" s="33"/>
      <c r="F98" s="34"/>
      <c r="G98" s="34"/>
      <c r="H98" s="30" t="n">
        <f aca="false">SUM(E98+F98+G98)</f>
        <v>0</v>
      </c>
      <c r="I98" s="29" t="n">
        <f aca="false">SUM(H98*D98)</f>
        <v>0</v>
      </c>
    </row>
    <row r="99" customFormat="false" ht="15" hidden="false" customHeight="false" outlineLevel="0" collapsed="false">
      <c r="A99" s="22" t="s">
        <v>125</v>
      </c>
      <c r="B99" s="31" t="s">
        <v>129</v>
      </c>
      <c r="C99" s="48" t="s">
        <v>31</v>
      </c>
      <c r="D99" s="70" t="n">
        <f aca="false">175/30</f>
        <v>5.83333333333333</v>
      </c>
      <c r="E99" s="33"/>
      <c r="F99" s="34"/>
      <c r="G99" s="34"/>
      <c r="H99" s="30" t="n">
        <f aca="false">SUM(E99+F99+G99)</f>
        <v>0</v>
      </c>
      <c r="I99" s="29" t="n">
        <f aca="false">SUM(H99*D99)</f>
        <v>0</v>
      </c>
    </row>
    <row r="100" customFormat="false" ht="15" hidden="false" customHeight="false" outlineLevel="0" collapsed="false">
      <c r="A100" s="22" t="s">
        <v>125</v>
      </c>
      <c r="B100" s="42" t="s">
        <v>130</v>
      </c>
      <c r="C100" s="48" t="s">
        <v>31</v>
      </c>
      <c r="D100" s="71" t="n">
        <f aca="false">175/30</f>
        <v>5.83333333333333</v>
      </c>
      <c r="E100" s="45"/>
      <c r="F100" s="46"/>
      <c r="G100" s="46"/>
      <c r="H100" s="30" t="n">
        <f aca="false">SUM(E100+F100+G100)</f>
        <v>0</v>
      </c>
      <c r="I100" s="29" t="n">
        <f aca="false">SUM(H100*D100)</f>
        <v>0</v>
      </c>
    </row>
    <row r="101" customFormat="false" ht="15" hidden="false" customHeight="false" outlineLevel="0" collapsed="false">
      <c r="A101" s="35" t="s">
        <v>131</v>
      </c>
      <c r="B101" s="36" t="s">
        <v>132</v>
      </c>
      <c r="C101" s="37" t="s">
        <v>27</v>
      </c>
      <c r="D101" s="38" t="n">
        <v>92</v>
      </c>
      <c r="E101" s="39"/>
      <c r="F101" s="40"/>
      <c r="G101" s="40"/>
      <c r="H101" s="30" t="n">
        <f aca="false">SUM(E101+F101+G101)</f>
        <v>0</v>
      </c>
      <c r="I101" s="29" t="n">
        <f aca="false">SUM(H101*D101)</f>
        <v>0</v>
      </c>
    </row>
    <row r="102" customFormat="false" ht="15" hidden="false" customHeight="false" outlineLevel="0" collapsed="false">
      <c r="A102" s="72" t="s">
        <v>131</v>
      </c>
      <c r="B102" s="73" t="s">
        <v>133</v>
      </c>
      <c r="C102" s="51" t="s">
        <v>27</v>
      </c>
      <c r="D102" s="74" t="n">
        <v>68</v>
      </c>
      <c r="E102" s="75"/>
      <c r="F102" s="76"/>
      <c r="G102" s="76"/>
      <c r="H102" s="30" t="n">
        <f aca="false">SUM(E102+F102+G102)</f>
        <v>0</v>
      </c>
      <c r="I102" s="29" t="n">
        <f aca="false">SUM(H102*D102)</f>
        <v>0</v>
      </c>
    </row>
    <row r="103" customFormat="false" ht="15" hidden="false" customHeight="false" outlineLevel="0" collapsed="false">
      <c r="A103" s="22" t="s">
        <v>131</v>
      </c>
      <c r="B103" s="23" t="s">
        <v>134</v>
      </c>
      <c r="C103" s="48" t="s">
        <v>27</v>
      </c>
      <c r="D103" s="70" t="n">
        <v>87.5</v>
      </c>
      <c r="E103" s="27"/>
      <c r="F103" s="27"/>
      <c r="G103" s="27"/>
      <c r="H103" s="30" t="n">
        <f aca="false">SUM(E103+F103+G103)</f>
        <v>0</v>
      </c>
      <c r="I103" s="29" t="n">
        <f aca="false">SUM(H103*D103)</f>
        <v>0</v>
      </c>
    </row>
    <row r="104" customFormat="false" ht="15" hidden="false" customHeight="false" outlineLevel="0" collapsed="false">
      <c r="A104" s="58" t="s">
        <v>135</v>
      </c>
      <c r="B104" s="23" t="s">
        <v>136</v>
      </c>
      <c r="C104" s="48" t="s">
        <v>27</v>
      </c>
      <c r="D104" s="70" t="n">
        <f aca="false">600.25/6</f>
        <v>100.041666666667</v>
      </c>
      <c r="E104" s="27"/>
      <c r="F104" s="27"/>
      <c r="G104" s="27"/>
      <c r="H104" s="30" t="n">
        <f aca="false">SUM(E104+F104+G104)</f>
        <v>0</v>
      </c>
      <c r="I104" s="29" t="n">
        <f aca="false">SUM(H104*D104)</f>
        <v>0</v>
      </c>
    </row>
    <row r="105" customFormat="false" ht="15" hidden="false" customHeight="false" outlineLevel="0" collapsed="false">
      <c r="A105" s="58" t="s">
        <v>135</v>
      </c>
      <c r="B105" s="23" t="s">
        <v>137</v>
      </c>
      <c r="C105" s="48" t="s">
        <v>27</v>
      </c>
      <c r="D105" s="55" t="n">
        <v>92</v>
      </c>
      <c r="E105" s="27"/>
      <c r="F105" s="27"/>
      <c r="G105" s="27"/>
      <c r="H105" s="30" t="n">
        <f aca="false">SUM(E105+F105+G105)</f>
        <v>0</v>
      </c>
      <c r="I105" s="29" t="n">
        <f aca="false">SUM(H105*D105)</f>
        <v>0</v>
      </c>
    </row>
    <row r="106" customFormat="false" ht="15" hidden="false" customHeight="false" outlineLevel="0" collapsed="false">
      <c r="A106" s="58" t="s">
        <v>131</v>
      </c>
      <c r="B106" s="23" t="s">
        <v>138</v>
      </c>
      <c r="C106" s="77" t="s">
        <v>27</v>
      </c>
      <c r="D106" s="55" t="n">
        <v>135</v>
      </c>
      <c r="E106" s="27"/>
      <c r="F106" s="27"/>
      <c r="G106" s="27"/>
      <c r="H106" s="30" t="n">
        <f aca="false">SUM(E106+F106+G106)</f>
        <v>0</v>
      </c>
      <c r="I106" s="29" t="n">
        <f aca="false">SUM(H106*D106)</f>
        <v>0</v>
      </c>
    </row>
    <row r="107" customFormat="false" ht="15" hidden="false" customHeight="false" outlineLevel="0" collapsed="false">
      <c r="A107" s="58" t="s">
        <v>135</v>
      </c>
      <c r="B107" s="23" t="s">
        <v>139</v>
      </c>
      <c r="C107" s="77" t="s">
        <v>27</v>
      </c>
      <c r="D107" s="55" t="n">
        <v>68</v>
      </c>
      <c r="E107" s="26"/>
      <c r="F107" s="27"/>
      <c r="G107" s="27"/>
      <c r="H107" s="30" t="n">
        <f aca="false">SUM(E107+F107+G107)</f>
        <v>0</v>
      </c>
      <c r="I107" s="29" t="n">
        <f aca="false">SUM(H107*D107)</f>
        <v>0</v>
      </c>
    </row>
    <row r="108" customFormat="false" ht="15" hidden="false" customHeight="false" outlineLevel="0" collapsed="false">
      <c r="A108" s="58" t="s">
        <v>131</v>
      </c>
      <c r="B108" s="23" t="s">
        <v>140</v>
      </c>
      <c r="C108" s="77" t="s">
        <v>27</v>
      </c>
      <c r="D108" s="55" t="n">
        <v>68</v>
      </c>
      <c r="E108" s="26"/>
      <c r="F108" s="27"/>
      <c r="G108" s="27"/>
      <c r="H108" s="30" t="n">
        <f aca="false">SUM(E108+F108+G108)</f>
        <v>0</v>
      </c>
      <c r="I108" s="29" t="n">
        <f aca="false">SUM(H108*D108)</f>
        <v>0</v>
      </c>
    </row>
    <row r="109" customFormat="false" ht="15" hidden="false" customHeight="false" outlineLevel="0" collapsed="false">
      <c r="A109" s="58" t="s">
        <v>131</v>
      </c>
      <c r="B109" s="23"/>
      <c r="C109" s="77"/>
      <c r="D109" s="55"/>
      <c r="E109" s="26"/>
      <c r="F109" s="27"/>
      <c r="G109" s="27"/>
      <c r="H109" s="30" t="n">
        <f aca="false">SUM(E109+F109+G109)</f>
        <v>0</v>
      </c>
      <c r="I109" s="29" t="n">
        <f aca="false">SUM(H109*D109)</f>
        <v>0</v>
      </c>
    </row>
    <row r="110" customFormat="false" ht="15" hidden="false" customHeight="false" outlineLevel="0" collapsed="false">
      <c r="A110" s="22"/>
      <c r="B110" s="23"/>
      <c r="C110" s="78"/>
      <c r="D110" s="25"/>
      <c r="E110" s="26"/>
      <c r="F110" s="27"/>
      <c r="G110" s="27"/>
      <c r="H110" s="30" t="n">
        <f aca="false">SUM(E110+F110+G110)</f>
        <v>0</v>
      </c>
      <c r="I110" s="29" t="n">
        <f aca="false">SUM(H110*D110)</f>
        <v>0</v>
      </c>
    </row>
    <row r="111" s="84" customFormat="true" ht="17.35" hidden="false" customHeight="false" outlineLevel="0" collapsed="false">
      <c r="A111" s="79" t="s">
        <v>141</v>
      </c>
      <c r="B111" s="80"/>
      <c r="C111" s="80"/>
      <c r="D111" s="81"/>
      <c r="E111" s="46"/>
      <c r="F111" s="82"/>
      <c r="G111" s="82"/>
      <c r="H111" s="82"/>
      <c r="I111" s="83" t="n">
        <f aca="false">SUM(I3:I110)</f>
        <v>0</v>
      </c>
    </row>
  </sheetData>
  <mergeCells count="1">
    <mergeCell ref="E1:H1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0.43"/>
    <col collapsed="false" customWidth="true" hidden="false" outlineLevel="0" max="2" min="2" style="2" width="24.43"/>
    <col collapsed="false" customWidth="true" hidden="false" outlineLevel="0" max="3" min="3" style="3" width="10.57"/>
    <col collapsed="false" customWidth="true" hidden="false" outlineLevel="0" max="4" min="4" style="4" width="10.43"/>
    <col collapsed="false" customWidth="true" hidden="false" outlineLevel="0" max="5" min="5" style="85" width="15.72"/>
    <col collapsed="false" customWidth="true" hidden="false" outlineLevel="0" max="6" min="6" style="5" width="14.57"/>
    <col collapsed="false" customWidth="false" hidden="false" outlineLevel="0" max="16384" min="7" style="2" width="9.14"/>
  </cols>
  <sheetData>
    <row r="1" s="13" customFormat="true" ht="101.45" hidden="false" customHeight="true" outlineLevel="0" collapsed="false">
      <c r="A1" s="6" t="s">
        <v>0</v>
      </c>
      <c r="B1" s="7" t="s">
        <v>1</v>
      </c>
      <c r="C1" s="8" t="s">
        <v>2</v>
      </c>
      <c r="D1" s="86" t="s">
        <v>3</v>
      </c>
      <c r="E1" s="86"/>
      <c r="F1" s="86"/>
      <c r="G1" s="12"/>
      <c r="H1" s="12"/>
    </row>
    <row r="2" s="21" customFormat="true" ht="57.45" hidden="false" customHeight="false" outlineLevel="0" collapsed="false">
      <c r="A2" s="14"/>
      <c r="B2" s="15"/>
      <c r="C2" s="15"/>
      <c r="D2" s="16" t="s">
        <v>4</v>
      </c>
      <c r="E2" s="87" t="s">
        <v>142</v>
      </c>
      <c r="F2" s="88" t="s">
        <v>9</v>
      </c>
      <c r="G2" s="20"/>
      <c r="H2" s="20"/>
    </row>
    <row r="3" customFormat="false" ht="15" hidden="false" customHeight="false" outlineLevel="0" collapsed="false">
      <c r="A3" s="35" t="s">
        <v>143</v>
      </c>
      <c r="B3" s="36" t="s">
        <v>144</v>
      </c>
      <c r="C3" s="89" t="s">
        <v>145</v>
      </c>
      <c r="D3" s="38" t="n">
        <f aca="false">81.5/12</f>
        <v>6.79166666666667</v>
      </c>
      <c r="E3" s="90"/>
      <c r="F3" s="91" t="n">
        <f aca="false">SUM(E3*D3)</f>
        <v>0</v>
      </c>
    </row>
    <row r="4" customFormat="false" ht="15" hidden="false" customHeight="false" outlineLevel="0" collapsed="false">
      <c r="A4" s="22" t="s">
        <v>143</v>
      </c>
      <c r="B4" s="23" t="s">
        <v>146</v>
      </c>
      <c r="C4" s="48" t="s">
        <v>145</v>
      </c>
      <c r="D4" s="25" t="n">
        <f aca="false">81.5/12</f>
        <v>6.79166666666667</v>
      </c>
      <c r="E4" s="92"/>
      <c r="F4" s="93" t="n">
        <f aca="false">SUM(E4*D4)</f>
        <v>0</v>
      </c>
    </row>
    <row r="5" customFormat="false" ht="15" hidden="false" customHeight="false" outlineLevel="0" collapsed="false">
      <c r="A5" s="22" t="s">
        <v>143</v>
      </c>
      <c r="B5" s="23" t="s">
        <v>147</v>
      </c>
      <c r="C5" s="48" t="s">
        <v>145</v>
      </c>
      <c r="D5" s="25" t="n">
        <f aca="false">74/12</f>
        <v>6.16666666666667</v>
      </c>
      <c r="E5" s="92"/>
      <c r="F5" s="93" t="n">
        <f aca="false">SUM(E5*D5)</f>
        <v>0</v>
      </c>
    </row>
    <row r="6" customFormat="false" ht="15" hidden="false" customHeight="false" outlineLevel="0" collapsed="false">
      <c r="A6" s="22" t="s">
        <v>143</v>
      </c>
      <c r="B6" s="31" t="s">
        <v>148</v>
      </c>
      <c r="C6" s="52" t="s">
        <v>145</v>
      </c>
      <c r="D6" s="32" t="n">
        <v>3</v>
      </c>
      <c r="E6" s="94"/>
      <c r="F6" s="93" t="n">
        <f aca="false">SUM(E6*D6)</f>
        <v>0</v>
      </c>
    </row>
    <row r="7" customFormat="false" ht="15" hidden="false" customHeight="false" outlineLevel="0" collapsed="false">
      <c r="A7" s="22" t="s">
        <v>143</v>
      </c>
      <c r="B7" s="31" t="s">
        <v>149</v>
      </c>
      <c r="C7" s="52" t="s">
        <v>145</v>
      </c>
      <c r="D7" s="32" t="n">
        <f aca="false">49/50</f>
        <v>0.98</v>
      </c>
      <c r="E7" s="94"/>
      <c r="F7" s="93" t="n">
        <f aca="false">SUM(E7*D7)</f>
        <v>0</v>
      </c>
    </row>
    <row r="8" customFormat="false" ht="15" hidden="false" customHeight="false" outlineLevel="0" collapsed="false">
      <c r="A8" s="22" t="s">
        <v>143</v>
      </c>
      <c r="B8" s="23" t="s">
        <v>150</v>
      </c>
      <c r="C8" s="52" t="s">
        <v>145</v>
      </c>
      <c r="D8" s="32" t="n">
        <f aca="false">13</f>
        <v>13</v>
      </c>
      <c r="E8" s="94"/>
      <c r="F8" s="93" t="n">
        <f aca="false">SUM(E8*D8)</f>
        <v>0</v>
      </c>
    </row>
    <row r="9" customFormat="false" ht="15" hidden="false" customHeight="false" outlineLevel="0" collapsed="false">
      <c r="A9" s="41" t="s">
        <v>151</v>
      </c>
      <c r="B9" s="95" t="s">
        <v>152</v>
      </c>
      <c r="C9" s="43" t="s">
        <v>145</v>
      </c>
      <c r="D9" s="53" t="n">
        <f aca="false">40/12</f>
        <v>3.33333333333333</v>
      </c>
      <c r="E9" s="96"/>
      <c r="F9" s="97" t="n">
        <f aca="false">SUM(E9*D9)</f>
        <v>0</v>
      </c>
    </row>
    <row r="10" customFormat="false" ht="15" hidden="false" customHeight="false" outlineLevel="0" collapsed="false">
      <c r="A10" s="58" t="s">
        <v>153</v>
      </c>
      <c r="B10" s="59" t="s">
        <v>154</v>
      </c>
      <c r="C10" s="54" t="s">
        <v>155</v>
      </c>
      <c r="D10" s="98" t="n">
        <v>23.25</v>
      </c>
      <c r="E10" s="99"/>
      <c r="F10" s="91" t="n">
        <f aca="false">SUM(E10*D10)</f>
        <v>0</v>
      </c>
    </row>
    <row r="11" customFormat="false" ht="15" hidden="false" customHeight="false" outlineLevel="0" collapsed="false">
      <c r="A11" s="22" t="s">
        <v>153</v>
      </c>
      <c r="B11" s="23" t="s">
        <v>156</v>
      </c>
      <c r="C11" s="24" t="s">
        <v>155</v>
      </c>
      <c r="D11" s="70" t="n">
        <v>18.85</v>
      </c>
      <c r="E11" s="92"/>
      <c r="F11" s="93" t="n">
        <f aca="false">SUM(E11*D11)</f>
        <v>0</v>
      </c>
    </row>
    <row r="12" customFormat="false" ht="15" hidden="false" customHeight="false" outlineLevel="0" collapsed="false">
      <c r="A12" s="22" t="s">
        <v>153</v>
      </c>
      <c r="B12" s="95" t="s">
        <v>157</v>
      </c>
      <c r="C12" s="100"/>
      <c r="D12" s="53" t="n">
        <f aca="false">180.55/10</f>
        <v>18.055</v>
      </c>
      <c r="E12" s="101"/>
      <c r="F12" s="97" t="n">
        <f aca="false">SUM(E12*D12)</f>
        <v>0</v>
      </c>
    </row>
    <row r="13" customFormat="false" ht="15" hidden="false" customHeight="false" outlineLevel="0" collapsed="false">
      <c r="A13" s="35" t="s">
        <v>158</v>
      </c>
      <c r="B13" s="36" t="s">
        <v>159</v>
      </c>
      <c r="C13" s="37" t="s">
        <v>145</v>
      </c>
      <c r="D13" s="102" t="n">
        <f aca="false">81.6/12</f>
        <v>6.8</v>
      </c>
      <c r="E13" s="90"/>
      <c r="F13" s="91" t="n">
        <f aca="false">SUM(E13*D13)</f>
        <v>0</v>
      </c>
    </row>
    <row r="14" customFormat="false" ht="15" hidden="false" customHeight="false" outlineLevel="0" collapsed="false">
      <c r="A14" s="58"/>
      <c r="B14" s="59"/>
      <c r="C14" s="54"/>
      <c r="D14" s="98"/>
      <c r="E14" s="103"/>
      <c r="F14" s="93" t="n">
        <f aca="false">SUM(E14*D14)</f>
        <v>0</v>
      </c>
    </row>
    <row r="15" customFormat="false" ht="15" hidden="false" customHeight="false" outlineLevel="0" collapsed="false">
      <c r="A15" s="41"/>
      <c r="B15" s="42"/>
      <c r="C15" s="43"/>
      <c r="D15" s="53"/>
      <c r="E15" s="104"/>
      <c r="F15" s="97" t="n">
        <f aca="false">SUM(E15*D15)</f>
        <v>0</v>
      </c>
    </row>
    <row r="16" customFormat="false" ht="15" hidden="false" customHeight="false" outlineLevel="0" collapsed="false">
      <c r="A16" s="58" t="s">
        <v>160</v>
      </c>
      <c r="B16" s="59" t="s">
        <v>161</v>
      </c>
      <c r="C16" s="54" t="s">
        <v>145</v>
      </c>
      <c r="D16" s="98" t="n">
        <f aca="false">238/12</f>
        <v>19.8333333333333</v>
      </c>
      <c r="E16" s="103"/>
      <c r="F16" s="91" t="n">
        <f aca="false">SUM(E16*D16)</f>
        <v>0</v>
      </c>
    </row>
    <row r="17" customFormat="false" ht="15" hidden="false" customHeight="false" outlineLevel="0" collapsed="false">
      <c r="A17" s="105"/>
      <c r="B17" s="31"/>
      <c r="C17" s="52"/>
      <c r="D17" s="70"/>
      <c r="E17" s="94"/>
      <c r="F17" s="93" t="n">
        <f aca="false">SUM(E17*D17)</f>
        <v>0</v>
      </c>
    </row>
    <row r="18" customFormat="false" ht="15" hidden="false" customHeight="false" outlineLevel="0" collapsed="false">
      <c r="A18" s="41"/>
      <c r="B18" s="42"/>
      <c r="C18" s="43"/>
      <c r="D18" s="53"/>
      <c r="E18" s="96"/>
      <c r="F18" s="97" t="n">
        <f aca="false">SUM(E18*D18)</f>
        <v>0</v>
      </c>
    </row>
    <row r="19" customFormat="false" ht="15" hidden="false" customHeight="false" outlineLevel="0" collapsed="false">
      <c r="A19" s="58" t="s">
        <v>162</v>
      </c>
      <c r="B19" s="59" t="s">
        <v>163</v>
      </c>
      <c r="C19" s="54" t="s">
        <v>145</v>
      </c>
      <c r="D19" s="98" t="n">
        <f aca="false">149/36</f>
        <v>4.13888888888889</v>
      </c>
      <c r="E19" s="99"/>
      <c r="F19" s="91" t="n">
        <f aca="false">SUM(E19*D19)</f>
        <v>0</v>
      </c>
    </row>
    <row r="20" customFormat="false" ht="15" hidden="false" customHeight="false" outlineLevel="0" collapsed="false">
      <c r="A20" s="22" t="s">
        <v>162</v>
      </c>
      <c r="B20" s="23" t="s">
        <v>164</v>
      </c>
      <c r="C20" s="24" t="s">
        <v>145</v>
      </c>
      <c r="D20" s="70" t="n">
        <f aca="false">529/48</f>
        <v>11.0208333333333</v>
      </c>
      <c r="E20" s="92"/>
      <c r="F20" s="93" t="n">
        <f aca="false">SUM(E20*D20)</f>
        <v>0</v>
      </c>
    </row>
    <row r="21" customFormat="false" ht="15" hidden="false" customHeight="false" outlineLevel="0" collapsed="false">
      <c r="A21" s="22" t="s">
        <v>162</v>
      </c>
      <c r="B21" s="23" t="s">
        <v>165</v>
      </c>
      <c r="C21" s="24" t="s">
        <v>145</v>
      </c>
      <c r="D21" s="70" t="n">
        <f aca="false">514/40</f>
        <v>12.85</v>
      </c>
      <c r="E21" s="92"/>
      <c r="F21" s="93" t="n">
        <f aca="false">SUM(E21*D21)</f>
        <v>0</v>
      </c>
    </row>
    <row r="22" customFormat="false" ht="15" hidden="false" customHeight="false" outlineLevel="0" collapsed="false">
      <c r="A22" s="22" t="s">
        <v>162</v>
      </c>
      <c r="B22" s="23" t="s">
        <v>166</v>
      </c>
      <c r="C22" s="24" t="s">
        <v>145</v>
      </c>
      <c r="D22" s="70" t="n">
        <f aca="false">87/24</f>
        <v>3.625</v>
      </c>
      <c r="E22" s="92"/>
      <c r="F22" s="93" t="n">
        <f aca="false">SUM(E22*D22)</f>
        <v>0</v>
      </c>
    </row>
    <row r="23" customFormat="false" ht="15" hidden="false" customHeight="false" outlineLevel="0" collapsed="false">
      <c r="A23" s="22" t="s">
        <v>162</v>
      </c>
      <c r="B23" s="23" t="s">
        <v>167</v>
      </c>
      <c r="C23" s="24" t="s">
        <v>145</v>
      </c>
      <c r="D23" s="70" t="n">
        <f aca="false">506/40</f>
        <v>12.65</v>
      </c>
      <c r="E23" s="92"/>
      <c r="F23" s="93" t="n">
        <f aca="false">SUM(E23*D23)</f>
        <v>0</v>
      </c>
    </row>
    <row r="24" customFormat="false" ht="15" hidden="false" customHeight="false" outlineLevel="0" collapsed="false">
      <c r="A24" s="22" t="s">
        <v>162</v>
      </c>
      <c r="B24" s="23" t="s">
        <v>168</v>
      </c>
      <c r="C24" s="24" t="s">
        <v>145</v>
      </c>
      <c r="D24" s="70" t="n">
        <f aca="false">445/40</f>
        <v>11.125</v>
      </c>
      <c r="E24" s="92"/>
      <c r="F24" s="93" t="n">
        <f aca="false">SUM(E24*D24)</f>
        <v>0</v>
      </c>
    </row>
    <row r="25" customFormat="false" ht="15" hidden="false" customHeight="false" outlineLevel="0" collapsed="false">
      <c r="A25" s="22" t="s">
        <v>162</v>
      </c>
      <c r="B25" s="23" t="s">
        <v>169</v>
      </c>
      <c r="C25" s="24" t="s">
        <v>145</v>
      </c>
      <c r="D25" s="70" t="n">
        <f aca="false">100/24</f>
        <v>4.16666666666667</v>
      </c>
      <c r="E25" s="92"/>
      <c r="F25" s="93" t="n">
        <f aca="false">SUM(E25*D25)</f>
        <v>0</v>
      </c>
    </row>
    <row r="26" customFormat="false" ht="15" hidden="false" customHeight="false" outlineLevel="0" collapsed="false">
      <c r="A26" s="22" t="s">
        <v>162</v>
      </c>
      <c r="B26" s="23" t="s">
        <v>170</v>
      </c>
      <c r="C26" s="24" t="s">
        <v>145</v>
      </c>
      <c r="D26" s="70" t="n">
        <f aca="false">402/32</f>
        <v>12.5625</v>
      </c>
      <c r="E26" s="92"/>
      <c r="F26" s="93" t="n">
        <f aca="false">SUM(E26*D26)</f>
        <v>0</v>
      </c>
    </row>
    <row r="27" customFormat="false" ht="15" hidden="false" customHeight="false" outlineLevel="0" collapsed="false">
      <c r="A27" s="22" t="s">
        <v>162</v>
      </c>
      <c r="B27" s="23" t="s">
        <v>171</v>
      </c>
      <c r="C27" s="24" t="s">
        <v>145</v>
      </c>
      <c r="D27" s="70" t="n">
        <f aca="false">484/40</f>
        <v>12.1</v>
      </c>
      <c r="E27" s="92"/>
      <c r="F27" s="93" t="n">
        <f aca="false">SUM(E27*D27)</f>
        <v>0</v>
      </c>
    </row>
    <row r="28" customFormat="false" ht="15" hidden="false" customHeight="false" outlineLevel="0" collapsed="false">
      <c r="A28" s="22" t="s">
        <v>162</v>
      </c>
      <c r="B28" s="23" t="s">
        <v>172</v>
      </c>
      <c r="C28" s="24" t="s">
        <v>145</v>
      </c>
      <c r="D28" s="70" t="n">
        <f aca="false">87/24</f>
        <v>3.625</v>
      </c>
      <c r="E28" s="92"/>
      <c r="F28" s="93" t="n">
        <f aca="false">SUM(E28*D28)</f>
        <v>0</v>
      </c>
    </row>
    <row r="29" customFormat="false" ht="15" hidden="false" customHeight="false" outlineLevel="0" collapsed="false">
      <c r="A29" s="22" t="s">
        <v>162</v>
      </c>
      <c r="B29" s="31" t="s">
        <v>173</v>
      </c>
      <c r="C29" s="24" t="s">
        <v>145</v>
      </c>
      <c r="D29" s="70" t="n">
        <f aca="false">377.85/40</f>
        <v>9.44625</v>
      </c>
      <c r="E29" s="94"/>
      <c r="F29" s="93" t="n">
        <f aca="false">SUM(E29*D29)</f>
        <v>0</v>
      </c>
    </row>
    <row r="30" customFormat="false" ht="15" hidden="false" customHeight="false" outlineLevel="0" collapsed="false">
      <c r="A30" s="22" t="s">
        <v>162</v>
      </c>
      <c r="B30" s="31" t="s">
        <v>174</v>
      </c>
      <c r="C30" s="24" t="s">
        <v>145</v>
      </c>
      <c r="D30" s="70" t="n">
        <f aca="false">100/24</f>
        <v>4.16666666666667</v>
      </c>
      <c r="E30" s="94"/>
      <c r="F30" s="93" t="n">
        <f aca="false">SUM(E30*D30)</f>
        <v>0</v>
      </c>
    </row>
    <row r="31" customFormat="false" ht="15" hidden="false" customHeight="false" outlineLevel="0" collapsed="false">
      <c r="A31" s="22" t="s">
        <v>162</v>
      </c>
      <c r="B31" s="31" t="s">
        <v>175</v>
      </c>
      <c r="C31" s="52" t="s">
        <v>145</v>
      </c>
      <c r="D31" s="70" t="n">
        <f aca="false">477.92/40</f>
        <v>11.948</v>
      </c>
      <c r="E31" s="94"/>
      <c r="F31" s="93" t="n">
        <f aca="false">SUM(E31*D31)</f>
        <v>0</v>
      </c>
    </row>
    <row r="32" customFormat="false" ht="15" hidden="false" customHeight="false" outlineLevel="0" collapsed="false">
      <c r="A32" s="22" t="s">
        <v>162</v>
      </c>
      <c r="B32" s="31" t="s">
        <v>176</v>
      </c>
      <c r="C32" s="52" t="s">
        <v>145</v>
      </c>
      <c r="D32" s="70" t="n">
        <f aca="false">90/24</f>
        <v>3.75</v>
      </c>
      <c r="E32" s="94"/>
      <c r="F32" s="93" t="n">
        <f aca="false">SUM(E32*D32)</f>
        <v>0</v>
      </c>
    </row>
    <row r="33" customFormat="false" ht="15" hidden="false" customHeight="false" outlineLevel="0" collapsed="false">
      <c r="A33" s="22" t="s">
        <v>162</v>
      </c>
      <c r="B33" s="31" t="s">
        <v>177</v>
      </c>
      <c r="C33" s="52" t="s">
        <v>145</v>
      </c>
      <c r="D33" s="106"/>
      <c r="E33" s="94"/>
      <c r="F33" s="93" t="n">
        <f aca="false">SUM(E33*D33)</f>
        <v>0</v>
      </c>
    </row>
    <row r="34" customFormat="false" ht="15" hidden="false" customHeight="false" outlineLevel="0" collapsed="false">
      <c r="A34" s="41" t="s">
        <v>162</v>
      </c>
      <c r="B34" s="42" t="s">
        <v>178</v>
      </c>
      <c r="C34" s="43" t="s">
        <v>145</v>
      </c>
      <c r="D34" s="53" t="n">
        <v>9</v>
      </c>
      <c r="E34" s="96"/>
      <c r="F34" s="97" t="n">
        <f aca="false">SUM(E34*D34)</f>
        <v>0</v>
      </c>
    </row>
    <row r="35" customFormat="false" ht="15" hidden="false" customHeight="false" outlineLevel="0" collapsed="false">
      <c r="A35" s="58" t="s">
        <v>179</v>
      </c>
      <c r="B35" s="59" t="s">
        <v>180</v>
      </c>
      <c r="C35" s="47" t="s">
        <v>145</v>
      </c>
      <c r="D35" s="98" t="n">
        <f aca="false">79/112</f>
        <v>0.705357142857143</v>
      </c>
      <c r="E35" s="99"/>
      <c r="F35" s="91" t="n">
        <f aca="false">SUM(E35*D35)</f>
        <v>0</v>
      </c>
    </row>
    <row r="36" customFormat="false" ht="15" hidden="false" customHeight="false" outlineLevel="0" collapsed="false">
      <c r="A36" s="58" t="s">
        <v>179</v>
      </c>
      <c r="B36" s="59" t="s">
        <v>181</v>
      </c>
      <c r="C36" s="48" t="s">
        <v>145</v>
      </c>
      <c r="D36" s="98" t="n">
        <f aca="false">229.79/48</f>
        <v>4.78729166666667</v>
      </c>
      <c r="E36" s="99"/>
      <c r="F36" s="91" t="n">
        <f aca="false">SUM(E36*D36)</f>
        <v>0</v>
      </c>
    </row>
    <row r="37" customFormat="false" ht="15" hidden="false" customHeight="false" outlineLevel="0" collapsed="false">
      <c r="A37" s="58" t="s">
        <v>179</v>
      </c>
      <c r="B37" s="59" t="s">
        <v>182</v>
      </c>
      <c r="C37" s="48" t="s">
        <v>145</v>
      </c>
      <c r="D37" s="98" t="n">
        <f aca="false">33.5/72</f>
        <v>0.465277777777778</v>
      </c>
      <c r="E37" s="99"/>
      <c r="F37" s="91" t="n">
        <f aca="false">SUM(E37*D37)</f>
        <v>0</v>
      </c>
    </row>
    <row r="38" customFormat="false" ht="15" hidden="false" customHeight="false" outlineLevel="0" collapsed="false">
      <c r="A38" s="22" t="s">
        <v>179</v>
      </c>
      <c r="B38" s="23" t="s">
        <v>183</v>
      </c>
      <c r="C38" s="48" t="s">
        <v>145</v>
      </c>
      <c r="D38" s="70" t="n">
        <f aca="false">43/48</f>
        <v>0.895833333333333</v>
      </c>
      <c r="E38" s="107"/>
      <c r="F38" s="91" t="n">
        <f aca="false">SUM(E38*D38)</f>
        <v>0</v>
      </c>
    </row>
    <row r="39" customFormat="false" ht="15" hidden="false" customHeight="false" outlineLevel="0" collapsed="false">
      <c r="A39" s="58" t="s">
        <v>179</v>
      </c>
      <c r="B39" s="59" t="s">
        <v>184</v>
      </c>
      <c r="C39" s="48" t="s">
        <v>145</v>
      </c>
      <c r="D39" s="70" t="n">
        <f aca="false">27/36</f>
        <v>0.75</v>
      </c>
      <c r="E39" s="99"/>
      <c r="F39" s="93" t="n">
        <f aca="false">SUM(E39*D39)</f>
        <v>0</v>
      </c>
    </row>
    <row r="40" customFormat="false" ht="15" hidden="false" customHeight="false" outlineLevel="0" collapsed="false">
      <c r="A40" s="58" t="s">
        <v>179</v>
      </c>
      <c r="B40" s="59" t="s">
        <v>185</v>
      </c>
      <c r="C40" s="48" t="s">
        <v>145</v>
      </c>
      <c r="D40" s="70" t="n">
        <f aca="false">14/100</f>
        <v>0.14</v>
      </c>
      <c r="E40" s="99"/>
      <c r="F40" s="93" t="n">
        <f aca="false">SUM(E40*D40)</f>
        <v>0</v>
      </c>
    </row>
    <row r="41" customFormat="false" ht="15" hidden="false" customHeight="false" outlineLevel="0" collapsed="false">
      <c r="A41" s="58" t="s">
        <v>179</v>
      </c>
      <c r="B41" s="23" t="s">
        <v>186</v>
      </c>
      <c r="C41" s="48" t="s">
        <v>145</v>
      </c>
      <c r="D41" s="70" t="n">
        <f aca="false">41/100</f>
        <v>0.41</v>
      </c>
      <c r="E41" s="92"/>
      <c r="F41" s="93" t="n">
        <f aca="false">SUM(E41*D41)</f>
        <v>0</v>
      </c>
    </row>
    <row r="42" customFormat="false" ht="15" hidden="false" customHeight="false" outlineLevel="0" collapsed="false">
      <c r="A42" s="58" t="s">
        <v>179</v>
      </c>
      <c r="B42" s="31" t="s">
        <v>187</v>
      </c>
      <c r="C42" s="48" t="s">
        <v>145</v>
      </c>
      <c r="D42" s="70" t="n">
        <f aca="false">100/20</f>
        <v>5</v>
      </c>
      <c r="E42" s="94"/>
      <c r="F42" s="93"/>
    </row>
    <row r="43" customFormat="false" ht="15" hidden="false" customHeight="false" outlineLevel="0" collapsed="false">
      <c r="A43" s="58" t="s">
        <v>179</v>
      </c>
      <c r="B43" s="31" t="s">
        <v>188</v>
      </c>
      <c r="C43" s="48" t="s">
        <v>145</v>
      </c>
      <c r="D43" s="70" t="n">
        <f aca="false">33/20</f>
        <v>1.65</v>
      </c>
      <c r="E43" s="94"/>
      <c r="F43" s="93" t="n">
        <f aca="false">SUM(E43*D43)</f>
        <v>0</v>
      </c>
    </row>
    <row r="44" customFormat="false" ht="15" hidden="false" customHeight="false" outlineLevel="0" collapsed="false">
      <c r="A44" s="58" t="s">
        <v>179</v>
      </c>
      <c r="B44" s="31" t="s">
        <v>189</v>
      </c>
      <c r="C44" s="48" t="s">
        <v>145</v>
      </c>
      <c r="D44" s="70" t="n">
        <f aca="false">50/100</f>
        <v>0.5</v>
      </c>
      <c r="E44" s="94"/>
      <c r="F44" s="93" t="n">
        <f aca="false">SUM(E44*D44)</f>
        <v>0</v>
      </c>
    </row>
    <row r="45" customFormat="false" ht="15" hidden="false" customHeight="false" outlineLevel="0" collapsed="false">
      <c r="A45" s="58" t="s">
        <v>179</v>
      </c>
      <c r="B45" s="31" t="s">
        <v>190</v>
      </c>
      <c r="C45" s="48" t="s">
        <v>145</v>
      </c>
      <c r="D45" s="70" t="n">
        <f aca="false">50/50</f>
        <v>1</v>
      </c>
      <c r="E45" s="94"/>
      <c r="F45" s="93"/>
    </row>
    <row r="46" customFormat="false" ht="15" hidden="false" customHeight="false" outlineLevel="0" collapsed="false">
      <c r="A46" s="58" t="s">
        <v>179</v>
      </c>
      <c r="B46" s="31" t="s">
        <v>191</v>
      </c>
      <c r="C46" s="48" t="s">
        <v>145</v>
      </c>
      <c r="D46" s="70" t="n">
        <f aca="false">344/24</f>
        <v>14.3333333333333</v>
      </c>
      <c r="E46" s="94"/>
      <c r="F46" s="93" t="n">
        <f aca="false">SUM(E46*D46)</f>
        <v>0</v>
      </c>
    </row>
    <row r="47" customFormat="false" ht="15" hidden="false" customHeight="false" outlineLevel="0" collapsed="false">
      <c r="A47" s="60" t="s">
        <v>179</v>
      </c>
      <c r="B47" s="31" t="s">
        <v>192</v>
      </c>
      <c r="C47" s="49" t="s">
        <v>145</v>
      </c>
      <c r="D47" s="106" t="n">
        <f aca="false">310.66/24</f>
        <v>12.9441666666667</v>
      </c>
      <c r="E47" s="94"/>
      <c r="F47" s="93" t="n">
        <f aca="false">SUM(E47*D47)</f>
        <v>0</v>
      </c>
    </row>
    <row r="48" customFormat="false" ht="15" hidden="false" customHeight="false" outlineLevel="0" collapsed="false">
      <c r="A48" s="60" t="s">
        <v>179</v>
      </c>
      <c r="B48" s="31" t="s">
        <v>193</v>
      </c>
      <c r="C48" s="49" t="s">
        <v>145</v>
      </c>
      <c r="D48" s="106" t="n">
        <f aca="false">310.5/24</f>
        <v>12.9375</v>
      </c>
      <c r="E48" s="94"/>
      <c r="F48" s="108" t="n">
        <f aca="false">SUM(E48*D48)</f>
        <v>0</v>
      </c>
    </row>
    <row r="49" customFormat="false" ht="15" hidden="false" customHeight="false" outlineLevel="0" collapsed="false">
      <c r="A49" s="72" t="s">
        <v>179</v>
      </c>
      <c r="B49" s="31" t="s">
        <v>194</v>
      </c>
      <c r="C49" s="49" t="s">
        <v>145</v>
      </c>
      <c r="D49" s="106" t="n">
        <f aca="false">388.82/36</f>
        <v>10.8005555555556</v>
      </c>
      <c r="E49" s="94"/>
      <c r="F49" s="108" t="n">
        <f aca="false">SUM(E49*D49)</f>
        <v>0</v>
      </c>
    </row>
    <row r="50" customFormat="false" ht="15" hidden="false" customHeight="false" outlineLevel="0" collapsed="false">
      <c r="A50" s="41" t="s">
        <v>179</v>
      </c>
      <c r="B50" s="42" t="s">
        <v>195</v>
      </c>
      <c r="C50" s="50" t="s">
        <v>145</v>
      </c>
      <c r="D50" s="53" t="n">
        <f aca="false">310.5/24</f>
        <v>12.9375</v>
      </c>
      <c r="E50" s="104"/>
      <c r="F50" s="97" t="n">
        <f aca="false">SUM(E50*D50)</f>
        <v>0</v>
      </c>
    </row>
    <row r="51" customFormat="false" ht="15" hidden="false" customHeight="false" outlineLevel="0" collapsed="false">
      <c r="A51" s="58" t="s">
        <v>196</v>
      </c>
      <c r="B51" s="73" t="s">
        <v>197</v>
      </c>
      <c r="C51" s="51" t="s">
        <v>53</v>
      </c>
      <c r="D51" s="55" t="n">
        <f aca="false">368.3/24</f>
        <v>15.3458333333333</v>
      </c>
      <c r="E51" s="109"/>
      <c r="F51" s="91" t="n">
        <f aca="false">SUM(E51*D51)</f>
        <v>0</v>
      </c>
    </row>
    <row r="52" customFormat="false" ht="15" hidden="false" customHeight="false" outlineLevel="0" collapsed="false">
      <c r="A52" s="22" t="s">
        <v>196</v>
      </c>
      <c r="B52" s="31" t="s">
        <v>198</v>
      </c>
      <c r="C52" s="52" t="s">
        <v>65</v>
      </c>
      <c r="D52" s="25" t="n">
        <f aca="false">188.9/24</f>
        <v>7.87083333333333</v>
      </c>
      <c r="E52" s="94"/>
      <c r="F52" s="93" t="n">
        <f aca="false">SUM(E52*D52)</f>
        <v>0</v>
      </c>
    </row>
    <row r="53" customFormat="false" ht="15" hidden="false" customHeight="false" outlineLevel="0" collapsed="false">
      <c r="A53" s="22" t="s">
        <v>196</v>
      </c>
      <c r="B53" s="23" t="s">
        <v>199</v>
      </c>
      <c r="C53" s="52" t="s">
        <v>200</v>
      </c>
      <c r="D53" s="25" t="n">
        <f aca="false">177.3/24</f>
        <v>7.3875</v>
      </c>
      <c r="E53" s="94"/>
      <c r="F53" s="93" t="n">
        <f aca="false">SUM(E53*D53)</f>
        <v>0</v>
      </c>
    </row>
    <row r="54" customFormat="false" ht="15" hidden="false" customHeight="false" outlineLevel="0" collapsed="false">
      <c r="A54" s="22" t="s">
        <v>196</v>
      </c>
      <c r="B54" s="23" t="s">
        <v>199</v>
      </c>
      <c r="C54" s="24" t="s">
        <v>58</v>
      </c>
      <c r="D54" s="25" t="n">
        <f aca="false">256.5/24</f>
        <v>10.6875</v>
      </c>
      <c r="E54" s="92"/>
      <c r="F54" s="93" t="n">
        <f aca="false">SUM(E54*D54)</f>
        <v>0</v>
      </c>
    </row>
    <row r="55" customFormat="false" ht="15" hidden="false" customHeight="false" outlineLevel="0" collapsed="false">
      <c r="A55" s="22" t="s">
        <v>196</v>
      </c>
      <c r="B55" s="23" t="s">
        <v>61</v>
      </c>
      <c r="C55" s="24" t="s">
        <v>58</v>
      </c>
      <c r="D55" s="25" t="n">
        <f aca="false">256.5/24</f>
        <v>10.6875</v>
      </c>
      <c r="E55" s="92"/>
      <c r="F55" s="93" t="n">
        <f aca="false">SUM(E55*D55)</f>
        <v>0</v>
      </c>
    </row>
    <row r="56" customFormat="false" ht="15" hidden="false" customHeight="false" outlineLevel="0" collapsed="false">
      <c r="A56" s="22" t="s">
        <v>196</v>
      </c>
      <c r="B56" s="23" t="s">
        <v>63</v>
      </c>
      <c r="C56" s="24" t="s">
        <v>58</v>
      </c>
      <c r="D56" s="25" t="n">
        <f aca="false">256.5/24</f>
        <v>10.6875</v>
      </c>
      <c r="E56" s="92"/>
      <c r="F56" s="93" t="n">
        <f aca="false">SUM(E56*D56)</f>
        <v>0</v>
      </c>
    </row>
    <row r="57" customFormat="false" ht="15" hidden="false" customHeight="false" outlineLevel="0" collapsed="false">
      <c r="A57" s="22" t="s">
        <v>196</v>
      </c>
      <c r="B57" s="23" t="s">
        <v>201</v>
      </c>
      <c r="C57" s="24" t="s">
        <v>202</v>
      </c>
      <c r="D57" s="25" t="n">
        <f aca="false">70/6</f>
        <v>11.6666666666667</v>
      </c>
      <c r="E57" s="92"/>
      <c r="F57" s="93" t="n">
        <f aca="false">SUM(E57*D57)</f>
        <v>0</v>
      </c>
    </row>
    <row r="58" customFormat="false" ht="15" hidden="false" customHeight="false" outlineLevel="0" collapsed="false">
      <c r="A58" s="22" t="s">
        <v>196</v>
      </c>
      <c r="B58" s="23" t="s">
        <v>64</v>
      </c>
      <c r="C58" s="24" t="s">
        <v>202</v>
      </c>
      <c r="D58" s="25" t="n">
        <f aca="false">266.5/24</f>
        <v>11.1041666666667</v>
      </c>
      <c r="E58" s="92"/>
      <c r="F58" s="93" t="n">
        <f aca="false">SUM(E58*D58)</f>
        <v>0</v>
      </c>
    </row>
    <row r="59" customFormat="false" ht="15" hidden="false" customHeight="false" outlineLevel="0" collapsed="false">
      <c r="A59" s="22" t="s">
        <v>196</v>
      </c>
      <c r="B59" s="23" t="s">
        <v>66</v>
      </c>
      <c r="C59" s="24" t="s">
        <v>58</v>
      </c>
      <c r="D59" s="25" t="n">
        <f aca="false">256.5/24</f>
        <v>10.6875</v>
      </c>
      <c r="E59" s="92"/>
      <c r="F59" s="93" t="n">
        <f aca="false">SUM(E59*D59)</f>
        <v>0</v>
      </c>
    </row>
    <row r="60" customFormat="false" ht="15" hidden="false" customHeight="false" outlineLevel="0" collapsed="false">
      <c r="A60" s="22" t="s">
        <v>196</v>
      </c>
      <c r="B60" s="23" t="s">
        <v>67</v>
      </c>
      <c r="C60" s="24" t="s">
        <v>58</v>
      </c>
      <c r="D60" s="25" t="n">
        <f aca="false">256.5/24</f>
        <v>10.6875</v>
      </c>
      <c r="E60" s="92"/>
      <c r="F60" s="93" t="n">
        <f aca="false">SUM(E60*D60)</f>
        <v>0</v>
      </c>
    </row>
    <row r="61" customFormat="false" ht="15" hidden="false" customHeight="false" outlineLevel="0" collapsed="false">
      <c r="A61" s="22" t="s">
        <v>196</v>
      </c>
      <c r="B61" s="23" t="s">
        <v>203</v>
      </c>
      <c r="C61" s="24" t="s">
        <v>53</v>
      </c>
      <c r="D61" s="55" t="n">
        <f aca="false">368.3/24</f>
        <v>15.3458333333333</v>
      </c>
      <c r="E61" s="92"/>
      <c r="F61" s="93" t="n">
        <f aca="false">SUM(E61*D61)</f>
        <v>0</v>
      </c>
    </row>
    <row r="62" customFormat="false" ht="15" hidden="false" customHeight="false" outlineLevel="0" collapsed="false">
      <c r="A62" s="22" t="s">
        <v>196</v>
      </c>
      <c r="B62" s="23" t="s">
        <v>204</v>
      </c>
      <c r="C62" s="24" t="s">
        <v>53</v>
      </c>
      <c r="D62" s="25" t="n">
        <f aca="false">278.76/24</f>
        <v>11.615</v>
      </c>
      <c r="E62" s="92"/>
      <c r="F62" s="93" t="n">
        <f aca="false">SUM(E62*D62)</f>
        <v>0</v>
      </c>
    </row>
    <row r="63" customFormat="false" ht="15" hidden="false" customHeight="false" outlineLevel="0" collapsed="false">
      <c r="A63" s="22" t="s">
        <v>196</v>
      </c>
      <c r="B63" s="23" t="s">
        <v>205</v>
      </c>
      <c r="C63" s="24" t="s">
        <v>58</v>
      </c>
      <c r="D63" s="25" t="n">
        <f aca="false">256.5/24</f>
        <v>10.6875</v>
      </c>
      <c r="E63" s="92"/>
      <c r="F63" s="93" t="n">
        <f aca="false">SUM(E63*D63)</f>
        <v>0</v>
      </c>
    </row>
    <row r="64" customFormat="false" ht="15" hidden="false" customHeight="false" outlineLevel="0" collapsed="false">
      <c r="A64" s="22" t="s">
        <v>196</v>
      </c>
      <c r="B64" s="23" t="s">
        <v>81</v>
      </c>
      <c r="C64" s="24" t="s">
        <v>53</v>
      </c>
      <c r="D64" s="25" t="n">
        <f aca="false">310/50</f>
        <v>6.2</v>
      </c>
      <c r="E64" s="92"/>
      <c r="F64" s="93" t="n">
        <f aca="false">SUM(E64*D64)</f>
        <v>0</v>
      </c>
    </row>
    <row r="65" customFormat="false" ht="15" hidden="false" customHeight="false" outlineLevel="0" collapsed="false">
      <c r="A65" s="22" t="s">
        <v>196</v>
      </c>
      <c r="B65" s="23" t="s">
        <v>87</v>
      </c>
      <c r="C65" s="24" t="s">
        <v>58</v>
      </c>
      <c r="D65" s="25" t="n">
        <f aca="false">256.5/24</f>
        <v>10.6875</v>
      </c>
      <c r="E65" s="92"/>
      <c r="F65" s="93" t="n">
        <f aca="false">SUM(E65*D65)</f>
        <v>0</v>
      </c>
    </row>
    <row r="66" customFormat="false" ht="15" hidden="false" customHeight="false" outlineLevel="0" collapsed="false">
      <c r="A66" s="22" t="s">
        <v>196</v>
      </c>
      <c r="B66" s="23" t="s">
        <v>88</v>
      </c>
      <c r="C66" s="24" t="s">
        <v>58</v>
      </c>
      <c r="D66" s="25" t="n">
        <f aca="false">256.5/24</f>
        <v>10.6875</v>
      </c>
      <c r="E66" s="92"/>
      <c r="F66" s="93" t="n">
        <f aca="false">SUM(E66*D66)</f>
        <v>0</v>
      </c>
    </row>
    <row r="67" customFormat="false" ht="15" hidden="false" customHeight="false" outlineLevel="0" collapsed="false">
      <c r="A67" s="22" t="s">
        <v>196</v>
      </c>
      <c r="B67" s="23" t="s">
        <v>89</v>
      </c>
      <c r="C67" s="24" t="s">
        <v>58</v>
      </c>
      <c r="D67" s="25" t="n">
        <f aca="false">256.5/24</f>
        <v>10.6875</v>
      </c>
      <c r="E67" s="92"/>
      <c r="F67" s="93" t="n">
        <f aca="false">SUM(E67*D67)</f>
        <v>0</v>
      </c>
    </row>
    <row r="68" customFormat="false" ht="15" hidden="false" customHeight="false" outlineLevel="0" collapsed="false">
      <c r="A68" s="22" t="s">
        <v>196</v>
      </c>
      <c r="B68" s="23" t="s">
        <v>83</v>
      </c>
      <c r="C68" s="24" t="s">
        <v>62</v>
      </c>
      <c r="D68" s="25" t="n">
        <v>5.21</v>
      </c>
      <c r="E68" s="92"/>
      <c r="F68" s="93" t="n">
        <f aca="false">SUM(E68*D68)</f>
        <v>0</v>
      </c>
    </row>
    <row r="69" customFormat="false" ht="15" hidden="false" customHeight="false" outlineLevel="0" collapsed="false">
      <c r="A69" s="22" t="s">
        <v>196</v>
      </c>
      <c r="B69" s="23" t="s">
        <v>86</v>
      </c>
      <c r="C69" s="24" t="s">
        <v>62</v>
      </c>
      <c r="D69" s="25" t="n">
        <f aca="false">4.75</f>
        <v>4.75</v>
      </c>
      <c r="E69" s="92"/>
      <c r="F69" s="93" t="n">
        <f aca="false">SUM(E69*D69)</f>
        <v>0</v>
      </c>
    </row>
    <row r="70" customFormat="false" ht="15" hidden="false" customHeight="false" outlineLevel="0" collapsed="false">
      <c r="A70" s="22" t="s">
        <v>196</v>
      </c>
      <c r="B70" s="23" t="s">
        <v>85</v>
      </c>
      <c r="C70" s="24" t="s">
        <v>62</v>
      </c>
      <c r="D70" s="25" t="n">
        <f aca="false">256.5/24</f>
        <v>10.6875</v>
      </c>
      <c r="E70" s="92"/>
      <c r="F70" s="93" t="n">
        <f aca="false">SUM(E70*D70)</f>
        <v>0</v>
      </c>
    </row>
    <row r="71" customFormat="false" ht="15" hidden="false" customHeight="false" outlineLevel="0" collapsed="false">
      <c r="A71" s="22" t="s">
        <v>196</v>
      </c>
      <c r="B71" s="23" t="s">
        <v>206</v>
      </c>
      <c r="C71" s="24" t="s">
        <v>58</v>
      </c>
      <c r="D71" s="25" t="n">
        <f aca="false">256.5/24</f>
        <v>10.6875</v>
      </c>
      <c r="E71" s="92"/>
      <c r="F71" s="93" t="n">
        <f aca="false">SUM(E71*D71)</f>
        <v>0</v>
      </c>
    </row>
    <row r="72" customFormat="false" ht="15" hidden="false" customHeight="false" outlineLevel="0" collapsed="false">
      <c r="A72" s="41"/>
      <c r="B72" s="42"/>
      <c r="C72" s="50"/>
      <c r="D72" s="44"/>
      <c r="E72" s="96"/>
      <c r="F72" s="97" t="n">
        <f aca="false">SUM(E72*D72)</f>
        <v>0</v>
      </c>
    </row>
    <row r="73" customFormat="false" ht="15" hidden="true" customHeight="false" outlineLevel="0" collapsed="false">
      <c r="A73" s="58" t="s">
        <v>207</v>
      </c>
      <c r="B73" s="59" t="s">
        <v>208</v>
      </c>
      <c r="C73" s="54" t="s">
        <v>209</v>
      </c>
      <c r="D73" s="55" t="n">
        <v>8</v>
      </c>
      <c r="E73" s="99"/>
      <c r="F73" s="91" t="n">
        <f aca="false">SUM(E73*D73)</f>
        <v>0</v>
      </c>
    </row>
    <row r="74" customFormat="false" ht="15" hidden="true" customHeight="false" outlineLevel="0" collapsed="false">
      <c r="A74" s="22" t="s">
        <v>207</v>
      </c>
      <c r="B74" s="23" t="s">
        <v>210</v>
      </c>
      <c r="C74" s="54" t="s">
        <v>209</v>
      </c>
      <c r="D74" s="25" t="n">
        <v>8</v>
      </c>
      <c r="E74" s="92"/>
      <c r="F74" s="93" t="n">
        <f aca="false">SUM(E74*D74)</f>
        <v>0</v>
      </c>
    </row>
    <row r="75" customFormat="false" ht="15" hidden="true" customHeight="false" outlineLevel="0" collapsed="false">
      <c r="A75" s="22" t="s">
        <v>207</v>
      </c>
      <c r="B75" s="23" t="s">
        <v>211</v>
      </c>
      <c r="C75" s="54" t="s">
        <v>209</v>
      </c>
      <c r="D75" s="25" t="n">
        <v>8</v>
      </c>
      <c r="E75" s="92"/>
      <c r="F75" s="93" t="n">
        <f aca="false">SUM(E75*D75)</f>
        <v>0</v>
      </c>
    </row>
    <row r="76" customFormat="false" ht="15" hidden="true" customHeight="false" outlineLevel="0" collapsed="false">
      <c r="A76" s="22" t="s">
        <v>207</v>
      </c>
      <c r="B76" s="23" t="s">
        <v>212</v>
      </c>
      <c r="C76" s="54" t="s">
        <v>209</v>
      </c>
      <c r="D76" s="25" t="n">
        <v>8</v>
      </c>
      <c r="E76" s="92"/>
      <c r="F76" s="93" t="n">
        <f aca="false">SUM(E76*D76)</f>
        <v>0</v>
      </c>
    </row>
    <row r="77" customFormat="false" ht="15" hidden="true" customHeight="false" outlineLevel="0" collapsed="false">
      <c r="A77" s="41" t="s">
        <v>207</v>
      </c>
      <c r="B77" s="42" t="s">
        <v>213</v>
      </c>
      <c r="C77" s="68" t="s">
        <v>214</v>
      </c>
      <c r="D77" s="44" t="n">
        <f aca="false">340/70</f>
        <v>4.85714285714286</v>
      </c>
      <c r="E77" s="96"/>
      <c r="F77" s="97" t="n">
        <f aca="false">SUM(E77*D77)</f>
        <v>0</v>
      </c>
    </row>
    <row r="78" customFormat="false" ht="15" hidden="false" customHeight="false" outlineLevel="0" collapsed="false">
      <c r="A78" s="72" t="s">
        <v>215</v>
      </c>
      <c r="B78" s="59" t="s">
        <v>216</v>
      </c>
      <c r="C78" s="54" t="s">
        <v>145</v>
      </c>
      <c r="D78" s="110" t="n">
        <f aca="false">130/20</f>
        <v>6.5</v>
      </c>
      <c r="E78" s="99"/>
      <c r="F78" s="91" t="n">
        <f aca="false">SUM(E78*D78)</f>
        <v>0</v>
      </c>
    </row>
    <row r="79" customFormat="false" ht="15" hidden="false" customHeight="false" outlineLevel="0" collapsed="false">
      <c r="A79" s="72" t="s">
        <v>215</v>
      </c>
      <c r="B79" s="23" t="s">
        <v>217</v>
      </c>
      <c r="C79" s="24" t="s">
        <v>145</v>
      </c>
      <c r="D79" s="70" t="n">
        <f aca="false">130/20</f>
        <v>6.5</v>
      </c>
      <c r="E79" s="92"/>
      <c r="F79" s="93" t="n">
        <f aca="false">SUM(E79*D79)</f>
        <v>0</v>
      </c>
    </row>
    <row r="80" customFormat="false" ht="15" hidden="false" customHeight="false" outlineLevel="0" collapsed="false">
      <c r="A80" s="72" t="s">
        <v>215</v>
      </c>
      <c r="B80" s="23" t="s">
        <v>218</v>
      </c>
      <c r="C80" s="24" t="s">
        <v>145</v>
      </c>
      <c r="D80" s="98" t="n">
        <f aca="false">130/20</f>
        <v>6.5</v>
      </c>
      <c r="E80" s="92"/>
      <c r="F80" s="93" t="n">
        <f aca="false">SUM(E80*D80)</f>
        <v>0</v>
      </c>
    </row>
    <row r="81" customFormat="false" ht="15" hidden="false" customHeight="false" outlineLevel="0" collapsed="false">
      <c r="A81" s="72" t="s">
        <v>215</v>
      </c>
      <c r="B81" s="31" t="s">
        <v>219</v>
      </c>
      <c r="C81" s="24" t="s">
        <v>145</v>
      </c>
      <c r="D81" s="111" t="n">
        <f aca="false">112.13/96</f>
        <v>1.16802083333333</v>
      </c>
      <c r="E81" s="94"/>
      <c r="F81" s="93" t="n">
        <f aca="false">SUM(E81*D81)</f>
        <v>0</v>
      </c>
    </row>
    <row r="82" customFormat="false" ht="15" hidden="false" customHeight="false" outlineLevel="0" collapsed="false">
      <c r="A82" s="72" t="s">
        <v>215</v>
      </c>
      <c r="B82" s="31" t="s">
        <v>220</v>
      </c>
      <c r="C82" s="24" t="s">
        <v>145</v>
      </c>
      <c r="D82" s="111" t="n">
        <f aca="false">437.46/24</f>
        <v>18.2275</v>
      </c>
      <c r="E82" s="94"/>
      <c r="F82" s="93" t="n">
        <f aca="false">SUM(E82*D82)</f>
        <v>0</v>
      </c>
    </row>
    <row r="83" customFormat="false" ht="15" hidden="false" customHeight="false" outlineLevel="0" collapsed="false">
      <c r="A83" s="72" t="s">
        <v>215</v>
      </c>
      <c r="B83" s="31" t="s">
        <v>221</v>
      </c>
      <c r="C83" s="24" t="s">
        <v>145</v>
      </c>
      <c r="D83" s="111" t="n">
        <f aca="false">450.8/20</f>
        <v>22.54</v>
      </c>
      <c r="E83" s="94"/>
      <c r="F83" s="93" t="n">
        <f aca="false">SUM(E83*D83)</f>
        <v>0</v>
      </c>
    </row>
    <row r="84" customFormat="false" ht="15" hidden="false" customHeight="false" outlineLevel="0" collapsed="false">
      <c r="A84" s="72" t="s">
        <v>215</v>
      </c>
      <c r="B84" s="31" t="s">
        <v>222</v>
      </c>
      <c r="C84" s="52" t="s">
        <v>145</v>
      </c>
      <c r="D84" s="111" t="n">
        <f aca="false">450.8/20</f>
        <v>22.54</v>
      </c>
      <c r="E84" s="94"/>
      <c r="F84" s="93" t="n">
        <f aca="false">SUM(E84*D84)</f>
        <v>0</v>
      </c>
    </row>
    <row r="85" customFormat="false" ht="15" hidden="false" customHeight="false" outlineLevel="0" collapsed="false">
      <c r="A85" s="72" t="s">
        <v>215</v>
      </c>
      <c r="B85" s="31" t="s">
        <v>223</v>
      </c>
      <c r="C85" s="52" t="s">
        <v>145</v>
      </c>
      <c r="D85" s="111" t="n">
        <f aca="false">598.6/30</f>
        <v>19.9533333333333</v>
      </c>
      <c r="E85" s="94"/>
      <c r="F85" s="93" t="n">
        <f aca="false">SUM(E85*D85)</f>
        <v>0</v>
      </c>
    </row>
    <row r="86" customFormat="false" ht="15" hidden="false" customHeight="false" outlineLevel="0" collapsed="false">
      <c r="A86" s="72" t="s">
        <v>215</v>
      </c>
      <c r="B86" s="31" t="s">
        <v>224</v>
      </c>
      <c r="C86" s="52" t="s">
        <v>145</v>
      </c>
      <c r="D86" s="111" t="n">
        <f aca="false">573.5/36</f>
        <v>15.9305555555556</v>
      </c>
      <c r="E86" s="94"/>
      <c r="F86" s="93" t="n">
        <f aca="false">SUM(E86*D86)</f>
        <v>0</v>
      </c>
    </row>
    <row r="87" customFormat="false" ht="15" hidden="false" customHeight="false" outlineLevel="0" collapsed="false">
      <c r="A87" s="72" t="s">
        <v>215</v>
      </c>
      <c r="B87" s="31" t="s">
        <v>225</v>
      </c>
      <c r="C87" s="52" t="s">
        <v>145</v>
      </c>
      <c r="D87" s="111" t="n">
        <f aca="false">224.48/32</f>
        <v>7.015</v>
      </c>
      <c r="E87" s="94"/>
      <c r="F87" s="93" t="n">
        <f aca="false">SUM(E87*D87)</f>
        <v>0</v>
      </c>
    </row>
    <row r="88" s="84" customFormat="true" ht="17.35" hidden="false" customHeight="false" outlineLevel="0" collapsed="false">
      <c r="A88" s="112" t="s">
        <v>141</v>
      </c>
      <c r="B88" s="113"/>
      <c r="C88" s="113"/>
      <c r="D88" s="114"/>
      <c r="E88" s="115"/>
      <c r="F88" s="116" t="n">
        <f aca="false">SUM(F3:F87)</f>
        <v>0</v>
      </c>
    </row>
    <row r="89" s="118" customFormat="true" ht="15" hidden="false" customHeight="false" outlineLevel="0" collapsed="false">
      <c r="A89" s="117"/>
      <c r="C89" s="119"/>
      <c r="D89" s="120"/>
      <c r="E89" s="121"/>
      <c r="F89" s="122"/>
    </row>
    <row r="90" s="118" customFormat="true" ht="15" hidden="false" customHeight="false" outlineLevel="0" collapsed="false">
      <c r="A90" s="117"/>
      <c r="C90" s="119"/>
      <c r="D90" s="120"/>
      <c r="E90" s="121"/>
      <c r="F90" s="122"/>
    </row>
    <row r="91" s="118" customFormat="true" ht="15" hidden="false" customHeight="false" outlineLevel="0" collapsed="false">
      <c r="A91" s="117"/>
      <c r="C91" s="119"/>
      <c r="D91" s="120"/>
      <c r="E91" s="121"/>
      <c r="F91" s="122"/>
    </row>
    <row r="92" s="118" customFormat="true" ht="15" hidden="false" customHeight="false" outlineLevel="0" collapsed="false">
      <c r="A92" s="117"/>
      <c r="C92" s="119"/>
      <c r="D92" s="120"/>
      <c r="E92" s="121"/>
      <c r="F92" s="122"/>
    </row>
    <row r="93" s="118" customFormat="true" ht="15" hidden="false" customHeight="false" outlineLevel="0" collapsed="false">
      <c r="A93" s="117"/>
      <c r="C93" s="119"/>
      <c r="D93" s="120"/>
      <c r="E93" s="121"/>
      <c r="F93" s="122"/>
    </row>
    <row r="94" s="118" customFormat="true" ht="15" hidden="false" customHeight="false" outlineLevel="0" collapsed="false">
      <c r="A94" s="117"/>
      <c r="C94" s="119"/>
      <c r="D94" s="120"/>
      <c r="E94" s="121"/>
      <c r="F94" s="122"/>
    </row>
    <row r="95" s="118" customFormat="true" ht="15" hidden="false" customHeight="false" outlineLevel="0" collapsed="false">
      <c r="A95" s="117"/>
      <c r="C95" s="119"/>
      <c r="D95" s="120"/>
      <c r="E95" s="121"/>
      <c r="F95" s="122"/>
    </row>
    <row r="96" s="118" customFormat="true" ht="15" hidden="false" customHeight="false" outlineLevel="0" collapsed="false">
      <c r="A96" s="117"/>
      <c r="C96" s="119"/>
      <c r="D96" s="120"/>
      <c r="E96" s="121"/>
      <c r="F96" s="122"/>
    </row>
    <row r="97" s="118" customFormat="true" ht="15" hidden="false" customHeight="false" outlineLevel="0" collapsed="false">
      <c r="A97" s="117"/>
      <c r="C97" s="119"/>
      <c r="D97" s="120"/>
      <c r="E97" s="121"/>
      <c r="F97" s="122"/>
    </row>
    <row r="98" s="118" customFormat="true" ht="15" hidden="false" customHeight="false" outlineLevel="0" collapsed="false">
      <c r="A98" s="117"/>
      <c r="C98" s="119"/>
      <c r="D98" s="120"/>
      <c r="E98" s="121"/>
      <c r="F98" s="122"/>
    </row>
    <row r="99" s="118" customFormat="true" ht="15" hidden="false" customHeight="false" outlineLevel="0" collapsed="false">
      <c r="A99" s="117"/>
      <c r="C99" s="119"/>
      <c r="D99" s="123"/>
      <c r="E99" s="121"/>
      <c r="F99" s="122"/>
    </row>
    <row r="100" s="118" customFormat="true" ht="15" hidden="false" customHeight="false" outlineLevel="0" collapsed="false">
      <c r="A100" s="117"/>
      <c r="C100" s="119"/>
      <c r="D100" s="123"/>
      <c r="E100" s="121"/>
      <c r="F100" s="122"/>
    </row>
    <row r="101" s="118" customFormat="true" ht="15" hidden="false" customHeight="false" outlineLevel="0" collapsed="false">
      <c r="A101" s="117"/>
      <c r="C101" s="119"/>
      <c r="D101" s="120"/>
      <c r="E101" s="121"/>
      <c r="F101" s="122"/>
    </row>
    <row r="102" s="118" customFormat="true" ht="15" hidden="false" customHeight="false" outlineLevel="0" collapsed="false">
      <c r="A102" s="117"/>
      <c r="C102" s="119"/>
      <c r="D102" s="120"/>
      <c r="E102" s="121"/>
      <c r="F102" s="122"/>
    </row>
    <row r="103" s="118" customFormat="true" ht="15" hidden="false" customHeight="false" outlineLevel="0" collapsed="false">
      <c r="A103" s="117"/>
      <c r="C103" s="119"/>
      <c r="D103" s="120"/>
      <c r="E103" s="121"/>
      <c r="F103" s="122"/>
    </row>
    <row r="104" s="118" customFormat="true" ht="15" hidden="false" customHeight="false" outlineLevel="0" collapsed="false">
      <c r="A104" s="117"/>
      <c r="C104" s="119"/>
      <c r="D104" s="120"/>
      <c r="E104" s="121"/>
      <c r="F104" s="122"/>
    </row>
    <row r="105" s="118" customFormat="true" ht="15" hidden="false" customHeight="false" outlineLevel="0" collapsed="false">
      <c r="A105" s="117"/>
      <c r="C105" s="119"/>
      <c r="D105" s="120"/>
      <c r="E105" s="121"/>
      <c r="F105" s="122"/>
    </row>
    <row r="106" s="118" customFormat="true" ht="15" hidden="false" customHeight="false" outlineLevel="0" collapsed="false">
      <c r="A106" s="117"/>
      <c r="C106" s="119"/>
      <c r="D106" s="120"/>
      <c r="E106" s="121"/>
      <c r="F106" s="122"/>
    </row>
    <row r="107" s="118" customFormat="true" ht="15" hidden="false" customHeight="false" outlineLevel="0" collapsed="false">
      <c r="A107" s="117"/>
      <c r="C107" s="119"/>
      <c r="D107" s="120"/>
      <c r="E107" s="121"/>
      <c r="F107" s="122"/>
    </row>
    <row r="108" s="118" customFormat="true" ht="15" hidden="false" customHeight="false" outlineLevel="0" collapsed="false">
      <c r="A108" s="117"/>
      <c r="C108" s="119"/>
      <c r="D108" s="120"/>
      <c r="E108" s="121"/>
      <c r="F108" s="122"/>
    </row>
    <row r="109" s="118" customFormat="true" ht="15" hidden="false" customHeight="false" outlineLevel="0" collapsed="false">
      <c r="A109" s="117"/>
      <c r="C109" s="119"/>
      <c r="D109" s="120"/>
      <c r="E109" s="121"/>
      <c r="F109" s="122"/>
    </row>
    <row r="110" s="118" customFormat="true" ht="15" hidden="false" customHeight="false" outlineLevel="0" collapsed="false">
      <c r="A110" s="117"/>
      <c r="C110" s="119"/>
      <c r="D110" s="120"/>
      <c r="E110" s="121"/>
      <c r="F110" s="122"/>
    </row>
    <row r="111" s="118" customFormat="true" ht="15" hidden="false" customHeight="false" outlineLevel="0" collapsed="false">
      <c r="A111" s="117"/>
      <c r="C111" s="119"/>
      <c r="D111" s="120"/>
      <c r="E111" s="121"/>
      <c r="F111" s="122"/>
    </row>
    <row r="112" s="118" customFormat="true" ht="15" hidden="false" customHeight="false" outlineLevel="0" collapsed="false">
      <c r="A112" s="117"/>
      <c r="C112" s="119"/>
      <c r="D112" s="120"/>
      <c r="E112" s="121"/>
      <c r="F112" s="122"/>
    </row>
    <row r="113" s="118" customFormat="true" ht="15" hidden="false" customHeight="false" outlineLevel="0" collapsed="false">
      <c r="A113" s="117"/>
      <c r="C113" s="119"/>
      <c r="D113" s="120"/>
      <c r="E113" s="121"/>
      <c r="F113" s="122"/>
    </row>
    <row r="114" s="118" customFormat="true" ht="15" hidden="false" customHeight="false" outlineLevel="0" collapsed="false">
      <c r="A114" s="117"/>
      <c r="C114" s="119"/>
      <c r="D114" s="120"/>
      <c r="E114" s="121"/>
      <c r="F114" s="122"/>
    </row>
    <row r="115" s="118" customFormat="true" ht="18.75" hidden="false" customHeight="false" outlineLevel="0" collapsed="false">
      <c r="A115" s="117"/>
      <c r="C115" s="119"/>
      <c r="D115" s="124"/>
      <c r="E115" s="121"/>
      <c r="F115" s="125"/>
    </row>
    <row r="116" s="118" customFormat="true" ht="15" hidden="false" customHeight="false" outlineLevel="0" collapsed="false">
      <c r="A116" s="117"/>
      <c r="C116" s="119"/>
      <c r="D116" s="124"/>
      <c r="E116" s="121"/>
      <c r="F116" s="126"/>
    </row>
    <row r="117" s="118" customFormat="true" ht="15" hidden="false" customHeight="false" outlineLevel="0" collapsed="false">
      <c r="A117" s="117"/>
      <c r="C117" s="119"/>
      <c r="D117" s="124"/>
      <c r="E117" s="121"/>
      <c r="F117" s="126"/>
    </row>
    <row r="118" s="118" customFormat="true" ht="15" hidden="false" customHeight="false" outlineLevel="0" collapsed="false">
      <c r="A118" s="117"/>
      <c r="C118" s="119"/>
      <c r="D118" s="124"/>
      <c r="E118" s="121"/>
      <c r="F118" s="126"/>
    </row>
    <row r="119" s="118" customFormat="true" ht="15" hidden="false" customHeight="false" outlineLevel="0" collapsed="false">
      <c r="A119" s="117"/>
      <c r="C119" s="119"/>
      <c r="D119" s="124"/>
      <c r="E119" s="121"/>
      <c r="F119" s="126"/>
    </row>
    <row r="120" s="118" customFormat="true" ht="15" hidden="false" customHeight="false" outlineLevel="0" collapsed="false">
      <c r="A120" s="117"/>
      <c r="C120" s="119"/>
      <c r="D120" s="124"/>
      <c r="E120" s="121"/>
      <c r="F120" s="126"/>
    </row>
    <row r="121" s="118" customFormat="true" ht="15" hidden="false" customHeight="false" outlineLevel="0" collapsed="false">
      <c r="A121" s="117"/>
      <c r="C121" s="119"/>
      <c r="D121" s="124"/>
      <c r="E121" s="121"/>
      <c r="F121" s="126"/>
    </row>
    <row r="122" s="118" customFormat="true" ht="15" hidden="false" customHeight="false" outlineLevel="0" collapsed="false">
      <c r="A122" s="117"/>
      <c r="C122" s="119"/>
      <c r="D122" s="124"/>
      <c r="E122" s="121"/>
      <c r="F122" s="126"/>
    </row>
    <row r="123" s="118" customFormat="true" ht="15" hidden="false" customHeight="false" outlineLevel="0" collapsed="false">
      <c r="A123" s="117"/>
      <c r="C123" s="119"/>
      <c r="D123" s="124"/>
      <c r="E123" s="121"/>
      <c r="F123" s="126"/>
    </row>
    <row r="124" s="118" customFormat="true" ht="15" hidden="false" customHeight="false" outlineLevel="0" collapsed="false">
      <c r="A124" s="117"/>
      <c r="C124" s="119"/>
      <c r="D124" s="124"/>
      <c r="E124" s="121"/>
      <c r="F124" s="126"/>
    </row>
    <row r="125" s="118" customFormat="true" ht="15" hidden="false" customHeight="false" outlineLevel="0" collapsed="false">
      <c r="A125" s="117"/>
      <c r="C125" s="119"/>
      <c r="D125" s="124"/>
      <c r="E125" s="121"/>
      <c r="F125" s="126"/>
    </row>
    <row r="126" s="118" customFormat="true" ht="15" hidden="false" customHeight="false" outlineLevel="0" collapsed="false">
      <c r="A126" s="117"/>
      <c r="C126" s="119"/>
      <c r="D126" s="124"/>
      <c r="E126" s="121"/>
      <c r="F126" s="126"/>
    </row>
    <row r="127" s="118" customFormat="true" ht="15" hidden="false" customHeight="false" outlineLevel="0" collapsed="false">
      <c r="A127" s="117"/>
      <c r="C127" s="119"/>
      <c r="D127" s="124"/>
      <c r="E127" s="121"/>
      <c r="F127" s="126"/>
    </row>
  </sheetData>
  <mergeCells count="1">
    <mergeCell ref="D1:F1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17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68" activeCellId="0" sqref="D68"/>
    </sheetView>
  </sheetViews>
  <sheetFormatPr defaultColWidth="8.59765625" defaultRowHeight="15" zeroHeight="false" outlineLevelRow="0" outlineLevelCol="0"/>
  <cols>
    <col collapsed="false" customWidth="true" hidden="false" outlineLevel="0" max="1" min="1" style="127" width="13.14"/>
    <col collapsed="false" customWidth="true" hidden="false" outlineLevel="0" max="2" min="2" style="4" width="32.57"/>
    <col collapsed="false" customWidth="true" hidden="false" outlineLevel="0" max="3" min="3" style="127" width="11.43"/>
  </cols>
  <sheetData>
    <row r="1" customFormat="false" ht="101.45" hidden="false" customHeight="false" outlineLevel="0" collapsed="false">
      <c r="A1" s="6" t="s">
        <v>0</v>
      </c>
      <c r="B1" s="7" t="s">
        <v>1</v>
      </c>
      <c r="C1" s="8" t="s">
        <v>2</v>
      </c>
      <c r="D1" s="128" t="s">
        <v>4</v>
      </c>
      <c r="E1" s="128" t="s">
        <v>226</v>
      </c>
      <c r="F1" s="128" t="s">
        <v>227</v>
      </c>
    </row>
    <row r="2" customFormat="false" ht="15" hidden="false" customHeight="false" outlineLevel="0" collapsed="false">
      <c r="A2" s="14"/>
      <c r="B2" s="129"/>
      <c r="C2" s="129"/>
      <c r="D2" s="130"/>
      <c r="E2" s="131"/>
      <c r="F2" s="131"/>
    </row>
    <row r="3" customFormat="false" ht="15" hidden="false" customHeight="false" outlineLevel="0" collapsed="false">
      <c r="A3" s="35" t="s">
        <v>10</v>
      </c>
      <c r="B3" s="59" t="s">
        <v>228</v>
      </c>
      <c r="C3" s="54" t="s">
        <v>229</v>
      </c>
      <c r="D3" s="98" t="n">
        <f aca="false">320/24</f>
        <v>13.3333333333333</v>
      </c>
      <c r="E3" s="98" t="n">
        <v>25</v>
      </c>
      <c r="F3" s="132" t="n">
        <f aca="false">SUM(E3-D3)/E3</f>
        <v>0.466666666666667</v>
      </c>
    </row>
    <row r="4" customFormat="false" ht="15" hidden="false" customHeight="false" outlineLevel="0" collapsed="false">
      <c r="A4" s="22" t="s">
        <v>10</v>
      </c>
      <c r="B4" s="23" t="s">
        <v>11</v>
      </c>
      <c r="C4" s="24" t="s">
        <v>229</v>
      </c>
      <c r="D4" s="70" t="n">
        <f aca="false">295/24</f>
        <v>12.2916666666667</v>
      </c>
      <c r="E4" s="70" t="n">
        <v>25</v>
      </c>
      <c r="F4" s="132" t="n">
        <f aca="false">SUM(E4-D4)/E4</f>
        <v>0.508333333333333</v>
      </c>
    </row>
    <row r="5" customFormat="false" ht="15" hidden="false" customHeight="false" outlineLevel="0" collapsed="false">
      <c r="A5" s="22" t="s">
        <v>10</v>
      </c>
      <c r="B5" s="23" t="s">
        <v>13</v>
      </c>
      <c r="C5" s="24" t="s">
        <v>229</v>
      </c>
      <c r="D5" s="133" t="n">
        <f aca="false">250/24</f>
        <v>10.4166666666667</v>
      </c>
      <c r="E5" s="70" t="n">
        <v>25</v>
      </c>
      <c r="F5" s="132" t="n">
        <f aca="false">SUM(E5-D5)/E5</f>
        <v>0.583333333333333</v>
      </c>
      <c r="G5" s="2" t="s">
        <v>230</v>
      </c>
    </row>
    <row r="6" customFormat="false" ht="15" hidden="false" customHeight="false" outlineLevel="0" collapsed="false">
      <c r="A6" s="22" t="s">
        <v>10</v>
      </c>
      <c r="B6" s="23" t="s">
        <v>14</v>
      </c>
      <c r="C6" s="24" t="s">
        <v>229</v>
      </c>
      <c r="D6" s="133" t="n">
        <f aca="false">250/24</f>
        <v>10.4166666666667</v>
      </c>
      <c r="E6" s="70" t="n">
        <v>25</v>
      </c>
      <c r="F6" s="132" t="n">
        <f aca="false">SUM(E6-D6)/E6</f>
        <v>0.583333333333333</v>
      </c>
      <c r="G6" s="2" t="s">
        <v>230</v>
      </c>
    </row>
    <row r="7" customFormat="false" ht="15" hidden="false" customHeight="false" outlineLevel="0" collapsed="false">
      <c r="A7" s="22" t="s">
        <v>10</v>
      </c>
      <c r="B7" s="23" t="s">
        <v>14</v>
      </c>
      <c r="C7" s="24" t="s">
        <v>15</v>
      </c>
      <c r="D7" s="70" t="n">
        <f aca="false">258/12</f>
        <v>21.5</v>
      </c>
      <c r="E7" s="70" t="n">
        <v>35</v>
      </c>
      <c r="F7" s="132" t="n">
        <f aca="false">SUM(E7-D7)/E7</f>
        <v>0.385714285714286</v>
      </c>
    </row>
    <row r="8" customFormat="false" ht="15" hidden="false" customHeight="false" outlineLevel="0" collapsed="false">
      <c r="A8" s="22" t="s">
        <v>10</v>
      </c>
      <c r="B8" s="23" t="s">
        <v>17</v>
      </c>
      <c r="C8" s="24" t="s">
        <v>229</v>
      </c>
      <c r="D8" s="70" t="n">
        <f aca="false">260/24</f>
        <v>10.8333333333333</v>
      </c>
      <c r="E8" s="70" t="n">
        <v>25</v>
      </c>
      <c r="F8" s="132" t="n">
        <f aca="false">SUM(E8-D8)/E8</f>
        <v>0.566666666666667</v>
      </c>
    </row>
    <row r="9" customFormat="false" ht="15" hidden="false" customHeight="false" outlineLevel="0" collapsed="false">
      <c r="A9" s="22" t="s">
        <v>10</v>
      </c>
      <c r="B9" s="23" t="s">
        <v>17</v>
      </c>
      <c r="C9" s="24" t="s">
        <v>15</v>
      </c>
      <c r="D9" s="70" t="n">
        <f aca="false">203.9/12</f>
        <v>16.9916666666667</v>
      </c>
      <c r="E9" s="70" t="n">
        <v>35</v>
      </c>
      <c r="F9" s="132" t="n">
        <f aca="false">SUM(E9-D9)/E9</f>
        <v>0.51452380952381</v>
      </c>
    </row>
    <row r="10" customFormat="false" ht="15" hidden="false" customHeight="false" outlineLevel="0" collapsed="false">
      <c r="A10" s="22" t="s">
        <v>10</v>
      </c>
      <c r="B10" s="23" t="s">
        <v>231</v>
      </c>
      <c r="C10" s="24" t="s">
        <v>229</v>
      </c>
      <c r="D10" s="70" t="n">
        <f aca="false">365/24</f>
        <v>15.2083333333333</v>
      </c>
      <c r="E10" s="70" t="n">
        <v>30</v>
      </c>
      <c r="F10" s="132" t="n">
        <f aca="false">SUM(E10-D10)/E10</f>
        <v>0.493055555555556</v>
      </c>
    </row>
    <row r="11" customFormat="false" ht="15" hidden="false" customHeight="false" outlineLevel="0" collapsed="false">
      <c r="A11" s="22" t="s">
        <v>10</v>
      </c>
      <c r="B11" s="23" t="s">
        <v>19</v>
      </c>
      <c r="C11" s="24" t="s">
        <v>15</v>
      </c>
      <c r="D11" s="70" t="n">
        <f aca="false">184/12</f>
        <v>15.3333333333333</v>
      </c>
      <c r="E11" s="70" t="n">
        <v>35</v>
      </c>
      <c r="F11" s="132" t="n">
        <f aca="false">SUM(E11-D11)/E11</f>
        <v>0.561904761904762</v>
      </c>
    </row>
    <row r="12" customFormat="false" ht="15" hidden="false" customHeight="false" outlineLevel="0" collapsed="false">
      <c r="A12" s="22" t="s">
        <v>10</v>
      </c>
      <c r="B12" s="23" t="s">
        <v>21</v>
      </c>
      <c r="C12" s="24" t="s">
        <v>229</v>
      </c>
      <c r="D12" s="70" t="n">
        <f aca="false">365/24</f>
        <v>15.2083333333333</v>
      </c>
      <c r="E12" s="70" t="n">
        <v>30</v>
      </c>
      <c r="F12" s="132" t="n">
        <f aca="false">SUM(E12-D12)/E12</f>
        <v>0.493055555555556</v>
      </c>
    </row>
    <row r="13" customFormat="false" ht="15" hidden="false" customHeight="false" outlineLevel="0" collapsed="false">
      <c r="A13" s="22" t="s">
        <v>10</v>
      </c>
      <c r="B13" s="23" t="s">
        <v>232</v>
      </c>
      <c r="C13" s="24" t="s">
        <v>233</v>
      </c>
      <c r="D13" s="70" t="n">
        <f aca="false">349/24</f>
        <v>14.5416666666667</v>
      </c>
      <c r="E13" s="70" t="n">
        <v>30</v>
      </c>
      <c r="F13" s="132" t="n">
        <f aca="false">SUM(E13-D13)/E13</f>
        <v>0.515277777777778</v>
      </c>
    </row>
    <row r="14" customFormat="false" ht="15" hidden="false" customHeight="false" outlineLevel="0" collapsed="false">
      <c r="A14" s="22" t="s">
        <v>10</v>
      </c>
      <c r="B14" s="23" t="s">
        <v>25</v>
      </c>
      <c r="C14" s="24" t="s">
        <v>229</v>
      </c>
      <c r="D14" s="70" t="n">
        <f aca="false">335/24</f>
        <v>13.9583333333333</v>
      </c>
      <c r="E14" s="70" t="n">
        <v>30</v>
      </c>
      <c r="F14" s="132" t="n">
        <f aca="false">SUM(E14-D14)/E14</f>
        <v>0.534722222222222</v>
      </c>
    </row>
    <row r="15" customFormat="false" ht="15" hidden="false" customHeight="false" outlineLevel="0" collapsed="false">
      <c r="A15" s="22" t="s">
        <v>10</v>
      </c>
      <c r="B15" s="31" t="s">
        <v>26</v>
      </c>
      <c r="C15" s="24" t="s">
        <v>27</v>
      </c>
      <c r="D15" s="70" t="n">
        <f aca="false">330/24</f>
        <v>13.75</v>
      </c>
      <c r="E15" s="70" t="n">
        <v>40</v>
      </c>
      <c r="F15" s="132" t="n">
        <f aca="false">SUM(E15-D15)/E15</f>
        <v>0.65625</v>
      </c>
    </row>
    <row r="16" customFormat="false" ht="15" hidden="false" customHeight="false" outlineLevel="0" collapsed="false">
      <c r="A16" s="22" t="s">
        <v>10</v>
      </c>
      <c r="B16" s="31" t="s">
        <v>28</v>
      </c>
      <c r="C16" s="24" t="s">
        <v>229</v>
      </c>
      <c r="D16" s="70" t="n">
        <f aca="false">280/24</f>
        <v>11.6666666666667</v>
      </c>
      <c r="E16" s="70" t="n">
        <v>25</v>
      </c>
      <c r="F16" s="132" t="n">
        <f aca="false">SUM(E16-D16)/E16</f>
        <v>0.533333333333333</v>
      </c>
    </row>
    <row r="17" customFormat="false" ht="15" hidden="false" customHeight="false" outlineLevel="0" collapsed="false">
      <c r="A17" s="22" t="s">
        <v>10</v>
      </c>
      <c r="B17" s="23" t="s">
        <v>22</v>
      </c>
      <c r="C17" s="24" t="s">
        <v>229</v>
      </c>
      <c r="D17" s="70" t="n">
        <f aca="false">365/24</f>
        <v>15.2083333333333</v>
      </c>
      <c r="E17" s="70" t="n">
        <v>30</v>
      </c>
      <c r="F17" s="132" t="n">
        <f aca="false">SUM(E17-D17)/E17</f>
        <v>0.493055555555556</v>
      </c>
    </row>
    <row r="18" customFormat="false" ht="15" hidden="false" customHeight="false" outlineLevel="0" collapsed="false">
      <c r="A18" s="134"/>
      <c r="B18" s="95"/>
      <c r="C18" s="100"/>
      <c r="D18" s="135"/>
      <c r="E18" s="135"/>
      <c r="F18" s="132"/>
    </row>
    <row r="19" customFormat="false" ht="15" hidden="false" customHeight="false" outlineLevel="0" collapsed="false">
      <c r="A19" s="58" t="s">
        <v>29</v>
      </c>
      <c r="B19" s="59" t="s">
        <v>30</v>
      </c>
      <c r="C19" s="54" t="s">
        <v>31</v>
      </c>
      <c r="D19" s="98" t="n">
        <f aca="false">179.89/30</f>
        <v>5.99633333333333</v>
      </c>
      <c r="E19" s="98" t="n">
        <v>15</v>
      </c>
      <c r="F19" s="132" t="n">
        <f aca="false">SUM(E19-D19)/E19</f>
        <v>0.600244444444445</v>
      </c>
    </row>
    <row r="20" customFormat="false" ht="15" hidden="false" customHeight="false" outlineLevel="0" collapsed="false">
      <c r="A20" s="22" t="s">
        <v>29</v>
      </c>
      <c r="B20" s="23" t="s">
        <v>32</v>
      </c>
      <c r="C20" s="24" t="s">
        <v>31</v>
      </c>
      <c r="D20" s="70" t="n">
        <f aca="false">185/30</f>
        <v>6.16666666666667</v>
      </c>
      <c r="E20" s="70" t="n">
        <v>15</v>
      </c>
      <c r="F20" s="132" t="n">
        <f aca="false">SUM(E20-D20)/E20</f>
        <v>0.588888888888889</v>
      </c>
    </row>
    <row r="21" customFormat="false" ht="15" hidden="false" customHeight="false" outlineLevel="0" collapsed="false">
      <c r="A21" s="41"/>
      <c r="B21" s="42"/>
      <c r="C21" s="43"/>
      <c r="D21" s="53"/>
      <c r="E21" s="53"/>
      <c r="F21" s="132"/>
    </row>
    <row r="22" customFormat="false" ht="15" hidden="false" customHeight="false" outlineLevel="0" collapsed="false">
      <c r="A22" s="58" t="s">
        <v>33</v>
      </c>
      <c r="B22" s="59" t="s">
        <v>34</v>
      </c>
      <c r="C22" s="54" t="s">
        <v>229</v>
      </c>
      <c r="D22" s="98" t="n">
        <f aca="false">285/24</f>
        <v>11.875</v>
      </c>
      <c r="E22" s="98" t="n">
        <v>25</v>
      </c>
      <c r="F22" s="132" t="n">
        <f aca="false">SUM(E22-D22)/E22</f>
        <v>0.525</v>
      </c>
    </row>
    <row r="23" customFormat="false" ht="15" hidden="false" customHeight="false" outlineLevel="0" collapsed="false">
      <c r="A23" s="22" t="s">
        <v>33</v>
      </c>
      <c r="B23" s="23" t="s">
        <v>234</v>
      </c>
      <c r="C23" s="24" t="s">
        <v>229</v>
      </c>
      <c r="D23" s="70" t="n">
        <f aca="false">309/24</f>
        <v>12.875</v>
      </c>
      <c r="E23" s="70" t="n">
        <v>30</v>
      </c>
      <c r="F23" s="132" t="n">
        <f aca="false">SUM(E23-D23)/E23</f>
        <v>0.570833333333333</v>
      </c>
    </row>
    <row r="24" customFormat="false" ht="15" hidden="false" customHeight="false" outlineLevel="0" collapsed="false">
      <c r="A24" s="22" t="s">
        <v>33</v>
      </c>
      <c r="B24" s="23" t="s">
        <v>36</v>
      </c>
      <c r="C24" s="24" t="s">
        <v>229</v>
      </c>
      <c r="D24" s="70" t="n">
        <f aca="false">360/24</f>
        <v>15</v>
      </c>
      <c r="E24" s="70" t="n">
        <v>30</v>
      </c>
      <c r="F24" s="132" t="n">
        <f aca="false">SUM(E24-D24)/E24</f>
        <v>0.5</v>
      </c>
    </row>
    <row r="25" customFormat="false" ht="15" hidden="false" customHeight="false" outlineLevel="0" collapsed="false">
      <c r="A25" s="22" t="s">
        <v>33</v>
      </c>
      <c r="B25" s="23" t="s">
        <v>37</v>
      </c>
      <c r="C25" s="24" t="s">
        <v>229</v>
      </c>
      <c r="D25" s="70" t="n">
        <f aca="false">360/24</f>
        <v>15</v>
      </c>
      <c r="E25" s="70" t="n">
        <v>30</v>
      </c>
      <c r="F25" s="132" t="n">
        <f aca="false">SUM(E25-D25)/E25</f>
        <v>0.5</v>
      </c>
    </row>
    <row r="26" customFormat="false" ht="15" hidden="false" customHeight="false" outlineLevel="0" collapsed="false">
      <c r="A26" s="22" t="s">
        <v>33</v>
      </c>
      <c r="B26" s="23" t="s">
        <v>235</v>
      </c>
      <c r="C26" s="24" t="s">
        <v>229</v>
      </c>
      <c r="D26" s="70" t="n">
        <f aca="false">385/24</f>
        <v>16.0416666666667</v>
      </c>
      <c r="E26" s="70" t="n">
        <v>30</v>
      </c>
      <c r="F26" s="132" t="n">
        <f aca="false">SUM(E26-D26)/E26</f>
        <v>0.465277777777778</v>
      </c>
    </row>
    <row r="27" customFormat="false" ht="15" hidden="false" customHeight="false" outlineLevel="0" collapsed="false">
      <c r="A27" s="22" t="s">
        <v>33</v>
      </c>
      <c r="B27" s="23" t="s">
        <v>39</v>
      </c>
      <c r="C27" s="24" t="s">
        <v>229</v>
      </c>
      <c r="D27" s="70" t="n">
        <f aca="false">385/24</f>
        <v>16.0416666666667</v>
      </c>
      <c r="E27" s="70" t="n">
        <v>30</v>
      </c>
      <c r="F27" s="132" t="n">
        <f aca="false">SUM(E27-D27)/E27</f>
        <v>0.465277777777778</v>
      </c>
    </row>
    <row r="28" customFormat="false" ht="15" hidden="false" customHeight="false" outlineLevel="0" collapsed="false">
      <c r="A28" s="22" t="s">
        <v>33</v>
      </c>
      <c r="B28" s="31" t="s">
        <v>40</v>
      </c>
      <c r="C28" s="24" t="s">
        <v>229</v>
      </c>
      <c r="D28" s="70" t="n">
        <f aca="false">430/24</f>
        <v>17.9166666666667</v>
      </c>
      <c r="E28" s="70" t="n">
        <v>30</v>
      </c>
      <c r="F28" s="132" t="n">
        <f aca="false">SUM(E28-D28)/E28</f>
        <v>0.402777777777778</v>
      </c>
    </row>
    <row r="29" customFormat="false" ht="15" hidden="false" customHeight="false" outlineLevel="0" collapsed="false">
      <c r="A29" s="22" t="s">
        <v>33</v>
      </c>
      <c r="B29" s="31" t="s">
        <v>41</v>
      </c>
      <c r="C29" s="24" t="s">
        <v>229</v>
      </c>
      <c r="D29" s="70" t="n">
        <f aca="false">375/24</f>
        <v>15.625</v>
      </c>
      <c r="E29" s="70" t="n">
        <v>35</v>
      </c>
      <c r="F29" s="132" t="n">
        <f aca="false">SUM(E29-D29)/E29</f>
        <v>0.553571428571429</v>
      </c>
    </row>
    <row r="30" customFormat="false" ht="15" hidden="false" customHeight="false" outlineLevel="0" collapsed="false">
      <c r="A30" s="22" t="s">
        <v>33</v>
      </c>
      <c r="B30" s="31" t="s">
        <v>42</v>
      </c>
      <c r="C30" s="24" t="s">
        <v>229</v>
      </c>
      <c r="D30" s="70" t="n">
        <f aca="false">375/24</f>
        <v>15.625</v>
      </c>
      <c r="E30" s="70" t="n">
        <v>35</v>
      </c>
      <c r="F30" s="132" t="n">
        <f aca="false">SUM(E30-D30)/E30</f>
        <v>0.553571428571429</v>
      </c>
    </row>
    <row r="31" customFormat="false" ht="15" hidden="false" customHeight="false" outlineLevel="0" collapsed="false">
      <c r="A31" s="22" t="s">
        <v>33</v>
      </c>
      <c r="B31" s="31" t="s">
        <v>43</v>
      </c>
      <c r="C31" s="24" t="s">
        <v>229</v>
      </c>
      <c r="D31" s="70" t="n">
        <f aca="false">375/24</f>
        <v>15.625</v>
      </c>
      <c r="E31" s="70" t="n">
        <v>35</v>
      </c>
      <c r="F31" s="132" t="n">
        <f aca="false">SUM(E31-D31)/E31</f>
        <v>0.553571428571429</v>
      </c>
    </row>
    <row r="32" customFormat="false" ht="15" hidden="false" customHeight="false" outlineLevel="0" collapsed="false">
      <c r="A32" s="22" t="s">
        <v>33</v>
      </c>
      <c r="B32" s="23" t="s">
        <v>44</v>
      </c>
      <c r="C32" s="24" t="s">
        <v>229</v>
      </c>
      <c r="D32" s="70" t="n">
        <f aca="false">375/24</f>
        <v>15.625</v>
      </c>
      <c r="E32" s="70" t="n">
        <v>35</v>
      </c>
      <c r="F32" s="132" t="n">
        <f aca="false">SUM(E32-D32)/E32</f>
        <v>0.553571428571429</v>
      </c>
    </row>
    <row r="33" customFormat="false" ht="15" hidden="false" customHeight="false" outlineLevel="0" collapsed="false">
      <c r="A33" s="134"/>
      <c r="B33" s="95"/>
      <c r="C33" s="100"/>
      <c r="D33" s="135"/>
      <c r="E33" s="135"/>
      <c r="F33" s="132"/>
    </row>
    <row r="34" customFormat="false" ht="15" hidden="false" customHeight="false" outlineLevel="0" collapsed="false">
      <c r="A34" s="58" t="s">
        <v>45</v>
      </c>
      <c r="B34" s="59" t="s">
        <v>236</v>
      </c>
      <c r="C34" s="54" t="s">
        <v>237</v>
      </c>
      <c r="D34" s="98" t="n">
        <f aca="false">170/15</f>
        <v>11.3333333333333</v>
      </c>
      <c r="E34" s="98" t="n">
        <v>20</v>
      </c>
      <c r="F34" s="132" t="n">
        <f aca="false">SUM(E34-D34)/E34</f>
        <v>0.433333333333333</v>
      </c>
    </row>
    <row r="35" customFormat="false" ht="15" hidden="false" customHeight="false" outlineLevel="0" collapsed="false">
      <c r="A35" s="22" t="s">
        <v>45</v>
      </c>
      <c r="B35" s="23" t="s">
        <v>48</v>
      </c>
      <c r="C35" s="24" t="s">
        <v>237</v>
      </c>
      <c r="D35" s="70" t="n">
        <f aca="false">65/15</f>
        <v>4.33333333333333</v>
      </c>
      <c r="E35" s="70" t="n">
        <v>15</v>
      </c>
      <c r="F35" s="132" t="n">
        <f aca="false">SUM(E35-D35)/E35</f>
        <v>0.711111111111111</v>
      </c>
    </row>
    <row r="36" customFormat="false" ht="15" hidden="false" customHeight="false" outlineLevel="0" collapsed="false">
      <c r="A36" s="22" t="s">
        <v>45</v>
      </c>
      <c r="B36" s="23" t="s">
        <v>50</v>
      </c>
      <c r="C36" s="24" t="s">
        <v>238</v>
      </c>
      <c r="D36" s="70" t="n">
        <f aca="false">200/30</f>
        <v>6.66666666666667</v>
      </c>
      <c r="E36" s="70" t="n">
        <v>15</v>
      </c>
      <c r="F36" s="132" t="n">
        <f aca="false">SUM(E36-D36)/E36</f>
        <v>0.555555555555556</v>
      </c>
    </row>
    <row r="37" customFormat="false" ht="15" hidden="false" customHeight="false" outlineLevel="0" collapsed="false">
      <c r="A37" s="41"/>
      <c r="B37" s="42"/>
      <c r="C37" s="43"/>
      <c r="D37" s="53"/>
      <c r="E37" s="53"/>
      <c r="F37" s="132"/>
    </row>
    <row r="38" customFormat="false" ht="15" hidden="false" customHeight="false" outlineLevel="0" collapsed="false">
      <c r="A38" s="58" t="s">
        <v>51</v>
      </c>
      <c r="B38" s="73" t="s">
        <v>52</v>
      </c>
      <c r="C38" s="51" t="s">
        <v>53</v>
      </c>
      <c r="D38" s="98" t="n">
        <f aca="false">368.3/24</f>
        <v>15.3458333333333</v>
      </c>
      <c r="E38" s="98" t="n">
        <v>28</v>
      </c>
      <c r="F38" s="132" t="n">
        <f aca="false">SUM(E38-D38)/E38</f>
        <v>0.451934523809524</v>
      </c>
    </row>
    <row r="39" customFormat="false" ht="15" hidden="false" customHeight="false" outlineLevel="0" collapsed="false">
      <c r="A39" s="22" t="s">
        <v>51</v>
      </c>
      <c r="B39" s="31" t="s">
        <v>239</v>
      </c>
      <c r="C39" s="52" t="s">
        <v>117</v>
      </c>
      <c r="D39" s="70" t="n">
        <v>60</v>
      </c>
      <c r="E39" s="70" t="n">
        <v>90</v>
      </c>
      <c r="F39" s="132" t="n">
        <f aca="false">SUM(E39-D39)/E39</f>
        <v>0.333333333333333</v>
      </c>
    </row>
    <row r="40" customFormat="false" ht="15" hidden="false" customHeight="false" outlineLevel="0" collapsed="false">
      <c r="A40" s="22" t="s">
        <v>51</v>
      </c>
      <c r="B40" s="23" t="s">
        <v>55</v>
      </c>
      <c r="C40" s="24" t="s">
        <v>56</v>
      </c>
      <c r="D40" s="70" t="n">
        <v>7.5</v>
      </c>
      <c r="E40" s="70" t="n">
        <v>15</v>
      </c>
      <c r="F40" s="132" t="n">
        <f aca="false">SUM(E40-D40)/E40</f>
        <v>0.5</v>
      </c>
    </row>
    <row r="41" customFormat="false" ht="15" hidden="false" customHeight="false" outlineLevel="0" collapsed="false">
      <c r="A41" s="22" t="s">
        <v>51</v>
      </c>
      <c r="B41" s="23" t="s">
        <v>57</v>
      </c>
      <c r="C41" s="24" t="s">
        <v>58</v>
      </c>
      <c r="D41" s="70" t="n">
        <f aca="false">256.5/24</f>
        <v>10.6875</v>
      </c>
      <c r="E41" s="70" t="n">
        <v>15</v>
      </c>
      <c r="F41" s="132" t="n">
        <f aca="false">SUM(E41-D41)/E41</f>
        <v>0.2875</v>
      </c>
    </row>
    <row r="42" customFormat="false" ht="15" hidden="false" customHeight="false" outlineLevel="0" collapsed="false">
      <c r="A42" s="22" t="s">
        <v>51</v>
      </c>
      <c r="B42" s="23" t="s">
        <v>57</v>
      </c>
      <c r="C42" s="24" t="s">
        <v>240</v>
      </c>
      <c r="D42" s="70" t="n">
        <f aca="false">180/12</f>
        <v>15</v>
      </c>
      <c r="E42" s="70" t="n">
        <v>40</v>
      </c>
      <c r="F42" s="132" t="n">
        <f aca="false">SUM(E42-D42)/E42</f>
        <v>0.625</v>
      </c>
    </row>
    <row r="43" customFormat="false" ht="15" hidden="false" customHeight="false" outlineLevel="0" collapsed="false">
      <c r="A43" s="22" t="s">
        <v>51</v>
      </c>
      <c r="B43" s="23" t="s">
        <v>61</v>
      </c>
      <c r="C43" s="24" t="s">
        <v>62</v>
      </c>
      <c r="D43" s="70" t="n">
        <f aca="false">256.5/24</f>
        <v>10.6875</v>
      </c>
      <c r="E43" s="70" t="n">
        <v>15</v>
      </c>
      <c r="F43" s="132" t="n">
        <f aca="false">SUM(E43-D43)/E43</f>
        <v>0.2875</v>
      </c>
    </row>
    <row r="44" customFormat="false" ht="15" hidden="false" customHeight="false" outlineLevel="0" collapsed="false">
      <c r="A44" s="22" t="s">
        <v>51</v>
      </c>
      <c r="B44" s="23" t="s">
        <v>63</v>
      </c>
      <c r="C44" s="24" t="s">
        <v>58</v>
      </c>
      <c r="D44" s="70" t="n">
        <f aca="false">256.5/24</f>
        <v>10.6875</v>
      </c>
      <c r="E44" s="70" t="n">
        <v>15</v>
      </c>
      <c r="F44" s="132" t="n">
        <f aca="false">SUM(E44-D44)/E44</f>
        <v>0.2875</v>
      </c>
    </row>
    <row r="45" customFormat="false" ht="15" hidden="false" customHeight="false" outlineLevel="0" collapsed="false">
      <c r="A45" s="22" t="s">
        <v>51</v>
      </c>
      <c r="B45" s="23" t="s">
        <v>201</v>
      </c>
      <c r="C45" s="24" t="s">
        <v>202</v>
      </c>
      <c r="D45" s="70" t="n">
        <f aca="false">70/6</f>
        <v>11.6666666666667</v>
      </c>
      <c r="E45" s="70" t="n">
        <v>20</v>
      </c>
      <c r="F45" s="132" t="n">
        <f aca="false">SUM(E45-D45)/E45</f>
        <v>0.416666666666667</v>
      </c>
    </row>
    <row r="46" customFormat="false" ht="15" hidden="false" customHeight="false" outlineLevel="0" collapsed="false">
      <c r="A46" s="22" t="s">
        <v>51</v>
      </c>
      <c r="B46" s="23" t="s">
        <v>64</v>
      </c>
      <c r="C46" s="24" t="s">
        <v>202</v>
      </c>
      <c r="D46" s="70" t="n">
        <f aca="false">266.5/24</f>
        <v>11.1041666666667</v>
      </c>
      <c r="E46" s="70" t="n">
        <v>20</v>
      </c>
      <c r="F46" s="132" t="n">
        <f aca="false">SUM(E46-D46)/E46</f>
        <v>0.444791666666667</v>
      </c>
    </row>
    <row r="47" customFormat="false" ht="15" hidden="false" customHeight="false" outlineLevel="0" collapsed="false">
      <c r="A47" s="22" t="s">
        <v>51</v>
      </c>
      <c r="B47" s="23" t="s">
        <v>66</v>
      </c>
      <c r="C47" s="24" t="s">
        <v>58</v>
      </c>
      <c r="D47" s="70" t="n">
        <f aca="false">256.5/24</f>
        <v>10.6875</v>
      </c>
      <c r="E47" s="70" t="n">
        <v>15</v>
      </c>
      <c r="F47" s="132" t="n">
        <f aca="false">SUM(E47-D47)/E47</f>
        <v>0.2875</v>
      </c>
    </row>
    <row r="48" customFormat="false" ht="15" hidden="false" customHeight="false" outlineLevel="0" collapsed="false">
      <c r="A48" s="22" t="s">
        <v>51</v>
      </c>
      <c r="B48" s="23" t="s">
        <v>67</v>
      </c>
      <c r="C48" s="24" t="s">
        <v>58</v>
      </c>
      <c r="D48" s="70" t="n">
        <f aca="false">256.5/24</f>
        <v>10.6875</v>
      </c>
      <c r="E48" s="70" t="n">
        <v>15</v>
      </c>
      <c r="F48" s="132" t="n">
        <f aca="false">SUM(E48-D48)/E48</f>
        <v>0.2875</v>
      </c>
    </row>
    <row r="49" customFormat="false" ht="15" hidden="false" customHeight="false" outlineLevel="0" collapsed="false">
      <c r="A49" s="22" t="s">
        <v>51</v>
      </c>
      <c r="B49" s="23" t="s">
        <v>68</v>
      </c>
      <c r="C49" s="24" t="s">
        <v>69</v>
      </c>
      <c r="D49" s="70" t="n">
        <v>7.5</v>
      </c>
      <c r="E49" s="70" t="n">
        <v>15</v>
      </c>
      <c r="F49" s="132" t="n">
        <f aca="false">SUM(E49-D49)/E49</f>
        <v>0.5</v>
      </c>
    </row>
    <row r="50" customFormat="false" ht="15" hidden="false" customHeight="false" outlineLevel="0" collapsed="false">
      <c r="A50" s="22" t="s">
        <v>51</v>
      </c>
      <c r="B50" s="23" t="s">
        <v>70</v>
      </c>
      <c r="C50" s="24" t="s">
        <v>69</v>
      </c>
      <c r="D50" s="70" t="n">
        <v>7.5</v>
      </c>
      <c r="E50" s="70" t="n">
        <v>15</v>
      </c>
      <c r="F50" s="132" t="n">
        <f aca="false">SUM(E50-D50)/E50</f>
        <v>0.5</v>
      </c>
    </row>
    <row r="51" customFormat="false" ht="15" hidden="false" customHeight="false" outlineLevel="0" collapsed="false">
      <c r="A51" s="22" t="s">
        <v>51</v>
      </c>
      <c r="B51" s="23" t="s">
        <v>71</v>
      </c>
      <c r="C51" s="24" t="s">
        <v>69</v>
      </c>
      <c r="D51" s="70" t="n">
        <v>7.5</v>
      </c>
      <c r="E51" s="70" t="n">
        <v>15</v>
      </c>
      <c r="F51" s="132" t="n">
        <f aca="false">SUM(E51-D51)/E51</f>
        <v>0.5</v>
      </c>
    </row>
    <row r="52" customFormat="false" ht="15" hidden="false" customHeight="false" outlineLevel="0" collapsed="false">
      <c r="A52" s="22" t="s">
        <v>51</v>
      </c>
      <c r="B52" s="23" t="s">
        <v>72</v>
      </c>
      <c r="C52" s="24" t="s">
        <v>69</v>
      </c>
      <c r="D52" s="70" t="n">
        <v>7.5</v>
      </c>
      <c r="E52" s="70" t="n">
        <v>15</v>
      </c>
      <c r="F52" s="132" t="n">
        <f aca="false">SUM(E52-D52)/E52</f>
        <v>0.5</v>
      </c>
    </row>
    <row r="53" customFormat="false" ht="15" hidden="false" customHeight="false" outlineLevel="0" collapsed="false">
      <c r="A53" s="22" t="s">
        <v>51</v>
      </c>
      <c r="B53" s="23" t="s">
        <v>72</v>
      </c>
      <c r="C53" s="24" t="s">
        <v>73</v>
      </c>
      <c r="D53" s="70" t="n">
        <v>15.81</v>
      </c>
      <c r="E53" s="70" t="n">
        <v>40</v>
      </c>
      <c r="F53" s="132" t="n">
        <f aca="false">SUM(E53-D53)/E53</f>
        <v>0.60475</v>
      </c>
    </row>
    <row r="54" customFormat="false" ht="15" hidden="false" customHeight="false" outlineLevel="0" collapsed="false">
      <c r="A54" s="22" t="s">
        <v>51</v>
      </c>
      <c r="B54" s="23" t="s">
        <v>74</v>
      </c>
      <c r="C54" s="24" t="s">
        <v>53</v>
      </c>
      <c r="D54" s="70" t="n">
        <f aca="false">356/24</f>
        <v>14.8333333333333</v>
      </c>
      <c r="E54" s="70" t="n">
        <v>25</v>
      </c>
      <c r="F54" s="132" t="n">
        <f aca="false">SUM(E54-D54)/E54</f>
        <v>0.406666666666667</v>
      </c>
    </row>
    <row r="55" customFormat="false" ht="15" hidden="false" customHeight="false" outlineLevel="0" collapsed="false">
      <c r="A55" s="22" t="s">
        <v>51</v>
      </c>
      <c r="B55" s="23" t="s">
        <v>75</v>
      </c>
      <c r="C55" s="24" t="s">
        <v>56</v>
      </c>
      <c r="D55" s="70" t="n">
        <f aca="false">368.3/24</f>
        <v>15.3458333333333</v>
      </c>
      <c r="E55" s="70" t="n">
        <v>28</v>
      </c>
      <c r="F55" s="132" t="n">
        <f aca="false">SUM(E55-D55)/E55</f>
        <v>0.451934523809524</v>
      </c>
    </row>
    <row r="56" customFormat="false" ht="15" hidden="false" customHeight="false" outlineLevel="0" collapsed="false">
      <c r="A56" s="22" t="s">
        <v>51</v>
      </c>
      <c r="B56" s="23" t="s">
        <v>76</v>
      </c>
      <c r="C56" s="24" t="s">
        <v>31</v>
      </c>
      <c r="D56" s="70" t="n">
        <f aca="false">60/30</f>
        <v>2</v>
      </c>
      <c r="E56" s="70" t="n">
        <v>5</v>
      </c>
      <c r="F56" s="132" t="n">
        <f aca="false">SUM(E56-D56)/E56</f>
        <v>0.6</v>
      </c>
    </row>
    <row r="57" customFormat="false" ht="15" hidden="false" customHeight="false" outlineLevel="0" collapsed="false">
      <c r="A57" s="22" t="s">
        <v>51</v>
      </c>
      <c r="B57" s="23" t="s">
        <v>241</v>
      </c>
      <c r="C57" s="24" t="s">
        <v>31</v>
      </c>
      <c r="D57" s="70" t="n">
        <f aca="false">60/30</f>
        <v>2</v>
      </c>
      <c r="E57" s="70" t="n">
        <v>5</v>
      </c>
      <c r="F57" s="132" t="n">
        <f aca="false">SUM(E57-D57)/E57</f>
        <v>0.6</v>
      </c>
    </row>
    <row r="58" customFormat="false" ht="15" hidden="false" customHeight="false" outlineLevel="0" collapsed="false">
      <c r="A58" s="22" t="s">
        <v>51</v>
      </c>
      <c r="B58" s="23" t="s">
        <v>78</v>
      </c>
      <c r="C58" s="24" t="s">
        <v>31</v>
      </c>
      <c r="D58" s="70" t="n">
        <f aca="false">60/30</f>
        <v>2</v>
      </c>
      <c r="E58" s="70" t="n">
        <v>5</v>
      </c>
      <c r="F58" s="132" t="n">
        <f aca="false">SUM(E58-D58)/E58</f>
        <v>0.6</v>
      </c>
    </row>
    <row r="59" customFormat="false" ht="15" hidden="false" customHeight="false" outlineLevel="0" collapsed="false">
      <c r="A59" s="22" t="s">
        <v>51</v>
      </c>
      <c r="B59" s="23" t="s">
        <v>79</v>
      </c>
      <c r="C59" s="24" t="s">
        <v>240</v>
      </c>
      <c r="D59" s="70" t="n">
        <f aca="false">180/12</f>
        <v>15</v>
      </c>
      <c r="E59" s="70" t="n">
        <v>40</v>
      </c>
      <c r="F59" s="132" t="n">
        <f aca="false">SUM(E59-D59)/E59</f>
        <v>0.625</v>
      </c>
    </row>
    <row r="60" customFormat="false" ht="15" hidden="false" customHeight="false" outlineLevel="0" collapsed="false">
      <c r="A60" s="22" t="s">
        <v>51</v>
      </c>
      <c r="B60" s="23" t="s">
        <v>80</v>
      </c>
      <c r="C60" s="24" t="s">
        <v>240</v>
      </c>
      <c r="D60" s="70" t="n">
        <f aca="false">180/12</f>
        <v>15</v>
      </c>
      <c r="E60" s="70" t="n">
        <v>40</v>
      </c>
      <c r="F60" s="132" t="n">
        <f aca="false">SUM(E60-D60)/E60</f>
        <v>0.625</v>
      </c>
    </row>
    <row r="61" customFormat="false" ht="15" hidden="false" customHeight="false" outlineLevel="0" collapsed="false">
      <c r="A61" s="22" t="s">
        <v>51</v>
      </c>
      <c r="B61" s="23" t="s">
        <v>242</v>
      </c>
      <c r="C61" s="24" t="s">
        <v>243</v>
      </c>
      <c r="D61" s="70" t="n">
        <f aca="false">45/6</f>
        <v>7.5</v>
      </c>
      <c r="E61" s="70" t="n">
        <v>10</v>
      </c>
      <c r="F61" s="132" t="n">
        <f aca="false">SUM(E61-D61)/E61</f>
        <v>0.25</v>
      </c>
    </row>
    <row r="62" customFormat="false" ht="15" hidden="false" customHeight="false" outlineLevel="0" collapsed="false">
      <c r="A62" s="22" t="s">
        <v>51</v>
      </c>
      <c r="B62" s="23" t="s">
        <v>82</v>
      </c>
      <c r="C62" s="24" t="s">
        <v>240</v>
      </c>
      <c r="D62" s="70" t="n">
        <f aca="false">180/12</f>
        <v>15</v>
      </c>
      <c r="E62" s="70" t="n">
        <v>40</v>
      </c>
      <c r="F62" s="132" t="n">
        <f aca="false">SUM(E62-D62)/E62</f>
        <v>0.625</v>
      </c>
    </row>
    <row r="63" customFormat="false" ht="15" hidden="false" customHeight="false" outlineLevel="0" collapsed="false">
      <c r="A63" s="22" t="s">
        <v>51</v>
      </c>
      <c r="B63" s="23" t="s">
        <v>83</v>
      </c>
      <c r="C63" s="24" t="s">
        <v>202</v>
      </c>
      <c r="D63" s="70" t="n">
        <v>6.5</v>
      </c>
      <c r="E63" s="70" t="n">
        <v>15</v>
      </c>
      <c r="F63" s="132" t="n">
        <f aca="false">SUM(E63-D63)/E63</f>
        <v>0.566666666666667</v>
      </c>
    </row>
    <row r="64" customFormat="false" ht="15" hidden="false" customHeight="false" outlineLevel="0" collapsed="false">
      <c r="A64" s="22" t="s">
        <v>51</v>
      </c>
      <c r="B64" s="23" t="s">
        <v>84</v>
      </c>
      <c r="C64" s="24" t="s">
        <v>58</v>
      </c>
      <c r="D64" s="70" t="n">
        <f aca="false">256.5/24</f>
        <v>10.6875</v>
      </c>
      <c r="E64" s="70" t="n">
        <v>15</v>
      </c>
      <c r="F64" s="132" t="n">
        <f aca="false">SUM(E64-D64)/E64</f>
        <v>0.2875</v>
      </c>
    </row>
    <row r="65" customFormat="false" ht="15" hidden="false" customHeight="false" outlineLevel="0" collapsed="false">
      <c r="A65" s="22" t="s">
        <v>51</v>
      </c>
      <c r="B65" s="23" t="s">
        <v>85</v>
      </c>
      <c r="C65" s="24" t="s">
        <v>62</v>
      </c>
      <c r="D65" s="70" t="n">
        <f aca="false">256.5/24</f>
        <v>10.6875</v>
      </c>
      <c r="E65" s="70" t="n">
        <v>15</v>
      </c>
      <c r="F65" s="132" t="n">
        <f aca="false">SUM(E65-D65)/E65</f>
        <v>0.2875</v>
      </c>
    </row>
    <row r="66" customFormat="false" ht="15" hidden="false" customHeight="false" outlineLevel="0" collapsed="false">
      <c r="A66" s="22" t="s">
        <v>51</v>
      </c>
      <c r="B66" s="23" t="s">
        <v>86</v>
      </c>
      <c r="C66" s="24" t="s">
        <v>202</v>
      </c>
      <c r="D66" s="70" t="n">
        <v>5</v>
      </c>
      <c r="E66" s="70" t="n">
        <v>15</v>
      </c>
      <c r="F66" s="132" t="n">
        <f aca="false">SUM(E66-D66)/E66</f>
        <v>0.666666666666667</v>
      </c>
    </row>
    <row r="67" customFormat="false" ht="15" hidden="false" customHeight="false" outlineLevel="0" collapsed="false">
      <c r="A67" s="22" t="s">
        <v>51</v>
      </c>
      <c r="B67" s="31" t="s">
        <v>87</v>
      </c>
      <c r="C67" s="24" t="s">
        <v>58</v>
      </c>
      <c r="D67" s="70" t="n">
        <f aca="false">256.5/24</f>
        <v>10.6875</v>
      </c>
      <c r="E67" s="70" t="n">
        <v>15</v>
      </c>
      <c r="F67" s="132" t="n">
        <f aca="false">SUM(E67-D67)/E67</f>
        <v>0.2875</v>
      </c>
    </row>
    <row r="68" customFormat="false" ht="15" hidden="false" customHeight="false" outlineLevel="0" collapsed="false">
      <c r="A68" s="22" t="s">
        <v>51</v>
      </c>
      <c r="B68" s="31" t="s">
        <v>88</v>
      </c>
      <c r="C68" s="24" t="s">
        <v>58</v>
      </c>
      <c r="D68" s="70" t="n">
        <f aca="false">256.5/24</f>
        <v>10.6875</v>
      </c>
      <c r="E68" s="70" t="n">
        <v>15</v>
      </c>
      <c r="F68" s="132" t="n">
        <f aca="false">SUM(E68-D68)/E68</f>
        <v>0.2875</v>
      </c>
    </row>
    <row r="69" customFormat="false" ht="15" hidden="false" customHeight="false" outlineLevel="0" collapsed="false">
      <c r="A69" s="22" t="s">
        <v>51</v>
      </c>
      <c r="B69" s="23" t="s">
        <v>89</v>
      </c>
      <c r="C69" s="24" t="s">
        <v>58</v>
      </c>
      <c r="D69" s="70" t="n">
        <f aca="false">256.5/24</f>
        <v>10.6875</v>
      </c>
      <c r="E69" s="70" t="n">
        <v>15</v>
      </c>
      <c r="F69" s="132" t="n">
        <f aca="false">SUM(E69-D69)/E69</f>
        <v>0.2875</v>
      </c>
    </row>
    <row r="70" customFormat="false" ht="15" hidden="false" customHeight="false" outlineLevel="0" collapsed="false">
      <c r="A70" s="41"/>
      <c r="B70" s="42"/>
      <c r="C70" s="50"/>
      <c r="D70" s="135"/>
      <c r="E70" s="135"/>
      <c r="F70" s="132"/>
    </row>
    <row r="71" customFormat="false" ht="15" hidden="false" customHeight="false" outlineLevel="0" collapsed="false">
      <c r="A71" s="58" t="s">
        <v>90</v>
      </c>
      <c r="B71" s="59" t="s">
        <v>244</v>
      </c>
      <c r="C71" s="37" t="s">
        <v>31</v>
      </c>
      <c r="D71" s="102" t="n">
        <f aca="false">295/30</f>
        <v>9.83333333333333</v>
      </c>
      <c r="E71" s="102" t="n">
        <v>35</v>
      </c>
      <c r="F71" s="132" t="n">
        <f aca="false">SUM(E71-D71)/E71</f>
        <v>0.719047619047619</v>
      </c>
    </row>
    <row r="72" customFormat="false" ht="15" hidden="false" customHeight="false" outlineLevel="0" collapsed="false">
      <c r="A72" s="58"/>
      <c r="B72" s="59"/>
      <c r="C72" s="54"/>
      <c r="D72" s="135"/>
      <c r="E72" s="135"/>
      <c r="F72" s="132"/>
    </row>
    <row r="73" customFormat="false" ht="15" hidden="false" customHeight="false" outlineLevel="0" collapsed="false">
      <c r="A73" s="35" t="s">
        <v>92</v>
      </c>
      <c r="B73" s="36" t="s">
        <v>93</v>
      </c>
      <c r="C73" s="136" t="s">
        <v>27</v>
      </c>
      <c r="D73" s="137" t="n">
        <v>70</v>
      </c>
      <c r="E73" s="98" t="n">
        <v>140</v>
      </c>
      <c r="F73" s="132" t="n">
        <f aca="false">SUM(E73-D73)/E73</f>
        <v>0.5</v>
      </c>
    </row>
    <row r="74" customFormat="false" ht="15" hidden="false" customHeight="false" outlineLevel="0" collapsed="false">
      <c r="A74" s="58" t="s">
        <v>92</v>
      </c>
      <c r="B74" s="59" t="s">
        <v>245</v>
      </c>
      <c r="C74" s="138" t="s">
        <v>27</v>
      </c>
      <c r="D74" s="111" t="n">
        <v>82</v>
      </c>
      <c r="E74" s="70" t="n">
        <v>160</v>
      </c>
      <c r="F74" s="132" t="n">
        <f aca="false">SUM(E74-D74)/E74</f>
        <v>0.4875</v>
      </c>
    </row>
    <row r="75" customFormat="false" ht="15" hidden="false" customHeight="false" outlineLevel="0" collapsed="false">
      <c r="A75" s="58" t="s">
        <v>92</v>
      </c>
      <c r="B75" s="59" t="s">
        <v>95</v>
      </c>
      <c r="C75" s="138" t="s">
        <v>27</v>
      </c>
      <c r="D75" s="111" t="n">
        <v>60</v>
      </c>
      <c r="E75" s="70" t="n">
        <v>140</v>
      </c>
      <c r="F75" s="132" t="n">
        <f aca="false">SUM(E75-D75)/E75</f>
        <v>0.571428571428571</v>
      </c>
    </row>
    <row r="76" customFormat="false" ht="15" hidden="false" customHeight="false" outlineLevel="0" collapsed="false">
      <c r="A76" s="58" t="s">
        <v>92</v>
      </c>
      <c r="B76" s="59" t="s">
        <v>246</v>
      </c>
      <c r="C76" s="138" t="s">
        <v>27</v>
      </c>
      <c r="D76" s="111" t="n">
        <v>80</v>
      </c>
      <c r="E76" s="70" t="n">
        <v>160</v>
      </c>
      <c r="F76" s="132" t="n">
        <f aca="false">SUM(E76-D76)/E76</f>
        <v>0.5</v>
      </c>
    </row>
    <row r="77" customFormat="false" ht="15" hidden="false" customHeight="false" outlineLevel="0" collapsed="false">
      <c r="A77" s="58" t="s">
        <v>92</v>
      </c>
      <c r="B77" s="59" t="s">
        <v>247</v>
      </c>
      <c r="C77" s="138" t="s">
        <v>27</v>
      </c>
      <c r="D77" s="111" t="n">
        <v>80</v>
      </c>
      <c r="E77" s="70" t="n">
        <v>160</v>
      </c>
      <c r="F77" s="132" t="n">
        <f aca="false">SUM(E77-D77)/E77</f>
        <v>0.5</v>
      </c>
    </row>
    <row r="78" customFormat="false" ht="15" hidden="false" customHeight="false" outlineLevel="0" collapsed="false">
      <c r="A78" s="58" t="s">
        <v>92</v>
      </c>
      <c r="B78" s="59" t="s">
        <v>248</v>
      </c>
      <c r="C78" s="138" t="s">
        <v>27</v>
      </c>
      <c r="D78" s="111" t="n">
        <v>125</v>
      </c>
      <c r="E78" s="70" t="n">
        <v>220</v>
      </c>
      <c r="F78" s="132" t="n">
        <f aca="false">SUM(E78-D78)/E78</f>
        <v>0.431818181818182</v>
      </c>
    </row>
    <row r="79" customFormat="false" ht="15" hidden="false" customHeight="false" outlineLevel="0" collapsed="false">
      <c r="A79" s="58" t="s">
        <v>92</v>
      </c>
      <c r="B79" s="59" t="s">
        <v>99</v>
      </c>
      <c r="C79" s="138" t="s">
        <v>27</v>
      </c>
      <c r="D79" s="111" t="n">
        <v>105</v>
      </c>
      <c r="E79" s="70" t="n">
        <v>200</v>
      </c>
      <c r="F79" s="132" t="n">
        <f aca="false">SUM(E79-D79)/E79</f>
        <v>0.475</v>
      </c>
    </row>
    <row r="80" customFormat="false" ht="15" hidden="false" customHeight="false" outlineLevel="0" collapsed="false">
      <c r="A80" s="58" t="s">
        <v>92</v>
      </c>
      <c r="B80" s="59" t="s">
        <v>249</v>
      </c>
      <c r="C80" s="138" t="s">
        <v>27</v>
      </c>
      <c r="D80" s="111" t="n">
        <v>89</v>
      </c>
      <c r="E80" s="70" t="n">
        <v>180</v>
      </c>
      <c r="F80" s="132" t="n">
        <f aca="false">SUM(E80-D80)/E80</f>
        <v>0.505555555555556</v>
      </c>
    </row>
    <row r="81" customFormat="false" ht="15" hidden="false" customHeight="false" outlineLevel="0" collapsed="false">
      <c r="A81" s="22" t="s">
        <v>92</v>
      </c>
      <c r="B81" s="23" t="s">
        <v>100</v>
      </c>
      <c r="C81" s="138" t="s">
        <v>27</v>
      </c>
      <c r="D81" s="111" t="n">
        <v>120</v>
      </c>
      <c r="E81" s="70" t="n">
        <v>240</v>
      </c>
      <c r="F81" s="132" t="n">
        <f aca="false">SUM(E81-D81)/E81</f>
        <v>0.5</v>
      </c>
    </row>
    <row r="82" customFormat="false" ht="15" hidden="false" customHeight="false" outlineLevel="0" collapsed="false">
      <c r="A82" s="58"/>
      <c r="B82" s="95"/>
      <c r="C82" s="139"/>
      <c r="D82" s="140"/>
      <c r="E82" s="135"/>
      <c r="F82" s="132"/>
    </row>
    <row r="83" customFormat="false" ht="15" hidden="false" customHeight="false" outlineLevel="0" collapsed="false">
      <c r="A83" s="35" t="s">
        <v>101</v>
      </c>
      <c r="B83" s="59" t="s">
        <v>102</v>
      </c>
      <c r="C83" s="54" t="s">
        <v>31</v>
      </c>
      <c r="D83" s="98" t="n">
        <f aca="false">190/30</f>
        <v>6.33333333333333</v>
      </c>
      <c r="E83" s="98" t="n">
        <v>15</v>
      </c>
      <c r="F83" s="132" t="n">
        <f aca="false">SUM(E83-D83)/E83</f>
        <v>0.577777777777778</v>
      </c>
    </row>
    <row r="84" customFormat="false" ht="15" hidden="false" customHeight="false" outlineLevel="0" collapsed="false">
      <c r="A84" s="22" t="s">
        <v>101</v>
      </c>
      <c r="B84" s="23" t="s">
        <v>103</v>
      </c>
      <c r="C84" s="24" t="s">
        <v>31</v>
      </c>
      <c r="D84" s="70" t="n">
        <f aca="false">178/30</f>
        <v>5.93333333333333</v>
      </c>
      <c r="E84" s="70" t="n">
        <v>15</v>
      </c>
      <c r="F84" s="132" t="n">
        <f aca="false">SUM(E84-D84)/E84</f>
        <v>0.604444444444445</v>
      </c>
    </row>
    <row r="85" customFormat="false" ht="15" hidden="false" customHeight="false" outlineLevel="0" collapsed="false">
      <c r="A85" s="41"/>
      <c r="B85" s="42"/>
      <c r="C85" s="43" t="s">
        <v>31</v>
      </c>
      <c r="D85" s="53"/>
      <c r="E85" s="53"/>
      <c r="F85" s="132"/>
    </row>
    <row r="86" customFormat="false" ht="15" hidden="false" customHeight="false" outlineLevel="0" collapsed="false">
      <c r="A86" s="35" t="s">
        <v>105</v>
      </c>
      <c r="B86" s="36" t="s">
        <v>106</v>
      </c>
      <c r="C86" s="54" t="s">
        <v>31</v>
      </c>
      <c r="D86" s="98" t="n">
        <f aca="false">185/30</f>
        <v>6.16666666666667</v>
      </c>
      <c r="E86" s="98" t="n">
        <v>20</v>
      </c>
      <c r="F86" s="132" t="n">
        <f aca="false">SUM(E86-D86)/E86</f>
        <v>0.691666666666667</v>
      </c>
    </row>
    <row r="87" customFormat="false" ht="15" hidden="false" customHeight="false" outlineLevel="0" collapsed="false">
      <c r="A87" s="58" t="s">
        <v>105</v>
      </c>
      <c r="B87" s="59" t="s">
        <v>107</v>
      </c>
      <c r="C87" s="54" t="s">
        <v>31</v>
      </c>
      <c r="D87" s="70" t="n">
        <f aca="false">299/30</f>
        <v>9.96666666666667</v>
      </c>
      <c r="E87" s="70" t="n">
        <v>20</v>
      </c>
      <c r="F87" s="132" t="n">
        <f aca="false">SUM(E87-D87)/E87</f>
        <v>0.501666666666667</v>
      </c>
    </row>
    <row r="88" customFormat="false" ht="15" hidden="false" customHeight="false" outlineLevel="0" collapsed="false">
      <c r="A88" s="22" t="s">
        <v>105</v>
      </c>
      <c r="B88" s="23" t="s">
        <v>109</v>
      </c>
      <c r="C88" s="24" t="s">
        <v>31</v>
      </c>
      <c r="D88" s="70" t="n">
        <f aca="false">175/30</f>
        <v>5.83333333333333</v>
      </c>
      <c r="E88" s="70" t="n">
        <v>15</v>
      </c>
      <c r="F88" s="132" t="n">
        <f aca="false">SUM(E88-D88)/E88</f>
        <v>0.611111111111111</v>
      </c>
    </row>
    <row r="89" customFormat="false" ht="15" hidden="false" customHeight="false" outlineLevel="0" collapsed="false">
      <c r="A89" s="22" t="s">
        <v>105</v>
      </c>
      <c r="B89" s="23" t="s">
        <v>110</v>
      </c>
      <c r="C89" s="24" t="s">
        <v>31</v>
      </c>
      <c r="D89" s="70" t="n">
        <f aca="false">169/30</f>
        <v>5.63333333333333</v>
      </c>
      <c r="E89" s="70" t="n">
        <v>10</v>
      </c>
      <c r="F89" s="132" t="n">
        <f aca="false">SUM(E89-D89)/E89</f>
        <v>0.436666666666667</v>
      </c>
    </row>
    <row r="90" customFormat="false" ht="15" hidden="false" customHeight="false" outlineLevel="0" collapsed="false">
      <c r="A90" s="22" t="s">
        <v>105</v>
      </c>
      <c r="B90" s="23" t="s">
        <v>111</v>
      </c>
      <c r="C90" s="24" t="s">
        <v>31</v>
      </c>
      <c r="D90" s="70" t="n">
        <f aca="false">320/30</f>
        <v>10.6666666666667</v>
      </c>
      <c r="E90" s="70" t="n">
        <v>20</v>
      </c>
      <c r="F90" s="132" t="n">
        <f aca="false">SUM(E90-D90)/E90</f>
        <v>0.466666666666667</v>
      </c>
    </row>
    <row r="91" customFormat="false" ht="15" hidden="false" customHeight="false" outlineLevel="0" collapsed="false">
      <c r="A91" s="22" t="s">
        <v>105</v>
      </c>
      <c r="B91" s="23" t="s">
        <v>112</v>
      </c>
      <c r="C91" s="24" t="s">
        <v>31</v>
      </c>
      <c r="D91" s="70" t="n">
        <f aca="false">150/30</f>
        <v>5</v>
      </c>
      <c r="E91" s="70" t="n">
        <v>10</v>
      </c>
      <c r="F91" s="132" t="n">
        <f aca="false">SUM(E91-D91)/E91</f>
        <v>0.5</v>
      </c>
    </row>
    <row r="92" customFormat="false" ht="15" hidden="false" customHeight="false" outlineLevel="0" collapsed="false">
      <c r="A92" s="22" t="s">
        <v>105</v>
      </c>
      <c r="B92" s="23" t="s">
        <v>113</v>
      </c>
      <c r="C92" s="24" t="s">
        <v>31</v>
      </c>
      <c r="D92" s="70" t="n">
        <f aca="false">300/30</f>
        <v>10</v>
      </c>
      <c r="E92" s="70" t="n">
        <v>20</v>
      </c>
      <c r="F92" s="132" t="n">
        <f aca="false">SUM(E92-D92)/E92</f>
        <v>0.5</v>
      </c>
    </row>
    <row r="93" customFormat="false" ht="15" hidden="false" customHeight="false" outlineLevel="0" collapsed="false">
      <c r="A93" s="22" t="s">
        <v>105</v>
      </c>
      <c r="B93" s="23" t="s">
        <v>114</v>
      </c>
      <c r="C93" s="24" t="s">
        <v>31</v>
      </c>
      <c r="D93" s="70" t="n">
        <f aca="false">100/30</f>
        <v>3.33333333333333</v>
      </c>
      <c r="E93" s="70" t="n">
        <v>10</v>
      </c>
      <c r="F93" s="132" t="n">
        <f aca="false">SUM(E93-D93)/E93</f>
        <v>0.666666666666667</v>
      </c>
    </row>
    <row r="94" customFormat="false" ht="15" hidden="false" customHeight="false" outlineLevel="0" collapsed="false">
      <c r="A94" s="134"/>
      <c r="B94" s="95"/>
      <c r="C94" s="100"/>
      <c r="D94" s="135"/>
      <c r="E94" s="135"/>
      <c r="F94" s="132"/>
    </row>
    <row r="95" customFormat="false" ht="15" hidden="false" customHeight="false" outlineLevel="0" collapsed="false">
      <c r="A95" s="22" t="s">
        <v>115</v>
      </c>
      <c r="B95" s="23" t="s">
        <v>119</v>
      </c>
      <c r="C95" s="66" t="s">
        <v>117</v>
      </c>
      <c r="D95" s="137" t="n">
        <v>95</v>
      </c>
      <c r="E95" s="98" t="n">
        <v>180</v>
      </c>
      <c r="F95" s="132" t="n">
        <f aca="false">SUM(E95-D95)/E95</f>
        <v>0.472222222222222</v>
      </c>
    </row>
    <row r="96" customFormat="false" ht="15" hidden="false" customHeight="false" outlineLevel="0" collapsed="false">
      <c r="A96" s="22" t="s">
        <v>115</v>
      </c>
      <c r="B96" s="31" t="s">
        <v>250</v>
      </c>
      <c r="C96" s="141" t="s">
        <v>53</v>
      </c>
      <c r="D96" s="111" t="n">
        <f aca="false">329/24</f>
        <v>13.7083333333333</v>
      </c>
      <c r="E96" s="70" t="n">
        <v>30</v>
      </c>
      <c r="F96" s="132" t="n">
        <f aca="false">SUM(E96-D96)/E96</f>
        <v>0.543055555555556</v>
      </c>
    </row>
    <row r="97" customFormat="false" ht="15" hidden="false" customHeight="false" outlineLevel="0" collapsed="false">
      <c r="A97" s="22" t="s">
        <v>115</v>
      </c>
      <c r="B97" s="31" t="s">
        <v>251</v>
      </c>
      <c r="C97" s="141" t="s">
        <v>117</v>
      </c>
      <c r="D97" s="111" t="n">
        <v>110</v>
      </c>
      <c r="E97" s="70" t="n">
        <v>200</v>
      </c>
      <c r="F97" s="132" t="n">
        <f aca="false">SUM(E97-D97)/E97</f>
        <v>0.45</v>
      </c>
    </row>
    <row r="98" customFormat="false" ht="15" hidden="false" customHeight="false" outlineLevel="0" collapsed="false">
      <c r="A98" s="41"/>
      <c r="B98" s="42"/>
      <c r="C98" s="68"/>
      <c r="D98" s="142"/>
      <c r="E98" s="53"/>
      <c r="F98" s="132"/>
    </row>
    <row r="99" customFormat="false" ht="15" hidden="false" customHeight="false" outlineLevel="0" collapsed="false">
      <c r="A99" s="58" t="s">
        <v>121</v>
      </c>
      <c r="B99" s="59" t="s">
        <v>122</v>
      </c>
      <c r="C99" s="54" t="s">
        <v>31</v>
      </c>
      <c r="D99" s="98" t="n">
        <f aca="false">220/30</f>
        <v>7.33333333333333</v>
      </c>
      <c r="E99" s="98" t="n">
        <v>15</v>
      </c>
      <c r="F99" s="132" t="n">
        <f aca="false">SUM(E99-D99)/E99</f>
        <v>0.511111111111111</v>
      </c>
    </row>
    <row r="100" customFormat="false" ht="15" hidden="false" customHeight="false" outlineLevel="0" collapsed="false">
      <c r="A100" s="58" t="s">
        <v>121</v>
      </c>
      <c r="B100" s="59" t="s">
        <v>123</v>
      </c>
      <c r="C100" s="52" t="s">
        <v>31</v>
      </c>
      <c r="D100" s="70" t="n">
        <f aca="false">450/30</f>
        <v>15</v>
      </c>
      <c r="E100" s="70" t="n">
        <v>30</v>
      </c>
      <c r="F100" s="132" t="n">
        <f aca="false">SUM(E100-D100)/E100</f>
        <v>0.5</v>
      </c>
    </row>
    <row r="101" customFormat="false" ht="15" hidden="false" customHeight="false" outlineLevel="0" collapsed="false">
      <c r="A101" s="22" t="s">
        <v>121</v>
      </c>
      <c r="B101" s="23" t="s">
        <v>124</v>
      </c>
      <c r="C101" s="24" t="s">
        <v>31</v>
      </c>
      <c r="D101" s="70" t="n">
        <f aca="false">395/30</f>
        <v>13.1666666666667</v>
      </c>
      <c r="E101" s="70" t="n">
        <v>25</v>
      </c>
      <c r="F101" s="132" t="n">
        <f aca="false">SUM(E101-D101)/E101</f>
        <v>0.473333333333333</v>
      </c>
    </row>
    <row r="102" customFormat="false" ht="15" hidden="false" customHeight="false" outlineLevel="0" collapsed="false">
      <c r="A102" s="58"/>
      <c r="B102" s="59"/>
      <c r="C102" s="43"/>
      <c r="D102" s="53"/>
      <c r="E102" s="53"/>
      <c r="F102" s="132"/>
    </row>
    <row r="103" customFormat="false" ht="15" hidden="false" customHeight="false" outlineLevel="0" collapsed="false">
      <c r="A103" s="35" t="s">
        <v>125</v>
      </c>
      <c r="B103" s="36" t="s">
        <v>126</v>
      </c>
      <c r="C103" s="54" t="s">
        <v>31</v>
      </c>
      <c r="D103" s="98" t="n">
        <f aca="false">160/30</f>
        <v>5.33333333333333</v>
      </c>
      <c r="E103" s="98" t="n">
        <v>15</v>
      </c>
      <c r="F103" s="132" t="n">
        <f aca="false">SUM(E103-D103)/E103</f>
        <v>0.644444444444445</v>
      </c>
    </row>
    <row r="104" customFormat="false" ht="15" hidden="false" customHeight="false" outlineLevel="0" collapsed="false">
      <c r="A104" s="22" t="s">
        <v>125</v>
      </c>
      <c r="B104" s="23" t="s">
        <v>127</v>
      </c>
      <c r="C104" s="24" t="s">
        <v>31</v>
      </c>
      <c r="D104" s="70" t="n">
        <f aca="false">190/30</f>
        <v>6.33333333333333</v>
      </c>
      <c r="E104" s="70" t="n">
        <v>15</v>
      </c>
      <c r="F104" s="132" t="n">
        <f aca="false">SUM(E104-D104)/E104</f>
        <v>0.577777777777778</v>
      </c>
    </row>
    <row r="105" customFormat="false" ht="15" hidden="false" customHeight="false" outlineLevel="0" collapsed="false">
      <c r="A105" s="22" t="s">
        <v>125</v>
      </c>
      <c r="B105" s="31" t="s">
        <v>252</v>
      </c>
      <c r="C105" s="24" t="s">
        <v>31</v>
      </c>
      <c r="D105" s="70" t="n">
        <f aca="false">330/30</f>
        <v>11</v>
      </c>
      <c r="E105" s="70" t="n">
        <v>20</v>
      </c>
      <c r="F105" s="132" t="n">
        <f aca="false">SUM(E105-D105)/E105</f>
        <v>0.45</v>
      </c>
    </row>
    <row r="106" customFormat="false" ht="15" hidden="false" customHeight="false" outlineLevel="0" collapsed="false">
      <c r="A106" s="22" t="s">
        <v>125</v>
      </c>
      <c r="B106" s="31" t="s">
        <v>253</v>
      </c>
      <c r="C106" s="24" t="s">
        <v>31</v>
      </c>
      <c r="D106" s="70" t="n">
        <f aca="false">129/30</f>
        <v>4.3</v>
      </c>
      <c r="E106" s="70" t="n">
        <v>15</v>
      </c>
      <c r="F106" s="132" t="n">
        <f aca="false">SUM(E106-D106)/E106</f>
        <v>0.713333333333333</v>
      </c>
    </row>
    <row r="107" customFormat="false" ht="15" hidden="false" customHeight="false" outlineLevel="0" collapsed="false">
      <c r="A107" s="22" t="s">
        <v>125</v>
      </c>
      <c r="B107" s="31" t="s">
        <v>254</v>
      </c>
      <c r="C107" s="24" t="s">
        <v>31</v>
      </c>
      <c r="D107" s="70" t="n">
        <f aca="false">129/30</f>
        <v>4.3</v>
      </c>
      <c r="E107" s="70" t="n">
        <v>15</v>
      </c>
      <c r="F107" s="132" t="n">
        <f aca="false">SUM(E107-D107)/E107</f>
        <v>0.713333333333333</v>
      </c>
    </row>
    <row r="108" customFormat="false" ht="15" hidden="false" customHeight="false" outlineLevel="0" collapsed="false">
      <c r="A108" s="22" t="s">
        <v>125</v>
      </c>
      <c r="B108" s="23" t="s">
        <v>130</v>
      </c>
      <c r="C108" s="24" t="s">
        <v>31</v>
      </c>
      <c r="D108" s="70" t="n">
        <f aca="false">175/30</f>
        <v>5.83333333333333</v>
      </c>
      <c r="E108" s="70" t="n">
        <v>15</v>
      </c>
      <c r="F108" s="132" t="n">
        <f aca="false">SUM(E108-D108)/E108</f>
        <v>0.611111111111111</v>
      </c>
    </row>
    <row r="109" customFormat="false" ht="15" hidden="false" customHeight="false" outlineLevel="0" collapsed="false">
      <c r="A109" s="58"/>
      <c r="B109" s="73"/>
      <c r="C109" s="43"/>
      <c r="D109" s="53"/>
      <c r="E109" s="53"/>
      <c r="F109" s="132"/>
    </row>
    <row r="110" customFormat="false" ht="15" hidden="false" customHeight="false" outlineLevel="0" collapsed="false">
      <c r="A110" s="35" t="s">
        <v>131</v>
      </c>
      <c r="B110" s="36" t="s">
        <v>255</v>
      </c>
      <c r="C110" s="54" t="s">
        <v>27</v>
      </c>
      <c r="D110" s="98" t="n">
        <v>73</v>
      </c>
      <c r="E110" s="98" t="n">
        <v>140</v>
      </c>
      <c r="F110" s="132" t="n">
        <f aca="false">SUM(E110-D110)/E110</f>
        <v>0.478571428571429</v>
      </c>
    </row>
    <row r="111" customFormat="false" ht="15" hidden="false" customHeight="false" outlineLevel="0" collapsed="false">
      <c r="A111" s="72" t="s">
        <v>131</v>
      </c>
      <c r="B111" s="73" t="s">
        <v>133</v>
      </c>
      <c r="C111" s="51" t="s">
        <v>27</v>
      </c>
      <c r="D111" s="70" t="n">
        <v>69</v>
      </c>
      <c r="E111" s="70" t="n">
        <v>140</v>
      </c>
      <c r="F111" s="132" t="n">
        <f aca="false">SUM(E111-D111)/E111</f>
        <v>0.507142857142857</v>
      </c>
    </row>
    <row r="112" customFormat="false" ht="15" hidden="false" customHeight="false" outlineLevel="0" collapsed="false">
      <c r="A112" s="22" t="s">
        <v>131</v>
      </c>
      <c r="B112" s="23" t="s">
        <v>256</v>
      </c>
      <c r="C112" s="24" t="s">
        <v>27</v>
      </c>
      <c r="D112" s="70" t="n">
        <v>96</v>
      </c>
      <c r="E112" s="70" t="n">
        <v>190</v>
      </c>
      <c r="F112" s="132" t="n">
        <f aca="false">SUM(E112-D112)/E112</f>
        <v>0.494736842105263</v>
      </c>
    </row>
    <row r="113" customFormat="false" ht="15" hidden="false" customHeight="false" outlineLevel="0" collapsed="false">
      <c r="A113" s="58" t="s">
        <v>135</v>
      </c>
      <c r="B113" s="23" t="s">
        <v>257</v>
      </c>
      <c r="C113" s="24" t="s">
        <v>27</v>
      </c>
      <c r="D113" s="70" t="n">
        <v>68</v>
      </c>
      <c r="E113" s="70" t="n">
        <v>140</v>
      </c>
      <c r="F113" s="132" t="n">
        <f aca="false">SUM(E113-D113)/E113</f>
        <v>0.514285714285714</v>
      </c>
    </row>
    <row r="114" customFormat="false" ht="15" hidden="false" customHeight="false" outlineLevel="0" collapsed="false">
      <c r="A114" s="58" t="s">
        <v>131</v>
      </c>
      <c r="B114" s="23" t="s">
        <v>258</v>
      </c>
      <c r="C114" s="77" t="s">
        <v>27</v>
      </c>
      <c r="D114" s="133" t="n">
        <v>69</v>
      </c>
      <c r="E114" s="70" t="n">
        <v>160</v>
      </c>
      <c r="F114" s="132" t="n">
        <f aca="false">SUM(E114-D114)/E114</f>
        <v>0.56875</v>
      </c>
      <c r="G114" s="2" t="s">
        <v>259</v>
      </c>
    </row>
    <row r="115" customFormat="false" ht="15" hidden="false" customHeight="false" outlineLevel="0" collapsed="false">
      <c r="A115" s="58" t="s">
        <v>131</v>
      </c>
      <c r="B115" s="23" t="s">
        <v>139</v>
      </c>
      <c r="C115" s="77" t="s">
        <v>27</v>
      </c>
      <c r="D115" s="70" t="n">
        <v>80</v>
      </c>
      <c r="E115" s="70" t="n">
        <v>160</v>
      </c>
      <c r="F115" s="132" t="n">
        <f aca="false">SUM(E115-D115)/E115</f>
        <v>0.5</v>
      </c>
    </row>
    <row r="116" customFormat="false" ht="15" hidden="false" customHeight="false" outlineLevel="0" collapsed="false">
      <c r="A116" s="58" t="s">
        <v>131</v>
      </c>
      <c r="B116" s="23" t="s">
        <v>140</v>
      </c>
      <c r="C116" s="77" t="s">
        <v>27</v>
      </c>
      <c r="D116" s="70" t="n">
        <v>69</v>
      </c>
      <c r="E116" s="70" t="n">
        <v>140</v>
      </c>
      <c r="F116" s="132" t="n">
        <f aca="false">SUM(E116-D116)/E116</f>
        <v>0.507142857142857</v>
      </c>
    </row>
    <row r="117" customFormat="false" ht="15" hidden="false" customHeight="false" outlineLevel="0" collapsed="false">
      <c r="A117" s="41" t="s">
        <v>131</v>
      </c>
      <c r="B117" s="42" t="s">
        <v>260</v>
      </c>
      <c r="C117" s="143" t="s">
        <v>27</v>
      </c>
      <c r="D117" s="53" t="n">
        <v>121</v>
      </c>
      <c r="E117" s="53" t="n">
        <v>240</v>
      </c>
      <c r="F117" s="132" t="n">
        <f aca="false">SUM(E117-D117)/E117</f>
        <v>0.495833333333333</v>
      </c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8" activeCellId="0" sqref="C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44" width="17.39"/>
    <col collapsed="false" customWidth="true" hidden="false" outlineLevel="0" max="2" min="2" style="144" width="36.15"/>
    <col collapsed="false" customWidth="true" hidden="false" outlineLevel="0" max="3" min="3" style="144" width="15.03"/>
  </cols>
  <sheetData>
    <row r="1" customFormat="false" ht="13.8" hidden="false" customHeight="false" outlineLevel="0" collapsed="false">
      <c r="A1" s="144" t="str">
        <f aca="false">Bar!A3</f>
        <v>BEER:</v>
      </c>
      <c r="B1" s="144" t="str">
        <f aca="false">Bar!B3</f>
        <v>BLACK LABEL</v>
      </c>
      <c r="C1" s="144" t="str">
        <f aca="false">Bar!C3</f>
        <v>340ML</v>
      </c>
      <c r="D1" s="144" t="n">
        <f aca="false">MROUND(Bar!D3*2,5)</f>
        <v>25</v>
      </c>
    </row>
    <row r="2" customFormat="false" ht="13.8" hidden="false" customHeight="false" outlineLevel="0" collapsed="false">
      <c r="A2" s="144" t="str">
        <f aca="false">Bar!A4</f>
        <v>BEER:</v>
      </c>
      <c r="B2" s="144" t="str">
        <f aca="false">Bar!B4</f>
        <v>CASTLE LAGER</v>
      </c>
      <c r="C2" s="144" t="str">
        <f aca="false">Bar!C4</f>
        <v>340ML</v>
      </c>
      <c r="D2" s="144" t="n">
        <f aca="false">MROUND(Bar!D4*2,5)</f>
        <v>25</v>
      </c>
    </row>
    <row r="3" customFormat="false" ht="13.8" hidden="false" customHeight="false" outlineLevel="0" collapsed="false">
      <c r="A3" s="144" t="str">
        <f aca="false">Bar!A5</f>
        <v>BEER:</v>
      </c>
      <c r="B3" s="144" t="str">
        <f aca="false">Bar!B5</f>
        <v>CASTLE LITE</v>
      </c>
      <c r="C3" s="144" t="str">
        <f aca="false">Bar!C5</f>
        <v>340ML</v>
      </c>
      <c r="D3" s="144" t="n">
        <f aca="false">MROUND(Bar!D5*2,5)</f>
        <v>20</v>
      </c>
    </row>
    <row r="4" customFormat="false" ht="13.8" hidden="false" customHeight="false" outlineLevel="0" collapsed="false">
      <c r="A4" s="144" t="str">
        <f aca="false">Bar!A6</f>
        <v>BEER:</v>
      </c>
      <c r="B4" s="144" t="str">
        <f aca="false">Bar!B6</f>
        <v>CASTLE LITE</v>
      </c>
      <c r="C4" s="144" t="s">
        <v>261</v>
      </c>
      <c r="D4" s="144" t="n">
        <f aca="false">MROUND(Bar!D6*2,5)</f>
        <v>40</v>
      </c>
    </row>
    <row r="5" customFormat="false" ht="13.8" hidden="false" customHeight="false" outlineLevel="0" collapsed="false">
      <c r="A5" s="144" t="str">
        <f aca="false">Bar!A7</f>
        <v>BEER:</v>
      </c>
      <c r="B5" s="144" t="str">
        <f aca="false">Bar!B7</f>
        <v>CORONA</v>
      </c>
      <c r="C5" s="144" t="str">
        <f aca="false">Bar!C7</f>
        <v>340ML</v>
      </c>
      <c r="D5" s="144" t="n">
        <f aca="false">MROUND(Bar!D7*2,5)</f>
        <v>35</v>
      </c>
    </row>
    <row r="6" customFormat="false" ht="13.8" hidden="false" customHeight="false" outlineLevel="0" collapsed="false">
      <c r="A6" s="144" t="str">
        <f aca="false">Bar!A8</f>
        <v>BEER:</v>
      </c>
      <c r="B6" s="144" t="str">
        <f aca="false">Bar!B8</f>
        <v>HANSA</v>
      </c>
      <c r="C6" s="144" t="str">
        <f aca="false">Bar!C8</f>
        <v>340ML</v>
      </c>
      <c r="D6" s="144" t="n">
        <f aca="false">MROUND(Bar!D8*2,5)</f>
        <v>20</v>
      </c>
    </row>
    <row r="7" customFormat="false" ht="13.8" hidden="false" customHeight="false" outlineLevel="0" collapsed="false">
      <c r="A7" s="144" t="str">
        <f aca="false">Bar!A9</f>
        <v>BEER:</v>
      </c>
      <c r="B7" s="144" t="str">
        <f aca="false">Bar!B9</f>
        <v>HANSA</v>
      </c>
      <c r="C7" s="144" t="s">
        <v>261</v>
      </c>
      <c r="D7" s="144" t="n">
        <f aca="false">MROUND(Bar!D9*2,5)</f>
        <v>35</v>
      </c>
    </row>
    <row r="8" customFormat="false" ht="13.8" hidden="false" customHeight="false" outlineLevel="0" collapsed="false">
      <c r="A8" s="144" t="str">
        <f aca="false">Bar!A10</f>
        <v>BEER:</v>
      </c>
      <c r="B8" s="144" t="str">
        <f aca="false">Bar!B10</f>
        <v>AMSTEL RADLER</v>
      </c>
      <c r="C8" s="144" t="str">
        <f aca="false">Bar!C10</f>
        <v>340ML</v>
      </c>
      <c r="D8" s="144" t="n">
        <f aca="false">MROUND(Bar!D10*2,5)</f>
        <v>30</v>
      </c>
    </row>
    <row r="9" customFormat="false" ht="13.8" hidden="false" customHeight="false" outlineLevel="0" collapsed="false">
      <c r="A9" s="144" t="str">
        <f aca="false">Bar!A11</f>
        <v>BEER:</v>
      </c>
      <c r="B9" s="144" t="str">
        <f aca="false">Bar!B11</f>
        <v>LION LAGER</v>
      </c>
      <c r="C9" s="144" t="s">
        <v>261</v>
      </c>
      <c r="D9" s="144" t="n">
        <f aca="false">MROUND(Bar!D11*2,5)</f>
        <v>30</v>
      </c>
    </row>
    <row r="10" customFormat="false" ht="13.8" hidden="false" customHeight="false" outlineLevel="0" collapsed="false">
      <c r="A10" s="144" t="str">
        <f aca="false">Bar!A12</f>
        <v>BEER:</v>
      </c>
      <c r="B10" s="144" t="str">
        <f aca="false">Bar!B12</f>
        <v>HEINEKEN LAGER</v>
      </c>
      <c r="C10" s="144" t="str">
        <f aca="false">Bar!C12</f>
        <v>340ML</v>
      </c>
      <c r="D10" s="144" t="n">
        <f aca="false">MROUND(Bar!D12*2,5)</f>
        <v>35</v>
      </c>
    </row>
    <row r="11" customFormat="false" ht="13.8" hidden="false" customHeight="false" outlineLevel="0" collapsed="false">
      <c r="A11" s="144" t="str">
        <f aca="false">Bar!A13</f>
        <v>BEER:</v>
      </c>
      <c r="B11" s="144" t="str">
        <f aca="false">Bar!B13</f>
        <v>HEINEKEN FREE</v>
      </c>
      <c r="C11" s="144" t="str">
        <f aca="false">Bar!C13</f>
        <v>340ML</v>
      </c>
      <c r="D11" s="144" t="n">
        <f aca="false">MROUND(Bar!D13*2,5)</f>
        <v>35</v>
      </c>
    </row>
    <row r="12" customFormat="false" ht="13.8" hidden="false" customHeight="false" outlineLevel="0" collapsed="false">
      <c r="A12" s="144" t="str">
        <f aca="false">Bar!A14</f>
        <v>BEER:</v>
      </c>
      <c r="B12" s="144" t="str">
        <f aca="false">Bar!B14</f>
        <v>HEINEKEN SILVER</v>
      </c>
      <c r="C12" s="144" t="str">
        <f aca="false">Bar!C14</f>
        <v>340ML</v>
      </c>
      <c r="D12" s="144" t="n">
        <f aca="false">MROUND(Bar!D14*2,5)</f>
        <v>35</v>
      </c>
    </row>
    <row r="13" customFormat="false" ht="13.8" hidden="false" customHeight="false" outlineLevel="0" collapsed="false">
      <c r="A13" s="144" t="str">
        <f aca="false">Bar!A15</f>
        <v>BEER:</v>
      </c>
      <c r="B13" s="144" t="str">
        <f aca="false">Bar!B15</f>
        <v>WINDHOEK DRAUGHT</v>
      </c>
      <c r="C13" s="144" t="str">
        <f aca="false">Bar!C15</f>
        <v>440ML</v>
      </c>
      <c r="D13" s="144" t="n">
        <f aca="false">MROUND(Bar!D15*2,5)</f>
        <v>30</v>
      </c>
    </row>
    <row r="14" customFormat="false" ht="13.8" hidden="false" customHeight="false" outlineLevel="0" collapsed="false">
      <c r="A14" s="144" t="str">
        <f aca="false">Bar!A16</f>
        <v>BEER:</v>
      </c>
      <c r="B14" s="144" t="str">
        <f aca="false">Bar!B16</f>
        <v>WINDHOEK LAGER</v>
      </c>
      <c r="C14" s="144" t="str">
        <f aca="false">Bar!C16</f>
        <v>340ML</v>
      </c>
      <c r="D14" s="144" t="n">
        <f aca="false">MROUND(Bar!D16*2,5)</f>
        <v>35</v>
      </c>
    </row>
    <row r="15" customFormat="false" ht="13.8" hidden="false" customHeight="false" outlineLevel="0" collapsed="false">
      <c r="A15" s="144" t="str">
        <f aca="false">Bar!A17</f>
        <v>BEER:</v>
      </c>
      <c r="B15" s="144" t="str">
        <f aca="false">Bar!B17</f>
        <v>STELLA ARTOIS</v>
      </c>
      <c r="C15" s="144" t="str">
        <f aca="false">Bar!C17</f>
        <v>BOTTLE</v>
      </c>
      <c r="D15" s="144" t="n">
        <f aca="false">MROUND(Bar!D17*2,5)</f>
        <v>30</v>
      </c>
    </row>
    <row r="16" customFormat="false" ht="13.8" hidden="false" customHeight="false" outlineLevel="0" collapsed="false">
      <c r="A16" s="144" t="str">
        <f aca="false">Bar!A18</f>
        <v>BEER:</v>
      </c>
      <c r="B16" s="144" t="str">
        <f aca="false">Bar!B18</f>
        <v>TAFEL LAGER</v>
      </c>
      <c r="C16" s="144" t="str">
        <f aca="false">Bar!C18</f>
        <v>340ML</v>
      </c>
      <c r="D16" s="144" t="n">
        <f aca="false">MROUND(Bar!D18*2,5)</f>
        <v>25</v>
      </c>
    </row>
    <row r="17" customFormat="false" ht="13.8" hidden="false" customHeight="false" outlineLevel="0" collapsed="false">
      <c r="A17" s="144" t="str">
        <f aca="false">Bar!A19</f>
        <v>BRANDY:</v>
      </c>
      <c r="B17" s="144" t="str">
        <f aca="false">Bar!B19</f>
        <v>KLIPDRIFT</v>
      </c>
      <c r="C17" s="144" t="str">
        <f aca="false">Bar!C19</f>
        <v>25ML TOT</v>
      </c>
      <c r="D17" s="144" t="n">
        <f aca="false">MROUND(Bar!D19*2,5)</f>
        <v>15</v>
      </c>
    </row>
    <row r="18" customFormat="false" ht="13.8" hidden="false" customHeight="false" outlineLevel="0" collapsed="false">
      <c r="A18" s="144" t="str">
        <f aca="false">Bar!A20</f>
        <v>BRANDY:</v>
      </c>
      <c r="B18" s="144" t="str">
        <f aca="false">Bar!B20</f>
        <v>RICHELIEU</v>
      </c>
      <c r="C18" s="144" t="str">
        <f aca="false">Bar!C20</f>
        <v>25ML TOT</v>
      </c>
      <c r="D18" s="144" t="n">
        <f aca="false">MROUND(Bar!D20*2,5)</f>
        <v>15</v>
      </c>
    </row>
    <row r="19" customFormat="false" ht="13.8" hidden="false" customHeight="false" outlineLevel="0" collapsed="false">
      <c r="A19" s="144" t="str">
        <f aca="false">Bar!A21</f>
        <v>CIDERS:</v>
      </c>
      <c r="B19" s="144" t="str">
        <f aca="false">Bar!B21</f>
        <v>FLYING FISH LEMON</v>
      </c>
      <c r="C19" s="144" t="str">
        <f aca="false">Bar!C21</f>
        <v>340ML</v>
      </c>
      <c r="D19" s="144" t="n">
        <f aca="false">MROUND(Bar!D21*2,5)</f>
        <v>25</v>
      </c>
    </row>
    <row r="20" customFormat="false" ht="13.8" hidden="false" customHeight="false" outlineLevel="0" collapsed="false">
      <c r="A20" s="144" t="str">
        <f aca="false">Bar!A22</f>
        <v>CIDERS:</v>
      </c>
      <c r="B20" s="144" t="str">
        <f aca="false">Bar!B22</f>
        <v>BERNINI</v>
      </c>
      <c r="C20" s="144" t="str">
        <f aca="false">Bar!C22</f>
        <v>340ML</v>
      </c>
      <c r="D20" s="144" t="n">
        <f aca="false">MROUND(Bar!D22*2,5)</f>
        <v>25</v>
      </c>
    </row>
    <row r="21" customFormat="false" ht="13.8" hidden="false" customHeight="false" outlineLevel="0" collapsed="false">
      <c r="A21" s="144" t="str">
        <f aca="false">Bar!A23</f>
        <v>CIDERS:</v>
      </c>
      <c r="B21" s="144" t="str">
        <f aca="false">Bar!B23</f>
        <v>HUNTERS DRY</v>
      </c>
      <c r="C21" s="144" t="str">
        <f aca="false">Bar!C23</f>
        <v>340ML</v>
      </c>
      <c r="D21" s="144" t="n">
        <f aca="false">MROUND(Bar!D23*2,5)</f>
        <v>30</v>
      </c>
    </row>
    <row r="22" customFormat="false" ht="13.8" hidden="false" customHeight="false" outlineLevel="0" collapsed="false">
      <c r="A22" s="144" t="str">
        <f aca="false">Bar!A24</f>
        <v>CIDERS:</v>
      </c>
      <c r="B22" s="144" t="str">
        <f aca="false">Bar!B24</f>
        <v>HUNTERS GOLD</v>
      </c>
      <c r="C22" s="144" t="str">
        <f aca="false">Bar!C24</f>
        <v>340ML</v>
      </c>
      <c r="D22" s="144" t="n">
        <f aca="false">MROUND(Bar!D24*2,5)</f>
        <v>30</v>
      </c>
    </row>
    <row r="23" customFormat="false" ht="13.8" hidden="false" customHeight="false" outlineLevel="0" collapsed="false">
      <c r="A23" s="144" t="str">
        <f aca="false">Bar!A25</f>
        <v>CIDERS:</v>
      </c>
      <c r="B23" s="144" t="str">
        <f aca="false">Bar!B25</f>
        <v>SAVANNA LIGHT</v>
      </c>
      <c r="C23" s="144" t="str">
        <f aca="false">Bar!C25</f>
        <v>340ML</v>
      </c>
      <c r="D23" s="144" t="n">
        <f aca="false">MROUND(Bar!D25*2,5)</f>
        <v>35</v>
      </c>
    </row>
    <row r="24" customFormat="false" ht="13.8" hidden="false" customHeight="false" outlineLevel="0" collapsed="false">
      <c r="A24" s="144" t="str">
        <f aca="false">Bar!A26</f>
        <v>CIDERS:</v>
      </c>
      <c r="B24" s="144" t="str">
        <f aca="false">Bar!B26</f>
        <v>SAVANNA DRY </v>
      </c>
      <c r="C24" s="144" t="str">
        <f aca="false">Bar!C26</f>
        <v>340ML</v>
      </c>
      <c r="D24" s="144" t="n">
        <f aca="false">MROUND(Bar!D26*2,5)</f>
        <v>30</v>
      </c>
    </row>
    <row r="25" customFormat="false" ht="13.8" hidden="false" customHeight="false" outlineLevel="0" collapsed="false">
      <c r="A25" s="144" t="str">
        <f aca="false">Bar!A27</f>
        <v>CIDERS:</v>
      </c>
      <c r="B25" s="144" t="str">
        <f aca="false">Bar!B27</f>
        <v>SAVANNA FREE</v>
      </c>
      <c r="C25" s="144" t="str">
        <f aca="false">Bar!C27</f>
        <v>340ML</v>
      </c>
      <c r="D25" s="144" t="n">
        <f aca="false">MROUND(Bar!D27*2,5)</f>
        <v>35</v>
      </c>
    </row>
    <row r="26" customFormat="false" ht="13.8" hidden="false" customHeight="false" outlineLevel="0" collapsed="false">
      <c r="A26" s="144" t="str">
        <f aca="false">Bar!A28</f>
        <v>CIDERS:</v>
      </c>
      <c r="B26" s="144" t="str">
        <f aca="false">Bar!B28</f>
        <v>GINOLOGIST GIN &amp; BITTER LEMON</v>
      </c>
      <c r="C26" s="144" t="str">
        <f aca="false">Bar!C28</f>
        <v>340ML</v>
      </c>
      <c r="D26" s="144" t="n">
        <f aca="false">MROUND(Bar!D28*2,5)</f>
        <v>40</v>
      </c>
    </row>
    <row r="27" customFormat="false" ht="13.8" hidden="false" customHeight="false" outlineLevel="0" collapsed="false">
      <c r="A27" s="144" t="str">
        <f aca="false">Bar!A29</f>
        <v>CIDERS:</v>
      </c>
      <c r="B27" s="144" t="str">
        <f aca="false">Bar!B29</f>
        <v>GINOLOGIST GIN &amp; TONIC</v>
      </c>
      <c r="C27" s="144" t="str">
        <f aca="false">Bar!C29</f>
        <v>340ML</v>
      </c>
      <c r="D27" s="144" t="n">
        <f aca="false">MROUND(Bar!D29*2,5)</f>
        <v>45</v>
      </c>
    </row>
    <row r="28" customFormat="false" ht="13.8" hidden="false" customHeight="false" outlineLevel="0" collapsed="false">
      <c r="A28" s="144" t="str">
        <f aca="false">Bar!A30</f>
        <v>CIDERS:</v>
      </c>
      <c r="B28" s="144" t="str">
        <f aca="false">Bar!B30</f>
        <v>GINOLOGIST PINEAPPLE</v>
      </c>
      <c r="C28" s="144" t="str">
        <f aca="false">Bar!C30</f>
        <v>340ML</v>
      </c>
      <c r="D28" s="144" t="n">
        <f aca="false">MROUND(Bar!D30*2,5)</f>
        <v>40</v>
      </c>
    </row>
    <row r="29" customFormat="false" ht="13.8" hidden="false" customHeight="false" outlineLevel="0" collapsed="false">
      <c r="A29" s="144" t="str">
        <f aca="false">Bar!A31</f>
        <v>CIDERS:</v>
      </c>
      <c r="B29" s="144" t="str">
        <f aca="false">Bar!B31</f>
        <v>GINOLOGIST STRAWBERRY</v>
      </c>
      <c r="C29" s="144" t="str">
        <f aca="false">Bar!C31</f>
        <v>340ML</v>
      </c>
      <c r="D29" s="144" t="n">
        <f aca="false">MROUND(Bar!D31*2,5)</f>
        <v>40</v>
      </c>
    </row>
    <row r="30" customFormat="false" ht="13.8" hidden="false" customHeight="false" outlineLevel="0" collapsed="false">
      <c r="A30" s="144" t="str">
        <f aca="false">Bar!A32</f>
        <v>FORTIFIED SPIRITS:</v>
      </c>
      <c r="B30" s="144" t="str">
        <f aca="false">Bar!B32</f>
        <v>ALLESVERLOREN</v>
      </c>
      <c r="C30" s="144" t="str">
        <f aca="false">Bar!C32</f>
        <v>50ML TOT</v>
      </c>
      <c r="D30" s="144" t="n">
        <f aca="false">MROUND(Bar!D32*2,5)</f>
        <v>25</v>
      </c>
    </row>
    <row r="31" customFormat="false" ht="13.8" hidden="false" customHeight="false" outlineLevel="0" collapsed="false">
      <c r="A31" s="144" t="str">
        <f aca="false">Bar!A33</f>
        <v>FORTIFIED SPIRITS:</v>
      </c>
      <c r="B31" s="144" t="str">
        <f aca="false">Bar!B33</f>
        <v>OLD BROWN</v>
      </c>
      <c r="C31" s="144" t="str">
        <f aca="false">Bar!C33</f>
        <v>50ML TOT</v>
      </c>
      <c r="D31" s="144" t="n">
        <f aca="false">MROUND(Bar!D33*2,5)</f>
        <v>10</v>
      </c>
    </row>
    <row r="32" customFormat="false" ht="13.8" hidden="false" customHeight="false" outlineLevel="0" collapsed="false">
      <c r="A32" s="144" t="str">
        <f aca="false">Bar!A34</f>
        <v>FORTIFIED SPIRITS:</v>
      </c>
      <c r="B32" s="144" t="str">
        <f aca="false">Bar!B34</f>
        <v>BANGBROEK</v>
      </c>
      <c r="C32" s="144" t="str">
        <f aca="false">Bar!C34</f>
        <v>25ML TOT</v>
      </c>
      <c r="D32" s="144" t="n">
        <f aca="false">MROUND(Bar!D34*2,5)</f>
        <v>15</v>
      </c>
    </row>
    <row r="33" customFormat="false" ht="13.8" hidden="false" customHeight="false" outlineLevel="0" collapsed="false">
      <c r="A33" s="144" t="str">
        <f aca="false">Bar!A35</f>
        <v>FORTIFIED SPIRITS:</v>
      </c>
      <c r="B33" s="144" t="str">
        <f aca="false">Bar!B35</f>
        <v>PIMMS</v>
      </c>
      <c r="C33" s="144" t="str">
        <f aca="false">Bar!C35</f>
        <v>50ML TOT</v>
      </c>
      <c r="D33" s="144" t="n">
        <f aca="false">MROUND(Bar!D35*2,5)</f>
        <v>15</v>
      </c>
    </row>
    <row r="34" customFormat="false" ht="13.8" hidden="false" customHeight="false" outlineLevel="0" collapsed="false">
      <c r="A34" s="144" t="str">
        <f aca="false">Bar!A36</f>
        <v>MIXERS:</v>
      </c>
      <c r="B34" s="144" t="str">
        <f aca="false">Bar!B36</f>
        <v>APPLETIZER</v>
      </c>
      <c r="C34" s="144" t="str">
        <f aca="false">Bar!C36</f>
        <v>CAN</v>
      </c>
      <c r="D34" s="144" t="n">
        <f aca="false">MROUND(Bar!D36*2,5)</f>
        <v>35</v>
      </c>
    </row>
    <row r="35" customFormat="false" ht="13.8" hidden="false" customHeight="false" outlineLevel="0" collapsed="false">
      <c r="A35" s="144" t="str">
        <f aca="false">Bar!A37</f>
        <v>MIXERS:</v>
      </c>
      <c r="B35" s="144" t="str">
        <f aca="false">Bar!B37</f>
        <v>APPLETIZER</v>
      </c>
      <c r="C35" s="144" t="str">
        <f aca="false">Bar!C37</f>
        <v>1250ML</v>
      </c>
      <c r="D35" s="144" t="n">
        <f aca="false">MROUND(Bar!D37*2,5)</f>
        <v>65</v>
      </c>
    </row>
    <row r="36" customFormat="false" ht="13.8" hidden="false" customHeight="false" outlineLevel="0" collapsed="false">
      <c r="A36" s="144" t="str">
        <f aca="false">Bar!A38</f>
        <v>MIXERS:</v>
      </c>
      <c r="B36" s="144" t="str">
        <f aca="false">Bar!B38</f>
        <v>FL ROCK SHANDY</v>
      </c>
      <c r="C36" s="144" t="str">
        <f aca="false">Bar!C38</f>
        <v>330ML CAN</v>
      </c>
      <c r="D36" s="144" t="n">
        <f aca="false">MROUND(Bar!D38*2,5)</f>
        <v>15</v>
      </c>
    </row>
    <row r="37" customFormat="false" ht="13.8" hidden="false" customHeight="false" outlineLevel="0" collapsed="false">
      <c r="A37" s="144" t="str">
        <f aca="false">Bar!A39</f>
        <v>MIXERS:</v>
      </c>
      <c r="B37" s="144" t="str">
        <f aca="false">Bar!B39</f>
        <v>COKE</v>
      </c>
      <c r="C37" s="144" t="str">
        <f aca="false">Bar!C39</f>
        <v>440ML PET</v>
      </c>
      <c r="D37" s="144" t="n">
        <f aca="false">MROUND(Bar!D39*2,5)</f>
        <v>20</v>
      </c>
    </row>
    <row r="38" customFormat="false" ht="13.8" hidden="false" customHeight="false" outlineLevel="0" collapsed="false">
      <c r="A38" s="144" t="str">
        <f aca="false">Bar!A40</f>
        <v>MIXERS:</v>
      </c>
      <c r="B38" s="144" t="str">
        <f aca="false">Bar!B40</f>
        <v>COKE</v>
      </c>
      <c r="C38" s="144" t="str">
        <f aca="false">Bar!C40</f>
        <v>1000ML</v>
      </c>
      <c r="D38" s="144" t="n">
        <f aca="false">MROUND(Bar!D40*2,5)</f>
        <v>30</v>
      </c>
    </row>
    <row r="39" customFormat="false" ht="13.8" hidden="false" customHeight="false" outlineLevel="0" collapsed="false">
      <c r="A39" s="144" t="str">
        <f aca="false">Bar!A41</f>
        <v>MIXERS:</v>
      </c>
      <c r="B39" s="144" t="str">
        <f aca="false">Bar!B41</f>
        <v>COKE</v>
      </c>
      <c r="C39" s="144" t="str">
        <f aca="false">Bar!C41</f>
        <v>1500ML</v>
      </c>
      <c r="D39" s="144" t="n">
        <f aca="false">MROUND(Bar!D41*2,5)</f>
        <v>40</v>
      </c>
    </row>
    <row r="40" customFormat="false" ht="13.8" hidden="false" customHeight="false" outlineLevel="0" collapsed="false">
      <c r="A40" s="144" t="str">
        <f aca="false">Bar!A42</f>
        <v>MIXERS:</v>
      </c>
      <c r="B40" s="144" t="str">
        <f aca="false">Bar!B42</f>
        <v>COKE ZERO</v>
      </c>
      <c r="C40" s="144" t="str">
        <f aca="false">Bar!C42</f>
        <v>1500ML</v>
      </c>
      <c r="D40" s="144" t="n">
        <f aca="false">MROUND(Bar!D42*2,5)</f>
        <v>35</v>
      </c>
    </row>
    <row r="41" customFormat="false" ht="13.8" hidden="false" customHeight="false" outlineLevel="0" collapsed="false">
      <c r="A41" s="144" t="str">
        <f aca="false">Bar!A43</f>
        <v>MIXERS:</v>
      </c>
      <c r="B41" s="144" t="str">
        <f aca="false">Bar!B43</f>
        <v>COKE ZERO</v>
      </c>
      <c r="C41" s="144" t="str">
        <f aca="false">Bar!C43</f>
        <v>500ML PET</v>
      </c>
      <c r="D41" s="144" t="n">
        <f aca="false">MROUND(Bar!D43*2,5)</f>
        <v>20</v>
      </c>
    </row>
    <row r="42" customFormat="false" ht="13.8" hidden="false" customHeight="false" outlineLevel="0" collapsed="false">
      <c r="A42" s="144" t="str">
        <f aca="false">Bar!A44</f>
        <v>MIXERS:</v>
      </c>
      <c r="B42" s="144" t="str">
        <f aca="false">Bar!B44</f>
        <v>CRÈME SODA</v>
      </c>
      <c r="C42" s="144" t="str">
        <f aca="false">Bar!C44</f>
        <v>440ML PET</v>
      </c>
      <c r="D42" s="144" t="n">
        <f aca="false">MROUND(Bar!D44*2,5)</f>
        <v>20</v>
      </c>
    </row>
    <row r="43" customFormat="false" ht="13.8" hidden="false" customHeight="false" outlineLevel="0" collapsed="false">
      <c r="A43" s="144" t="str">
        <f aca="false">Bar!A45</f>
        <v>MIXERS:</v>
      </c>
      <c r="B43" s="144" t="str">
        <f aca="false">Bar!B45</f>
        <v>POWERADE</v>
      </c>
      <c r="C43" s="144" t="str">
        <f aca="false">Bar!C45</f>
        <v>500ML</v>
      </c>
      <c r="D43" s="144" t="n">
        <f aca="false">MROUND(Bar!D45*2,5)</f>
        <v>25</v>
      </c>
    </row>
    <row r="44" customFormat="false" ht="13.8" hidden="false" customHeight="false" outlineLevel="0" collapsed="false">
      <c r="A44" s="144" t="str">
        <f aca="false">Bar!A46</f>
        <v>MIXERS:</v>
      </c>
      <c r="B44" s="144" t="str">
        <f aca="false">Bar!B46</f>
        <v>FANTA GRAPE</v>
      </c>
      <c r="C44" s="144" t="str">
        <f aca="false">Bar!C46</f>
        <v>440ML PET</v>
      </c>
      <c r="D44" s="144" t="n">
        <f aca="false">MROUND(Bar!D46*2,5)</f>
        <v>20</v>
      </c>
    </row>
    <row r="45" customFormat="false" ht="13.8" hidden="false" customHeight="false" outlineLevel="0" collapsed="false">
      <c r="A45" s="144" t="str">
        <f aca="false">Bar!A47</f>
        <v>MIXERS:</v>
      </c>
      <c r="B45" s="144" t="str">
        <f aca="false">Bar!B47</f>
        <v>FANTA ORANGE</v>
      </c>
      <c r="C45" s="144" t="str">
        <f aca="false">Bar!C47</f>
        <v>440ML PET</v>
      </c>
      <c r="D45" s="144" t="n">
        <f aca="false">MROUND(Bar!D47*2,5)</f>
        <v>20</v>
      </c>
    </row>
    <row r="46" customFormat="false" ht="13.8" hidden="false" customHeight="false" outlineLevel="0" collapsed="false">
      <c r="A46" s="144" t="str">
        <f aca="false">Bar!A48</f>
        <v>MIXERS:</v>
      </c>
      <c r="B46" s="144" t="str">
        <f aca="false">Bar!B48</f>
        <v>FL BITTER LEMON</v>
      </c>
      <c r="C46" s="144" t="str">
        <f aca="false">Bar!C48</f>
        <v>200ML CAN</v>
      </c>
      <c r="D46" s="144" t="n">
        <f aca="false">MROUND(Bar!D48*2,5)</f>
        <v>15</v>
      </c>
    </row>
    <row r="47" customFormat="false" ht="13.8" hidden="false" customHeight="false" outlineLevel="0" collapsed="false">
      <c r="A47" s="144" t="str">
        <f aca="false">Bar!A49</f>
        <v>MIXERS:</v>
      </c>
      <c r="B47" s="144" t="str">
        <f aca="false">Bar!B49</f>
        <v>FL INDIAN TONIC LITE</v>
      </c>
      <c r="C47" s="144" t="str">
        <f aca="false">Bar!C49</f>
        <v>200ML CAN</v>
      </c>
      <c r="D47" s="144" t="n">
        <f aca="false">MROUND(Bar!D49*2,5)</f>
        <v>15</v>
      </c>
    </row>
    <row r="48" customFormat="false" ht="13.8" hidden="false" customHeight="false" outlineLevel="0" collapsed="false">
      <c r="A48" s="144" t="str">
        <f aca="false">Bar!A50</f>
        <v>MIXERS:</v>
      </c>
      <c r="B48" s="144" t="str">
        <f aca="false">Bar!B50</f>
        <v>FL LEMONADE</v>
      </c>
      <c r="C48" s="144" t="str">
        <f aca="false">Bar!C50</f>
        <v>200ML CAN</v>
      </c>
      <c r="D48" s="144" t="n">
        <f aca="false">MROUND(Bar!D50*2,5)</f>
        <v>15</v>
      </c>
    </row>
    <row r="49" customFormat="false" ht="13.8" hidden="false" customHeight="false" outlineLevel="0" collapsed="false">
      <c r="A49" s="144" t="str">
        <f aca="false">Bar!A51</f>
        <v>MIXERS:</v>
      </c>
      <c r="B49" s="144" t="str">
        <f aca="false">Bar!B51</f>
        <v>FL PINK TONIC</v>
      </c>
      <c r="C49" s="144" t="str">
        <f aca="false">Bar!C51</f>
        <v>1000LT</v>
      </c>
      <c r="D49" s="144" t="n">
        <f aca="false">MROUND(Bar!D51*2,5)</f>
        <v>30</v>
      </c>
    </row>
    <row r="50" customFormat="false" ht="13.8" hidden="false" customHeight="false" outlineLevel="0" collapsed="false">
      <c r="A50" s="144" t="str">
        <f aca="false">Bar!A52</f>
        <v>MIXERS:</v>
      </c>
      <c r="B50" s="144" t="str">
        <f aca="false">Bar!B52</f>
        <v>ICED TEA</v>
      </c>
      <c r="C50" s="144" t="str">
        <f aca="false">Bar!C52</f>
        <v>CAN</v>
      </c>
      <c r="D50" s="144" t="n">
        <f aca="false">MROUND(Bar!D52*2,5)</f>
        <v>25</v>
      </c>
    </row>
    <row r="51" customFormat="false" ht="13.8" hidden="false" customHeight="false" outlineLevel="0" collapsed="false">
      <c r="A51" s="144" t="str">
        <f aca="false">Bar!A53</f>
        <v>MIXERS:</v>
      </c>
      <c r="B51" s="144" t="str">
        <f aca="false">Bar!B53</f>
        <v>RED GRAPETIZER</v>
      </c>
      <c r="C51" s="144" t="str">
        <f aca="false">Bar!C53</f>
        <v>330ML CAN</v>
      </c>
      <c r="D51" s="144" t="n">
        <f aca="false">MROUND(Bar!D53*2,5)</f>
        <v>35</v>
      </c>
    </row>
    <row r="52" customFormat="false" ht="13.8" hidden="false" customHeight="false" outlineLevel="0" collapsed="false">
      <c r="A52" s="144" t="str">
        <f aca="false">Bar!A54</f>
        <v>MIXERS:</v>
      </c>
      <c r="B52" s="144" t="str">
        <f aca="false">Bar!B54</f>
        <v>ROSES KOLA TONIC</v>
      </c>
      <c r="C52" s="144" t="str">
        <f aca="false">Bar!C54</f>
        <v>25ML TOT</v>
      </c>
      <c r="D52" s="144" t="n">
        <f aca="false">MROUND(Bar!D54*2,5)</f>
        <v>5</v>
      </c>
    </row>
    <row r="53" customFormat="false" ht="13.8" hidden="false" customHeight="false" outlineLevel="0" collapsed="false">
      <c r="A53" s="144" t="str">
        <f aca="false">Bar!A55</f>
        <v>MIXERS:</v>
      </c>
      <c r="B53" s="144" t="str">
        <f aca="false">Bar!B55</f>
        <v>ROSES LIME CORDIAL</v>
      </c>
      <c r="C53" s="144" t="str">
        <f aca="false">Bar!C55</f>
        <v>25ML TOT</v>
      </c>
      <c r="D53" s="144" t="n">
        <f aca="false">MROUND(Bar!D55*2,5)</f>
        <v>5</v>
      </c>
    </row>
    <row r="54" customFormat="false" ht="13.8" hidden="false" customHeight="false" outlineLevel="0" collapsed="false">
      <c r="A54" s="144" t="str">
        <f aca="false">Bar!A56</f>
        <v>MIXERS:</v>
      </c>
      <c r="B54" s="144" t="str">
        <f aca="false">Bar!B56</f>
        <v>ROSES PASSION FRUIT</v>
      </c>
      <c r="C54" s="144" t="str">
        <f aca="false">Bar!C56</f>
        <v>25ML TOT</v>
      </c>
      <c r="D54" s="144" t="n">
        <f aca="false">MROUND(Bar!D56*2,5)</f>
        <v>5</v>
      </c>
    </row>
    <row r="55" customFormat="false" ht="13.8" hidden="false" customHeight="false" outlineLevel="0" collapsed="false">
      <c r="A55" s="144" t="str">
        <f aca="false">Bar!A57</f>
        <v>MIXERS:</v>
      </c>
      <c r="B55" s="144" t="str">
        <f aca="false">Bar!B57</f>
        <v>SCHWEPPS GINGERALE</v>
      </c>
      <c r="C55" s="144" t="str">
        <f aca="false">Bar!C57</f>
        <v>1000ML</v>
      </c>
      <c r="D55" s="144" t="n">
        <f aca="false">MROUND(Bar!D57*2,5)</f>
        <v>30</v>
      </c>
    </row>
    <row r="56" customFormat="false" ht="13.8" hidden="false" customHeight="false" outlineLevel="0" collapsed="false">
      <c r="A56" s="144" t="str">
        <f aca="false">Bar!A58</f>
        <v>MIXERS:</v>
      </c>
      <c r="B56" s="144" t="str">
        <f aca="false">Bar!B58</f>
        <v>SCHWEPPS SODA WATER</v>
      </c>
      <c r="C56" s="144" t="str">
        <f aca="false">Bar!C58</f>
        <v>1000ML</v>
      </c>
      <c r="D56" s="144" t="n">
        <f aca="false">MROUND(Bar!D58*2,5)</f>
        <v>30</v>
      </c>
    </row>
    <row r="57" customFormat="false" ht="13.8" hidden="false" customHeight="false" outlineLevel="0" collapsed="false">
      <c r="A57" s="144" t="str">
        <f aca="false">Bar!A59</f>
        <v>MIXERS:</v>
      </c>
      <c r="B57" s="144" t="str">
        <f aca="false">Bar!B59</f>
        <v>LIQUI FRUIT</v>
      </c>
      <c r="C57" s="144" t="str">
        <f aca="false">Bar!C59</f>
        <v>CAN</v>
      </c>
      <c r="D57" s="144" t="n">
        <f aca="false">MROUND(Bar!D59*2,5)</f>
        <v>25</v>
      </c>
    </row>
    <row r="58" customFormat="false" ht="13.8" hidden="false" customHeight="false" outlineLevel="0" collapsed="false">
      <c r="A58" s="144" t="str">
        <f aca="false">Bar!A60</f>
        <v>MIXERS:</v>
      </c>
      <c r="B58" s="144" t="str">
        <f aca="false">Bar!B60</f>
        <v>SCHWEPPS TONIC WATER</v>
      </c>
      <c r="C58" s="144" t="str">
        <f aca="false">Bar!C60</f>
        <v>1000ML</v>
      </c>
      <c r="D58" s="144" t="n">
        <f aca="false">MROUND(Bar!D60*2,5)</f>
        <v>30</v>
      </c>
    </row>
    <row r="59" customFormat="false" ht="13.8" hidden="false" customHeight="false" outlineLevel="0" collapsed="false">
      <c r="A59" s="144" t="str">
        <f aca="false">Bar!A61</f>
        <v>MIXERS:</v>
      </c>
      <c r="B59" s="144" t="str">
        <f aca="false">Bar!B61</f>
        <v>SPARKLING WATER</v>
      </c>
      <c r="C59" s="144" t="str">
        <f aca="false">Bar!C61</f>
        <v>500ML</v>
      </c>
      <c r="D59" s="144" t="n">
        <f aca="false">MROUND(Bar!D61*2,5)</f>
        <v>15</v>
      </c>
    </row>
    <row r="60" customFormat="false" ht="13.8" hidden="false" customHeight="false" outlineLevel="0" collapsed="false">
      <c r="A60" s="144" t="str">
        <f aca="false">Bar!A62</f>
        <v>MIXERS:</v>
      </c>
      <c r="B60" s="144" t="str">
        <f aca="false">Bar!B62</f>
        <v>SPRITE</v>
      </c>
      <c r="C60" s="144" t="str">
        <f aca="false">Bar!C62</f>
        <v>440ML PET</v>
      </c>
      <c r="D60" s="144" t="n">
        <f aca="false">MROUND(Bar!D62*2,5)</f>
        <v>20</v>
      </c>
    </row>
    <row r="61" customFormat="false" ht="13.8" hidden="false" customHeight="false" outlineLevel="0" collapsed="false">
      <c r="A61" s="144" t="str">
        <f aca="false">Bar!A63</f>
        <v>MIXERS:</v>
      </c>
      <c r="B61" s="144" t="str">
        <f aca="false">Bar!B63</f>
        <v>SPRITE ZERO</v>
      </c>
      <c r="C61" s="144" t="str">
        <f aca="false">Bar!C63</f>
        <v>500ML PET</v>
      </c>
      <c r="D61" s="144" t="n">
        <f aca="false">MROUND(Bar!D63*2,5)</f>
        <v>20</v>
      </c>
    </row>
    <row r="62" customFormat="false" ht="13.8" hidden="false" customHeight="false" outlineLevel="0" collapsed="false">
      <c r="A62" s="144" t="str">
        <f aca="false">Bar!A64</f>
        <v>MIXERS:</v>
      </c>
      <c r="B62" s="144" t="str">
        <f aca="false">Bar!B64</f>
        <v>STILL WATER</v>
      </c>
      <c r="C62" s="144" t="str">
        <f aca="false">Bar!C64</f>
        <v>500ML</v>
      </c>
      <c r="D62" s="144" t="n">
        <f aca="false">MROUND(Bar!D64*2,5)</f>
        <v>10</v>
      </c>
    </row>
    <row r="63" customFormat="false" ht="13.8" hidden="false" customHeight="false" outlineLevel="0" collapsed="false">
      <c r="A63" s="144" t="str">
        <f aca="false">Bar!A65</f>
        <v>MIXERS:</v>
      </c>
      <c r="B63" s="144" t="str">
        <f aca="false">Bar!B65</f>
        <v>STONEY</v>
      </c>
      <c r="C63" s="144" t="str">
        <f aca="false">Bar!C65</f>
        <v>440ML PET</v>
      </c>
      <c r="D63" s="144" t="n">
        <f aca="false">MROUND(Bar!D65*2,5)</f>
        <v>20</v>
      </c>
    </row>
    <row r="64" customFormat="false" ht="13.8" hidden="false" customHeight="false" outlineLevel="0" collapsed="false">
      <c r="A64" s="144" t="str">
        <f aca="false">Bar!A66</f>
        <v>MIXERS:</v>
      </c>
      <c r="B64" s="144" t="str">
        <f aca="false">Bar!B66</f>
        <v>TWIST GRANADILLA</v>
      </c>
      <c r="C64" s="144" t="str">
        <f aca="false">Bar!C66</f>
        <v>440ML PET</v>
      </c>
      <c r="D64" s="144" t="n">
        <f aca="false">MROUND(Bar!D66*2,5)</f>
        <v>20</v>
      </c>
    </row>
    <row r="65" customFormat="false" ht="13.8" hidden="false" customHeight="false" outlineLevel="0" collapsed="false">
      <c r="A65" s="144" t="str">
        <f aca="false">Bar!A67</f>
        <v>MIXERS:</v>
      </c>
      <c r="B65" s="144" t="str">
        <f aca="false">Bar!B67</f>
        <v>TWIST LEMON</v>
      </c>
      <c r="C65" s="144" t="str">
        <f aca="false">Bar!C67</f>
        <v>440ML PET</v>
      </c>
      <c r="D65" s="144" t="n">
        <f aca="false">MROUND(Bar!D67*2,5)</f>
        <v>20</v>
      </c>
    </row>
    <row r="66" customFormat="false" ht="13.8" hidden="false" customHeight="false" outlineLevel="0" collapsed="false">
      <c r="A66" s="144" t="str">
        <f aca="false">Bar!A68</f>
        <v>PREMIUM SPIRITS:</v>
      </c>
      <c r="B66" s="144" t="str">
        <f aca="false">Bar!B68</f>
        <v>KWV 10YO</v>
      </c>
      <c r="C66" s="144" t="str">
        <f aca="false">Bar!C68</f>
        <v>25ML TOT</v>
      </c>
      <c r="D66" s="144" t="n">
        <f aca="false">MROUND(Bar!D68*2,5)</f>
        <v>25</v>
      </c>
    </row>
    <row r="67" customFormat="false" ht="13.8" hidden="false" customHeight="false" outlineLevel="0" collapsed="false">
      <c r="A67" s="144" t="str">
        <f aca="false">Bar!A69</f>
        <v>RED WINE:</v>
      </c>
      <c r="B67" s="144" t="str">
        <f aca="false">Bar!B69</f>
        <v>PETIT PINOTAGE</v>
      </c>
      <c r="C67" s="144" t="str">
        <f aca="false">Bar!C69</f>
        <v>BOTTLE</v>
      </c>
      <c r="D67" s="144" t="n">
        <f aca="false">MROUND(Bar!D69*2,5)</f>
        <v>135</v>
      </c>
    </row>
    <row r="68" customFormat="false" ht="13.8" hidden="false" customHeight="false" outlineLevel="0" collapsed="false">
      <c r="A68" s="144" t="str">
        <f aca="false">Bar!A70</f>
        <v>RED WINE:</v>
      </c>
      <c r="B68" s="144" t="str">
        <f aca="false">Bar!B70</f>
        <v>PETIT MERLOT</v>
      </c>
      <c r="C68" s="144" t="str">
        <f aca="false">Bar!C70</f>
        <v>BOTTLE</v>
      </c>
      <c r="D68" s="144" t="n">
        <f aca="false">MROUND(Bar!D70*2,5)</f>
        <v>135</v>
      </c>
    </row>
    <row r="69" customFormat="false" ht="13.8" hidden="false" customHeight="false" outlineLevel="0" collapsed="false">
      <c r="A69" s="144" t="str">
        <f aca="false">Bar!A71</f>
        <v>RED WINE:</v>
      </c>
      <c r="B69" s="144" t="str">
        <f aca="false">Bar!B71</f>
        <v>MCGREGOR SHIRAZ</v>
      </c>
      <c r="C69" s="144" t="str">
        <f aca="false">Bar!C71</f>
        <v>BOTTLE</v>
      </c>
      <c r="D69" s="144" t="n">
        <f aca="false">MROUND(Bar!D71*2,5)</f>
        <v>120</v>
      </c>
    </row>
    <row r="70" customFormat="false" ht="13.8" hidden="false" customHeight="false" outlineLevel="0" collapsed="false">
      <c r="A70" s="144" t="str">
        <f aca="false">Bar!A72</f>
        <v>RED WINE:</v>
      </c>
      <c r="B70" s="144" t="str">
        <f aca="false">Bar!B72</f>
        <v>BRUCE JACK PINOTAGE MALBEC</v>
      </c>
      <c r="C70" s="144" t="str">
        <f aca="false">Bar!C72</f>
        <v>BOTTLE</v>
      </c>
      <c r="D70" s="144" t="n">
        <f aca="false">MROUND(Bar!D72*2,5)</f>
        <v>160</v>
      </c>
    </row>
    <row r="71" customFormat="false" ht="13.8" hidden="false" customHeight="false" outlineLevel="0" collapsed="false">
      <c r="A71" s="144" t="str">
        <f aca="false">Bar!A73</f>
        <v>RED WINE:</v>
      </c>
      <c r="B71" s="144" t="str">
        <f aca="false">Bar!B73</f>
        <v>DIEMERSDAL CAB-MERLOT</v>
      </c>
      <c r="C71" s="144" t="str">
        <f aca="false">Bar!C73</f>
        <v>BOTTLE</v>
      </c>
      <c r="D71" s="144" t="n">
        <f aca="false">MROUND(Bar!D73*2,5)</f>
        <v>170</v>
      </c>
    </row>
    <row r="72" customFormat="false" ht="13.8" hidden="false" customHeight="false" outlineLevel="0" collapsed="false">
      <c r="A72" s="144" t="str">
        <f aca="false">Bar!A74</f>
        <v>RED WINE:</v>
      </c>
      <c r="B72" s="144" t="str">
        <f aca="false">Bar!B74</f>
        <v>GUARDIAN PEAK MERLOT</v>
      </c>
      <c r="C72" s="144" t="str">
        <f aca="false">Bar!C74</f>
        <v>BOTTLE</v>
      </c>
      <c r="D72" s="144" t="n">
        <f aca="false">MROUND(Bar!D74*2,5)</f>
        <v>175</v>
      </c>
    </row>
    <row r="73" customFormat="false" ht="13.8" hidden="false" customHeight="false" outlineLevel="0" collapsed="false">
      <c r="A73" s="144" t="str">
        <f aca="false">Bar!A75</f>
        <v>RED WINE:</v>
      </c>
      <c r="B73" s="144" t="str">
        <f aca="false">Bar!B75</f>
        <v>BEYERSKLOOF PINOTAGE</v>
      </c>
      <c r="C73" s="144" t="str">
        <f aca="false">Bar!C75</f>
        <v>BOTTLE</v>
      </c>
      <c r="D73" s="144" t="n">
        <f aca="false">MROUND(Bar!D75*2,5)</f>
        <v>210</v>
      </c>
    </row>
    <row r="74" customFormat="false" ht="13.8" hidden="false" customHeight="false" outlineLevel="0" collapsed="false">
      <c r="A74" s="144" t="str">
        <f aca="false">Bar!A76</f>
        <v>RED WINE:</v>
      </c>
      <c r="B74" s="144" t="str">
        <f aca="false">Bar!B76</f>
        <v>RICKETY BRIDGE MERLOT</v>
      </c>
      <c r="C74" s="144" t="str">
        <f aca="false">Bar!C76</f>
        <v>BOTTLE</v>
      </c>
      <c r="D74" s="144" t="n">
        <f aca="false">MROUND(Bar!D76*2,5)</f>
        <v>260</v>
      </c>
    </row>
    <row r="75" customFormat="false" ht="13.8" hidden="false" customHeight="false" outlineLevel="0" collapsed="false">
      <c r="A75" s="144" t="str">
        <f aca="false">Bar!A77</f>
        <v>RUM:</v>
      </c>
      <c r="B75" s="144" t="str">
        <f aca="false">Bar!B77</f>
        <v>CAPTAIN MORGAN - DARK RUM</v>
      </c>
      <c r="C75" s="144" t="str">
        <f aca="false">Bar!C77</f>
        <v>25ML TOT</v>
      </c>
      <c r="D75" s="144" t="n">
        <f aca="false">MROUND(Bar!D77*2,5)</f>
        <v>15</v>
      </c>
    </row>
    <row r="76" customFormat="false" ht="13.8" hidden="false" customHeight="false" outlineLevel="0" collapsed="false">
      <c r="A76" s="144" t="str">
        <f aca="false">Bar!A78</f>
        <v>RUM:</v>
      </c>
      <c r="B76" s="144" t="str">
        <f aca="false">Bar!B78</f>
        <v>CAPTAIN MORGAN - SPICED GOLD</v>
      </c>
      <c r="C76" s="144" t="str">
        <f aca="false">Bar!C78</f>
        <v>25ML TOT</v>
      </c>
      <c r="D76" s="144" t="n">
        <f aca="false">MROUND(Bar!D78*2,5)</f>
        <v>10</v>
      </c>
    </row>
    <row r="77" customFormat="false" ht="13.8" hidden="false" customHeight="false" outlineLevel="0" collapsed="false">
      <c r="A77" s="144" t="str">
        <f aca="false">Bar!A79</f>
        <v>RUM:</v>
      </c>
      <c r="B77" s="144" t="str">
        <f aca="false">Bar!B79</f>
        <v>RED HEART</v>
      </c>
      <c r="C77" s="144" t="str">
        <f aca="false">Bar!C79</f>
        <v>25ML TOT</v>
      </c>
      <c r="D77" s="144" t="n">
        <f aca="false">MROUND(Bar!D79*2,5)</f>
        <v>15</v>
      </c>
    </row>
    <row r="78" customFormat="false" ht="13.8" hidden="false" customHeight="false" outlineLevel="0" collapsed="false">
      <c r="A78" s="144" t="str">
        <f aca="false">Bar!A80</f>
        <v>SHOOTERS:</v>
      </c>
      <c r="B78" s="144" t="str">
        <f aca="false">Bar!B80</f>
        <v>AMARULA</v>
      </c>
      <c r="C78" s="144" t="str">
        <f aca="false">Bar!C80</f>
        <v>25ML TOT</v>
      </c>
      <c r="D78" s="144" t="n">
        <f aca="false">MROUND(Bar!D80*2,5)</f>
        <v>10</v>
      </c>
    </row>
    <row r="79" customFormat="false" ht="13.8" hidden="false" customHeight="false" outlineLevel="0" collapsed="false">
      <c r="A79" s="144" t="str">
        <f aca="false">Bar!A81</f>
        <v>SHOOTERS:</v>
      </c>
      <c r="B79" s="144" t="str">
        <f aca="false">Bar!B81</f>
        <v>KAHLUA</v>
      </c>
      <c r="C79" s="144" t="str">
        <f aca="false">Bar!C81</f>
        <v>25ML TOT</v>
      </c>
      <c r="D79" s="144" t="n">
        <f aca="false">MROUND(Bar!D81*2,5)</f>
        <v>20</v>
      </c>
    </row>
    <row r="80" customFormat="false" ht="13.8" hidden="false" customHeight="false" outlineLevel="0" collapsed="false">
      <c r="A80" s="144" t="str">
        <f aca="false">Bar!A82</f>
        <v>SHOOTERS:</v>
      </c>
      <c r="B80" s="144" t="str">
        <f aca="false">Bar!B82</f>
        <v>APEROL</v>
      </c>
      <c r="C80" s="144" t="str">
        <f aca="false">Bar!C82</f>
        <v>25ML TOT</v>
      </c>
      <c r="D80" s="144" t="n">
        <f aca="false">MROUND(Bar!D82*2,5)</f>
        <v>15</v>
      </c>
    </row>
    <row r="81" customFormat="false" ht="13.8" hidden="false" customHeight="false" outlineLevel="0" collapsed="false">
      <c r="A81" s="144" t="str">
        <f aca="false">Bar!A83</f>
        <v>SHOOTERS:</v>
      </c>
      <c r="B81" s="144" t="str">
        <f aca="false">Bar!B83</f>
        <v>CACTUS JACK</v>
      </c>
      <c r="C81" s="144" t="str">
        <f aca="false">Bar!C83</f>
        <v>25ML TOT</v>
      </c>
      <c r="D81" s="144" t="n">
        <f aca="false">MROUND(Bar!D83*2,5)</f>
        <v>10</v>
      </c>
    </row>
    <row r="82" customFormat="false" ht="13.8" hidden="false" customHeight="false" outlineLevel="0" collapsed="false">
      <c r="A82" s="144" t="str">
        <f aca="false">Bar!A84</f>
        <v>SHOOTERS:</v>
      </c>
      <c r="B82" s="144" t="str">
        <f aca="false">Bar!B84</f>
        <v>BUTLERS PEPPERMINT</v>
      </c>
      <c r="C82" s="144" t="str">
        <f aca="false">Bar!C84</f>
        <v>25ML TOT</v>
      </c>
      <c r="D82" s="144" t="n">
        <f aca="false">MROUND(Bar!D84*2,5)</f>
        <v>10</v>
      </c>
    </row>
    <row r="83" customFormat="false" ht="13.8" hidden="false" customHeight="false" outlineLevel="0" collapsed="false">
      <c r="A83" s="144" t="str">
        <f aca="false">Bar!A85</f>
        <v>SHOOTERS:</v>
      </c>
      <c r="B83" s="144" t="str">
        <f aca="false">Bar!B85</f>
        <v>JAGERMEISTER</v>
      </c>
      <c r="C83" s="144" t="str">
        <f aca="false">Bar!C85</f>
        <v>25ML TOT</v>
      </c>
      <c r="D83" s="144" t="n">
        <f aca="false">MROUND(Bar!D85*2,5)</f>
        <v>20</v>
      </c>
    </row>
    <row r="84" customFormat="false" ht="13.8" hidden="false" customHeight="false" outlineLevel="0" collapsed="false">
      <c r="A84" s="144" t="str">
        <f aca="false">Bar!A86</f>
        <v>SHOOTERS:</v>
      </c>
      <c r="B84" s="144" t="str">
        <f aca="false">Bar!B86</f>
        <v>STRAWBERRY LIPS</v>
      </c>
      <c r="C84" s="144" t="str">
        <f aca="false">Bar!C86</f>
        <v>25ML TOT</v>
      </c>
      <c r="D84" s="144" t="n">
        <f aca="false">MROUND(Bar!D86*2,5)</f>
        <v>10</v>
      </c>
    </row>
    <row r="85" customFormat="false" ht="13.8" hidden="false" customHeight="false" outlineLevel="0" collapsed="false">
      <c r="A85" s="144" t="str">
        <f aca="false">Bar!A87</f>
        <v>SHOOTERS:</v>
      </c>
      <c r="B85" s="144" t="str">
        <f aca="false">Bar!B87</f>
        <v>JOSE CUERVO GOLD</v>
      </c>
      <c r="C85" s="144" t="str">
        <f aca="false">Bar!C87</f>
        <v>25ML TOT</v>
      </c>
      <c r="D85" s="144" t="n">
        <f aca="false">MROUND(Bar!D87*2,5)</f>
        <v>20</v>
      </c>
    </row>
    <row r="86" customFormat="false" ht="13.8" hidden="false" customHeight="false" outlineLevel="0" collapsed="false">
      <c r="A86" s="144" t="str">
        <f aca="false">Bar!A88</f>
        <v>SHOOTERS:</v>
      </c>
      <c r="B86" s="144" t="str">
        <f aca="false">Bar!B88</f>
        <v>TANG</v>
      </c>
      <c r="C86" s="144" t="str">
        <f aca="false">Bar!C88</f>
        <v>25ML TOT</v>
      </c>
      <c r="D86" s="144" t="n">
        <f aca="false">MROUND(Bar!D88*2,5)</f>
        <v>5</v>
      </c>
    </row>
    <row r="87" customFormat="false" ht="13.8" hidden="false" customHeight="false" outlineLevel="0" collapsed="false">
      <c r="A87" s="144" t="str">
        <f aca="false">Bar!A89</f>
        <v>SPARKLING WINE:</v>
      </c>
      <c r="B87" s="144" t="str">
        <f aca="false">Bar!B89</f>
        <v>BRUCE JACK BUMBLE BEE</v>
      </c>
      <c r="C87" s="144" t="str">
        <f aca="false">Bar!C89</f>
        <v>750ML</v>
      </c>
      <c r="D87" s="144" t="n">
        <f aca="false">MROUND(Bar!D89*2,5)</f>
        <v>180</v>
      </c>
    </row>
    <row r="88" customFormat="false" ht="13.8" hidden="false" customHeight="false" outlineLevel="0" collapsed="false">
      <c r="A88" s="144" t="str">
        <f aca="false">Bar!A90</f>
        <v>SPARKLING WINE:</v>
      </c>
      <c r="B88" s="144" t="str">
        <f aca="false">Bar!B90</f>
        <v>MISS MOLLY MCC BRUT</v>
      </c>
      <c r="C88" s="144" t="str">
        <f aca="false">Bar!C90</f>
        <v>750ML</v>
      </c>
      <c r="D88" s="144" t="n">
        <f aca="false">MROUND(Bar!D90*2,5)</f>
        <v>225</v>
      </c>
    </row>
    <row r="89" customFormat="false" ht="13.8" hidden="false" customHeight="false" outlineLevel="0" collapsed="false">
      <c r="A89" s="144" t="str">
        <f aca="false">Bar!A91</f>
        <v>SPARKLING WINE:</v>
      </c>
      <c r="B89" s="144" t="str">
        <f aca="false">Bar!B91</f>
        <v>JC LE ROUX LE DOMAINE</v>
      </c>
      <c r="C89" s="144" t="str">
        <f aca="false">Bar!C91</f>
        <v>750ML</v>
      </c>
      <c r="D89" s="144" t="n">
        <f aca="false">MROUND(Bar!D91*2,5)</f>
        <v>200</v>
      </c>
    </row>
    <row r="90" customFormat="false" ht="13.8" hidden="false" customHeight="false" outlineLevel="0" collapsed="false">
      <c r="A90" s="144" t="str">
        <f aca="false">Bar!A92</f>
        <v>SPARKLING WINE:</v>
      </c>
      <c r="B90" s="144" t="str">
        <f aca="false">Bar!B92</f>
        <v>PROSECCO</v>
      </c>
      <c r="C90" s="144" t="str">
        <f aca="false">Bar!C92</f>
        <v>750ML</v>
      </c>
      <c r="D90" s="144" t="n">
        <f aca="false">MROUND(Bar!D92*2,5)</f>
        <v>360</v>
      </c>
    </row>
    <row r="91" customFormat="false" ht="13.8" hidden="false" customHeight="false" outlineLevel="0" collapsed="false">
      <c r="A91" s="144" t="str">
        <f aca="false">Bar!A93</f>
        <v>WHISKY:</v>
      </c>
      <c r="B91" s="144" t="str">
        <f aca="false">Bar!B93</f>
        <v>BELLS</v>
      </c>
      <c r="C91" s="144" t="str">
        <f aca="false">Bar!C93</f>
        <v>25ML TOT</v>
      </c>
      <c r="D91" s="144" t="n">
        <f aca="false">MROUND(Bar!D93*2,5)</f>
        <v>15</v>
      </c>
    </row>
    <row r="92" customFormat="false" ht="13.8" hidden="false" customHeight="false" outlineLevel="0" collapsed="false">
      <c r="A92" s="144" t="str">
        <f aca="false">Bar!A94</f>
        <v>WHISKY:</v>
      </c>
      <c r="B92" s="144" t="str">
        <f aca="false">Bar!B94</f>
        <v>JOHNNY WALKER BLACK</v>
      </c>
      <c r="C92" s="144" t="str">
        <f aca="false">Bar!C94</f>
        <v>25ML TOT</v>
      </c>
      <c r="D92" s="144" t="n">
        <f aca="false">MROUND(Bar!D94*2,5)</f>
        <v>35</v>
      </c>
    </row>
    <row r="93" customFormat="false" ht="13.8" hidden="false" customHeight="false" outlineLevel="0" collapsed="false">
      <c r="A93" s="144" t="str">
        <f aca="false">Bar!A95</f>
        <v>WHISKY:</v>
      </c>
      <c r="B93" s="144" t="str">
        <f aca="false">Bar!B95</f>
        <v>JAMESON</v>
      </c>
      <c r="C93" s="144" t="str">
        <f aca="false">Bar!C95</f>
        <v>25ML TOT</v>
      </c>
      <c r="D93" s="144" t="n">
        <f aca="false">MROUND(Bar!D95*2,5)</f>
        <v>25</v>
      </c>
    </row>
    <row r="94" customFormat="false" ht="13.8" hidden="false" customHeight="false" outlineLevel="0" collapsed="false">
      <c r="A94" s="144" t="str">
        <f aca="false">Bar!A96</f>
        <v>WHITE SPIRITS:</v>
      </c>
      <c r="B94" s="144" t="str">
        <f aca="false">Bar!B96</f>
        <v>CAPE TO RIO CANE</v>
      </c>
      <c r="C94" s="144" t="str">
        <f aca="false">Bar!C96</f>
        <v>25ML TOT</v>
      </c>
      <c r="D94" s="144" t="n">
        <f aca="false">MROUND(Bar!D96*2,5)</f>
        <v>10</v>
      </c>
    </row>
    <row r="95" customFormat="false" ht="13.8" hidden="false" customHeight="false" outlineLevel="0" collapsed="false">
      <c r="A95" s="144" t="str">
        <f aca="false">Bar!A97</f>
        <v>WHITE SPIRITS:</v>
      </c>
      <c r="B95" s="144" t="str">
        <f aca="false">Bar!B97</f>
        <v>GORDONS GIN</v>
      </c>
      <c r="C95" s="144" t="str">
        <f aca="false">Bar!C97</f>
        <v>25ML TOT</v>
      </c>
      <c r="D95" s="144" t="n">
        <f aca="false">MROUND(Bar!D97*2,5)</f>
        <v>10</v>
      </c>
    </row>
    <row r="96" customFormat="false" ht="13.8" hidden="false" customHeight="false" outlineLevel="0" collapsed="false">
      <c r="A96" s="144" t="str">
        <f aca="false">Bar!A98</f>
        <v>WHITE SPIRITS:</v>
      </c>
      <c r="B96" s="144" t="str">
        <f aca="false">Bar!B98</f>
        <v>BOMBAY SAPPHIRE GIN</v>
      </c>
      <c r="C96" s="144" t="str">
        <f aca="false">Bar!C98</f>
        <v>25ML TOT</v>
      </c>
      <c r="D96" s="144" t="n">
        <f aca="false">MROUND(Bar!D98*2,5)</f>
        <v>25</v>
      </c>
    </row>
    <row r="97" customFormat="false" ht="13.8" hidden="false" customHeight="false" outlineLevel="0" collapsed="false">
      <c r="A97" s="144" t="str">
        <f aca="false">Bar!A99</f>
        <v>WHITE SPIRITS:</v>
      </c>
      <c r="B97" s="144" t="str">
        <f aca="false">Bar!B99</f>
        <v>SMIRNOFF INFUSIONS</v>
      </c>
      <c r="C97" s="144" t="str">
        <f aca="false">Bar!C99</f>
        <v>25ML TOT</v>
      </c>
      <c r="D97" s="144" t="n">
        <f aca="false">MROUND(Bar!D99*2,5)</f>
        <v>10</v>
      </c>
    </row>
    <row r="98" customFormat="false" ht="13.8" hidden="false" customHeight="false" outlineLevel="0" collapsed="false">
      <c r="A98" s="144" t="str">
        <f aca="false">Bar!A100</f>
        <v>WHITE SPIRITS:</v>
      </c>
      <c r="B98" s="144" t="str">
        <f aca="false">Bar!B100</f>
        <v>SMIRNOFF 1818 VODKA</v>
      </c>
      <c r="C98" s="144" t="str">
        <f aca="false">Bar!C100</f>
        <v>25ML TOT</v>
      </c>
      <c r="D98" s="144" t="n">
        <f aca="false">MROUND(Bar!D100*2,5)</f>
        <v>10</v>
      </c>
    </row>
    <row r="99" customFormat="false" ht="13.8" hidden="false" customHeight="false" outlineLevel="0" collapsed="false">
      <c r="A99" s="144" t="str">
        <f aca="false">Bar!A101</f>
        <v>WHITE WINE:</v>
      </c>
      <c r="B99" s="144" t="str">
        <f aca="false">Bar!B101</f>
        <v>SOPHIE WHITE</v>
      </c>
      <c r="C99" s="144" t="str">
        <f aca="false">Bar!C101</f>
        <v>BOTTLE</v>
      </c>
      <c r="D99" s="144" t="n">
        <f aca="false">MROUND(Bar!D101*2,5)</f>
        <v>185</v>
      </c>
    </row>
    <row r="100" customFormat="false" ht="13.8" hidden="false" customHeight="false" outlineLevel="0" collapsed="false">
      <c r="A100" s="144" t="str">
        <f aca="false">Bar!A102</f>
        <v>WHITE WINE:</v>
      </c>
      <c r="B100" s="144" t="str">
        <f aca="false">Bar!B102</f>
        <v>PETIT CHENIN BLANC</v>
      </c>
      <c r="C100" s="144" t="str">
        <f aca="false">Bar!C102</f>
        <v>BOTTLE</v>
      </c>
      <c r="D100" s="144" t="n">
        <f aca="false">MROUND(Bar!D102*2,5)</f>
        <v>135</v>
      </c>
    </row>
    <row r="101" customFormat="false" ht="13.8" hidden="false" customHeight="false" outlineLevel="0" collapsed="false">
      <c r="A101" s="144" t="str">
        <f aca="false">Bar!A103</f>
        <v>WHITE WINE:</v>
      </c>
      <c r="B101" s="144" t="str">
        <f aca="false">Bar!B103</f>
        <v>GUARDIAN PEAK CHENIN BLANC</v>
      </c>
      <c r="C101" s="144" t="str">
        <f aca="false">Bar!C103</f>
        <v>BOTTLE</v>
      </c>
      <c r="D101" s="144" t="n">
        <f aca="false">MROUND(Bar!D103*2,5)</f>
        <v>175</v>
      </c>
    </row>
    <row r="102" customFormat="false" ht="13.8" hidden="false" customHeight="false" outlineLevel="0" collapsed="false">
      <c r="A102" s="144" t="str">
        <f aca="false">Bar!A104</f>
        <v>ROSE WINE:</v>
      </c>
      <c r="B102" s="144" t="str">
        <f aca="false">Bar!B104</f>
        <v>LIMESTONE HILL CHARDONNAY</v>
      </c>
      <c r="C102" s="144" t="str">
        <f aca="false">Bar!C104</f>
        <v>BOTTLE</v>
      </c>
      <c r="D102" s="144" t="n">
        <f aca="false">MROUND(Bar!D104*2,5)</f>
        <v>200</v>
      </c>
    </row>
    <row r="103" customFormat="false" ht="13.8" hidden="false" customHeight="false" outlineLevel="0" collapsed="false">
      <c r="A103" s="144" t="str">
        <f aca="false">Bar!A105</f>
        <v>ROSE WINE:</v>
      </c>
      <c r="B103" s="144" t="str">
        <f aca="false">Bar!B105</f>
        <v>SOPHIE ROSE</v>
      </c>
      <c r="C103" s="144" t="str">
        <f aca="false">Bar!C105</f>
        <v>BOTTLE</v>
      </c>
      <c r="D103" s="144" t="n">
        <f aca="false">MROUND(Bar!D105*2,5)</f>
        <v>185</v>
      </c>
    </row>
    <row r="104" customFormat="false" ht="13.8" hidden="false" customHeight="false" outlineLevel="0" collapsed="false">
      <c r="A104" s="144" t="str">
        <f aca="false">Bar!A106</f>
        <v>WHITE WINE:</v>
      </c>
      <c r="B104" s="144" t="str">
        <f aca="false">Bar!B106</f>
        <v>BRUCE JACK RESERVE SAUVIGNON BLANC</v>
      </c>
      <c r="C104" s="144" t="str">
        <f aca="false">Bar!C106</f>
        <v>BOTTLE</v>
      </c>
      <c r="D104" s="144" t="n">
        <f aca="false">MROUND(Bar!D106*2,5)</f>
        <v>270</v>
      </c>
    </row>
    <row r="105" customFormat="false" ht="13.8" hidden="false" customHeight="false" outlineLevel="0" collapsed="false">
      <c r="A105" s="144" t="str">
        <f aca="false">Bar!A107</f>
        <v>ROSE WINE:</v>
      </c>
      <c r="B105" s="144" t="str">
        <f aca="false">Bar!B107</f>
        <v>LEAPARDS LEAP ROSE</v>
      </c>
      <c r="C105" s="144" t="str">
        <f aca="false">Bar!C107</f>
        <v>BOTTLE</v>
      </c>
      <c r="D105" s="144" t="n">
        <f aca="false">MROUND(Bar!D107*2,5)</f>
        <v>135</v>
      </c>
    </row>
    <row r="106" customFormat="false" ht="13.8" hidden="false" customHeight="false" outlineLevel="0" collapsed="false">
      <c r="A106" s="144" t="str">
        <f aca="false">Bar!A108</f>
        <v>WHITE WINE:</v>
      </c>
      <c r="B106" s="144" t="str">
        <f aca="false">Bar!B108</f>
        <v>PETIT SAUVIGNON BLANC</v>
      </c>
      <c r="C106" s="144" t="str">
        <f aca="false">Bar!C108</f>
        <v>BOTTLE</v>
      </c>
      <c r="D106" s="144" t="n">
        <f aca="false">MROUND(Bar!D108*2,5)</f>
        <v>135</v>
      </c>
    </row>
    <row r="10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2018-01-17T06:38:37Z</dcterms:created>
  <dc:creator>wyvern</dc:creator>
  <dc:description/>
  <dc:language>en-ZA</dc:language>
  <cp:lastModifiedBy/>
  <cp:lastPrinted>2025-04-02T06:25:35Z</cp:lastPrinted>
  <dcterms:modified xsi:type="dcterms:W3CDTF">2025-05-02T17:01:24Z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