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yvern\OneDrive - kingswoodcollege.com\"/>
    </mc:Choice>
  </mc:AlternateContent>
  <bookViews>
    <workbookView xWindow="0" yWindow="0" windowWidth="19200" windowHeight="12780"/>
  </bookViews>
  <sheets>
    <sheet name="Bar" sheetId="1" r:id="rId1"/>
    <sheet name="Tuckshop" sheetId="2" r:id="rId2"/>
    <sheet name="Pricing Structure" sheetId="3" r:id="rId3"/>
  </sheets>
  <definedNames>
    <definedName name="_xlnm.Print_Area" localSheetId="0">Bar!$A$2:$G$110</definedName>
    <definedName name="_xlnm.Print_Area" localSheetId="1">Tuckshop!$A$2:$E$87</definedName>
  </definedNames>
  <calcPr calcId="162913"/>
</workbook>
</file>

<file path=xl/calcChain.xml><?xml version="1.0" encoding="utf-8"?>
<calcChain xmlns="http://schemas.openxmlformats.org/spreadsheetml/2006/main">
  <c r="F40" i="2" l="1"/>
  <c r="D104" i="1" l="1"/>
  <c r="D79" i="2"/>
  <c r="D80" i="2"/>
  <c r="D78" i="2"/>
  <c r="D81" i="2"/>
  <c r="D49" i="1"/>
  <c r="D25" i="1"/>
  <c r="D3" i="2"/>
  <c r="D16" i="1"/>
  <c r="D10" i="1"/>
  <c r="D14" i="1"/>
  <c r="D12" i="1"/>
  <c r="D29" i="1"/>
  <c r="D47" i="2"/>
  <c r="D53" i="1"/>
  <c r="D36" i="1"/>
  <c r="D20" i="1"/>
  <c r="D19" i="1"/>
  <c r="D8" i="1"/>
  <c r="D80" i="1"/>
  <c r="D85" i="1"/>
  <c r="D78" i="1"/>
  <c r="D15" i="1"/>
  <c r="D13" i="1"/>
  <c r="D7" i="1"/>
  <c r="D18" i="1"/>
  <c r="D83" i="1"/>
  <c r="D34" i="1"/>
  <c r="H34" i="1"/>
  <c r="I34" i="1" s="1"/>
  <c r="H7" i="1"/>
  <c r="H14" i="1"/>
  <c r="I14" i="1"/>
  <c r="I7" i="1" l="1"/>
  <c r="H109" i="1"/>
  <c r="I109" i="1" s="1"/>
  <c r="H105" i="1"/>
  <c r="I105" i="1" s="1"/>
  <c r="D48" i="2"/>
  <c r="D68" i="1"/>
  <c r="D32" i="1"/>
  <c r="D12" i="2"/>
  <c r="D42" i="2"/>
  <c r="D56" i="1"/>
  <c r="D55" i="1"/>
  <c r="D54" i="1"/>
  <c r="D89" i="1"/>
  <c r="D92" i="1"/>
  <c r="D77" i="1"/>
  <c r="D11" i="1"/>
  <c r="D4" i="1"/>
  <c r="D98" i="1"/>
  <c r="D27" i="1"/>
  <c r="D50" i="2"/>
  <c r="D49" i="2"/>
  <c r="D60" i="1"/>
  <c r="D57" i="1"/>
  <c r="D58" i="1"/>
  <c r="D45" i="1"/>
  <c r="D50" i="1"/>
  <c r="D38" i="1"/>
  <c r="D36" i="2"/>
  <c r="D31" i="2"/>
  <c r="D42" i="1"/>
  <c r="D26" i="1"/>
  <c r="D97" i="1"/>
  <c r="D95" i="1"/>
  <c r="D6" i="1"/>
  <c r="D5" i="1"/>
  <c r="D64" i="1"/>
  <c r="D61" i="1"/>
  <c r="D59" i="1"/>
  <c r="F36" i="2" l="1"/>
  <c r="F48" i="2"/>
  <c r="F49" i="2"/>
  <c r="D53" i="2" l="1"/>
  <c r="F53" i="2" s="1"/>
  <c r="D82" i="1"/>
  <c r="D30" i="1"/>
  <c r="D31" i="1"/>
  <c r="D28" i="1"/>
  <c r="D9" i="2"/>
  <c r="D38" i="2"/>
  <c r="F38" i="2" s="1"/>
  <c r="D21" i="2"/>
  <c r="D26" i="2"/>
  <c r="D25" i="2"/>
  <c r="D30" i="2"/>
  <c r="D35" i="2"/>
  <c r="D16" i="2"/>
  <c r="D39" i="2"/>
  <c r="D85" i="2"/>
  <c r="D84" i="2"/>
  <c r="D83" i="2"/>
  <c r="D82" i="2"/>
  <c r="D86" i="2"/>
  <c r="D87" i="2"/>
  <c r="D64" i="2"/>
  <c r="H82" i="1"/>
  <c r="I82" i="1" l="1"/>
  <c r="D24" i="2"/>
  <c r="D52" i="1"/>
  <c r="D62" i="2"/>
  <c r="D23" i="2"/>
  <c r="D45" i="2"/>
  <c r="D44" i="2"/>
  <c r="D28" i="2"/>
  <c r="D19" i="2"/>
  <c r="D43" i="2"/>
  <c r="D22" i="2"/>
  <c r="D27" i="2"/>
  <c r="D4" i="2"/>
  <c r="D5" i="2"/>
  <c r="D94" i="1"/>
  <c r="D87" i="1"/>
  <c r="D22" i="1"/>
  <c r="D24" i="1"/>
  <c r="D21" i="1"/>
  <c r="D23" i="1"/>
  <c r="D9" i="1"/>
  <c r="H12" i="1"/>
  <c r="I12" i="1" s="1"/>
  <c r="D99" i="1"/>
  <c r="F33" i="2" l="1"/>
  <c r="F22" i="2"/>
  <c r="F27" i="2"/>
  <c r="F31" i="2"/>
  <c r="H41" i="1"/>
  <c r="I41" i="1" s="1"/>
  <c r="D93" i="3" l="1"/>
  <c r="F93" i="3" s="1"/>
  <c r="F39" i="3"/>
  <c r="F40" i="3"/>
  <c r="F49" i="3"/>
  <c r="F50" i="3"/>
  <c r="F51" i="3"/>
  <c r="F52" i="3"/>
  <c r="F53" i="3"/>
  <c r="F63" i="3"/>
  <c r="F66" i="3"/>
  <c r="F73" i="3"/>
  <c r="F74" i="3"/>
  <c r="F75" i="3"/>
  <c r="F76" i="3"/>
  <c r="F77" i="3"/>
  <c r="F78" i="3"/>
  <c r="F79" i="3"/>
  <c r="F80" i="3"/>
  <c r="F81" i="3"/>
  <c r="F95" i="3"/>
  <c r="F97" i="3"/>
  <c r="F110" i="3"/>
  <c r="F111" i="3"/>
  <c r="F112" i="3"/>
  <c r="F113" i="3"/>
  <c r="F114" i="3"/>
  <c r="F115" i="3"/>
  <c r="F116" i="3"/>
  <c r="F117" i="3"/>
  <c r="D13" i="3" l="1"/>
  <c r="F13" i="3" s="1"/>
  <c r="D24" i="3"/>
  <c r="F24" i="3" s="1"/>
  <c r="D25" i="3"/>
  <c r="F25" i="3" s="1"/>
  <c r="D22" i="3"/>
  <c r="F22" i="3" s="1"/>
  <c r="D5" i="3"/>
  <c r="F5" i="3" s="1"/>
  <c r="D108" i="3"/>
  <c r="F108" i="3" s="1"/>
  <c r="D107" i="3"/>
  <c r="F107" i="3" s="1"/>
  <c r="D106" i="3"/>
  <c r="F106" i="3" s="1"/>
  <c r="D105" i="3"/>
  <c r="F105" i="3" s="1"/>
  <c r="D104" i="3"/>
  <c r="F104" i="3" s="1"/>
  <c r="D103" i="3"/>
  <c r="F103" i="3" s="1"/>
  <c r="D101" i="3"/>
  <c r="F101" i="3" s="1"/>
  <c r="D100" i="3"/>
  <c r="F100" i="3" s="1"/>
  <c r="D99" i="3"/>
  <c r="F99" i="3" s="1"/>
  <c r="D96" i="3"/>
  <c r="F96" i="3" s="1"/>
  <c r="D92" i="3"/>
  <c r="F92" i="3" s="1"/>
  <c r="D91" i="3"/>
  <c r="F91" i="3" s="1"/>
  <c r="D90" i="3"/>
  <c r="F90" i="3" s="1"/>
  <c r="D89" i="3"/>
  <c r="F89" i="3" s="1"/>
  <c r="D88" i="3"/>
  <c r="F88" i="3" s="1"/>
  <c r="D87" i="3"/>
  <c r="F87" i="3" s="1"/>
  <c r="D86" i="3"/>
  <c r="F86" i="3" s="1"/>
  <c r="D84" i="3"/>
  <c r="F84" i="3" s="1"/>
  <c r="D83" i="3"/>
  <c r="F83" i="3" s="1"/>
  <c r="D71" i="3"/>
  <c r="F71" i="3" s="1"/>
  <c r="D69" i="3"/>
  <c r="F69" i="3" s="1"/>
  <c r="D68" i="3"/>
  <c r="F68" i="3" s="1"/>
  <c r="D67" i="3"/>
  <c r="F67" i="3" s="1"/>
  <c r="D65" i="3"/>
  <c r="F65" i="3" s="1"/>
  <c r="D64" i="3"/>
  <c r="F64" i="3" s="1"/>
  <c r="D62" i="3"/>
  <c r="F62" i="3" s="1"/>
  <c r="D61" i="3"/>
  <c r="F61" i="3" s="1"/>
  <c r="D60" i="3"/>
  <c r="F60" i="3" s="1"/>
  <c r="D59" i="3"/>
  <c r="F59" i="3" s="1"/>
  <c r="D58" i="3"/>
  <c r="F58" i="3" s="1"/>
  <c r="D57" i="3"/>
  <c r="F57" i="3" s="1"/>
  <c r="D56" i="3"/>
  <c r="F56" i="3" s="1"/>
  <c r="D55" i="3"/>
  <c r="F55" i="3" s="1"/>
  <c r="D54" i="3"/>
  <c r="F54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41" i="3"/>
  <c r="F41" i="3" s="1"/>
  <c r="D38" i="3"/>
  <c r="F38" i="3" s="1"/>
  <c r="D36" i="3"/>
  <c r="F36" i="3" s="1"/>
  <c r="D35" i="3"/>
  <c r="F35" i="3" s="1"/>
  <c r="D34" i="3"/>
  <c r="F34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3" i="3"/>
  <c r="F23" i="3" s="1"/>
  <c r="D20" i="3"/>
  <c r="F20" i="3" s="1"/>
  <c r="D19" i="3"/>
  <c r="F19" i="3" s="1"/>
  <c r="D17" i="3"/>
  <c r="F17" i="3" s="1"/>
  <c r="D16" i="3"/>
  <c r="F16" i="3" s="1"/>
  <c r="D15" i="3"/>
  <c r="F15" i="3" s="1"/>
  <c r="D14" i="3"/>
  <c r="F14" i="3" s="1"/>
  <c r="D12" i="3"/>
  <c r="F12" i="3" s="1"/>
  <c r="D11" i="3"/>
  <c r="F11" i="3" s="1"/>
  <c r="D10" i="3"/>
  <c r="F10" i="3" s="1"/>
  <c r="D9" i="3"/>
  <c r="F9" i="3" s="1"/>
  <c r="D8" i="3"/>
  <c r="F8" i="3" s="1"/>
  <c r="D7" i="3"/>
  <c r="F7" i="3" s="1"/>
  <c r="D6" i="3"/>
  <c r="F6" i="3" s="1"/>
  <c r="D4" i="3"/>
  <c r="F4" i="3" s="1"/>
  <c r="D3" i="3"/>
  <c r="F3" i="3" s="1"/>
  <c r="F14" i="2" l="1"/>
  <c r="F15" i="2"/>
  <c r="D13" i="2"/>
  <c r="F13" i="2" s="1"/>
  <c r="D29" i="2"/>
  <c r="F64" i="2"/>
  <c r="H102" i="1"/>
  <c r="I102" i="1" s="1"/>
  <c r="H45" i="1"/>
  <c r="F24" i="2"/>
  <c r="F6" i="2"/>
  <c r="D8" i="2"/>
  <c r="F8" i="2" s="1"/>
  <c r="D51" i="2" l="1"/>
  <c r="D61" i="2"/>
  <c r="D52" i="2"/>
  <c r="I45" i="1"/>
  <c r="D58" i="2"/>
  <c r="F58" i="2" s="1"/>
  <c r="F86" i="2"/>
  <c r="F87" i="2"/>
  <c r="F85" i="2"/>
  <c r="D46" i="2"/>
  <c r="D37" i="2"/>
  <c r="F37" i="2" s="1"/>
  <c r="D41" i="2"/>
  <c r="D40" i="2"/>
  <c r="F16" i="2"/>
  <c r="H52" i="1" l="1"/>
  <c r="H53" i="1"/>
  <c r="H72" i="1"/>
  <c r="H73" i="1"/>
  <c r="D32" i="2" l="1"/>
  <c r="D3" i="1"/>
  <c r="F78" i="2"/>
  <c r="F47" i="2"/>
  <c r="D35" i="1"/>
  <c r="D57" i="2"/>
  <c r="F26" i="2"/>
  <c r="F25" i="2"/>
  <c r="D71" i="2"/>
  <c r="D70" i="2"/>
  <c r="D67" i="2"/>
  <c r="D66" i="2"/>
  <c r="D65" i="2"/>
  <c r="D63" i="2"/>
  <c r="D60" i="2"/>
  <c r="D59" i="2"/>
  <c r="D56" i="2"/>
  <c r="D55" i="2"/>
  <c r="D54" i="2"/>
  <c r="D43" i="1"/>
  <c r="D63" i="1"/>
  <c r="D67" i="1"/>
  <c r="D66" i="1"/>
  <c r="D65" i="1"/>
  <c r="D62" i="1"/>
  <c r="D47" i="1"/>
  <c r="D46" i="1"/>
  <c r="D44" i="1"/>
  <c r="D39" i="1"/>
  <c r="D17" i="1"/>
  <c r="D100" i="1"/>
  <c r="I72" i="1" l="1"/>
  <c r="I52" i="1"/>
  <c r="D81" i="1"/>
  <c r="D96" i="1"/>
  <c r="D93" i="1"/>
  <c r="D33" i="1"/>
  <c r="D88" i="1"/>
  <c r="D86" i="1"/>
  <c r="H81" i="1" l="1"/>
  <c r="I81" i="1" s="1"/>
  <c r="H42" i="1"/>
  <c r="I42" i="1" s="1"/>
  <c r="H91" i="1"/>
  <c r="I91" i="1" s="1"/>
  <c r="I73" i="1"/>
  <c r="H43" i="1"/>
  <c r="I43" i="1" s="1"/>
  <c r="H22" i="1"/>
  <c r="I22" i="1" s="1"/>
  <c r="H27" i="1"/>
  <c r="I27" i="1" s="1"/>
  <c r="H28" i="1"/>
  <c r="I28" i="1" s="1"/>
  <c r="H17" i="1" l="1"/>
  <c r="I17" i="1" s="1"/>
  <c r="H94" i="1"/>
  <c r="I94" i="1" s="1"/>
  <c r="H95" i="1"/>
  <c r="I95" i="1" s="1"/>
  <c r="F10" i="2" l="1"/>
  <c r="F11" i="2"/>
  <c r="F12" i="2"/>
  <c r="F17" i="2"/>
  <c r="F18" i="2"/>
  <c r="F21" i="2"/>
  <c r="F23" i="2"/>
  <c r="F32" i="2"/>
  <c r="F34" i="2"/>
  <c r="F35" i="2"/>
  <c r="F39" i="2"/>
  <c r="F43" i="2"/>
  <c r="F44" i="2"/>
  <c r="F51" i="2"/>
  <c r="F52" i="2"/>
  <c r="F54" i="2"/>
  <c r="F55" i="2"/>
  <c r="F56" i="2"/>
  <c r="F57" i="2"/>
  <c r="F59" i="2"/>
  <c r="F60" i="2"/>
  <c r="F61" i="2"/>
  <c r="F62" i="2"/>
  <c r="F63" i="2"/>
  <c r="F65" i="2"/>
  <c r="F66" i="2"/>
  <c r="F67" i="2"/>
  <c r="F68" i="2"/>
  <c r="F70" i="2"/>
  <c r="F71" i="2"/>
  <c r="F72" i="2"/>
  <c r="F73" i="2"/>
  <c r="F74" i="2"/>
  <c r="F75" i="2"/>
  <c r="F76" i="2"/>
  <c r="F79" i="2"/>
  <c r="F80" i="2"/>
  <c r="F81" i="2"/>
  <c r="F82" i="2"/>
  <c r="F83" i="2"/>
  <c r="F84" i="2"/>
  <c r="F46" i="2"/>
  <c r="F50" i="2"/>
  <c r="F9" i="2"/>
  <c r="D7" i="2"/>
  <c r="F7" i="2" s="1"/>
  <c r="H62" i="1"/>
  <c r="I62" i="1" s="1"/>
  <c r="H39" i="1"/>
  <c r="I39" i="1" s="1"/>
  <c r="H87" i="1"/>
  <c r="I87" i="1" s="1"/>
  <c r="H20" i="1"/>
  <c r="I20" i="1" s="1"/>
  <c r="H59" i="1"/>
  <c r="I59" i="1" s="1"/>
  <c r="H60" i="1"/>
  <c r="I60" i="1" s="1"/>
  <c r="H61" i="1"/>
  <c r="I61" i="1" s="1"/>
  <c r="H92" i="1"/>
  <c r="I92" i="1" s="1"/>
  <c r="H93" i="1"/>
  <c r="I93" i="1" s="1"/>
  <c r="H96" i="1"/>
  <c r="I96" i="1" s="1"/>
  <c r="H97" i="1"/>
  <c r="I97" i="1" s="1"/>
  <c r="H98" i="1"/>
  <c r="H99" i="1"/>
  <c r="H100" i="1"/>
  <c r="I100" i="1" s="1"/>
  <c r="H101" i="1"/>
  <c r="I101" i="1" s="1"/>
  <c r="H103" i="1"/>
  <c r="I103" i="1" s="1"/>
  <c r="H104" i="1"/>
  <c r="I104" i="1" s="1"/>
  <c r="H106" i="1"/>
  <c r="I106" i="1" s="1"/>
  <c r="H107" i="1"/>
  <c r="I107" i="1" s="1"/>
  <c r="H108" i="1"/>
  <c r="I108" i="1" s="1"/>
  <c r="H6" i="1"/>
  <c r="I6" i="1" s="1"/>
  <c r="H8" i="1"/>
  <c r="I8" i="1" s="1"/>
  <c r="H9" i="1"/>
  <c r="I9" i="1" s="1"/>
  <c r="H10" i="1"/>
  <c r="I10" i="1" s="1"/>
  <c r="H11" i="1"/>
  <c r="I11" i="1" s="1"/>
  <c r="H13" i="1"/>
  <c r="I13" i="1" s="1"/>
  <c r="H15" i="1"/>
  <c r="I15" i="1" s="1"/>
  <c r="H16" i="1"/>
  <c r="I16" i="1" s="1"/>
  <c r="H18" i="1"/>
  <c r="I18" i="1" s="1"/>
  <c r="H19" i="1"/>
  <c r="I19" i="1" s="1"/>
  <c r="H21" i="1"/>
  <c r="I21" i="1" s="1"/>
  <c r="H23" i="1"/>
  <c r="I23" i="1" s="1"/>
  <c r="H24" i="1"/>
  <c r="I24" i="1" s="1"/>
  <c r="H25" i="1"/>
  <c r="I25" i="1" s="1"/>
  <c r="H26" i="1"/>
  <c r="I26" i="1" s="1"/>
  <c r="H29" i="1"/>
  <c r="I29" i="1" s="1"/>
  <c r="H30" i="1"/>
  <c r="I30" i="1" s="1"/>
  <c r="H31" i="1"/>
  <c r="I31" i="1" s="1"/>
  <c r="H32" i="1"/>
  <c r="I32" i="1" s="1"/>
  <c r="H33" i="1"/>
  <c r="I33" i="1" s="1"/>
  <c r="H35" i="1"/>
  <c r="I35" i="1" s="1"/>
  <c r="H36" i="1"/>
  <c r="I36" i="1" s="1"/>
  <c r="H37" i="1"/>
  <c r="I37" i="1" s="1"/>
  <c r="H38" i="1"/>
  <c r="I38" i="1" s="1"/>
  <c r="H40" i="1"/>
  <c r="I40" i="1" s="1"/>
  <c r="H44" i="1"/>
  <c r="I44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I53" i="1"/>
  <c r="H54" i="1"/>
  <c r="H55" i="1"/>
  <c r="H56" i="1"/>
  <c r="H57" i="1"/>
  <c r="I57" i="1" s="1"/>
  <c r="H58" i="1"/>
  <c r="I58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H69" i="1"/>
  <c r="I69" i="1" s="1"/>
  <c r="H70" i="1"/>
  <c r="I70" i="1" s="1"/>
  <c r="H71" i="1"/>
  <c r="I71" i="1" s="1"/>
  <c r="H74" i="1"/>
  <c r="I74" i="1" s="1"/>
  <c r="H75" i="1"/>
  <c r="I75" i="1" s="1"/>
  <c r="H76" i="1"/>
  <c r="I76" i="1" s="1"/>
  <c r="H77" i="1"/>
  <c r="I77" i="1" s="1"/>
  <c r="H78" i="1"/>
  <c r="H79" i="1"/>
  <c r="H80" i="1"/>
  <c r="I80" i="1" s="1"/>
  <c r="H83" i="1"/>
  <c r="I83" i="1" s="1"/>
  <c r="H84" i="1"/>
  <c r="H85" i="1"/>
  <c r="I85" i="1" s="1"/>
  <c r="H86" i="1"/>
  <c r="I86" i="1" s="1"/>
  <c r="H88" i="1"/>
  <c r="I88" i="1" s="1"/>
  <c r="H89" i="1"/>
  <c r="I89" i="1" s="1"/>
  <c r="H90" i="1"/>
  <c r="H110" i="1"/>
  <c r="I110" i="1" s="1"/>
  <c r="I55" i="1" l="1"/>
  <c r="I90" i="1"/>
  <c r="I99" i="1"/>
  <c r="I54" i="1"/>
  <c r="I78" i="1"/>
  <c r="I56" i="1"/>
  <c r="I98" i="1"/>
  <c r="D84" i="1" l="1"/>
  <c r="I84" i="1" s="1"/>
  <c r="D79" i="1"/>
  <c r="I79" i="1" s="1"/>
  <c r="D77" i="2" l="1"/>
  <c r="F77" i="2" s="1"/>
  <c r="D20" i="2"/>
  <c r="F20" i="2" s="1"/>
  <c r="F19" i="2"/>
  <c r="F28" i="2"/>
  <c r="F41" i="2"/>
  <c r="F30" i="2"/>
  <c r="F29" i="2"/>
  <c r="I68" i="1"/>
  <c r="F4" i="2"/>
  <c r="F3" i="2"/>
  <c r="D69" i="2"/>
  <c r="F69" i="2" s="1"/>
  <c r="F5" i="2"/>
  <c r="H3" i="1"/>
  <c r="I3" i="1" s="1"/>
  <c r="H4" i="1"/>
  <c r="I4" i="1" s="1"/>
  <c r="H5" i="1"/>
  <c r="I5" i="1" s="1"/>
  <c r="I111" i="1" l="1"/>
  <c r="F88" i="2"/>
</calcChain>
</file>

<file path=xl/sharedStrings.xml><?xml version="1.0" encoding="utf-8"?>
<sst xmlns="http://schemas.openxmlformats.org/spreadsheetml/2006/main" count="896" uniqueCount="252">
  <si>
    <t>CATEGORY:</t>
  </si>
  <si>
    <t>PRODUCT NAME:</t>
  </si>
  <si>
    <t>DESCRIPTION:</t>
  </si>
  <si>
    <t>BEER:</t>
  </si>
  <si>
    <t>HEINEKEN</t>
  </si>
  <si>
    <t>AMSTEL</t>
  </si>
  <si>
    <t>BLACK LABEL</t>
  </si>
  <si>
    <t>340ML BOTTLE</t>
  </si>
  <si>
    <t>CASTLE LAGER</t>
  </si>
  <si>
    <t>CASTLE LITE</t>
  </si>
  <si>
    <t>HANSA</t>
  </si>
  <si>
    <t>WINDHOEK DRAFT</t>
  </si>
  <si>
    <t>440ML BOTTLE</t>
  </si>
  <si>
    <t>WINDHOEK LAGER</t>
  </si>
  <si>
    <t>BRANDY:</t>
  </si>
  <si>
    <t>KLIPDRIFT</t>
  </si>
  <si>
    <t>25ML TOT</t>
  </si>
  <si>
    <t>RICHELIEU</t>
  </si>
  <si>
    <t>CIDERS:</t>
  </si>
  <si>
    <t>FORTIFIED SPIRITS:</t>
  </si>
  <si>
    <t>ALLESVERLOEREN</t>
  </si>
  <si>
    <t>50ML TOT</t>
  </si>
  <si>
    <t>PIMMS</t>
  </si>
  <si>
    <t>OLD BROWN</t>
  </si>
  <si>
    <t>330ML CAN</t>
  </si>
  <si>
    <t>MIXERS:</t>
  </si>
  <si>
    <t>COKE</t>
  </si>
  <si>
    <t>1000ML BOTTLE</t>
  </si>
  <si>
    <t>COKE ZERO</t>
  </si>
  <si>
    <t>FANTA GRAPE</t>
  </si>
  <si>
    <t>SPRITE</t>
  </si>
  <si>
    <t>SPRITE ZERO</t>
  </si>
  <si>
    <t>200ML CAN</t>
  </si>
  <si>
    <t>500ML BOTTLE</t>
  </si>
  <si>
    <t>APPLETIZER</t>
  </si>
  <si>
    <t>RED GRAPETIZER</t>
  </si>
  <si>
    <t>RED WINE:</t>
  </si>
  <si>
    <t>RUM:</t>
  </si>
  <si>
    <t>RED HEART</t>
  </si>
  <si>
    <t>SHOOTERS:</t>
  </si>
  <si>
    <t>AMARULA</t>
  </si>
  <si>
    <t>JAGERMEISTER</t>
  </si>
  <si>
    <t>TANG</t>
  </si>
  <si>
    <t>SPARKLING WINE:</t>
  </si>
  <si>
    <t>750ML</t>
  </si>
  <si>
    <t>WHISKY:</t>
  </si>
  <si>
    <t>BELLS</t>
  </si>
  <si>
    <t>JAMESON</t>
  </si>
  <si>
    <t>WHITE SPIRITS:</t>
  </si>
  <si>
    <t>WHITE WINE:</t>
  </si>
  <si>
    <t>FLYING FISH LEMON</t>
  </si>
  <si>
    <t>HUNTERS DRY</t>
  </si>
  <si>
    <t>HUNTERS GOLD</t>
  </si>
  <si>
    <t>SAVANNA LITE</t>
  </si>
  <si>
    <t>FL BITTER LEMON</t>
  </si>
  <si>
    <t>FL INDIAN TONIC LITE</t>
  </si>
  <si>
    <t>FL PINK TONIC</t>
  </si>
  <si>
    <t>ROSES KOLA TONIC</t>
  </si>
  <si>
    <t>ROSES LIME</t>
  </si>
  <si>
    <t>SCHWEPPS GINGERALE</t>
  </si>
  <si>
    <t>SCHWEPPS SODA WATER</t>
  </si>
  <si>
    <t>SCHWEPPS TONIC WATER</t>
  </si>
  <si>
    <t>STILL WATER</t>
  </si>
  <si>
    <t>CAPTAIN MORGAN - DARK RUM</t>
  </si>
  <si>
    <t>CAPTAIN MORGAN - SPICED GOLD</t>
  </si>
  <si>
    <t>BUTLERS PEPPERMINT</t>
  </si>
  <si>
    <t>JOSE CUERVO GOLD</t>
  </si>
  <si>
    <t>SMIRNOFF 1818 VODKA</t>
  </si>
  <si>
    <t>FL LEMONADE</t>
  </si>
  <si>
    <t>GORDONS GIN</t>
  </si>
  <si>
    <t>ROSE WINE:</t>
  </si>
  <si>
    <t>STOCK ON HAND:</t>
  </si>
  <si>
    <t>TOTALS:</t>
  </si>
  <si>
    <t>SPARKLING WATER</t>
  </si>
  <si>
    <t>PREMIUM SPIRITS:</t>
  </si>
  <si>
    <t>KWV 10YO</t>
  </si>
  <si>
    <t>FANTA ORANGE</t>
  </si>
  <si>
    <t>ROSES PASSION FRUIT</t>
  </si>
  <si>
    <t>CAPE TO RIO CANE</t>
  </si>
  <si>
    <t>OLD BAR</t>
  </si>
  <si>
    <t>NEW BAR</t>
  </si>
  <si>
    <t>TOTAL</t>
  </si>
  <si>
    <t>RICKETY BRIDGE MERLOT</t>
  </si>
  <si>
    <t>BOTTLE</t>
  </si>
  <si>
    <t>CACTUS JACK</t>
  </si>
  <si>
    <t>HEINEKEN FREE</t>
  </si>
  <si>
    <t>FL ROCK SHANDY</t>
  </si>
  <si>
    <t>440ML PET</t>
  </si>
  <si>
    <t>CRÈME SODA</t>
  </si>
  <si>
    <t>TWIST LEMON</t>
  </si>
  <si>
    <t>TWIST GRANADILLA</t>
  </si>
  <si>
    <t>BOMBAY SAPHIRE GIN</t>
  </si>
  <si>
    <t>STORE</t>
  </si>
  <si>
    <t>TUCKSHOP</t>
  </si>
  <si>
    <t>CHIPS</t>
  </si>
  <si>
    <t>LAYS 36G</t>
  </si>
  <si>
    <t>DORITOS 45G</t>
  </si>
  <si>
    <t>SIMBA 36G</t>
  </si>
  <si>
    <t>POPCORN</t>
  </si>
  <si>
    <t>STANTON BAGLEYS 12G</t>
  </si>
  <si>
    <t>SLABS</t>
  </si>
  <si>
    <t>CADBURY 80G</t>
  </si>
  <si>
    <t>KIT KAT 2 FINGER</t>
  </si>
  <si>
    <t>KIT KAT 4 FINGER</t>
  </si>
  <si>
    <t>CRUNCHIE 40G</t>
  </si>
  <si>
    <t>5 STAR CHOC</t>
  </si>
  <si>
    <t>PS MINI</t>
  </si>
  <si>
    <t>SMARTIES 17G</t>
  </si>
  <si>
    <t>CHOCOLATE</t>
  </si>
  <si>
    <t>SWEETS</t>
  </si>
  <si>
    <t>CHAMPION TOFFEE</t>
  </si>
  <si>
    <t>LOLLIPOP</t>
  </si>
  <si>
    <t>COLD DRINKS</t>
  </si>
  <si>
    <t>COCA COLA ORIG</t>
  </si>
  <si>
    <t>APPLETISER</t>
  </si>
  <si>
    <t>CAN</t>
  </si>
  <si>
    <t>GRAPETISER RED</t>
  </si>
  <si>
    <t>IRON BREW</t>
  </si>
  <si>
    <t>STONEY</t>
  </si>
  <si>
    <t>EACH</t>
  </si>
  <si>
    <t>ICED TEA LIPTON</t>
  </si>
  <si>
    <t>500ML PET</t>
  </si>
  <si>
    <t>HOT DRINKS</t>
  </si>
  <si>
    <t>NESPRESSO DECAF</t>
  </si>
  <si>
    <t>NESPRESSO BIANCO</t>
  </si>
  <si>
    <t>NESCAFE HOT CHOCOLATE</t>
  </si>
  <si>
    <t>STICK</t>
  </si>
  <si>
    <t>POD</t>
  </si>
  <si>
    <t>ENERGADE</t>
  </si>
  <si>
    <t>CAPPY ORANGE JUICE</t>
  </si>
  <si>
    <t>VALUE AT COST</t>
  </si>
  <si>
    <t>Cost Price</t>
  </si>
  <si>
    <t>1000LT</t>
  </si>
  <si>
    <t>MCGREGOR SHIRAZ</t>
  </si>
  <si>
    <t>COURT</t>
  </si>
  <si>
    <t>LION LAGER</t>
  </si>
  <si>
    <t>ENERGADE JELLIES 75G</t>
  </si>
  <si>
    <t>MAYNARDS JELLIES 75G</t>
  </si>
  <si>
    <t>BILTONG</t>
  </si>
  <si>
    <t>VENISON BILTONG</t>
  </si>
  <si>
    <t>100G</t>
  </si>
  <si>
    <t>VENISON DRYWORS</t>
  </si>
  <si>
    <t xml:space="preserve">SPRITE  </t>
  </si>
  <si>
    <t>GINOLOGIST GIN &amp; BITTER LEMON</t>
  </si>
  <si>
    <t>GINOLOGIST GIN &amp; TONIC</t>
  </si>
  <si>
    <t>GINOLOGIST PINEAPPLE</t>
  </si>
  <si>
    <t>GINOLOGIST STRAWBERRY</t>
  </si>
  <si>
    <t>JC LE ROUX LE DOMAINE</t>
  </si>
  <si>
    <t>JC LE ROUX SPARKLING APPLE</t>
  </si>
  <si>
    <t>PETIT SAUVIGNON BLANC</t>
  </si>
  <si>
    <t>PETIT PINOTAGE</t>
  </si>
  <si>
    <t>FLAGSTONE MERLOT</t>
  </si>
  <si>
    <t>WARWICK CABERNET SAUVIGNON</t>
  </si>
  <si>
    <t>BEYERSKLOOF PINOTAGE</t>
  </si>
  <si>
    <t>TAFEL LAGER</t>
  </si>
  <si>
    <t>HAYWARDS GIN</t>
  </si>
  <si>
    <t>HAYWARDS VODKA</t>
  </si>
  <si>
    <t>JUNGLE ENERGY BAR</t>
  </si>
  <si>
    <t>NESPRESSO RISTRETTO</t>
  </si>
  <si>
    <t>NIKNAKS 20G</t>
  </si>
  <si>
    <t>NESPRESSO LEGGERO</t>
  </si>
  <si>
    <t>JOHNNY WALKER BLACK</t>
  </si>
  <si>
    <t>STELLA ARTOIS</t>
  </si>
  <si>
    <t>SAVANNA FREE</t>
  </si>
  <si>
    <t xml:space="preserve">SAVANNA DRY </t>
  </si>
  <si>
    <t>BRUTAL FRUIT RUBY APPLE</t>
  </si>
  <si>
    <t>DIEMERSDAL CAB/ MERLOT</t>
  </si>
  <si>
    <t>BRUT PIETER CRUYTHOF</t>
  </si>
  <si>
    <t>BRUCE JACK CHENIN BLANC</t>
  </si>
  <si>
    <t>LIFE FROM STONE SAV BLANC</t>
  </si>
  <si>
    <t>ALVI'S DRIFT MERLOT</t>
  </si>
  <si>
    <t>RHODES JUICE BOX</t>
  </si>
  <si>
    <t>200ML</t>
  </si>
  <si>
    <t>WHITE GRAPE SPARKLING JUICE</t>
  </si>
  <si>
    <t>KAHLUA</t>
  </si>
  <si>
    <t>STRAWBERRY LIPS</t>
  </si>
  <si>
    <t>ICED TEA</t>
  </si>
  <si>
    <t>THE GOOSE CABERNET SAUVIGNON</t>
  </si>
  <si>
    <t>PEACOCK SAUVIGNON BLANC</t>
  </si>
  <si>
    <t>HEINEKEN SILVER</t>
  </si>
  <si>
    <t>LEAPARDS LEAP ROSE</t>
  </si>
  <si>
    <t>SHOCKERS</t>
  </si>
  <si>
    <t>500ML</t>
  </si>
  <si>
    <t>LUNCH BAR</t>
  </si>
  <si>
    <t>BAR ONE MINI</t>
  </si>
  <si>
    <t>TEX MINI</t>
  </si>
  <si>
    <t>BLUE MOUTH SHERBET</t>
  </si>
  <si>
    <t>MINT IMPERIALS 24 X 75G</t>
  </si>
  <si>
    <t>ICE CREAM</t>
  </si>
  <si>
    <t>ZEST CHOC</t>
  </si>
  <si>
    <t>ZEST VANILLA</t>
  </si>
  <si>
    <t>APPLE MUNCH</t>
  </si>
  <si>
    <t>KING CONE</t>
  </si>
  <si>
    <t>MEGA COOKIES</t>
  </si>
  <si>
    <t>MEGA ALMOND</t>
  </si>
  <si>
    <t>PENGO FIZZERS</t>
  </si>
  <si>
    <t>PENGO SWEETS</t>
  </si>
  <si>
    <t>BEACON FUNNY FACES</t>
  </si>
  <si>
    <t>TOROS GUM SWEETS 50'S</t>
  </si>
  <si>
    <t>TOROS GUM SWEETS 100'S</t>
  </si>
  <si>
    <t>ZOOTY TROPICAL TUBE</t>
  </si>
  <si>
    <t>JIVE STRAWBERRY</t>
  </si>
  <si>
    <t>POWERADE</t>
  </si>
  <si>
    <t>STANTON BAGLEYS 90G</t>
  </si>
  <si>
    <t>BAR ONE 52G</t>
  </si>
  <si>
    <t>PETIT CHENIN BLANC</t>
  </si>
  <si>
    <t>NOSH</t>
  </si>
  <si>
    <t>COOKIES</t>
  </si>
  <si>
    <t>OREO 36,8G</t>
  </si>
  <si>
    <t>Selling Price</t>
  </si>
  <si>
    <t>GP%</t>
  </si>
  <si>
    <t>Special Pricing</t>
  </si>
  <si>
    <t>60ML TOT</t>
  </si>
  <si>
    <t>30ML TOT</t>
  </si>
  <si>
    <t>DE WETSHOF CHARDONNAY</t>
  </si>
  <si>
    <t>FISH HOEK ROSE - FAIRTRADE</t>
  </si>
  <si>
    <t>SPECIAL PRICE</t>
  </si>
  <si>
    <t>KWV 10YR</t>
  </si>
  <si>
    <t>PETIT MERLOT</t>
  </si>
  <si>
    <t>BRUCE JACK PINOTAGE MALBEC</t>
  </si>
  <si>
    <t>BRUCE JACK BUMBLE BEE</t>
  </si>
  <si>
    <t>MISS MOLLY MCC BRUT</t>
  </si>
  <si>
    <t>GUARDIAN PEAK CHENIN BLANC</t>
  </si>
  <si>
    <t>LIMESTONE HILL CHARDONNAY</t>
  </si>
  <si>
    <t>BRUCE JACK RESERVE SAUVIGNON BLANC</t>
  </si>
  <si>
    <t>BERNINI</t>
  </si>
  <si>
    <t>1500ML BOTTLE</t>
  </si>
  <si>
    <t>1250ML BOTTLE</t>
  </si>
  <si>
    <t>GUARDIAN PEAK MERLOT</t>
  </si>
  <si>
    <t>SMIRNOFF INFUSIONS</t>
  </si>
  <si>
    <t>TEX 40G</t>
  </si>
  <si>
    <t>PS BAR</t>
  </si>
  <si>
    <t>MINI BITZ</t>
  </si>
  <si>
    <t>LUNCH BAR MINI</t>
  </si>
  <si>
    <t>WONDERBAR</t>
  </si>
  <si>
    <t>HEINEKEN LAGER</t>
  </si>
  <si>
    <t>AMSTEL RADLER</t>
  </si>
  <si>
    <t>LIQUI FRUIT</t>
  </si>
  <si>
    <t>APEROL</t>
  </si>
  <si>
    <t>300ML PET</t>
  </si>
  <si>
    <t>ZOOTY POP ORANGE</t>
  </si>
  <si>
    <t>PROSECCO</t>
  </si>
  <si>
    <t>MAYNARDS WINE GUM ROLLS</t>
  </si>
  <si>
    <t>ALL SORTS MINIS</t>
  </si>
  <si>
    <t>XXX PEPPERMINT ROLLS</t>
  </si>
  <si>
    <t>FRITOS</t>
  </si>
  <si>
    <t>CRACKLING</t>
  </si>
  <si>
    <t>SOPHIE ROSE</t>
  </si>
  <si>
    <t>CORONA</t>
  </si>
  <si>
    <t>SOPHIE WHITE</t>
  </si>
  <si>
    <t>BANGBROEK</t>
  </si>
  <si>
    <t>ZEST BUBBLEGUM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</si>
</sst>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&quot;* #,##0.00_-;\-&quot;R&quot;* #,##0.00_-;_-&quot;R&quot;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textRotation="90"/>
    </xf>
    <xf numFmtId="0" fontId="3" fillId="0" borderId="3" xfId="0" applyFont="1" applyFill="1" applyBorder="1" applyAlignment="1">
      <alignment horizontal="center" textRotation="90"/>
    </xf>
    <xf numFmtId="0" fontId="3" fillId="0" borderId="4" xfId="0" applyFont="1" applyFill="1" applyBorder="1" applyAlignment="1">
      <alignment horizontal="center" textRotation="90"/>
    </xf>
    <xf numFmtId="0" fontId="3" fillId="0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textRotation="90"/>
    </xf>
    <xf numFmtId="0" fontId="7" fillId="0" borderId="6" xfId="0" applyFont="1" applyFill="1" applyBorder="1" applyAlignment="1">
      <alignment horizontal="left"/>
    </xf>
    <xf numFmtId="0" fontId="0" fillId="0" borderId="1" xfId="0" applyFont="1" applyFill="1" applyBorder="1"/>
    <xf numFmtId="0" fontId="7" fillId="0" borderId="2" xfId="0" applyFont="1" applyFill="1" applyBorder="1"/>
    <xf numFmtId="0" fontId="0" fillId="0" borderId="0" xfId="0" applyFont="1"/>
    <xf numFmtId="0" fontId="0" fillId="0" borderId="0" xfId="0" applyFont="1" applyFill="1"/>
    <xf numFmtId="0" fontId="7" fillId="0" borderId="6" xfId="0" applyFont="1" applyBorder="1" applyAlignment="1">
      <alignment horizontal="left"/>
    </xf>
    <xf numFmtId="0" fontId="0" fillId="0" borderId="1" xfId="0" applyFont="1" applyBorder="1"/>
    <xf numFmtId="0" fontId="0" fillId="0" borderId="2" xfId="0" applyFont="1" applyBorder="1"/>
    <xf numFmtId="0" fontId="8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10" fillId="0" borderId="0" xfId="0" applyFont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10" fillId="0" borderId="14" xfId="0" applyFont="1" applyFill="1" applyBorder="1" applyAlignment="1">
      <alignment horizontal="center" textRotation="90"/>
    </xf>
    <xf numFmtId="0" fontId="10" fillId="0" borderId="0" xfId="0" applyFont="1" applyFill="1" applyBorder="1" applyAlignment="1">
      <alignment horizontal="center" textRotation="90"/>
    </xf>
    <xf numFmtId="0" fontId="10" fillId="2" borderId="11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0" fillId="0" borderId="8" xfId="0" applyFont="1" applyFill="1" applyBorder="1"/>
    <xf numFmtId="0" fontId="7" fillId="0" borderId="3" xfId="0" applyFont="1" applyFill="1" applyBorder="1" applyAlignment="1">
      <alignment horizontal="left"/>
    </xf>
    <xf numFmtId="0" fontId="0" fillId="0" borderId="4" xfId="0" applyFont="1" applyFill="1" applyBorder="1"/>
    <xf numFmtId="0" fontId="7" fillId="0" borderId="5" xfId="0" applyFont="1" applyFill="1" applyBorder="1"/>
    <xf numFmtId="0" fontId="7" fillId="0" borderId="16" xfId="0" applyFont="1" applyFill="1" applyBorder="1" applyAlignment="1">
      <alignment horizontal="left"/>
    </xf>
    <xf numFmtId="0" fontId="0" fillId="0" borderId="17" xfId="0" applyFont="1" applyFill="1" applyBorder="1"/>
    <xf numFmtId="0" fontId="7" fillId="0" borderId="18" xfId="0" applyFont="1" applyFill="1" applyBorder="1"/>
    <xf numFmtId="0" fontId="7" fillId="0" borderId="16" xfId="0" applyFont="1" applyBorder="1" applyAlignment="1">
      <alignment horizontal="left"/>
    </xf>
    <xf numFmtId="0" fontId="0" fillId="0" borderId="17" xfId="0" applyFont="1" applyBorder="1"/>
    <xf numFmtId="0" fontId="7" fillId="0" borderId="18" xfId="0" applyFont="1" applyBorder="1" applyAlignment="1">
      <alignment horizontal="left"/>
    </xf>
    <xf numFmtId="0" fontId="0" fillId="0" borderId="9" xfId="0" applyFont="1" applyBorder="1"/>
    <xf numFmtId="0" fontId="7" fillId="0" borderId="19" xfId="0" applyFont="1" applyFill="1" applyBorder="1" applyAlignment="1">
      <alignment horizontal="left"/>
    </xf>
    <xf numFmtId="0" fontId="0" fillId="0" borderId="20" xfId="0" applyFont="1" applyFill="1" applyBorder="1"/>
    <xf numFmtId="0" fontId="7" fillId="0" borderId="21" xfId="0" applyFont="1" applyFill="1" applyBorder="1"/>
    <xf numFmtId="0" fontId="7" fillId="0" borderId="10" xfId="0" applyFont="1" applyFill="1" applyBorder="1" applyAlignment="1">
      <alignment horizontal="left"/>
    </xf>
    <xf numFmtId="0" fontId="0" fillId="0" borderId="11" xfId="0" applyFont="1" applyFill="1" applyBorder="1"/>
    <xf numFmtId="0" fontId="7" fillId="0" borderId="12" xfId="0" applyFont="1" applyFill="1" applyBorder="1"/>
    <xf numFmtId="0" fontId="0" fillId="0" borderId="11" xfId="0" applyFont="1" applyBorder="1"/>
    <xf numFmtId="0" fontId="7" fillId="0" borderId="1" xfId="0" applyFont="1" applyFill="1" applyBorder="1"/>
    <xf numFmtId="0" fontId="7" fillId="0" borderId="1" xfId="0" applyFont="1" applyFill="1" applyBorder="1" applyAlignment="1">
      <alignment horizontal="left"/>
    </xf>
    <xf numFmtId="0" fontId="7" fillId="0" borderId="22" xfId="0" applyFont="1" applyFill="1" applyBorder="1"/>
    <xf numFmtId="0" fontId="8" fillId="0" borderId="16" xfId="0" applyFont="1" applyBorder="1" applyAlignment="1">
      <alignment horizontal="left"/>
    </xf>
    <xf numFmtId="0" fontId="8" fillId="0" borderId="17" xfId="0" applyFont="1" applyBorder="1"/>
    <xf numFmtId="0" fontId="7" fillId="0" borderId="9" xfId="0" applyFont="1" applyFill="1" applyBorder="1"/>
    <xf numFmtId="0" fontId="7" fillId="0" borderId="17" xfId="0" applyFont="1" applyFill="1" applyBorder="1"/>
    <xf numFmtId="0" fontId="9" fillId="2" borderId="13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1" fillId="2" borderId="4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5" fillId="0" borderId="17" xfId="0" applyNumberFormat="1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44" fontId="1" fillId="2" borderId="23" xfId="1" applyFont="1" applyFill="1" applyBorder="1" applyAlignment="1">
      <alignment horizontal="center"/>
    </xf>
    <xf numFmtId="44" fontId="13" fillId="3" borderId="18" xfId="1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9" xfId="0" applyFont="1" applyFill="1" applyBorder="1" applyAlignment="1">
      <alignment horizontal="center" textRotation="90"/>
    </xf>
    <xf numFmtId="0" fontId="1" fillId="0" borderId="0" xfId="0" applyFont="1" applyFill="1" applyBorder="1" applyAlignment="1">
      <alignment horizontal="center" textRotation="90"/>
    </xf>
    <xf numFmtId="44" fontId="1" fillId="0" borderId="5" xfId="1" applyFont="1" applyFill="1" applyBorder="1"/>
    <xf numFmtId="44" fontId="1" fillId="0" borderId="2" xfId="1" applyFont="1" applyFill="1" applyBorder="1"/>
    <xf numFmtId="44" fontId="1" fillId="0" borderId="18" xfId="1" applyFont="1" applyFill="1" applyBorder="1"/>
    <xf numFmtId="44" fontId="1" fillId="0" borderId="12" xfId="1" applyFont="1" applyFill="1" applyBorder="1"/>
    <xf numFmtId="44" fontId="1" fillId="0" borderId="5" xfId="1" applyFont="1" applyFill="1" applyBorder="1" applyAlignment="1">
      <alignment horizontal="left"/>
    </xf>
    <xf numFmtId="44" fontId="1" fillId="0" borderId="9" xfId="1" applyFont="1" applyFill="1" applyBorder="1" applyAlignment="1">
      <alignment horizontal="left"/>
    </xf>
    <xf numFmtId="44" fontId="1" fillId="0" borderId="2" xfId="1" applyFont="1" applyFill="1" applyBorder="1" applyAlignment="1">
      <alignment horizontal="left"/>
    </xf>
    <xf numFmtId="44" fontId="1" fillId="0" borderId="18" xfId="1" applyFont="1" applyFill="1" applyBorder="1" applyAlignment="1">
      <alignment horizontal="left"/>
    </xf>
    <xf numFmtId="44" fontId="1" fillId="0" borderId="1" xfId="1" applyFont="1" applyFill="1" applyBorder="1"/>
    <xf numFmtId="44" fontId="1" fillId="0" borderId="9" xfId="1" applyFont="1" applyFill="1" applyBorder="1"/>
    <xf numFmtId="0" fontId="1" fillId="0" borderId="17" xfId="0" applyFont="1" applyBorder="1"/>
    <xf numFmtId="0" fontId="7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7" fillId="0" borderId="0" xfId="0" applyFont="1" applyFill="1" applyBorder="1"/>
    <xf numFmtId="44" fontId="1" fillId="0" borderId="0" xfId="1" applyFont="1" applyFill="1" applyBorder="1"/>
    <xf numFmtId="44" fontId="1" fillId="0" borderId="0" xfId="1" applyFont="1" applyFill="1" applyBorder="1" applyAlignment="1">
      <alignment horizontal="center"/>
    </xf>
    <xf numFmtId="44" fontId="1" fillId="0" borderId="0" xfId="1" applyFont="1" applyFill="1" applyBorder="1" applyAlignment="1">
      <alignment horizontal="left"/>
    </xf>
    <xf numFmtId="0" fontId="1" fillId="0" borderId="0" xfId="0" applyFont="1" applyFill="1" applyBorder="1"/>
    <xf numFmtId="44" fontId="13" fillId="0" borderId="0" xfId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8" fillId="0" borderId="24" xfId="0" applyFont="1" applyBorder="1" applyAlignment="1">
      <alignment horizontal="left"/>
    </xf>
    <xf numFmtId="0" fontId="8" fillId="0" borderId="25" xfId="0" applyFont="1" applyBorder="1"/>
    <xf numFmtId="44" fontId="1" fillId="0" borderId="26" xfId="1" applyFont="1" applyFill="1" applyBorder="1"/>
    <xf numFmtId="44" fontId="1" fillId="0" borderId="1" xfId="1" applyFont="1" applyFill="1" applyBorder="1" applyAlignment="1">
      <alignment horizontal="left"/>
    </xf>
    <xf numFmtId="0" fontId="8" fillId="0" borderId="2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44" fontId="1" fillId="3" borderId="27" xfId="1" applyFont="1" applyFill="1" applyBorder="1" applyAlignment="1">
      <alignment horizontal="center"/>
    </xf>
    <xf numFmtId="44" fontId="1" fillId="2" borderId="1" xfId="1" applyFont="1" applyFill="1" applyBorder="1" applyAlignment="1">
      <alignment horizontal="center"/>
    </xf>
    <xf numFmtId="44" fontId="1" fillId="0" borderId="8" xfId="1" applyFont="1" applyFill="1" applyBorder="1"/>
    <xf numFmtId="44" fontId="1" fillId="0" borderId="17" xfId="1" applyFont="1" applyFill="1" applyBorder="1"/>
    <xf numFmtId="0" fontId="7" fillId="0" borderId="28" xfId="0" applyFont="1" applyFill="1" applyBorder="1" applyAlignment="1">
      <alignment horizontal="left"/>
    </xf>
    <xf numFmtId="0" fontId="0" fillId="0" borderId="29" xfId="0" applyFont="1" applyFill="1" applyBorder="1"/>
    <xf numFmtId="0" fontId="7" fillId="0" borderId="30" xfId="0" applyFont="1" applyFill="1" applyBorder="1"/>
    <xf numFmtId="0" fontId="7" fillId="0" borderId="18" xfId="0" applyFont="1" applyFill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4" xfId="0" applyFont="1" applyFill="1" applyBorder="1"/>
    <xf numFmtId="0" fontId="7" fillId="0" borderId="4" xfId="0" applyFont="1" applyFill="1" applyBorder="1" applyAlignment="1">
      <alignment horizontal="left"/>
    </xf>
    <xf numFmtId="0" fontId="7" fillId="0" borderId="8" xfId="0" applyFont="1" applyFill="1" applyBorder="1"/>
    <xf numFmtId="0" fontId="7" fillId="0" borderId="9" xfId="0" applyFont="1" applyBorder="1" applyAlignment="1">
      <alignment horizontal="left"/>
    </xf>
    <xf numFmtId="0" fontId="7" fillId="0" borderId="11" xfId="0" applyFont="1" applyFill="1" applyBorder="1"/>
    <xf numFmtId="44" fontId="1" fillId="0" borderId="11" xfId="1" applyFont="1" applyFill="1" applyBorder="1"/>
    <xf numFmtId="44" fontId="1" fillId="0" borderId="4" xfId="1" applyFont="1" applyFill="1" applyBorder="1"/>
    <xf numFmtId="0" fontId="7" fillId="0" borderId="5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 textRotation="90"/>
    </xf>
    <xf numFmtId="44" fontId="1" fillId="0" borderId="1" xfId="1" applyNumberFormat="1" applyFont="1" applyFill="1" applyBorder="1"/>
    <xf numFmtId="0" fontId="10" fillId="0" borderId="31" xfId="0" applyFont="1" applyFill="1" applyBorder="1" applyAlignment="1">
      <alignment horizontal="center" textRotation="90"/>
    </xf>
    <xf numFmtId="0" fontId="1" fillId="0" borderId="17" xfId="0" applyFont="1" applyFill="1" applyBorder="1" applyAlignment="1">
      <alignment horizontal="center" textRotation="90"/>
    </xf>
    <xf numFmtId="0" fontId="0" fillId="0" borderId="17" xfId="0" applyBorder="1"/>
    <xf numFmtId="44" fontId="1" fillId="0" borderId="8" xfId="1" applyFont="1" applyBorder="1"/>
    <xf numFmtId="44" fontId="1" fillId="0" borderId="1" xfId="1" applyFont="1" applyBorder="1"/>
    <xf numFmtId="44" fontId="1" fillId="2" borderId="1" xfId="1" applyFont="1" applyFill="1" applyBorder="1"/>
    <xf numFmtId="44" fontId="1" fillId="0" borderId="17" xfId="1" applyFont="1" applyBorder="1"/>
    <xf numFmtId="0" fontId="7" fillId="0" borderId="7" xfId="0" applyFont="1" applyBorder="1" applyAlignment="1">
      <alignment horizontal="left"/>
    </xf>
    <xf numFmtId="44" fontId="1" fillId="0" borderId="8" xfId="1" applyFont="1" applyFill="1" applyBorder="1" applyAlignment="1">
      <alignment horizontal="left"/>
    </xf>
    <xf numFmtId="44" fontId="1" fillId="0" borderId="17" xfId="1" applyFont="1" applyFill="1" applyBorder="1" applyAlignment="1">
      <alignment horizontal="left"/>
    </xf>
    <xf numFmtId="0" fontId="0" fillId="0" borderId="18" xfId="0" applyFont="1" applyBorder="1"/>
    <xf numFmtId="9" fontId="0" fillId="0" borderId="8" xfId="2" applyFont="1" applyBorder="1"/>
    <xf numFmtId="44" fontId="1" fillId="0" borderId="29" xfId="1" applyFont="1" applyFill="1" applyBorder="1"/>
    <xf numFmtId="44" fontId="1" fillId="0" borderId="29" xfId="1" applyFont="1" applyBorder="1"/>
    <xf numFmtId="0" fontId="7" fillId="0" borderId="30" xfId="0" applyFont="1" applyFill="1" applyBorder="1" applyAlignment="1">
      <alignment horizontal="left"/>
    </xf>
    <xf numFmtId="44" fontId="1" fillId="0" borderId="29" xfId="1" applyFont="1" applyFill="1" applyBorder="1" applyAlignment="1">
      <alignment horizontal="left"/>
    </xf>
    <xf numFmtId="44" fontId="1" fillId="0" borderId="4" xfId="1" applyFont="1" applyBorder="1"/>
    <xf numFmtId="0" fontId="10" fillId="0" borderId="11" xfId="0" applyFont="1" applyFill="1" applyBorder="1" applyAlignment="1">
      <alignment horizontal="center"/>
    </xf>
    <xf numFmtId="0" fontId="1" fillId="0" borderId="4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1" xfId="0" applyNumberFormat="1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7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0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30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 vertical="center" wrapText="1"/>
    </xf>
    <xf numFmtId="44" fontId="1" fillId="2" borderId="8" xfId="1" applyFont="1" applyFill="1" applyBorder="1" applyAlignment="1">
      <alignment horizontal="center"/>
    </xf>
    <xf numFmtId="44" fontId="1" fillId="2" borderId="17" xfId="1" applyFont="1" applyFill="1" applyBorder="1" applyAlignment="1">
      <alignment horizontal="center"/>
    </xf>
    <xf numFmtId="44" fontId="1" fillId="0" borderId="30" xfId="1" applyFont="1" applyFill="1" applyBorder="1"/>
    <xf numFmtId="44" fontId="1" fillId="0" borderId="12" xfId="1" applyFont="1" applyFill="1" applyBorder="1" applyAlignment="1">
      <alignment horizontal="left"/>
    </xf>
    <xf numFmtId="44" fontId="1" fillId="0" borderId="21" xfId="1" applyFont="1" applyFill="1" applyBorder="1"/>
    <xf numFmtId="0" fontId="10" fillId="2" borderId="17" xfId="0" applyNumberFormat="1" applyFont="1" applyFill="1" applyBorder="1" applyAlignment="1">
      <alignment horizontal="center" vertical="center" wrapText="1"/>
    </xf>
    <xf numFmtId="0" fontId="10" fillId="0" borderId="11" xfId="0" applyNumberFormat="1" applyFont="1" applyFill="1" applyBorder="1" applyAlignment="1">
      <alignment horizontal="center" vertical="center" wrapText="1"/>
    </xf>
    <xf numFmtId="0" fontId="10" fillId="2" borderId="15" xfId="0" applyNumberFormat="1" applyFont="1" applyFill="1" applyBorder="1" applyAlignment="1">
      <alignment horizontal="center" vertical="center" wrapText="1"/>
    </xf>
    <xf numFmtId="44" fontId="1" fillId="2" borderId="11" xfId="1" applyFont="1" applyFill="1" applyBorder="1" applyAlignment="1">
      <alignment horizontal="center"/>
    </xf>
    <xf numFmtId="44" fontId="1" fillId="0" borderId="34" xfId="1" applyFont="1" applyFill="1" applyBorder="1"/>
    <xf numFmtId="0" fontId="9" fillId="2" borderId="1" xfId="0" applyNumberFormat="1" applyFont="1" applyFill="1" applyBorder="1" applyAlignment="1">
      <alignment horizontal="center" vertical="center" wrapText="1"/>
    </xf>
    <xf numFmtId="0" fontId="11" fillId="0" borderId="9" xfId="0" applyNumberFormat="1" applyFont="1" applyFill="1" applyBorder="1" applyAlignment="1">
      <alignment horizontal="center" vertical="center" wrapText="1"/>
    </xf>
    <xf numFmtId="0" fontId="11" fillId="0" borderId="32" xfId="0" applyNumberFormat="1" applyFont="1" applyFill="1" applyBorder="1" applyAlignment="1">
      <alignment horizontal="center" vertical="center" wrapText="1"/>
    </xf>
    <xf numFmtId="0" fontId="11" fillId="0" borderId="33" xfId="0" applyNumberFormat="1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1"/>
  <sheetViews>
    <sheetView tabSelected="1" zoomScale="80" zoomScaleNormal="80" workbookViewId="0">
      <pane ySplit="1" topLeftCell="A108" activePane="bottomLeft" state="frozen"/>
      <selection pane="bottomLeft" activeCell="J124" sqref="J124"/>
    </sheetView>
  </sheetViews>
  <sheetFormatPr defaultRowHeight="15" x14ac:dyDescent="0.25"/>
  <cols>
    <col min="1" max="1" width="17.28515625" style="17" bestFit="1" customWidth="1"/>
    <col min="2" max="2" width="34.140625" style="11" customWidth="1"/>
    <col min="3" max="3" width="13.5703125" style="18" bestFit="1" customWidth="1"/>
    <col min="4" max="4" width="11" style="1" customWidth="1"/>
    <col min="5" max="5" width="16.28515625" style="59" customWidth="1"/>
    <col min="6" max="7" width="16.140625" style="55" customWidth="1"/>
    <col min="8" max="8" width="10.5703125" style="55" customWidth="1"/>
    <col min="9" max="9" width="15.28515625" style="55" customWidth="1"/>
    <col min="10" max="16384" width="9.140625" style="11"/>
  </cols>
  <sheetData>
    <row r="1" spans="1:11" s="7" customFormat="1" ht="93" x14ac:dyDescent="0.25">
      <c r="A1" s="4" t="s">
        <v>0</v>
      </c>
      <c r="B1" s="5" t="s">
        <v>1</v>
      </c>
      <c r="C1" s="6" t="s">
        <v>2</v>
      </c>
      <c r="D1" s="60"/>
      <c r="E1" s="160" t="s">
        <v>71</v>
      </c>
      <c r="F1" s="160"/>
      <c r="G1" s="160"/>
      <c r="H1" s="160"/>
      <c r="I1" s="50"/>
      <c r="J1" s="3"/>
      <c r="K1" s="3"/>
    </row>
    <row r="2" spans="1:11" s="20" customFormat="1" ht="51" thickBot="1" x14ac:dyDescent="0.3">
      <c r="A2" s="21"/>
      <c r="B2" s="22"/>
      <c r="C2" s="22"/>
      <c r="D2" s="61" t="s">
        <v>131</v>
      </c>
      <c r="E2" s="149" t="s">
        <v>92</v>
      </c>
      <c r="F2" s="156" t="s">
        <v>80</v>
      </c>
      <c r="G2" s="156" t="s">
        <v>79</v>
      </c>
      <c r="H2" s="23" t="s">
        <v>81</v>
      </c>
      <c r="I2" s="157" t="s">
        <v>130</v>
      </c>
      <c r="J2" s="19"/>
      <c r="K2" s="19"/>
    </row>
    <row r="3" spans="1:11" ht="15.75" thickBot="1" x14ac:dyDescent="0.3">
      <c r="A3" s="8" t="s">
        <v>3</v>
      </c>
      <c r="B3" s="9" t="s">
        <v>6</v>
      </c>
      <c r="C3" s="10" t="s">
        <v>7</v>
      </c>
      <c r="D3" s="63">
        <f>295/24</f>
        <v>12.291666666666666</v>
      </c>
      <c r="E3" s="127"/>
      <c r="F3" s="128"/>
      <c r="G3" s="128"/>
      <c r="H3" s="53">
        <f t="shared" ref="H3:H89" si="0">SUM(E3+F3+G3)</f>
        <v>0</v>
      </c>
      <c r="I3" s="56">
        <f t="shared" ref="I3:I68" si="1">SUM(H3*D3)</f>
        <v>0</v>
      </c>
    </row>
    <row r="4" spans="1:11" ht="15.75" thickBot="1" x14ac:dyDescent="0.3">
      <c r="A4" s="8" t="s">
        <v>3</v>
      </c>
      <c r="B4" s="9" t="s">
        <v>8</v>
      </c>
      <c r="C4" s="10" t="s">
        <v>7</v>
      </c>
      <c r="D4" s="63">
        <f>280/24</f>
        <v>11.666666666666666</v>
      </c>
      <c r="E4" s="127"/>
      <c r="F4" s="128"/>
      <c r="G4" s="128"/>
      <c r="H4" s="52">
        <f t="shared" si="0"/>
        <v>0</v>
      </c>
      <c r="I4" s="56">
        <f t="shared" si="1"/>
        <v>0</v>
      </c>
    </row>
    <row r="5" spans="1:11" ht="15.75" thickBot="1" x14ac:dyDescent="0.3">
      <c r="A5" s="8" t="s">
        <v>3</v>
      </c>
      <c r="B5" s="9" t="s">
        <v>9</v>
      </c>
      <c r="C5" s="10" t="s">
        <v>7</v>
      </c>
      <c r="D5" s="63">
        <f>269.91/24</f>
        <v>11.246250000000002</v>
      </c>
      <c r="E5" s="127"/>
      <c r="F5" s="128"/>
      <c r="G5" s="128"/>
      <c r="H5" s="52">
        <f t="shared" si="0"/>
        <v>0</v>
      </c>
      <c r="I5" s="56">
        <f t="shared" si="1"/>
        <v>0</v>
      </c>
    </row>
    <row r="6" spans="1:11" ht="15.75" thickBot="1" x14ac:dyDescent="0.3">
      <c r="A6" s="8" t="s">
        <v>3</v>
      </c>
      <c r="B6" s="9" t="s">
        <v>9</v>
      </c>
      <c r="C6" s="10" t="s">
        <v>134</v>
      </c>
      <c r="D6" s="63">
        <f>237/12</f>
        <v>19.75</v>
      </c>
      <c r="E6" s="127"/>
      <c r="F6" s="128"/>
      <c r="G6" s="128"/>
      <c r="H6" s="52">
        <f t="shared" si="0"/>
        <v>0</v>
      </c>
      <c r="I6" s="56">
        <f t="shared" si="1"/>
        <v>0</v>
      </c>
    </row>
    <row r="7" spans="1:11" ht="15.75" thickBot="1" x14ac:dyDescent="0.3">
      <c r="A7" s="8" t="s">
        <v>3</v>
      </c>
      <c r="B7" s="9" t="s">
        <v>248</v>
      </c>
      <c r="C7" s="10" t="s">
        <v>7</v>
      </c>
      <c r="D7" s="63">
        <f>410/24</f>
        <v>17.083333333333332</v>
      </c>
      <c r="E7" s="127"/>
      <c r="F7" s="128"/>
      <c r="G7" s="128"/>
      <c r="H7" s="52">
        <f t="shared" ref="H7" si="2">SUM(E7+F7+G7)</f>
        <v>0</v>
      </c>
      <c r="I7" s="56">
        <f t="shared" ref="I7" si="3">SUM(H7*D7)</f>
        <v>0</v>
      </c>
    </row>
    <row r="8" spans="1:11" ht="15.75" thickBot="1" x14ac:dyDescent="0.3">
      <c r="A8" s="8" t="s">
        <v>3</v>
      </c>
      <c r="B8" s="9" t="s">
        <v>10</v>
      </c>
      <c r="C8" s="10" t="s">
        <v>7</v>
      </c>
      <c r="D8" s="63">
        <f>263/24</f>
        <v>10.958333333333334</v>
      </c>
      <c r="E8" s="127"/>
      <c r="F8" s="128"/>
      <c r="G8" s="128"/>
      <c r="H8" s="52">
        <f t="shared" si="0"/>
        <v>0</v>
      </c>
      <c r="I8" s="56">
        <f t="shared" si="1"/>
        <v>0</v>
      </c>
    </row>
    <row r="9" spans="1:11" ht="15.75" thickBot="1" x14ac:dyDescent="0.3">
      <c r="A9" s="8" t="s">
        <v>3</v>
      </c>
      <c r="B9" s="9" t="s">
        <v>10</v>
      </c>
      <c r="C9" s="10" t="s">
        <v>134</v>
      </c>
      <c r="D9" s="63">
        <f>216/12</f>
        <v>18</v>
      </c>
      <c r="E9" s="127"/>
      <c r="F9" s="128"/>
      <c r="G9" s="128"/>
      <c r="H9" s="52">
        <f t="shared" si="0"/>
        <v>0</v>
      </c>
      <c r="I9" s="56">
        <f t="shared" si="1"/>
        <v>0</v>
      </c>
    </row>
    <row r="10" spans="1:11" ht="15.75" thickBot="1" x14ac:dyDescent="0.3">
      <c r="A10" s="8" t="s">
        <v>3</v>
      </c>
      <c r="B10" s="9" t="s">
        <v>236</v>
      </c>
      <c r="C10" s="10" t="s">
        <v>7</v>
      </c>
      <c r="D10" s="63">
        <f>340/24</f>
        <v>14.166666666666666</v>
      </c>
      <c r="E10" s="127"/>
      <c r="F10" s="128"/>
      <c r="G10" s="128"/>
      <c r="H10" s="52">
        <f t="shared" si="0"/>
        <v>0</v>
      </c>
      <c r="I10" s="56">
        <f t="shared" si="1"/>
        <v>0</v>
      </c>
    </row>
    <row r="11" spans="1:11" ht="15.75" thickBot="1" x14ac:dyDescent="0.3">
      <c r="A11" s="8" t="s">
        <v>3</v>
      </c>
      <c r="B11" s="9" t="s">
        <v>135</v>
      </c>
      <c r="C11" s="10" t="s">
        <v>134</v>
      </c>
      <c r="D11" s="63">
        <f>192/12</f>
        <v>16</v>
      </c>
      <c r="E11" s="127"/>
      <c r="F11" s="128"/>
      <c r="G11" s="128"/>
      <c r="H11" s="52">
        <f t="shared" si="0"/>
        <v>0</v>
      </c>
      <c r="I11" s="56">
        <f t="shared" si="1"/>
        <v>0</v>
      </c>
    </row>
    <row r="12" spans="1:11" ht="15.75" thickBot="1" x14ac:dyDescent="0.3">
      <c r="A12" s="8" t="s">
        <v>3</v>
      </c>
      <c r="B12" s="9" t="s">
        <v>235</v>
      </c>
      <c r="C12" s="10" t="s">
        <v>7</v>
      </c>
      <c r="D12" s="63">
        <f>400/24</f>
        <v>16.666666666666668</v>
      </c>
      <c r="E12" s="127"/>
      <c r="F12" s="128"/>
      <c r="G12" s="128"/>
      <c r="H12" s="52">
        <f t="shared" ref="H12" si="4">SUM(E12+F12+G12)</f>
        <v>0</v>
      </c>
      <c r="I12" s="56">
        <f t="shared" ref="I12" si="5">SUM(H12*D12)</f>
        <v>0</v>
      </c>
    </row>
    <row r="13" spans="1:11" ht="15.75" thickBot="1" x14ac:dyDescent="0.3">
      <c r="A13" s="8" t="s">
        <v>3</v>
      </c>
      <c r="B13" s="9" t="s">
        <v>85</v>
      </c>
      <c r="C13" s="10" t="s">
        <v>7</v>
      </c>
      <c r="D13" s="63">
        <f>400/24</f>
        <v>16.666666666666668</v>
      </c>
      <c r="E13" s="127"/>
      <c r="F13" s="128"/>
      <c r="G13" s="128"/>
      <c r="H13" s="52">
        <f t="shared" si="0"/>
        <v>0</v>
      </c>
      <c r="I13" s="56">
        <f t="shared" si="1"/>
        <v>0</v>
      </c>
    </row>
    <row r="14" spans="1:11" ht="15.75" thickBot="1" x14ac:dyDescent="0.3">
      <c r="A14" s="8" t="s">
        <v>3</v>
      </c>
      <c r="B14" s="9" t="s">
        <v>179</v>
      </c>
      <c r="C14" s="10" t="s">
        <v>7</v>
      </c>
      <c r="D14" s="63">
        <f>400/24</f>
        <v>16.666666666666668</v>
      </c>
      <c r="E14" s="127"/>
      <c r="F14" s="128"/>
      <c r="G14" s="128"/>
      <c r="H14" s="52">
        <f t="shared" ref="H14" si="6">SUM(E14+F14+G14)</f>
        <v>0</v>
      </c>
      <c r="I14" s="56">
        <f t="shared" ref="I14" si="7">SUM(H14*D14)</f>
        <v>0</v>
      </c>
    </row>
    <row r="15" spans="1:11" ht="15.75" thickBot="1" x14ac:dyDescent="0.3">
      <c r="A15" s="8" t="s">
        <v>3</v>
      </c>
      <c r="B15" s="9" t="s">
        <v>11</v>
      </c>
      <c r="C15" s="10" t="s">
        <v>12</v>
      </c>
      <c r="D15" s="63">
        <f>369/24</f>
        <v>15.375</v>
      </c>
      <c r="E15" s="127"/>
      <c r="F15" s="128"/>
      <c r="G15" s="128"/>
      <c r="H15" s="52">
        <f t="shared" si="0"/>
        <v>0</v>
      </c>
      <c r="I15" s="56">
        <f t="shared" si="1"/>
        <v>0</v>
      </c>
    </row>
    <row r="16" spans="1:11" ht="15.75" thickBot="1" x14ac:dyDescent="0.3">
      <c r="A16" s="8" t="s">
        <v>3</v>
      </c>
      <c r="B16" s="9" t="s">
        <v>13</v>
      </c>
      <c r="C16" s="10" t="s">
        <v>7</v>
      </c>
      <c r="D16" s="63">
        <f>430/24</f>
        <v>17.916666666666668</v>
      </c>
      <c r="E16" s="127"/>
      <c r="F16" s="128"/>
      <c r="G16" s="128"/>
      <c r="H16" s="52">
        <f t="shared" si="0"/>
        <v>0</v>
      </c>
      <c r="I16" s="56">
        <f t="shared" si="1"/>
        <v>0</v>
      </c>
    </row>
    <row r="17" spans="1:9" ht="15.75" thickBot="1" x14ac:dyDescent="0.3">
      <c r="A17" s="8" t="s">
        <v>3</v>
      </c>
      <c r="B17" s="40" t="s">
        <v>162</v>
      </c>
      <c r="C17" s="10" t="s">
        <v>83</v>
      </c>
      <c r="D17" s="65">
        <f>330/24</f>
        <v>13.75</v>
      </c>
      <c r="E17" s="129"/>
      <c r="F17" s="130"/>
      <c r="G17" s="130"/>
      <c r="H17" s="52">
        <f t="shared" si="0"/>
        <v>0</v>
      </c>
      <c r="I17" s="56">
        <f t="shared" si="1"/>
        <v>0</v>
      </c>
    </row>
    <row r="18" spans="1:9" ht="15.75" thickBot="1" x14ac:dyDescent="0.3">
      <c r="A18" s="8" t="s">
        <v>3</v>
      </c>
      <c r="B18" s="40" t="s">
        <v>154</v>
      </c>
      <c r="C18" s="10" t="s">
        <v>7</v>
      </c>
      <c r="D18" s="65">
        <f>310/24</f>
        <v>12.916666666666666</v>
      </c>
      <c r="E18" s="129"/>
      <c r="F18" s="130"/>
      <c r="G18" s="130"/>
      <c r="H18" s="52">
        <f t="shared" si="0"/>
        <v>0</v>
      </c>
      <c r="I18" s="56">
        <f t="shared" si="1"/>
        <v>0</v>
      </c>
    </row>
    <row r="19" spans="1:9" ht="15.75" thickBot="1" x14ac:dyDescent="0.3">
      <c r="A19" s="26" t="s">
        <v>14</v>
      </c>
      <c r="B19" s="27" t="s">
        <v>15</v>
      </c>
      <c r="C19" s="28" t="s">
        <v>16</v>
      </c>
      <c r="D19" s="62">
        <f>195/30</f>
        <v>6.5</v>
      </c>
      <c r="E19" s="133"/>
      <c r="F19" s="126"/>
      <c r="G19" s="126"/>
      <c r="H19" s="52">
        <f t="shared" si="0"/>
        <v>0</v>
      </c>
      <c r="I19" s="56">
        <f t="shared" si="1"/>
        <v>0</v>
      </c>
    </row>
    <row r="20" spans="1:9" ht="15.75" thickBot="1" x14ac:dyDescent="0.3">
      <c r="A20" s="29" t="s">
        <v>14</v>
      </c>
      <c r="B20" s="30" t="s">
        <v>17</v>
      </c>
      <c r="C20" s="31" t="s">
        <v>16</v>
      </c>
      <c r="D20" s="64">
        <f>215/30</f>
        <v>7.166666666666667</v>
      </c>
      <c r="E20" s="131"/>
      <c r="F20" s="132"/>
      <c r="G20" s="132"/>
      <c r="H20" s="52">
        <f t="shared" si="0"/>
        <v>0</v>
      </c>
      <c r="I20" s="56">
        <f t="shared" si="1"/>
        <v>0</v>
      </c>
    </row>
    <row r="21" spans="1:9" ht="15.75" thickBot="1" x14ac:dyDescent="0.3">
      <c r="A21" s="8" t="s">
        <v>18</v>
      </c>
      <c r="B21" s="9" t="s">
        <v>50</v>
      </c>
      <c r="C21" s="10" t="s">
        <v>7</v>
      </c>
      <c r="D21" s="63">
        <f>299/24</f>
        <v>12.458333333333334</v>
      </c>
      <c r="E21" s="127"/>
      <c r="F21" s="128"/>
      <c r="G21" s="128"/>
      <c r="H21" s="52">
        <f t="shared" si="0"/>
        <v>0</v>
      </c>
      <c r="I21" s="56">
        <f t="shared" si="1"/>
        <v>0</v>
      </c>
    </row>
    <row r="22" spans="1:9" ht="15.75" thickBot="1" x14ac:dyDescent="0.3">
      <c r="A22" s="8" t="s">
        <v>18</v>
      </c>
      <c r="B22" s="9" t="s">
        <v>225</v>
      </c>
      <c r="C22" s="10" t="s">
        <v>7</v>
      </c>
      <c r="D22" s="63">
        <f>310/24</f>
        <v>12.916666666666666</v>
      </c>
      <c r="E22" s="127"/>
      <c r="F22" s="128"/>
      <c r="G22" s="128"/>
      <c r="H22" s="52">
        <f t="shared" si="0"/>
        <v>0</v>
      </c>
      <c r="I22" s="56">
        <f t="shared" si="1"/>
        <v>0</v>
      </c>
    </row>
    <row r="23" spans="1:9" ht="15.75" thickBot="1" x14ac:dyDescent="0.3">
      <c r="A23" s="8" t="s">
        <v>18</v>
      </c>
      <c r="B23" s="9" t="s">
        <v>51</v>
      </c>
      <c r="C23" s="10" t="s">
        <v>7</v>
      </c>
      <c r="D23" s="63">
        <f>359/24</f>
        <v>14.958333333333334</v>
      </c>
      <c r="E23" s="127"/>
      <c r="F23" s="128"/>
      <c r="G23" s="128"/>
      <c r="H23" s="52">
        <f t="shared" si="0"/>
        <v>0</v>
      </c>
      <c r="I23" s="56">
        <f t="shared" si="1"/>
        <v>0</v>
      </c>
    </row>
    <row r="24" spans="1:9" ht="15.75" thickBot="1" x14ac:dyDescent="0.3">
      <c r="A24" s="8" t="s">
        <v>18</v>
      </c>
      <c r="B24" s="9" t="s">
        <v>52</v>
      </c>
      <c r="C24" s="10" t="s">
        <v>7</v>
      </c>
      <c r="D24" s="63">
        <f>359/24</f>
        <v>14.958333333333334</v>
      </c>
      <c r="E24" s="127"/>
      <c r="F24" s="128"/>
      <c r="G24" s="128"/>
      <c r="H24" s="52">
        <f t="shared" si="0"/>
        <v>0</v>
      </c>
      <c r="I24" s="56">
        <f t="shared" si="1"/>
        <v>0</v>
      </c>
    </row>
    <row r="25" spans="1:9" ht="15.75" thickBot="1" x14ac:dyDescent="0.3">
      <c r="A25" s="8" t="s">
        <v>18</v>
      </c>
      <c r="B25" s="9" t="s">
        <v>53</v>
      </c>
      <c r="C25" s="10" t="s">
        <v>7</v>
      </c>
      <c r="D25" s="63">
        <f>405/24</f>
        <v>16.875</v>
      </c>
      <c r="E25" s="127"/>
      <c r="F25" s="128"/>
      <c r="G25" s="128"/>
      <c r="H25" s="52">
        <f t="shared" si="0"/>
        <v>0</v>
      </c>
      <c r="I25" s="56">
        <f t="shared" si="1"/>
        <v>0</v>
      </c>
    </row>
    <row r="26" spans="1:9" ht="15.75" thickBot="1" x14ac:dyDescent="0.3">
      <c r="A26" s="8" t="s">
        <v>18</v>
      </c>
      <c r="B26" s="9" t="s">
        <v>164</v>
      </c>
      <c r="C26" s="10" t="s">
        <v>7</v>
      </c>
      <c r="D26" s="63">
        <f>375/24</f>
        <v>15.625</v>
      </c>
      <c r="E26" s="127"/>
      <c r="F26" s="128"/>
      <c r="G26" s="128"/>
      <c r="H26" s="52">
        <f t="shared" si="0"/>
        <v>0</v>
      </c>
      <c r="I26" s="56">
        <f t="shared" si="1"/>
        <v>0</v>
      </c>
    </row>
    <row r="27" spans="1:9" ht="15.75" thickBot="1" x14ac:dyDescent="0.3">
      <c r="A27" s="8" t="s">
        <v>18</v>
      </c>
      <c r="B27" s="40" t="s">
        <v>163</v>
      </c>
      <c r="C27" s="10" t="s">
        <v>7</v>
      </c>
      <c r="D27" s="65">
        <f>440/24</f>
        <v>18.333333333333332</v>
      </c>
      <c r="E27" s="129"/>
      <c r="F27" s="130"/>
      <c r="G27" s="130"/>
      <c r="H27" s="52">
        <f t="shared" si="0"/>
        <v>0</v>
      </c>
      <c r="I27" s="56">
        <f t="shared" si="1"/>
        <v>0</v>
      </c>
    </row>
    <row r="28" spans="1:9" ht="15.75" thickBot="1" x14ac:dyDescent="0.3">
      <c r="A28" s="8" t="s">
        <v>18</v>
      </c>
      <c r="B28" s="40" t="s">
        <v>143</v>
      </c>
      <c r="C28" s="10" t="s">
        <v>7</v>
      </c>
      <c r="D28" s="65">
        <f>450/24</f>
        <v>18.75</v>
      </c>
      <c r="E28" s="129"/>
      <c r="F28" s="130"/>
      <c r="G28" s="130"/>
      <c r="H28" s="52">
        <f t="shared" si="0"/>
        <v>0</v>
      </c>
      <c r="I28" s="56">
        <f t="shared" si="1"/>
        <v>0</v>
      </c>
    </row>
    <row r="29" spans="1:9" ht="15.75" thickBot="1" x14ac:dyDescent="0.3">
      <c r="A29" s="8" t="s">
        <v>18</v>
      </c>
      <c r="B29" s="40" t="s">
        <v>144</v>
      </c>
      <c r="C29" s="10" t="s">
        <v>7</v>
      </c>
      <c r="D29" s="65">
        <f>520/24</f>
        <v>21.666666666666668</v>
      </c>
      <c r="E29" s="129"/>
      <c r="F29" s="130"/>
      <c r="G29" s="130"/>
      <c r="H29" s="52">
        <f t="shared" si="0"/>
        <v>0</v>
      </c>
      <c r="I29" s="56">
        <f t="shared" si="1"/>
        <v>0</v>
      </c>
    </row>
    <row r="30" spans="1:9" ht="15.75" thickBot="1" x14ac:dyDescent="0.3">
      <c r="A30" s="8" t="s">
        <v>18</v>
      </c>
      <c r="B30" s="40" t="s">
        <v>145</v>
      </c>
      <c r="C30" s="10" t="s">
        <v>7</v>
      </c>
      <c r="D30" s="65">
        <f t="shared" ref="D30:D31" si="8">450/24</f>
        <v>18.75</v>
      </c>
      <c r="E30" s="129"/>
      <c r="F30" s="130"/>
      <c r="G30" s="130"/>
      <c r="H30" s="52">
        <f t="shared" si="0"/>
        <v>0</v>
      </c>
      <c r="I30" s="56">
        <f t="shared" si="1"/>
        <v>0</v>
      </c>
    </row>
    <row r="31" spans="1:9" ht="15.75" thickBot="1" x14ac:dyDescent="0.3">
      <c r="A31" s="8" t="s">
        <v>18</v>
      </c>
      <c r="B31" s="40" t="s">
        <v>146</v>
      </c>
      <c r="C31" s="10" t="s">
        <v>7</v>
      </c>
      <c r="D31" s="65">
        <f t="shared" si="8"/>
        <v>18.75</v>
      </c>
      <c r="E31" s="129"/>
      <c r="F31" s="130"/>
      <c r="G31" s="130"/>
      <c r="H31" s="52">
        <f t="shared" si="0"/>
        <v>0</v>
      </c>
      <c r="I31" s="56">
        <f t="shared" si="1"/>
        <v>0</v>
      </c>
    </row>
    <row r="32" spans="1:9" ht="15.75" thickBot="1" x14ac:dyDescent="0.3">
      <c r="A32" s="26" t="s">
        <v>19</v>
      </c>
      <c r="B32" s="27" t="s">
        <v>20</v>
      </c>
      <c r="C32" s="97" t="s">
        <v>21</v>
      </c>
      <c r="D32" s="62">
        <f>190/15</f>
        <v>12.666666666666666</v>
      </c>
      <c r="E32" s="133"/>
      <c r="F32" s="126"/>
      <c r="G32" s="126"/>
      <c r="H32" s="52">
        <f t="shared" si="0"/>
        <v>0</v>
      </c>
      <c r="I32" s="56">
        <f t="shared" si="1"/>
        <v>0</v>
      </c>
    </row>
    <row r="33" spans="1:9" ht="15.75" thickBot="1" x14ac:dyDescent="0.3">
      <c r="A33" s="8" t="s">
        <v>19</v>
      </c>
      <c r="B33" s="9" t="s">
        <v>23</v>
      </c>
      <c r="C33" s="43" t="s">
        <v>21</v>
      </c>
      <c r="D33" s="63">
        <f>65/15</f>
        <v>4.333333333333333</v>
      </c>
      <c r="E33" s="127"/>
      <c r="F33" s="128"/>
      <c r="G33" s="128"/>
      <c r="H33" s="52">
        <f t="shared" si="0"/>
        <v>0</v>
      </c>
      <c r="I33" s="56">
        <f t="shared" si="1"/>
        <v>0</v>
      </c>
    </row>
    <row r="34" spans="1:9" ht="15.75" thickBot="1" x14ac:dyDescent="0.3">
      <c r="A34" s="8" t="s">
        <v>19</v>
      </c>
      <c r="B34" s="40" t="s">
        <v>250</v>
      </c>
      <c r="C34" s="101" t="s">
        <v>16</v>
      </c>
      <c r="D34" s="65">
        <f>250/30</f>
        <v>8.3333333333333339</v>
      </c>
      <c r="E34" s="129"/>
      <c r="F34" s="130"/>
      <c r="G34" s="130"/>
      <c r="H34" s="52">
        <f t="shared" ref="H34" si="9">SUM(E34+F34+G34)</f>
        <v>0</v>
      </c>
      <c r="I34" s="56">
        <f t="shared" ref="I34" si="10">SUM(H34*D34)</f>
        <v>0</v>
      </c>
    </row>
    <row r="35" spans="1:9" ht="15.75" thickBot="1" x14ac:dyDescent="0.3">
      <c r="A35" s="29" t="s">
        <v>19</v>
      </c>
      <c r="B35" s="30" t="s">
        <v>22</v>
      </c>
      <c r="C35" s="49" t="s">
        <v>21</v>
      </c>
      <c r="D35" s="64">
        <f>200/30</f>
        <v>6.666666666666667</v>
      </c>
      <c r="E35" s="131"/>
      <c r="F35" s="132"/>
      <c r="G35" s="132"/>
      <c r="H35" s="52">
        <f t="shared" si="0"/>
        <v>0</v>
      </c>
      <c r="I35" s="56">
        <f t="shared" si="1"/>
        <v>0</v>
      </c>
    </row>
    <row r="36" spans="1:9" ht="15.75" thickBot="1" x14ac:dyDescent="0.3">
      <c r="A36" s="13" t="s">
        <v>25</v>
      </c>
      <c r="B36" s="40" t="s">
        <v>34</v>
      </c>
      <c r="C36" s="38" t="s">
        <v>115</v>
      </c>
      <c r="D36" s="65">
        <f>405.1/24</f>
        <v>16.879166666666666</v>
      </c>
      <c r="E36" s="129"/>
      <c r="F36" s="130"/>
      <c r="G36" s="130"/>
      <c r="H36" s="52">
        <f t="shared" si="0"/>
        <v>0</v>
      </c>
      <c r="I36" s="56">
        <f t="shared" si="1"/>
        <v>0</v>
      </c>
    </row>
    <row r="37" spans="1:9" ht="15.75" thickBot="1" x14ac:dyDescent="0.3">
      <c r="A37" s="13" t="s">
        <v>25</v>
      </c>
      <c r="B37" s="40" t="s">
        <v>34</v>
      </c>
      <c r="C37" s="41" t="s">
        <v>227</v>
      </c>
      <c r="D37" s="65">
        <v>32.270000000000003</v>
      </c>
      <c r="E37" s="129"/>
      <c r="F37" s="130"/>
      <c r="G37" s="130"/>
      <c r="H37" s="52">
        <f t="shared" si="0"/>
        <v>0</v>
      </c>
      <c r="I37" s="56">
        <f t="shared" si="1"/>
        <v>0</v>
      </c>
    </row>
    <row r="38" spans="1:9" ht="15.75" thickBot="1" x14ac:dyDescent="0.3">
      <c r="A38" s="13" t="s">
        <v>25</v>
      </c>
      <c r="B38" s="9" t="s">
        <v>86</v>
      </c>
      <c r="C38" s="10" t="s">
        <v>24</v>
      </c>
      <c r="D38" s="63">
        <f>167/24</f>
        <v>6.958333333333333</v>
      </c>
      <c r="E38" s="127"/>
      <c r="F38" s="128"/>
      <c r="G38" s="128"/>
      <c r="H38" s="52">
        <f t="shared" si="0"/>
        <v>0</v>
      </c>
      <c r="I38" s="56">
        <f t="shared" si="1"/>
        <v>0</v>
      </c>
    </row>
    <row r="39" spans="1:9" ht="15.75" thickBot="1" x14ac:dyDescent="0.3">
      <c r="A39" s="13" t="s">
        <v>25</v>
      </c>
      <c r="B39" s="9" t="s">
        <v>26</v>
      </c>
      <c r="C39" s="10" t="s">
        <v>87</v>
      </c>
      <c r="D39" s="63">
        <f>256.5/24</f>
        <v>10.6875</v>
      </c>
      <c r="E39" s="127"/>
      <c r="F39" s="128"/>
      <c r="G39" s="128"/>
      <c r="H39" s="52">
        <f t="shared" si="0"/>
        <v>0</v>
      </c>
      <c r="I39" s="56">
        <f t="shared" si="1"/>
        <v>0</v>
      </c>
    </row>
    <row r="40" spans="1:9" ht="15.75" thickBot="1" x14ac:dyDescent="0.3">
      <c r="A40" s="13" t="s">
        <v>25</v>
      </c>
      <c r="B40" s="9" t="s">
        <v>26</v>
      </c>
      <c r="C40" s="10" t="s">
        <v>27</v>
      </c>
      <c r="D40" s="63">
        <v>15.8</v>
      </c>
      <c r="E40" s="127"/>
      <c r="F40" s="128"/>
      <c r="G40" s="128"/>
      <c r="H40" s="52">
        <f t="shared" si="0"/>
        <v>0</v>
      </c>
      <c r="I40" s="56">
        <f t="shared" si="1"/>
        <v>0</v>
      </c>
    </row>
    <row r="41" spans="1:9" ht="15.75" thickBot="1" x14ac:dyDescent="0.3">
      <c r="A41" s="13" t="s">
        <v>25</v>
      </c>
      <c r="B41" s="9" t="s">
        <v>26</v>
      </c>
      <c r="C41" s="10" t="s">
        <v>226</v>
      </c>
      <c r="D41" s="63">
        <v>19.38</v>
      </c>
      <c r="E41" s="127"/>
      <c r="F41" s="128"/>
      <c r="G41" s="128"/>
      <c r="H41" s="52">
        <f t="shared" ref="H41" si="11">SUM(E41+F41+G41)</f>
        <v>0</v>
      </c>
      <c r="I41" s="56">
        <f t="shared" ref="I41" si="12">SUM(H41*D41)</f>
        <v>0</v>
      </c>
    </row>
    <row r="42" spans="1:9" ht="15.75" thickBot="1" x14ac:dyDescent="0.3">
      <c r="A42" s="13" t="s">
        <v>25</v>
      </c>
      <c r="B42" s="9" t="s">
        <v>28</v>
      </c>
      <c r="C42" s="10" t="s">
        <v>226</v>
      </c>
      <c r="D42" s="63">
        <f>200.1/12</f>
        <v>16.675000000000001</v>
      </c>
      <c r="E42" s="127"/>
      <c r="F42" s="128"/>
      <c r="G42" s="128"/>
      <c r="H42" s="52">
        <f t="shared" si="0"/>
        <v>0</v>
      </c>
      <c r="I42" s="56">
        <f t="shared" si="1"/>
        <v>0</v>
      </c>
    </row>
    <row r="43" spans="1:9" ht="15.75" thickBot="1" x14ac:dyDescent="0.3">
      <c r="A43" s="13" t="s">
        <v>25</v>
      </c>
      <c r="B43" s="9" t="s">
        <v>28</v>
      </c>
      <c r="C43" s="10" t="s">
        <v>121</v>
      </c>
      <c r="D43" s="63">
        <f>256.5/24</f>
        <v>10.6875</v>
      </c>
      <c r="E43" s="127"/>
      <c r="F43" s="128"/>
      <c r="G43" s="128"/>
      <c r="H43" s="52">
        <f t="shared" si="0"/>
        <v>0</v>
      </c>
      <c r="I43" s="56">
        <f t="shared" si="1"/>
        <v>0</v>
      </c>
    </row>
    <row r="44" spans="1:9" ht="15.75" thickBot="1" x14ac:dyDescent="0.3">
      <c r="A44" s="13" t="s">
        <v>25</v>
      </c>
      <c r="B44" s="9" t="s">
        <v>88</v>
      </c>
      <c r="C44" s="10" t="s">
        <v>87</v>
      </c>
      <c r="D44" s="63">
        <f>256.5/24</f>
        <v>10.6875</v>
      </c>
      <c r="E44" s="127"/>
      <c r="F44" s="128"/>
      <c r="G44" s="128"/>
      <c r="H44" s="52">
        <f t="shared" si="0"/>
        <v>0</v>
      </c>
      <c r="I44" s="56">
        <f t="shared" si="1"/>
        <v>0</v>
      </c>
    </row>
    <row r="45" spans="1:9" ht="15.75" thickBot="1" x14ac:dyDescent="0.3">
      <c r="A45" s="13" t="s">
        <v>25</v>
      </c>
      <c r="B45" s="9" t="s">
        <v>202</v>
      </c>
      <c r="C45" s="10" t="s">
        <v>33</v>
      </c>
      <c r="D45" s="63">
        <f>315.8/24</f>
        <v>13.158333333333333</v>
      </c>
      <c r="E45" s="127"/>
      <c r="F45" s="128"/>
      <c r="G45" s="128"/>
      <c r="H45" s="52">
        <f t="shared" si="0"/>
        <v>0</v>
      </c>
      <c r="I45" s="56">
        <f t="shared" si="1"/>
        <v>0</v>
      </c>
    </row>
    <row r="46" spans="1:9" ht="15.75" thickBot="1" x14ac:dyDescent="0.3">
      <c r="A46" s="13" t="s">
        <v>25</v>
      </c>
      <c r="B46" s="9" t="s">
        <v>29</v>
      </c>
      <c r="C46" s="10" t="s">
        <v>87</v>
      </c>
      <c r="D46" s="63">
        <f>256.5/24</f>
        <v>10.6875</v>
      </c>
      <c r="E46" s="127"/>
      <c r="F46" s="128"/>
      <c r="G46" s="128"/>
      <c r="H46" s="52">
        <f t="shared" si="0"/>
        <v>0</v>
      </c>
      <c r="I46" s="56">
        <f t="shared" si="1"/>
        <v>0</v>
      </c>
    </row>
    <row r="47" spans="1:9" ht="15.75" thickBot="1" x14ac:dyDescent="0.3">
      <c r="A47" s="13" t="s">
        <v>25</v>
      </c>
      <c r="B47" s="9" t="s">
        <v>76</v>
      </c>
      <c r="C47" s="10" t="s">
        <v>87</v>
      </c>
      <c r="D47" s="63">
        <f>256.5/24</f>
        <v>10.6875</v>
      </c>
      <c r="E47" s="127"/>
      <c r="F47" s="128"/>
      <c r="G47" s="128"/>
      <c r="H47" s="52">
        <f t="shared" si="0"/>
        <v>0</v>
      </c>
      <c r="I47" s="56">
        <f t="shared" si="1"/>
        <v>0</v>
      </c>
    </row>
    <row r="48" spans="1:9" ht="15.75" thickBot="1" x14ac:dyDescent="0.3">
      <c r="A48" s="13" t="s">
        <v>25</v>
      </c>
      <c r="B48" s="14" t="s">
        <v>54</v>
      </c>
      <c r="C48" s="10" t="s">
        <v>32</v>
      </c>
      <c r="D48" s="63">
        <v>7.66</v>
      </c>
      <c r="E48" s="127"/>
      <c r="F48" s="128"/>
      <c r="G48" s="128"/>
      <c r="H48" s="52">
        <f t="shared" si="0"/>
        <v>0</v>
      </c>
      <c r="I48" s="56">
        <f t="shared" si="1"/>
        <v>0</v>
      </c>
    </row>
    <row r="49" spans="1:9" ht="15.75" thickBot="1" x14ac:dyDescent="0.3">
      <c r="A49" s="13" t="s">
        <v>25</v>
      </c>
      <c r="B49" s="14" t="s">
        <v>55</v>
      </c>
      <c r="C49" s="10" t="s">
        <v>32</v>
      </c>
      <c r="D49" s="63">
        <f>183.89/24</f>
        <v>7.6620833333333325</v>
      </c>
      <c r="E49" s="127"/>
      <c r="F49" s="128"/>
      <c r="G49" s="128"/>
      <c r="H49" s="52">
        <f t="shared" si="0"/>
        <v>0</v>
      </c>
      <c r="I49" s="56">
        <f t="shared" si="1"/>
        <v>0</v>
      </c>
    </row>
    <row r="50" spans="1:9" ht="15.75" thickBot="1" x14ac:dyDescent="0.3">
      <c r="A50" s="13" t="s">
        <v>25</v>
      </c>
      <c r="B50" s="14" t="s">
        <v>68</v>
      </c>
      <c r="C50" s="10" t="s">
        <v>32</v>
      </c>
      <c r="D50" s="63">
        <f>183.89/24</f>
        <v>7.6620833333333325</v>
      </c>
      <c r="E50" s="127"/>
      <c r="F50" s="128"/>
      <c r="G50" s="128"/>
      <c r="H50" s="52">
        <f t="shared" si="0"/>
        <v>0</v>
      </c>
      <c r="I50" s="56">
        <f t="shared" si="1"/>
        <v>0</v>
      </c>
    </row>
    <row r="51" spans="1:9" ht="15.75" thickBot="1" x14ac:dyDescent="0.3">
      <c r="A51" s="13" t="s">
        <v>25</v>
      </c>
      <c r="B51" s="14" t="s">
        <v>56</v>
      </c>
      <c r="C51" s="10" t="s">
        <v>132</v>
      </c>
      <c r="D51" s="63">
        <v>15.81</v>
      </c>
      <c r="E51" s="127"/>
      <c r="F51" s="128"/>
      <c r="G51" s="128"/>
      <c r="H51" s="52">
        <f t="shared" si="0"/>
        <v>0</v>
      </c>
      <c r="I51" s="56">
        <f t="shared" si="1"/>
        <v>0</v>
      </c>
    </row>
    <row r="52" spans="1:9" ht="15.75" thickBot="1" x14ac:dyDescent="0.3">
      <c r="A52" s="13" t="s">
        <v>25</v>
      </c>
      <c r="B52" s="14" t="s">
        <v>176</v>
      </c>
      <c r="C52" s="10" t="s">
        <v>115</v>
      </c>
      <c r="D52" s="63">
        <f>278.76/24</f>
        <v>11.615</v>
      </c>
      <c r="E52" s="127"/>
      <c r="F52" s="128"/>
      <c r="G52" s="128"/>
      <c r="H52" s="52">
        <f t="shared" si="0"/>
        <v>0</v>
      </c>
      <c r="I52" s="56">
        <f t="shared" si="1"/>
        <v>0</v>
      </c>
    </row>
    <row r="53" spans="1:9" ht="15.75" thickBot="1" x14ac:dyDescent="0.3">
      <c r="A53" s="13" t="s">
        <v>25</v>
      </c>
      <c r="B53" s="14" t="s">
        <v>35</v>
      </c>
      <c r="C53" s="10" t="s">
        <v>24</v>
      </c>
      <c r="D53" s="65">
        <f>405.1/24</f>
        <v>16.879166666666666</v>
      </c>
      <c r="E53" s="127"/>
      <c r="F53" s="128"/>
      <c r="G53" s="128"/>
      <c r="H53" s="52">
        <f t="shared" si="0"/>
        <v>0</v>
      </c>
      <c r="I53" s="56">
        <f t="shared" si="1"/>
        <v>0</v>
      </c>
    </row>
    <row r="54" spans="1:9" ht="15.75" thickBot="1" x14ac:dyDescent="0.3">
      <c r="A54" s="13" t="s">
        <v>25</v>
      </c>
      <c r="B54" s="14" t="s">
        <v>57</v>
      </c>
      <c r="C54" s="10" t="s">
        <v>16</v>
      </c>
      <c r="D54" s="63">
        <f>50.55/30</f>
        <v>1.6849999999999998</v>
      </c>
      <c r="E54" s="127"/>
      <c r="F54" s="128"/>
      <c r="G54" s="128"/>
      <c r="H54" s="52">
        <f t="shared" si="0"/>
        <v>0</v>
      </c>
      <c r="I54" s="56">
        <f t="shared" si="1"/>
        <v>0</v>
      </c>
    </row>
    <row r="55" spans="1:9" ht="15.75" thickBot="1" x14ac:dyDescent="0.3">
      <c r="A55" s="13" t="s">
        <v>25</v>
      </c>
      <c r="B55" s="14" t="s">
        <v>58</v>
      </c>
      <c r="C55" s="10" t="s">
        <v>16</v>
      </c>
      <c r="D55" s="63">
        <f>50.55/30</f>
        <v>1.6849999999999998</v>
      </c>
      <c r="E55" s="127"/>
      <c r="F55" s="128"/>
      <c r="G55" s="128"/>
      <c r="H55" s="52">
        <f t="shared" si="0"/>
        <v>0</v>
      </c>
      <c r="I55" s="56">
        <f t="shared" si="1"/>
        <v>0</v>
      </c>
    </row>
    <row r="56" spans="1:9" ht="15.75" thickBot="1" x14ac:dyDescent="0.3">
      <c r="A56" s="13" t="s">
        <v>25</v>
      </c>
      <c r="B56" s="14" t="s">
        <v>77</v>
      </c>
      <c r="C56" s="10" t="s">
        <v>16</v>
      </c>
      <c r="D56" s="63">
        <f>50.55/30</f>
        <v>1.6849999999999998</v>
      </c>
      <c r="E56" s="127"/>
      <c r="F56" s="128"/>
      <c r="G56" s="128"/>
      <c r="H56" s="52">
        <f t="shared" si="0"/>
        <v>0</v>
      </c>
      <c r="I56" s="56">
        <f t="shared" si="1"/>
        <v>0</v>
      </c>
    </row>
    <row r="57" spans="1:9" ht="15.75" thickBot="1" x14ac:dyDescent="0.3">
      <c r="A57" s="13" t="s">
        <v>25</v>
      </c>
      <c r="B57" s="14" t="s">
        <v>59</v>
      </c>
      <c r="C57" s="10" t="s">
        <v>27</v>
      </c>
      <c r="D57" s="63">
        <f>189.5/12</f>
        <v>15.791666666666666</v>
      </c>
      <c r="E57" s="127"/>
      <c r="F57" s="128"/>
      <c r="G57" s="128"/>
      <c r="H57" s="52">
        <f t="shared" si="0"/>
        <v>0</v>
      </c>
      <c r="I57" s="56">
        <f t="shared" si="1"/>
        <v>0</v>
      </c>
    </row>
    <row r="58" spans="1:9" ht="15.75" thickBot="1" x14ac:dyDescent="0.3">
      <c r="A58" s="13" t="s">
        <v>25</v>
      </c>
      <c r="B58" s="14" t="s">
        <v>60</v>
      </c>
      <c r="C58" s="10" t="s">
        <v>27</v>
      </c>
      <c r="D58" s="63">
        <f>189.5/12</f>
        <v>15.791666666666666</v>
      </c>
      <c r="E58" s="127"/>
      <c r="F58" s="128"/>
      <c r="G58" s="128"/>
      <c r="H58" s="52">
        <f t="shared" si="0"/>
        <v>0</v>
      </c>
      <c r="I58" s="56">
        <f t="shared" si="1"/>
        <v>0</v>
      </c>
    </row>
    <row r="59" spans="1:9" ht="15.75" thickBot="1" x14ac:dyDescent="0.3">
      <c r="A59" s="13" t="s">
        <v>25</v>
      </c>
      <c r="B59" s="14" t="s">
        <v>237</v>
      </c>
      <c r="C59" s="10" t="s">
        <v>115</v>
      </c>
      <c r="D59" s="63">
        <f>313.26/24</f>
        <v>13.0525</v>
      </c>
      <c r="E59" s="127"/>
      <c r="F59" s="128"/>
      <c r="G59" s="128"/>
      <c r="H59" s="52">
        <f t="shared" si="0"/>
        <v>0</v>
      </c>
      <c r="I59" s="56">
        <f>SUM(H59*D59)</f>
        <v>0</v>
      </c>
    </row>
    <row r="60" spans="1:9" ht="15.75" thickBot="1" x14ac:dyDescent="0.3">
      <c r="A60" s="13" t="s">
        <v>25</v>
      </c>
      <c r="B60" s="14" t="s">
        <v>61</v>
      </c>
      <c r="C60" s="10" t="s">
        <v>27</v>
      </c>
      <c r="D60" s="63">
        <f>189.5/12</f>
        <v>15.791666666666666</v>
      </c>
      <c r="E60" s="127"/>
      <c r="F60" s="128"/>
      <c r="G60" s="128"/>
      <c r="H60" s="52">
        <f t="shared" si="0"/>
        <v>0</v>
      </c>
      <c r="I60" s="56">
        <f t="shared" si="1"/>
        <v>0</v>
      </c>
    </row>
    <row r="61" spans="1:9" ht="15.75" thickBot="1" x14ac:dyDescent="0.3">
      <c r="A61" s="13" t="s">
        <v>25</v>
      </c>
      <c r="B61" s="14" t="s">
        <v>73</v>
      </c>
      <c r="C61" s="10" t="s">
        <v>33</v>
      </c>
      <c r="D61" s="63">
        <f>78/12</f>
        <v>6.5</v>
      </c>
      <c r="E61" s="127"/>
      <c r="F61" s="128"/>
      <c r="G61" s="128"/>
      <c r="H61" s="52">
        <f t="shared" si="0"/>
        <v>0</v>
      </c>
      <c r="I61" s="56">
        <f t="shared" si="1"/>
        <v>0</v>
      </c>
    </row>
    <row r="62" spans="1:9" ht="15.75" thickBot="1" x14ac:dyDescent="0.3">
      <c r="A62" s="13" t="s">
        <v>25</v>
      </c>
      <c r="B62" s="9" t="s">
        <v>30</v>
      </c>
      <c r="C62" s="10" t="s">
        <v>87</v>
      </c>
      <c r="D62" s="63">
        <f>256.5/24</f>
        <v>10.6875</v>
      </c>
      <c r="E62" s="127"/>
      <c r="F62" s="128"/>
      <c r="G62" s="128"/>
      <c r="H62" s="52">
        <f t="shared" si="0"/>
        <v>0</v>
      </c>
      <c r="I62" s="56">
        <f t="shared" si="1"/>
        <v>0</v>
      </c>
    </row>
    <row r="63" spans="1:9" ht="15.75" thickBot="1" x14ac:dyDescent="0.3">
      <c r="A63" s="13" t="s">
        <v>25</v>
      </c>
      <c r="B63" s="14" t="s">
        <v>31</v>
      </c>
      <c r="C63" s="10" t="s">
        <v>121</v>
      </c>
      <c r="D63" s="63">
        <f>256.5/24</f>
        <v>10.6875</v>
      </c>
      <c r="E63" s="127"/>
      <c r="F63" s="128"/>
      <c r="G63" s="128"/>
      <c r="H63" s="52">
        <f t="shared" si="0"/>
        <v>0</v>
      </c>
      <c r="I63" s="56">
        <f t="shared" si="1"/>
        <v>0</v>
      </c>
    </row>
    <row r="64" spans="1:9" ht="15.75" thickBot="1" x14ac:dyDescent="0.3">
      <c r="A64" s="13" t="s">
        <v>25</v>
      </c>
      <c r="B64" s="14" t="s">
        <v>62</v>
      </c>
      <c r="C64" s="10" t="s">
        <v>33</v>
      </c>
      <c r="D64" s="63">
        <f>125/25</f>
        <v>5</v>
      </c>
      <c r="E64" s="127"/>
      <c r="F64" s="128"/>
      <c r="G64" s="128"/>
      <c r="H64" s="52">
        <f t="shared" si="0"/>
        <v>0</v>
      </c>
      <c r="I64" s="56">
        <f t="shared" si="1"/>
        <v>0</v>
      </c>
    </row>
    <row r="65" spans="1:9" ht="15.75" thickBot="1" x14ac:dyDescent="0.3">
      <c r="A65" s="13" t="s">
        <v>25</v>
      </c>
      <c r="B65" s="42" t="s">
        <v>118</v>
      </c>
      <c r="C65" s="10" t="s">
        <v>87</v>
      </c>
      <c r="D65" s="63">
        <f>256.5/24</f>
        <v>10.6875</v>
      </c>
      <c r="E65" s="129"/>
      <c r="F65" s="130"/>
      <c r="G65" s="130"/>
      <c r="H65" s="52">
        <f t="shared" si="0"/>
        <v>0</v>
      </c>
      <c r="I65" s="56">
        <f t="shared" si="1"/>
        <v>0</v>
      </c>
    </row>
    <row r="66" spans="1:9" ht="15.75" thickBot="1" x14ac:dyDescent="0.3">
      <c r="A66" s="13" t="s">
        <v>25</v>
      </c>
      <c r="B66" s="42" t="s">
        <v>90</v>
      </c>
      <c r="C66" s="10" t="s">
        <v>87</v>
      </c>
      <c r="D66" s="63">
        <f>256.5/24</f>
        <v>10.6875</v>
      </c>
      <c r="E66" s="129"/>
      <c r="F66" s="130"/>
      <c r="G66" s="130"/>
      <c r="H66" s="52">
        <f t="shared" si="0"/>
        <v>0</v>
      </c>
      <c r="I66" s="56">
        <f t="shared" si="1"/>
        <v>0</v>
      </c>
    </row>
    <row r="67" spans="1:9" ht="15.75" thickBot="1" x14ac:dyDescent="0.3">
      <c r="A67" s="32" t="s">
        <v>25</v>
      </c>
      <c r="B67" s="33" t="s">
        <v>89</v>
      </c>
      <c r="C67" s="49" t="s">
        <v>87</v>
      </c>
      <c r="D67" s="91">
        <f>256.5/24</f>
        <v>10.6875</v>
      </c>
      <c r="E67" s="131"/>
      <c r="F67" s="132"/>
      <c r="G67" s="132"/>
      <c r="H67" s="52">
        <f t="shared" si="0"/>
        <v>0</v>
      </c>
      <c r="I67" s="56">
        <f t="shared" si="1"/>
        <v>0</v>
      </c>
    </row>
    <row r="68" spans="1:9" ht="15.75" thickBot="1" x14ac:dyDescent="0.3">
      <c r="A68" s="8" t="s">
        <v>74</v>
      </c>
      <c r="B68" s="9" t="s">
        <v>75</v>
      </c>
      <c r="C68" s="48" t="s">
        <v>16</v>
      </c>
      <c r="D68" s="71">
        <f>400/30</f>
        <v>13.333333333333334</v>
      </c>
      <c r="E68" s="127"/>
      <c r="F68" s="128"/>
      <c r="G68" s="128"/>
      <c r="H68" s="52">
        <f t="shared" si="0"/>
        <v>0</v>
      </c>
      <c r="I68" s="56">
        <f t="shared" si="1"/>
        <v>0</v>
      </c>
    </row>
    <row r="69" spans="1:9" ht="15.75" thickBot="1" x14ac:dyDescent="0.3">
      <c r="A69" s="26" t="s">
        <v>36</v>
      </c>
      <c r="B69" s="27" t="s">
        <v>150</v>
      </c>
      <c r="C69" s="98" t="s">
        <v>83</v>
      </c>
      <c r="D69" s="66">
        <v>68</v>
      </c>
      <c r="E69" s="133"/>
      <c r="F69" s="126"/>
      <c r="G69" s="126"/>
      <c r="H69" s="52">
        <f t="shared" si="0"/>
        <v>0</v>
      </c>
      <c r="I69" s="56">
        <f t="shared" ref="I69:I75" si="13">SUM(H69*D69)</f>
        <v>0</v>
      </c>
    </row>
    <row r="70" spans="1:9" ht="15.75" thickBot="1" x14ac:dyDescent="0.3">
      <c r="A70" s="24" t="s">
        <v>36</v>
      </c>
      <c r="B70" s="25" t="s">
        <v>218</v>
      </c>
      <c r="C70" s="44" t="s">
        <v>83</v>
      </c>
      <c r="D70" s="67">
        <v>68</v>
      </c>
      <c r="E70" s="134"/>
      <c r="F70" s="135"/>
      <c r="G70" s="135"/>
      <c r="H70" s="52">
        <f t="shared" si="0"/>
        <v>0</v>
      </c>
      <c r="I70" s="56">
        <f t="shared" si="13"/>
        <v>0</v>
      </c>
    </row>
    <row r="71" spans="1:9" ht="15.75" thickBot="1" x14ac:dyDescent="0.3">
      <c r="A71" s="24" t="s">
        <v>36</v>
      </c>
      <c r="B71" s="25" t="s">
        <v>133</v>
      </c>
      <c r="C71" s="44" t="s">
        <v>83</v>
      </c>
      <c r="D71" s="67">
        <v>60</v>
      </c>
      <c r="E71" s="134"/>
      <c r="F71" s="135"/>
      <c r="G71" s="135"/>
      <c r="H71" s="52">
        <f t="shared" si="0"/>
        <v>0</v>
      </c>
      <c r="I71" s="56">
        <f t="shared" si="13"/>
        <v>0</v>
      </c>
    </row>
    <row r="72" spans="1:9" ht="15.75" thickBot="1" x14ac:dyDescent="0.3">
      <c r="A72" s="24" t="s">
        <v>36</v>
      </c>
      <c r="B72" s="25" t="s">
        <v>219</v>
      </c>
      <c r="C72" s="44" t="s">
        <v>83</v>
      </c>
      <c r="D72" s="67">
        <v>79</v>
      </c>
      <c r="E72" s="134"/>
      <c r="F72" s="135"/>
      <c r="G72" s="135"/>
      <c r="H72" s="52">
        <f t="shared" si="0"/>
        <v>0</v>
      </c>
      <c r="I72" s="56">
        <f t="shared" si="13"/>
        <v>0</v>
      </c>
    </row>
    <row r="73" spans="1:9" ht="15.75" thickBot="1" x14ac:dyDescent="0.3">
      <c r="A73" s="24" t="s">
        <v>36</v>
      </c>
      <c r="B73" s="25" t="s">
        <v>166</v>
      </c>
      <c r="C73" s="44" t="s">
        <v>83</v>
      </c>
      <c r="D73" s="67">
        <v>84</v>
      </c>
      <c r="E73" s="134"/>
      <c r="F73" s="135"/>
      <c r="G73" s="135"/>
      <c r="H73" s="52">
        <f t="shared" si="0"/>
        <v>0</v>
      </c>
      <c r="I73" s="56">
        <f t="shared" si="13"/>
        <v>0</v>
      </c>
    </row>
    <row r="74" spans="1:9" ht="15.75" thickBot="1" x14ac:dyDescent="0.3">
      <c r="A74" s="24" t="s">
        <v>36</v>
      </c>
      <c r="B74" s="25" t="s">
        <v>228</v>
      </c>
      <c r="C74" s="44" t="s">
        <v>83</v>
      </c>
      <c r="D74" s="67">
        <v>87.5</v>
      </c>
      <c r="E74" s="134"/>
      <c r="F74" s="135"/>
      <c r="G74" s="135"/>
      <c r="H74" s="52">
        <f t="shared" si="0"/>
        <v>0</v>
      </c>
      <c r="I74" s="56">
        <f t="shared" si="13"/>
        <v>0</v>
      </c>
    </row>
    <row r="75" spans="1:9" ht="15.75" thickBot="1" x14ac:dyDescent="0.3">
      <c r="A75" s="24" t="s">
        <v>36</v>
      </c>
      <c r="B75" s="25" t="s">
        <v>153</v>
      </c>
      <c r="C75" s="44" t="s">
        <v>83</v>
      </c>
      <c r="D75" s="67">
        <v>105</v>
      </c>
      <c r="E75" s="134"/>
      <c r="F75" s="135"/>
      <c r="G75" s="135"/>
      <c r="H75" s="52">
        <f t="shared" si="0"/>
        <v>0</v>
      </c>
      <c r="I75" s="56">
        <f t="shared" si="13"/>
        <v>0</v>
      </c>
    </row>
    <row r="76" spans="1:9" ht="15.75" thickBot="1" x14ac:dyDescent="0.3">
      <c r="A76" s="8" t="s">
        <v>36</v>
      </c>
      <c r="B76" s="9" t="s">
        <v>82</v>
      </c>
      <c r="C76" s="44" t="s">
        <v>83</v>
      </c>
      <c r="D76" s="68">
        <v>129</v>
      </c>
      <c r="E76" s="127"/>
      <c r="F76" s="128"/>
      <c r="G76" s="128"/>
      <c r="H76" s="52">
        <f t="shared" si="0"/>
        <v>0</v>
      </c>
      <c r="I76" s="56">
        <f>SUM(H76*D76)</f>
        <v>0</v>
      </c>
    </row>
    <row r="77" spans="1:9" ht="15.75" thickBot="1" x14ac:dyDescent="0.3">
      <c r="A77" s="26" t="s">
        <v>37</v>
      </c>
      <c r="B77" s="27" t="s">
        <v>63</v>
      </c>
      <c r="C77" s="97" t="s">
        <v>16</v>
      </c>
      <c r="D77" s="62">
        <f>219/30</f>
        <v>7.3</v>
      </c>
      <c r="E77" s="133"/>
      <c r="F77" s="126"/>
      <c r="G77" s="126"/>
      <c r="H77" s="52">
        <f t="shared" si="0"/>
        <v>0</v>
      </c>
      <c r="I77" s="56">
        <f t="shared" ref="I77:I90" si="14">SUM(H77*D77)</f>
        <v>0</v>
      </c>
    </row>
    <row r="78" spans="1:9" ht="15.75" thickBot="1" x14ac:dyDescent="0.3">
      <c r="A78" s="8" t="s">
        <v>37</v>
      </c>
      <c r="B78" s="9" t="s">
        <v>64</v>
      </c>
      <c r="C78" s="43" t="s">
        <v>16</v>
      </c>
      <c r="D78" s="63">
        <f>185/30</f>
        <v>6.166666666666667</v>
      </c>
      <c r="E78" s="127"/>
      <c r="F78" s="128"/>
      <c r="G78" s="128"/>
      <c r="H78" s="52">
        <f t="shared" si="0"/>
        <v>0</v>
      </c>
      <c r="I78" s="56">
        <f t="shared" si="14"/>
        <v>0</v>
      </c>
    </row>
    <row r="79" spans="1:9" ht="15.75" thickBot="1" x14ac:dyDescent="0.3">
      <c r="A79" s="8" t="s">
        <v>37</v>
      </c>
      <c r="B79" s="9" t="s">
        <v>38</v>
      </c>
      <c r="C79" s="43" t="s">
        <v>16</v>
      </c>
      <c r="D79" s="63">
        <f>209/30</f>
        <v>6.9666666666666668</v>
      </c>
      <c r="E79" s="127"/>
      <c r="F79" s="128"/>
      <c r="G79" s="128"/>
      <c r="H79" s="52">
        <f t="shared" si="0"/>
        <v>0</v>
      </c>
      <c r="I79" s="56">
        <f t="shared" si="14"/>
        <v>0</v>
      </c>
    </row>
    <row r="80" spans="1:9" ht="15.75" thickBot="1" x14ac:dyDescent="0.3">
      <c r="A80" s="26" t="s">
        <v>39</v>
      </c>
      <c r="B80" s="27" t="s">
        <v>40</v>
      </c>
      <c r="C80" s="97" t="s">
        <v>16</v>
      </c>
      <c r="D80" s="62">
        <f>170/30</f>
        <v>5.666666666666667</v>
      </c>
      <c r="E80" s="133"/>
      <c r="F80" s="126"/>
      <c r="G80" s="126"/>
      <c r="H80" s="52">
        <f t="shared" si="0"/>
        <v>0</v>
      </c>
      <c r="I80" s="56">
        <f t="shared" si="14"/>
        <v>0</v>
      </c>
    </row>
    <row r="81" spans="1:9" ht="15.75" thickBot="1" x14ac:dyDescent="0.3">
      <c r="A81" s="24" t="s">
        <v>39</v>
      </c>
      <c r="B81" s="25" t="s">
        <v>174</v>
      </c>
      <c r="C81" s="99" t="s">
        <v>16</v>
      </c>
      <c r="D81" s="71">
        <f>299/30</f>
        <v>9.9666666666666668</v>
      </c>
      <c r="E81" s="134"/>
      <c r="F81" s="135"/>
      <c r="G81" s="135"/>
      <c r="H81" s="52">
        <f t="shared" si="0"/>
        <v>0</v>
      </c>
      <c r="I81" s="56">
        <f t="shared" si="14"/>
        <v>0</v>
      </c>
    </row>
    <row r="82" spans="1:9" ht="15.75" thickBot="1" x14ac:dyDescent="0.3">
      <c r="A82" s="24" t="s">
        <v>39</v>
      </c>
      <c r="B82" s="25" t="s">
        <v>238</v>
      </c>
      <c r="C82" s="99" t="s">
        <v>16</v>
      </c>
      <c r="D82" s="71">
        <f>260/30</f>
        <v>8.6666666666666661</v>
      </c>
      <c r="E82" s="134"/>
      <c r="F82" s="135"/>
      <c r="G82" s="135"/>
      <c r="H82" s="52">
        <f t="shared" ref="H82" si="15">SUM(E82+F82+G82)</f>
        <v>0</v>
      </c>
      <c r="I82" s="56">
        <f t="shared" ref="I82" si="16">SUM(H82*D82)</f>
        <v>0</v>
      </c>
    </row>
    <row r="83" spans="1:9" ht="15.75" thickBot="1" x14ac:dyDescent="0.3">
      <c r="A83" s="8" t="s">
        <v>39</v>
      </c>
      <c r="B83" s="9" t="s">
        <v>84</v>
      </c>
      <c r="C83" s="43" t="s">
        <v>16</v>
      </c>
      <c r="D83" s="63">
        <f>170/30</f>
        <v>5.666666666666667</v>
      </c>
      <c r="E83" s="127"/>
      <c r="F83" s="128"/>
      <c r="G83" s="128"/>
      <c r="H83" s="52">
        <f t="shared" si="0"/>
        <v>0</v>
      </c>
      <c r="I83" s="56">
        <f t="shared" si="14"/>
        <v>0</v>
      </c>
    </row>
    <row r="84" spans="1:9" ht="15.75" thickBot="1" x14ac:dyDescent="0.3">
      <c r="A84" s="8" t="s">
        <v>39</v>
      </c>
      <c r="B84" s="9" t="s">
        <v>65</v>
      </c>
      <c r="C84" s="43" t="s">
        <v>16</v>
      </c>
      <c r="D84" s="63">
        <f>169/30</f>
        <v>5.6333333333333337</v>
      </c>
      <c r="E84" s="127"/>
      <c r="F84" s="128"/>
      <c r="G84" s="128"/>
      <c r="H84" s="52">
        <f t="shared" si="0"/>
        <v>0</v>
      </c>
      <c r="I84" s="56">
        <f t="shared" si="14"/>
        <v>0</v>
      </c>
    </row>
    <row r="85" spans="1:9" ht="15.75" thickBot="1" x14ac:dyDescent="0.3">
      <c r="A85" s="8" t="s">
        <v>39</v>
      </c>
      <c r="B85" s="9" t="s">
        <v>41</v>
      </c>
      <c r="C85" s="43" t="s">
        <v>16</v>
      </c>
      <c r="D85" s="63">
        <f>330/30</f>
        <v>11</v>
      </c>
      <c r="E85" s="127"/>
      <c r="F85" s="128"/>
      <c r="G85" s="128"/>
      <c r="H85" s="52">
        <f t="shared" si="0"/>
        <v>0</v>
      </c>
      <c r="I85" s="56">
        <f t="shared" si="14"/>
        <v>0</v>
      </c>
    </row>
    <row r="86" spans="1:9" ht="15.75" thickBot="1" x14ac:dyDescent="0.3">
      <c r="A86" s="8" t="s">
        <v>39</v>
      </c>
      <c r="B86" s="9" t="s">
        <v>175</v>
      </c>
      <c r="C86" s="43" t="s">
        <v>16</v>
      </c>
      <c r="D86" s="63">
        <f>150/30</f>
        <v>5</v>
      </c>
      <c r="E86" s="127"/>
      <c r="F86" s="128"/>
      <c r="G86" s="128"/>
      <c r="H86" s="52">
        <f t="shared" si="0"/>
        <v>0</v>
      </c>
      <c r="I86" s="56">
        <f t="shared" si="14"/>
        <v>0</v>
      </c>
    </row>
    <row r="87" spans="1:9" ht="15.75" thickBot="1" x14ac:dyDescent="0.3">
      <c r="A87" s="8" t="s">
        <v>39</v>
      </c>
      <c r="B87" s="9" t="s">
        <v>66</v>
      </c>
      <c r="C87" s="43" t="s">
        <v>16</v>
      </c>
      <c r="D87" s="63">
        <f>320/30</f>
        <v>10.666666666666666</v>
      </c>
      <c r="E87" s="127"/>
      <c r="F87" s="128"/>
      <c r="G87" s="128"/>
      <c r="H87" s="52">
        <f t="shared" si="0"/>
        <v>0</v>
      </c>
      <c r="I87" s="56">
        <f t="shared" si="14"/>
        <v>0</v>
      </c>
    </row>
    <row r="88" spans="1:9" ht="15.75" thickBot="1" x14ac:dyDescent="0.3">
      <c r="A88" s="29" t="s">
        <v>39</v>
      </c>
      <c r="B88" s="30" t="s">
        <v>42</v>
      </c>
      <c r="C88" s="49" t="s">
        <v>16</v>
      </c>
      <c r="D88" s="64">
        <f>100/30</f>
        <v>3.3333333333333335</v>
      </c>
      <c r="E88" s="131"/>
      <c r="F88" s="132"/>
      <c r="G88" s="132"/>
      <c r="H88" s="52">
        <f t="shared" si="0"/>
        <v>0</v>
      </c>
      <c r="I88" s="56">
        <f t="shared" si="14"/>
        <v>0</v>
      </c>
    </row>
    <row r="89" spans="1:9" ht="15.75" thickBot="1" x14ac:dyDescent="0.3">
      <c r="A89" s="8" t="s">
        <v>43</v>
      </c>
      <c r="B89" s="14" t="s">
        <v>220</v>
      </c>
      <c r="C89" s="100" t="s">
        <v>44</v>
      </c>
      <c r="D89" s="68">
        <f>534/6</f>
        <v>89</v>
      </c>
      <c r="E89" s="127"/>
      <c r="F89" s="128"/>
      <c r="G89" s="128"/>
      <c r="H89" s="52">
        <f t="shared" si="0"/>
        <v>0</v>
      </c>
      <c r="I89" s="56">
        <f t="shared" si="14"/>
        <v>0</v>
      </c>
    </row>
    <row r="90" spans="1:9" ht="15.75" thickBot="1" x14ac:dyDescent="0.3">
      <c r="A90" s="8" t="s">
        <v>43</v>
      </c>
      <c r="B90" s="42" t="s">
        <v>221</v>
      </c>
      <c r="C90" s="100" t="s">
        <v>44</v>
      </c>
      <c r="D90" s="153">
        <v>113.25</v>
      </c>
      <c r="E90" s="129"/>
      <c r="F90" s="130"/>
      <c r="G90" s="130"/>
      <c r="H90" s="52">
        <f t="shared" ref="H90:H110" si="17">SUM(E90+F90+G90)</f>
        <v>0</v>
      </c>
      <c r="I90" s="56">
        <f t="shared" si="14"/>
        <v>0</v>
      </c>
    </row>
    <row r="91" spans="1:9" ht="15.75" thickBot="1" x14ac:dyDescent="0.3">
      <c r="A91" s="8" t="s">
        <v>43</v>
      </c>
      <c r="B91" s="42" t="s">
        <v>147</v>
      </c>
      <c r="C91" s="100" t="s">
        <v>44</v>
      </c>
      <c r="D91" s="153">
        <v>100</v>
      </c>
      <c r="E91" s="129"/>
      <c r="F91" s="130"/>
      <c r="G91" s="130"/>
      <c r="H91" s="52">
        <f t="shared" si="17"/>
        <v>0</v>
      </c>
      <c r="I91" s="56">
        <f>SUM(H91*D91)</f>
        <v>0</v>
      </c>
    </row>
    <row r="92" spans="1:9" ht="15.75" thickBot="1" x14ac:dyDescent="0.3">
      <c r="A92" s="8" t="s">
        <v>43</v>
      </c>
      <c r="B92" s="33" t="s">
        <v>241</v>
      </c>
      <c r="C92" s="34" t="s">
        <v>44</v>
      </c>
      <c r="D92" s="69">
        <f>2160/12</f>
        <v>180</v>
      </c>
      <c r="E92" s="131"/>
      <c r="F92" s="132"/>
      <c r="G92" s="132"/>
      <c r="H92" s="52">
        <f t="shared" si="17"/>
        <v>0</v>
      </c>
      <c r="I92" s="56">
        <f t="shared" ref="I92:I110" si="18">SUM(H92*D92)</f>
        <v>0</v>
      </c>
    </row>
    <row r="93" spans="1:9" ht="15.75" thickBot="1" x14ac:dyDescent="0.3">
      <c r="A93" s="26" t="s">
        <v>45</v>
      </c>
      <c r="B93" s="27" t="s">
        <v>46</v>
      </c>
      <c r="C93" s="43" t="s">
        <v>16</v>
      </c>
      <c r="D93" s="62">
        <f>220/30</f>
        <v>7.333333333333333</v>
      </c>
      <c r="E93" s="133"/>
      <c r="F93" s="126"/>
      <c r="G93" s="126"/>
      <c r="H93" s="52">
        <f t="shared" si="17"/>
        <v>0</v>
      </c>
      <c r="I93" s="56">
        <f t="shared" si="18"/>
        <v>0</v>
      </c>
    </row>
    <row r="94" spans="1:9" ht="15.75" thickBot="1" x14ac:dyDescent="0.3">
      <c r="A94" s="24" t="s">
        <v>45</v>
      </c>
      <c r="B94" s="25" t="s">
        <v>161</v>
      </c>
      <c r="C94" s="101" t="s">
        <v>16</v>
      </c>
      <c r="D94" s="71">
        <f>500/30</f>
        <v>16.666666666666668</v>
      </c>
      <c r="E94" s="134"/>
      <c r="F94" s="135"/>
      <c r="G94" s="135"/>
      <c r="H94" s="52">
        <f t="shared" si="17"/>
        <v>0</v>
      </c>
      <c r="I94" s="56">
        <f t="shared" si="18"/>
        <v>0</v>
      </c>
    </row>
    <row r="95" spans="1:9" s="12" customFormat="1" ht="15.75" thickBot="1" x14ac:dyDescent="0.3">
      <c r="A95" s="8" t="s">
        <v>45</v>
      </c>
      <c r="B95" s="9" t="s">
        <v>47</v>
      </c>
      <c r="C95" s="49" t="s">
        <v>16</v>
      </c>
      <c r="D95" s="63">
        <f>350/30</f>
        <v>11.666666666666666</v>
      </c>
      <c r="E95" s="127"/>
      <c r="F95" s="128"/>
      <c r="G95" s="128"/>
      <c r="H95" s="52">
        <f t="shared" si="17"/>
        <v>0</v>
      </c>
      <c r="I95" s="56">
        <f t="shared" si="18"/>
        <v>0</v>
      </c>
    </row>
    <row r="96" spans="1:9" ht="15.75" thickBot="1" x14ac:dyDescent="0.3">
      <c r="A96" s="26" t="s">
        <v>48</v>
      </c>
      <c r="B96" s="27" t="s">
        <v>78</v>
      </c>
      <c r="C96" s="99" t="s">
        <v>16</v>
      </c>
      <c r="D96" s="62">
        <f>160/30</f>
        <v>5.333333333333333</v>
      </c>
      <c r="E96" s="133"/>
      <c r="F96" s="126"/>
      <c r="G96" s="126"/>
      <c r="H96" s="52">
        <f t="shared" si="17"/>
        <v>0</v>
      </c>
      <c r="I96" s="56">
        <f t="shared" si="18"/>
        <v>0</v>
      </c>
    </row>
    <row r="97" spans="1:9" ht="15.75" thickBot="1" x14ac:dyDescent="0.3">
      <c r="A97" s="8" t="s">
        <v>48</v>
      </c>
      <c r="B97" s="9" t="s">
        <v>69</v>
      </c>
      <c r="C97" s="43" t="s">
        <v>16</v>
      </c>
      <c r="D97" s="63">
        <f>169.9/30</f>
        <v>5.6633333333333331</v>
      </c>
      <c r="E97" s="127"/>
      <c r="F97" s="128"/>
      <c r="G97" s="128"/>
      <c r="H97" s="52">
        <f t="shared" si="17"/>
        <v>0</v>
      </c>
      <c r="I97" s="56">
        <f t="shared" si="18"/>
        <v>0</v>
      </c>
    </row>
    <row r="98" spans="1:9" ht="15.75" thickBot="1" x14ac:dyDescent="0.3">
      <c r="A98" s="8" t="s">
        <v>48</v>
      </c>
      <c r="B98" s="40" t="s">
        <v>91</v>
      </c>
      <c r="C98" s="43" t="s">
        <v>16</v>
      </c>
      <c r="D98" s="65">
        <f>380/30</f>
        <v>12.666666666666666</v>
      </c>
      <c r="E98" s="129"/>
      <c r="F98" s="130"/>
      <c r="G98" s="130"/>
      <c r="H98" s="52">
        <f t="shared" si="17"/>
        <v>0</v>
      </c>
      <c r="I98" s="56">
        <f t="shared" si="18"/>
        <v>0</v>
      </c>
    </row>
    <row r="99" spans="1:9" ht="15.75" thickBot="1" x14ac:dyDescent="0.3">
      <c r="A99" s="8" t="s">
        <v>48</v>
      </c>
      <c r="B99" s="40" t="s">
        <v>229</v>
      </c>
      <c r="C99" s="43" t="s">
        <v>16</v>
      </c>
      <c r="D99" s="70">
        <f>175/30</f>
        <v>5.833333333333333</v>
      </c>
      <c r="E99" s="129"/>
      <c r="F99" s="130"/>
      <c r="G99" s="130"/>
      <c r="H99" s="52">
        <f t="shared" si="17"/>
        <v>0</v>
      </c>
      <c r="I99" s="56">
        <f t="shared" si="18"/>
        <v>0</v>
      </c>
    </row>
    <row r="100" spans="1:9" ht="15.75" thickBot="1" x14ac:dyDescent="0.3">
      <c r="A100" s="8" t="s">
        <v>48</v>
      </c>
      <c r="B100" s="30" t="s">
        <v>67</v>
      </c>
      <c r="C100" s="43" t="s">
        <v>16</v>
      </c>
      <c r="D100" s="152">
        <f>175/30</f>
        <v>5.833333333333333</v>
      </c>
      <c r="E100" s="131"/>
      <c r="F100" s="132"/>
      <c r="G100" s="132"/>
      <c r="H100" s="52">
        <f t="shared" si="17"/>
        <v>0</v>
      </c>
      <c r="I100" s="56">
        <f t="shared" si="18"/>
        <v>0</v>
      </c>
    </row>
    <row r="101" spans="1:9" ht="15.75" thickBot="1" x14ac:dyDescent="0.3">
      <c r="A101" s="26" t="s">
        <v>49</v>
      </c>
      <c r="B101" s="27" t="s">
        <v>249</v>
      </c>
      <c r="C101" s="28" t="s">
        <v>83</v>
      </c>
      <c r="D101" s="62">
        <v>92</v>
      </c>
      <c r="E101" s="133"/>
      <c r="F101" s="126"/>
      <c r="G101" s="126"/>
      <c r="H101" s="52">
        <f t="shared" si="17"/>
        <v>0</v>
      </c>
      <c r="I101" s="56">
        <f t="shared" si="18"/>
        <v>0</v>
      </c>
    </row>
    <row r="102" spans="1:9" ht="15.75" thickBot="1" x14ac:dyDescent="0.3">
      <c r="A102" s="36" t="s">
        <v>49</v>
      </c>
      <c r="B102" s="37" t="s">
        <v>205</v>
      </c>
      <c r="C102" s="38" t="s">
        <v>83</v>
      </c>
      <c r="D102" s="154">
        <v>68</v>
      </c>
      <c r="E102" s="136"/>
      <c r="F102" s="137"/>
      <c r="G102" s="137"/>
      <c r="H102" s="52">
        <f t="shared" ref="H102" si="19">SUM(E102+F102+G102)</f>
        <v>0</v>
      </c>
      <c r="I102" s="56">
        <f t="shared" ref="I102" si="20">SUM(H102*D102)</f>
        <v>0</v>
      </c>
    </row>
    <row r="103" spans="1:9" ht="15.75" thickBot="1" x14ac:dyDescent="0.3">
      <c r="A103" s="8" t="s">
        <v>49</v>
      </c>
      <c r="B103" s="9" t="s">
        <v>222</v>
      </c>
      <c r="C103" s="43" t="s">
        <v>83</v>
      </c>
      <c r="D103" s="70">
        <v>87.5</v>
      </c>
      <c r="E103" s="138"/>
      <c r="F103" s="128"/>
      <c r="G103" s="128"/>
      <c r="H103" s="52">
        <f t="shared" si="17"/>
        <v>0</v>
      </c>
      <c r="I103" s="56">
        <f t="shared" si="18"/>
        <v>0</v>
      </c>
    </row>
    <row r="104" spans="1:9" ht="15.75" thickBot="1" x14ac:dyDescent="0.3">
      <c r="A104" s="24" t="s">
        <v>70</v>
      </c>
      <c r="B104" s="9" t="s">
        <v>223</v>
      </c>
      <c r="C104" s="43" t="s">
        <v>83</v>
      </c>
      <c r="D104" s="70">
        <f>600.25/6</f>
        <v>100.04166666666667</v>
      </c>
      <c r="E104" s="138"/>
      <c r="F104" s="128"/>
      <c r="G104" s="128"/>
      <c r="H104" s="52">
        <f t="shared" si="17"/>
        <v>0</v>
      </c>
      <c r="I104" s="56">
        <f t="shared" si="18"/>
        <v>0</v>
      </c>
    </row>
    <row r="105" spans="1:9" ht="15.75" thickBot="1" x14ac:dyDescent="0.3">
      <c r="A105" s="24" t="s">
        <v>70</v>
      </c>
      <c r="B105" s="9" t="s">
        <v>247</v>
      </c>
      <c r="C105" s="43" t="s">
        <v>83</v>
      </c>
      <c r="D105" s="71">
        <v>92</v>
      </c>
      <c r="E105" s="138"/>
      <c r="F105" s="128"/>
      <c r="G105" s="128"/>
      <c r="H105" s="52">
        <f t="shared" ref="H105" si="21">SUM(E105+F105+G105)</f>
        <v>0</v>
      </c>
      <c r="I105" s="56">
        <f t="shared" ref="I105" si="22">SUM(H105*D105)</f>
        <v>0</v>
      </c>
    </row>
    <row r="106" spans="1:9" s="12" customFormat="1" ht="15.75" thickBot="1" x14ac:dyDescent="0.3">
      <c r="A106" s="24" t="s">
        <v>49</v>
      </c>
      <c r="B106" s="9" t="s">
        <v>224</v>
      </c>
      <c r="C106" s="35" t="s">
        <v>83</v>
      </c>
      <c r="D106" s="71">
        <v>135</v>
      </c>
      <c r="E106" s="138"/>
      <c r="F106" s="128"/>
      <c r="G106" s="128"/>
      <c r="H106" s="52">
        <f t="shared" si="17"/>
        <v>0</v>
      </c>
      <c r="I106" s="56">
        <f t="shared" si="18"/>
        <v>0</v>
      </c>
    </row>
    <row r="107" spans="1:9" s="12" customFormat="1" ht="15.75" thickBot="1" x14ac:dyDescent="0.3">
      <c r="A107" s="24" t="s">
        <v>70</v>
      </c>
      <c r="B107" s="9" t="s">
        <v>180</v>
      </c>
      <c r="C107" s="35" t="s">
        <v>83</v>
      </c>
      <c r="D107" s="71">
        <v>68</v>
      </c>
      <c r="E107" s="127"/>
      <c r="F107" s="128"/>
      <c r="G107" s="128"/>
      <c r="H107" s="52">
        <f t="shared" si="17"/>
        <v>0</v>
      </c>
      <c r="I107" s="56">
        <f t="shared" si="18"/>
        <v>0</v>
      </c>
    </row>
    <row r="108" spans="1:9" s="12" customFormat="1" ht="15.75" thickBot="1" x14ac:dyDescent="0.3">
      <c r="A108" s="24" t="s">
        <v>49</v>
      </c>
      <c r="B108" s="9" t="s">
        <v>149</v>
      </c>
      <c r="C108" s="35" t="s">
        <v>83</v>
      </c>
      <c r="D108" s="71">
        <v>68</v>
      </c>
      <c r="E108" s="127"/>
      <c r="F108" s="128"/>
      <c r="G108" s="128"/>
      <c r="H108" s="52">
        <f t="shared" si="17"/>
        <v>0</v>
      </c>
      <c r="I108" s="56">
        <f t="shared" si="18"/>
        <v>0</v>
      </c>
    </row>
    <row r="109" spans="1:9" s="12" customFormat="1" ht="15.75" thickBot="1" x14ac:dyDescent="0.3">
      <c r="A109" s="24" t="s">
        <v>49</v>
      </c>
      <c r="B109" s="9"/>
      <c r="C109" s="35"/>
      <c r="D109" s="71"/>
      <c r="E109" s="127"/>
      <c r="F109" s="128"/>
      <c r="G109" s="128"/>
      <c r="H109" s="52">
        <f t="shared" ref="H109" si="23">SUM(E109+F109+G109)</f>
        <v>0</v>
      </c>
      <c r="I109" s="56">
        <f t="shared" ref="I109" si="24">SUM(H109*D109)</f>
        <v>0</v>
      </c>
    </row>
    <row r="110" spans="1:9" s="12" customFormat="1" x14ac:dyDescent="0.25">
      <c r="A110" s="8"/>
      <c r="B110" s="9"/>
      <c r="C110" s="15"/>
      <c r="D110" s="63"/>
      <c r="E110" s="127"/>
      <c r="F110" s="128"/>
      <c r="G110" s="128"/>
      <c r="H110" s="52">
        <f t="shared" si="17"/>
        <v>0</v>
      </c>
      <c r="I110" s="56">
        <f t="shared" si="18"/>
        <v>0</v>
      </c>
    </row>
    <row r="111" spans="1:9" s="16" customFormat="1" ht="19.5" thickBot="1" x14ac:dyDescent="0.35">
      <c r="A111" s="46" t="s">
        <v>72</v>
      </c>
      <c r="B111" s="47"/>
      <c r="C111" s="47"/>
      <c r="D111" s="72"/>
      <c r="E111" s="58"/>
      <c r="F111" s="54"/>
      <c r="G111" s="54"/>
      <c r="H111" s="54"/>
      <c r="I111" s="57">
        <f>SUM(I3:I110)</f>
        <v>0</v>
      </c>
    </row>
  </sheetData>
  <sortState ref="A3:G140">
    <sortCondition ref="A3:A140"/>
    <sortCondition ref="B3:B140"/>
  </sortState>
  <mergeCells count="1">
    <mergeCell ref="E1:H1"/>
  </mergeCells>
  <pageMargins left="0.25" right="0.25" top="0.75" bottom="0.75" header="0.3" footer="0.3"/>
  <pageSetup paperSize="9" scale="8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E3" sqref="E3:E87"/>
    </sheetView>
  </sheetViews>
  <sheetFormatPr defaultRowHeight="15" x14ac:dyDescent="0.25"/>
  <cols>
    <col min="1" max="1" width="10.42578125" style="17" bestFit="1" customWidth="1"/>
    <col min="2" max="2" width="24.42578125" style="11" bestFit="1" customWidth="1"/>
    <col min="3" max="3" width="10.5703125" style="18" bestFit="1" customWidth="1"/>
    <col min="4" max="4" width="10.42578125" style="1" customWidth="1"/>
    <col min="5" max="5" width="15.7109375" style="51" customWidth="1"/>
    <col min="6" max="6" width="14.5703125" style="55" customWidth="1"/>
    <col min="7" max="16384" width="9.140625" style="11"/>
  </cols>
  <sheetData>
    <row r="1" spans="1:8" s="7" customFormat="1" ht="93" x14ac:dyDescent="0.25">
      <c r="A1" s="4" t="s">
        <v>0</v>
      </c>
      <c r="B1" s="5" t="s">
        <v>1</v>
      </c>
      <c r="C1" s="6" t="s">
        <v>2</v>
      </c>
      <c r="D1" s="161" t="s">
        <v>71</v>
      </c>
      <c r="E1" s="162"/>
      <c r="F1" s="163"/>
      <c r="G1" s="3"/>
      <c r="H1" s="3"/>
    </row>
    <row r="2" spans="1:8" s="20" customFormat="1" ht="51" thickBot="1" x14ac:dyDescent="0.4">
      <c r="A2" s="21"/>
      <c r="B2" s="22"/>
      <c r="C2" s="22"/>
      <c r="D2" s="61" t="s">
        <v>131</v>
      </c>
      <c r="E2" s="125" t="s">
        <v>93</v>
      </c>
      <c r="F2" s="155" t="s">
        <v>130</v>
      </c>
      <c r="G2" s="19"/>
      <c r="H2" s="19"/>
    </row>
    <row r="3" spans="1:8" x14ac:dyDescent="0.25">
      <c r="A3" s="26" t="s">
        <v>94</v>
      </c>
      <c r="B3" s="27" t="s">
        <v>95</v>
      </c>
      <c r="C3" s="45" t="s">
        <v>119</v>
      </c>
      <c r="D3" s="62">
        <f>81.5/12</f>
        <v>6.791666666666667</v>
      </c>
      <c r="E3" s="139"/>
      <c r="F3" s="150">
        <f>SUM(E3*D3)</f>
        <v>0</v>
      </c>
    </row>
    <row r="4" spans="1:8" x14ac:dyDescent="0.25">
      <c r="A4" s="8" t="s">
        <v>94</v>
      </c>
      <c r="B4" s="9" t="s">
        <v>96</v>
      </c>
      <c r="C4" s="43" t="s">
        <v>119</v>
      </c>
      <c r="D4" s="63">
        <f>81.5/12</f>
        <v>6.791666666666667</v>
      </c>
      <c r="E4" s="140"/>
      <c r="F4" s="89">
        <f t="shared" ref="F4:F85" si="0">SUM(E4*D4)</f>
        <v>0</v>
      </c>
    </row>
    <row r="5" spans="1:8" x14ac:dyDescent="0.25">
      <c r="A5" s="8" t="s">
        <v>94</v>
      </c>
      <c r="B5" s="9" t="s">
        <v>97</v>
      </c>
      <c r="C5" s="43" t="s">
        <v>119</v>
      </c>
      <c r="D5" s="63">
        <f>74/12</f>
        <v>6.166666666666667</v>
      </c>
      <c r="E5" s="140"/>
      <c r="F5" s="89">
        <f t="shared" si="0"/>
        <v>0</v>
      </c>
    </row>
    <row r="6" spans="1:8" x14ac:dyDescent="0.25">
      <c r="A6" s="8" t="s">
        <v>94</v>
      </c>
      <c r="B6" s="40" t="s">
        <v>245</v>
      </c>
      <c r="C6" s="41" t="s">
        <v>119</v>
      </c>
      <c r="D6" s="65">
        <v>3</v>
      </c>
      <c r="E6" s="141"/>
      <c r="F6" s="89">
        <f t="shared" si="0"/>
        <v>0</v>
      </c>
    </row>
    <row r="7" spans="1:8" x14ac:dyDescent="0.25">
      <c r="A7" s="8" t="s">
        <v>94</v>
      </c>
      <c r="B7" s="40" t="s">
        <v>159</v>
      </c>
      <c r="C7" s="41" t="s">
        <v>119</v>
      </c>
      <c r="D7" s="65">
        <f>49/50</f>
        <v>0.98</v>
      </c>
      <c r="E7" s="141"/>
      <c r="F7" s="89">
        <f t="shared" si="0"/>
        <v>0</v>
      </c>
    </row>
    <row r="8" spans="1:8" x14ac:dyDescent="0.25">
      <c r="A8" s="8" t="s">
        <v>94</v>
      </c>
      <c r="B8" s="9" t="s">
        <v>203</v>
      </c>
      <c r="C8" s="41" t="s">
        <v>119</v>
      </c>
      <c r="D8" s="65">
        <f>13</f>
        <v>13</v>
      </c>
      <c r="E8" s="141"/>
      <c r="F8" s="89">
        <f t="shared" si="0"/>
        <v>0</v>
      </c>
    </row>
    <row r="9" spans="1:8" ht="15.75" thickBot="1" x14ac:dyDescent="0.3">
      <c r="A9" s="29" t="s">
        <v>98</v>
      </c>
      <c r="B9" s="93" t="s">
        <v>99</v>
      </c>
      <c r="C9" s="31" t="s">
        <v>119</v>
      </c>
      <c r="D9" s="91">
        <f>40/12</f>
        <v>3.3333333333333335</v>
      </c>
      <c r="E9" s="142"/>
      <c r="F9" s="151">
        <f t="shared" si="0"/>
        <v>0</v>
      </c>
    </row>
    <row r="10" spans="1:8" x14ac:dyDescent="0.25">
      <c r="A10" s="24" t="s">
        <v>138</v>
      </c>
      <c r="B10" s="25" t="s">
        <v>139</v>
      </c>
      <c r="C10" s="48" t="s">
        <v>140</v>
      </c>
      <c r="D10" s="90">
        <v>23.25</v>
      </c>
      <c r="E10" s="143"/>
      <c r="F10" s="150">
        <f t="shared" si="0"/>
        <v>0</v>
      </c>
    </row>
    <row r="11" spans="1:8" x14ac:dyDescent="0.25">
      <c r="A11" s="8" t="s">
        <v>138</v>
      </c>
      <c r="B11" s="9" t="s">
        <v>141</v>
      </c>
      <c r="C11" s="10" t="s">
        <v>140</v>
      </c>
      <c r="D11" s="70">
        <v>18.850000000000001</v>
      </c>
      <c r="E11" s="140"/>
      <c r="F11" s="89">
        <f t="shared" si="0"/>
        <v>0</v>
      </c>
    </row>
    <row r="12" spans="1:8" ht="15.75" thickBot="1" x14ac:dyDescent="0.3">
      <c r="A12" s="8" t="s">
        <v>138</v>
      </c>
      <c r="B12" s="93" t="s">
        <v>246</v>
      </c>
      <c r="C12" s="94"/>
      <c r="D12" s="91">
        <f>180.55/10</f>
        <v>18.055</v>
      </c>
      <c r="E12" s="144"/>
      <c r="F12" s="151">
        <f t="shared" si="0"/>
        <v>0</v>
      </c>
    </row>
    <row r="13" spans="1:8" x14ac:dyDescent="0.25">
      <c r="A13" s="26" t="s">
        <v>207</v>
      </c>
      <c r="B13" s="27" t="s">
        <v>208</v>
      </c>
      <c r="C13" s="28" t="s">
        <v>119</v>
      </c>
      <c r="D13" s="103">
        <f>81.6/12</f>
        <v>6.8</v>
      </c>
      <c r="E13" s="139"/>
      <c r="F13" s="150">
        <f t="shared" si="0"/>
        <v>0</v>
      </c>
    </row>
    <row r="14" spans="1:8" x14ac:dyDescent="0.25">
      <c r="A14" s="24"/>
      <c r="B14" s="25"/>
      <c r="C14" s="48"/>
      <c r="D14" s="90"/>
      <c r="E14" s="145"/>
      <c r="F14" s="89">
        <f t="shared" si="0"/>
        <v>0</v>
      </c>
    </row>
    <row r="15" spans="1:8" ht="15.75" thickBot="1" x14ac:dyDescent="0.3">
      <c r="A15" s="29"/>
      <c r="B15" s="30"/>
      <c r="C15" s="31"/>
      <c r="D15" s="91"/>
      <c r="E15" s="146"/>
      <c r="F15" s="151">
        <f t="shared" si="0"/>
        <v>0</v>
      </c>
    </row>
    <row r="16" spans="1:8" x14ac:dyDescent="0.25">
      <c r="A16" s="24" t="s">
        <v>100</v>
      </c>
      <c r="B16" s="25" t="s">
        <v>101</v>
      </c>
      <c r="C16" s="48" t="s">
        <v>119</v>
      </c>
      <c r="D16" s="90">
        <f>238/12</f>
        <v>19.833333333333332</v>
      </c>
      <c r="E16" s="145"/>
      <c r="F16" s="150">
        <f t="shared" si="0"/>
        <v>0</v>
      </c>
    </row>
    <row r="17" spans="1:6" x14ac:dyDescent="0.25">
      <c r="A17" s="39"/>
      <c r="B17" s="40"/>
      <c r="C17" s="41"/>
      <c r="D17" s="70"/>
      <c r="E17" s="141"/>
      <c r="F17" s="89">
        <f t="shared" si="0"/>
        <v>0</v>
      </c>
    </row>
    <row r="18" spans="1:6" ht="15.75" thickBot="1" x14ac:dyDescent="0.3">
      <c r="A18" s="29"/>
      <c r="B18" s="30"/>
      <c r="C18" s="31"/>
      <c r="D18" s="91"/>
      <c r="E18" s="142"/>
      <c r="F18" s="151">
        <f t="shared" si="0"/>
        <v>0</v>
      </c>
    </row>
    <row r="19" spans="1:6" x14ac:dyDescent="0.25">
      <c r="A19" s="24" t="s">
        <v>108</v>
      </c>
      <c r="B19" s="25" t="s">
        <v>102</v>
      </c>
      <c r="C19" s="48" t="s">
        <v>119</v>
      </c>
      <c r="D19" s="90">
        <f>149/36</f>
        <v>4.1388888888888893</v>
      </c>
      <c r="E19" s="143"/>
      <c r="F19" s="150">
        <f t="shared" si="0"/>
        <v>0</v>
      </c>
    </row>
    <row r="20" spans="1:6" x14ac:dyDescent="0.25">
      <c r="A20" s="8" t="s">
        <v>108</v>
      </c>
      <c r="B20" s="9" t="s">
        <v>103</v>
      </c>
      <c r="C20" s="10" t="s">
        <v>119</v>
      </c>
      <c r="D20" s="70">
        <f>529/48</f>
        <v>11.020833333333334</v>
      </c>
      <c r="E20" s="140"/>
      <c r="F20" s="89">
        <f t="shared" si="0"/>
        <v>0</v>
      </c>
    </row>
    <row r="21" spans="1:6" x14ac:dyDescent="0.25">
      <c r="A21" s="8" t="s">
        <v>108</v>
      </c>
      <c r="B21" s="9" t="s">
        <v>183</v>
      </c>
      <c r="C21" s="10" t="s">
        <v>119</v>
      </c>
      <c r="D21" s="70">
        <f>514/40</f>
        <v>12.85</v>
      </c>
      <c r="E21" s="140"/>
      <c r="F21" s="89">
        <f t="shared" si="0"/>
        <v>0</v>
      </c>
    </row>
    <row r="22" spans="1:6" x14ac:dyDescent="0.25">
      <c r="A22" s="8" t="s">
        <v>108</v>
      </c>
      <c r="B22" s="9" t="s">
        <v>233</v>
      </c>
      <c r="C22" s="10" t="s">
        <v>119</v>
      </c>
      <c r="D22" s="70">
        <f>87/24</f>
        <v>3.625</v>
      </c>
      <c r="E22" s="140"/>
      <c r="F22" s="89">
        <f t="shared" si="0"/>
        <v>0</v>
      </c>
    </row>
    <row r="23" spans="1:6" x14ac:dyDescent="0.25">
      <c r="A23" s="8" t="s">
        <v>108</v>
      </c>
      <c r="B23" s="9" t="s">
        <v>104</v>
      </c>
      <c r="C23" s="10" t="s">
        <v>119</v>
      </c>
      <c r="D23" s="70">
        <f>506/40</f>
        <v>12.65</v>
      </c>
      <c r="E23" s="140"/>
      <c r="F23" s="89">
        <f t="shared" si="0"/>
        <v>0</v>
      </c>
    </row>
    <row r="24" spans="1:6" x14ac:dyDescent="0.25">
      <c r="A24" s="8" t="s">
        <v>108</v>
      </c>
      <c r="B24" s="9" t="s">
        <v>204</v>
      </c>
      <c r="C24" s="10" t="s">
        <v>119</v>
      </c>
      <c r="D24" s="70">
        <f>445/40</f>
        <v>11.125</v>
      </c>
      <c r="E24" s="140"/>
      <c r="F24" s="89">
        <f t="shared" si="0"/>
        <v>0</v>
      </c>
    </row>
    <row r="25" spans="1:6" x14ac:dyDescent="0.25">
      <c r="A25" s="8" t="s">
        <v>108</v>
      </c>
      <c r="B25" s="9" t="s">
        <v>184</v>
      </c>
      <c r="C25" s="10" t="s">
        <v>119</v>
      </c>
      <c r="D25" s="70">
        <f>100/24</f>
        <v>4.166666666666667</v>
      </c>
      <c r="E25" s="140"/>
      <c r="F25" s="89">
        <f t="shared" si="0"/>
        <v>0</v>
      </c>
    </row>
    <row r="26" spans="1:6" x14ac:dyDescent="0.25">
      <c r="A26" s="8" t="s">
        <v>108</v>
      </c>
      <c r="B26" s="9" t="s">
        <v>105</v>
      </c>
      <c r="C26" s="10" t="s">
        <v>119</v>
      </c>
      <c r="D26" s="70">
        <f>402/32</f>
        <v>12.5625</v>
      </c>
      <c r="E26" s="140"/>
      <c r="F26" s="89">
        <f t="shared" si="0"/>
        <v>0</v>
      </c>
    </row>
    <row r="27" spans="1:6" x14ac:dyDescent="0.25">
      <c r="A27" s="8" t="s">
        <v>108</v>
      </c>
      <c r="B27" s="9" t="s">
        <v>231</v>
      </c>
      <c r="C27" s="10" t="s">
        <v>119</v>
      </c>
      <c r="D27" s="70">
        <f>484/40</f>
        <v>12.1</v>
      </c>
      <c r="E27" s="140"/>
      <c r="F27" s="89">
        <f t="shared" si="0"/>
        <v>0</v>
      </c>
    </row>
    <row r="28" spans="1:6" x14ac:dyDescent="0.25">
      <c r="A28" s="8" t="s">
        <v>108</v>
      </c>
      <c r="B28" s="9" t="s">
        <v>106</v>
      </c>
      <c r="C28" s="10" t="s">
        <v>119</v>
      </c>
      <c r="D28" s="70">
        <f>87/24</f>
        <v>3.625</v>
      </c>
      <c r="E28" s="140"/>
      <c r="F28" s="89">
        <f t="shared" si="0"/>
        <v>0</v>
      </c>
    </row>
    <row r="29" spans="1:6" x14ac:dyDescent="0.25">
      <c r="A29" s="8" t="s">
        <v>108</v>
      </c>
      <c r="B29" s="40" t="s">
        <v>206</v>
      </c>
      <c r="C29" s="10" t="s">
        <v>119</v>
      </c>
      <c r="D29" s="70">
        <f>377.85/40</f>
        <v>9.4462500000000009</v>
      </c>
      <c r="E29" s="141"/>
      <c r="F29" s="89">
        <f t="shared" si="0"/>
        <v>0</v>
      </c>
    </row>
    <row r="30" spans="1:6" x14ac:dyDescent="0.25">
      <c r="A30" s="8" t="s">
        <v>108</v>
      </c>
      <c r="B30" s="40" t="s">
        <v>107</v>
      </c>
      <c r="C30" s="10" t="s">
        <v>119</v>
      </c>
      <c r="D30" s="70">
        <f>100/24</f>
        <v>4.166666666666667</v>
      </c>
      <c r="E30" s="141"/>
      <c r="F30" s="89">
        <f t="shared" si="0"/>
        <v>0</v>
      </c>
    </row>
    <row r="31" spans="1:6" x14ac:dyDescent="0.25">
      <c r="A31" s="8" t="s">
        <v>108</v>
      </c>
      <c r="B31" s="40" t="s">
        <v>230</v>
      </c>
      <c r="C31" s="41" t="s">
        <v>119</v>
      </c>
      <c r="D31" s="70">
        <f>477.92/40</f>
        <v>11.948</v>
      </c>
      <c r="E31" s="141"/>
      <c r="F31" s="89">
        <f t="shared" si="0"/>
        <v>0</v>
      </c>
    </row>
    <row r="32" spans="1:6" x14ac:dyDescent="0.25">
      <c r="A32" s="8" t="s">
        <v>108</v>
      </c>
      <c r="B32" s="40" t="s">
        <v>185</v>
      </c>
      <c r="C32" s="41" t="s">
        <v>119</v>
      </c>
      <c r="D32" s="70">
        <f>90/24</f>
        <v>3.75</v>
      </c>
      <c r="E32" s="141"/>
      <c r="F32" s="89">
        <f t="shared" si="0"/>
        <v>0</v>
      </c>
    </row>
    <row r="33" spans="1:6" x14ac:dyDescent="0.25">
      <c r="A33" s="8" t="s">
        <v>108</v>
      </c>
      <c r="B33" s="40" t="s">
        <v>234</v>
      </c>
      <c r="C33" s="41" t="s">
        <v>119</v>
      </c>
      <c r="D33" s="102"/>
      <c r="E33" s="141"/>
      <c r="F33" s="89">
        <f t="shared" si="0"/>
        <v>0</v>
      </c>
    </row>
    <row r="34" spans="1:6" ht="15.75" thickBot="1" x14ac:dyDescent="0.3">
      <c r="A34" s="29" t="s">
        <v>108</v>
      </c>
      <c r="B34" s="30" t="s">
        <v>157</v>
      </c>
      <c r="C34" s="31" t="s">
        <v>119</v>
      </c>
      <c r="D34" s="91">
        <v>9</v>
      </c>
      <c r="E34" s="142"/>
      <c r="F34" s="151">
        <f t="shared" si="0"/>
        <v>0</v>
      </c>
    </row>
    <row r="35" spans="1:6" x14ac:dyDescent="0.25">
      <c r="A35" s="24" t="s">
        <v>109</v>
      </c>
      <c r="B35" s="25" t="s">
        <v>110</v>
      </c>
      <c r="C35" s="97" t="s">
        <v>119</v>
      </c>
      <c r="D35" s="90">
        <f>79/112</f>
        <v>0.7053571428571429</v>
      </c>
      <c r="E35" s="143"/>
      <c r="F35" s="150">
        <f t="shared" si="0"/>
        <v>0</v>
      </c>
    </row>
    <row r="36" spans="1:6" x14ac:dyDescent="0.25">
      <c r="A36" s="24" t="s">
        <v>109</v>
      </c>
      <c r="B36" s="25" t="s">
        <v>244</v>
      </c>
      <c r="C36" s="43" t="s">
        <v>119</v>
      </c>
      <c r="D36" s="90">
        <f>229.79/48</f>
        <v>4.7872916666666665</v>
      </c>
      <c r="E36" s="143"/>
      <c r="F36" s="150">
        <f t="shared" si="0"/>
        <v>0</v>
      </c>
    </row>
    <row r="37" spans="1:6" x14ac:dyDescent="0.25">
      <c r="A37" s="24" t="s">
        <v>109</v>
      </c>
      <c r="B37" s="25" t="s">
        <v>197</v>
      </c>
      <c r="C37" s="43" t="s">
        <v>119</v>
      </c>
      <c r="D37" s="90">
        <f>33.5/72</f>
        <v>0.46527777777777779</v>
      </c>
      <c r="E37" s="143"/>
      <c r="F37" s="150">
        <f t="shared" si="0"/>
        <v>0</v>
      </c>
    </row>
    <row r="38" spans="1:6" x14ac:dyDescent="0.25">
      <c r="A38" s="8" t="s">
        <v>109</v>
      </c>
      <c r="B38" s="9" t="s">
        <v>111</v>
      </c>
      <c r="C38" s="43" t="s">
        <v>119</v>
      </c>
      <c r="D38" s="70">
        <f>43/48</f>
        <v>0.89583333333333337</v>
      </c>
      <c r="E38" s="147"/>
      <c r="F38" s="150">
        <f t="shared" si="0"/>
        <v>0</v>
      </c>
    </row>
    <row r="39" spans="1:6" x14ac:dyDescent="0.25">
      <c r="A39" s="24" t="s">
        <v>109</v>
      </c>
      <c r="B39" s="25" t="s">
        <v>186</v>
      </c>
      <c r="C39" s="43" t="s">
        <v>119</v>
      </c>
      <c r="D39" s="70">
        <f>27/36</f>
        <v>0.75</v>
      </c>
      <c r="E39" s="143"/>
      <c r="F39" s="89">
        <f t="shared" si="0"/>
        <v>0</v>
      </c>
    </row>
    <row r="40" spans="1:6" x14ac:dyDescent="0.25">
      <c r="A40" s="24" t="s">
        <v>109</v>
      </c>
      <c r="B40" s="25" t="s">
        <v>196</v>
      </c>
      <c r="C40" s="43" t="s">
        <v>119</v>
      </c>
      <c r="D40" s="70">
        <f>14/100</f>
        <v>0.14000000000000001</v>
      </c>
      <c r="E40" s="143"/>
      <c r="F40" s="89">
        <f t="shared" si="0"/>
        <v>0</v>
      </c>
    </row>
    <row r="41" spans="1:6" x14ac:dyDescent="0.25">
      <c r="A41" s="24" t="s">
        <v>109</v>
      </c>
      <c r="B41" s="9" t="s">
        <v>195</v>
      </c>
      <c r="C41" s="43" t="s">
        <v>119</v>
      </c>
      <c r="D41" s="70">
        <f>41/100</f>
        <v>0.41</v>
      </c>
      <c r="E41" s="140"/>
      <c r="F41" s="89">
        <f t="shared" si="0"/>
        <v>0</v>
      </c>
    </row>
    <row r="42" spans="1:6" x14ac:dyDescent="0.25">
      <c r="A42" s="24" t="s">
        <v>109</v>
      </c>
      <c r="B42" s="40" t="s">
        <v>232</v>
      </c>
      <c r="C42" s="43" t="s">
        <v>119</v>
      </c>
      <c r="D42" s="70">
        <f>100/20</f>
        <v>5</v>
      </c>
      <c r="E42" s="141"/>
      <c r="F42" s="89"/>
    </row>
    <row r="43" spans="1:6" x14ac:dyDescent="0.25">
      <c r="A43" s="24" t="s">
        <v>109</v>
      </c>
      <c r="B43" s="40" t="s">
        <v>181</v>
      </c>
      <c r="C43" s="43" t="s">
        <v>119</v>
      </c>
      <c r="D43" s="70">
        <f>33/20</f>
        <v>1.65</v>
      </c>
      <c r="E43" s="141"/>
      <c r="F43" s="89">
        <f t="shared" si="0"/>
        <v>0</v>
      </c>
    </row>
    <row r="44" spans="1:6" x14ac:dyDescent="0.25">
      <c r="A44" s="24" t="s">
        <v>109</v>
      </c>
      <c r="B44" s="40" t="s">
        <v>199</v>
      </c>
      <c r="C44" s="43" t="s">
        <v>119</v>
      </c>
      <c r="D44" s="70">
        <f>50/100</f>
        <v>0.5</v>
      </c>
      <c r="E44" s="141"/>
      <c r="F44" s="89">
        <f t="shared" si="0"/>
        <v>0</v>
      </c>
    </row>
    <row r="45" spans="1:6" x14ac:dyDescent="0.25">
      <c r="A45" s="24" t="s">
        <v>109</v>
      </c>
      <c r="B45" s="40" t="s">
        <v>198</v>
      </c>
      <c r="C45" s="43" t="s">
        <v>119</v>
      </c>
      <c r="D45" s="70">
        <f>50/50</f>
        <v>1</v>
      </c>
      <c r="E45" s="141"/>
      <c r="F45" s="89"/>
    </row>
    <row r="46" spans="1:6" x14ac:dyDescent="0.25">
      <c r="A46" s="24" t="s">
        <v>109</v>
      </c>
      <c r="B46" s="40" t="s">
        <v>136</v>
      </c>
      <c r="C46" s="43" t="s">
        <v>119</v>
      </c>
      <c r="D46" s="70">
        <f>344/24</f>
        <v>14.333333333333334</v>
      </c>
      <c r="E46" s="141"/>
      <c r="F46" s="89">
        <f t="shared" si="0"/>
        <v>0</v>
      </c>
    </row>
    <row r="47" spans="1:6" x14ac:dyDescent="0.25">
      <c r="A47" s="44" t="s">
        <v>109</v>
      </c>
      <c r="B47" s="40" t="s">
        <v>187</v>
      </c>
      <c r="C47" s="101" t="s">
        <v>119</v>
      </c>
      <c r="D47" s="102">
        <f>310.66/24</f>
        <v>12.944166666666668</v>
      </c>
      <c r="E47" s="141"/>
      <c r="F47" s="89">
        <f t="shared" si="0"/>
        <v>0</v>
      </c>
    </row>
    <row r="48" spans="1:6" x14ac:dyDescent="0.25">
      <c r="A48" s="44" t="s">
        <v>109</v>
      </c>
      <c r="B48" s="40" t="s">
        <v>243</v>
      </c>
      <c r="C48" s="101" t="s">
        <v>119</v>
      </c>
      <c r="D48" s="102">
        <f>310.5/24</f>
        <v>12.9375</v>
      </c>
      <c r="E48" s="141"/>
      <c r="F48" s="158">
        <f t="shared" si="0"/>
        <v>0</v>
      </c>
    </row>
    <row r="49" spans="1:6" x14ac:dyDescent="0.25">
      <c r="A49" s="36" t="s">
        <v>109</v>
      </c>
      <c r="B49" s="40" t="s">
        <v>242</v>
      </c>
      <c r="C49" s="101" t="s">
        <v>119</v>
      </c>
      <c r="D49" s="102">
        <f>388.82/36</f>
        <v>10.800555555555555</v>
      </c>
      <c r="E49" s="141"/>
      <c r="F49" s="158">
        <f t="shared" si="0"/>
        <v>0</v>
      </c>
    </row>
    <row r="50" spans="1:6" ht="15.75" thickBot="1" x14ac:dyDescent="0.3">
      <c r="A50" s="29" t="s">
        <v>109</v>
      </c>
      <c r="B50" s="30" t="s">
        <v>137</v>
      </c>
      <c r="C50" s="49" t="s">
        <v>119</v>
      </c>
      <c r="D50" s="91">
        <f>310.5/24</f>
        <v>12.9375</v>
      </c>
      <c r="E50" s="146"/>
      <c r="F50" s="151">
        <f t="shared" si="0"/>
        <v>0</v>
      </c>
    </row>
    <row r="51" spans="1:6" x14ac:dyDescent="0.25">
      <c r="A51" s="24" t="s">
        <v>112</v>
      </c>
      <c r="B51" s="37" t="s">
        <v>114</v>
      </c>
      <c r="C51" s="38" t="s">
        <v>115</v>
      </c>
      <c r="D51" s="71">
        <f>368.3/24</f>
        <v>15.345833333333333</v>
      </c>
      <c r="E51" s="148"/>
      <c r="F51" s="150">
        <f t="shared" si="0"/>
        <v>0</v>
      </c>
    </row>
    <row r="52" spans="1:6" x14ac:dyDescent="0.25">
      <c r="A52" s="8" t="s">
        <v>112</v>
      </c>
      <c r="B52" s="40" t="s">
        <v>129</v>
      </c>
      <c r="C52" s="41" t="s">
        <v>182</v>
      </c>
      <c r="D52" s="63">
        <f>188.9/24</f>
        <v>7.8708333333333336</v>
      </c>
      <c r="E52" s="141"/>
      <c r="F52" s="89">
        <f t="shared" si="0"/>
        <v>0</v>
      </c>
    </row>
    <row r="53" spans="1:6" x14ac:dyDescent="0.25">
      <c r="A53" s="8" t="s">
        <v>112</v>
      </c>
      <c r="B53" s="9" t="s">
        <v>113</v>
      </c>
      <c r="C53" s="41" t="s">
        <v>239</v>
      </c>
      <c r="D53" s="63">
        <f>177.3/24</f>
        <v>7.3875000000000002</v>
      </c>
      <c r="E53" s="141"/>
      <c r="F53" s="89">
        <f t="shared" si="0"/>
        <v>0</v>
      </c>
    </row>
    <row r="54" spans="1:6" x14ac:dyDescent="0.25">
      <c r="A54" s="8" t="s">
        <v>112</v>
      </c>
      <c r="B54" s="9" t="s">
        <v>113</v>
      </c>
      <c r="C54" s="10" t="s">
        <v>87</v>
      </c>
      <c r="D54" s="63">
        <f>256.5/24</f>
        <v>10.6875</v>
      </c>
      <c r="E54" s="140"/>
      <c r="F54" s="89">
        <f t="shared" si="0"/>
        <v>0</v>
      </c>
    </row>
    <row r="55" spans="1:6" x14ac:dyDescent="0.25">
      <c r="A55" s="8" t="s">
        <v>112</v>
      </c>
      <c r="B55" s="9" t="s">
        <v>28</v>
      </c>
      <c r="C55" s="10" t="s">
        <v>87</v>
      </c>
      <c r="D55" s="63">
        <f>256.5/24</f>
        <v>10.6875</v>
      </c>
      <c r="E55" s="140"/>
      <c r="F55" s="89">
        <f t="shared" si="0"/>
        <v>0</v>
      </c>
    </row>
    <row r="56" spans="1:6" x14ac:dyDescent="0.25">
      <c r="A56" s="8" t="s">
        <v>112</v>
      </c>
      <c r="B56" s="9" t="s">
        <v>88</v>
      </c>
      <c r="C56" s="10" t="s">
        <v>87</v>
      </c>
      <c r="D56" s="63">
        <f>256.5/24</f>
        <v>10.6875</v>
      </c>
      <c r="E56" s="140"/>
      <c r="F56" s="89">
        <f t="shared" si="0"/>
        <v>0</v>
      </c>
    </row>
    <row r="57" spans="1:6" x14ac:dyDescent="0.25">
      <c r="A57" s="8" t="s">
        <v>112</v>
      </c>
      <c r="B57" s="9" t="s">
        <v>128</v>
      </c>
      <c r="C57" s="10" t="s">
        <v>33</v>
      </c>
      <c r="D57" s="63">
        <f>70/6</f>
        <v>11.666666666666666</v>
      </c>
      <c r="E57" s="140"/>
      <c r="F57" s="89">
        <f t="shared" si="0"/>
        <v>0</v>
      </c>
    </row>
    <row r="58" spans="1:6" x14ac:dyDescent="0.25">
      <c r="A58" s="8" t="s">
        <v>112</v>
      </c>
      <c r="B58" s="9" t="s">
        <v>202</v>
      </c>
      <c r="C58" s="10" t="s">
        <v>33</v>
      </c>
      <c r="D58" s="63">
        <f>266.5/24</f>
        <v>11.104166666666666</v>
      </c>
      <c r="E58" s="140"/>
      <c r="F58" s="89">
        <f t="shared" si="0"/>
        <v>0</v>
      </c>
    </row>
    <row r="59" spans="1:6" x14ac:dyDescent="0.25">
      <c r="A59" s="8" t="s">
        <v>112</v>
      </c>
      <c r="B59" s="9" t="s">
        <v>29</v>
      </c>
      <c r="C59" s="10" t="s">
        <v>87</v>
      </c>
      <c r="D59" s="63">
        <f>256.5/24</f>
        <v>10.6875</v>
      </c>
      <c r="E59" s="140"/>
      <c r="F59" s="89">
        <f t="shared" si="0"/>
        <v>0</v>
      </c>
    </row>
    <row r="60" spans="1:6" x14ac:dyDescent="0.25">
      <c r="A60" s="8" t="s">
        <v>112</v>
      </c>
      <c r="B60" s="9" t="s">
        <v>76</v>
      </c>
      <c r="C60" s="10" t="s">
        <v>87</v>
      </c>
      <c r="D60" s="63">
        <f>256.5/24</f>
        <v>10.6875</v>
      </c>
      <c r="E60" s="140"/>
      <c r="F60" s="89">
        <f t="shared" si="0"/>
        <v>0</v>
      </c>
    </row>
    <row r="61" spans="1:6" x14ac:dyDescent="0.25">
      <c r="A61" s="8" t="s">
        <v>112</v>
      </c>
      <c r="B61" s="9" t="s">
        <v>116</v>
      </c>
      <c r="C61" s="10" t="s">
        <v>115</v>
      </c>
      <c r="D61" s="71">
        <f>368.3/24</f>
        <v>15.345833333333333</v>
      </c>
      <c r="E61" s="140"/>
      <c r="F61" s="89">
        <f t="shared" si="0"/>
        <v>0</v>
      </c>
    </row>
    <row r="62" spans="1:6" x14ac:dyDescent="0.25">
      <c r="A62" s="8" t="s">
        <v>112</v>
      </c>
      <c r="B62" s="9" t="s">
        <v>120</v>
      </c>
      <c r="C62" s="10" t="s">
        <v>115</v>
      </c>
      <c r="D62" s="63">
        <f>278.76/24</f>
        <v>11.615</v>
      </c>
      <c r="E62" s="140"/>
      <c r="F62" s="89">
        <f t="shared" si="0"/>
        <v>0</v>
      </c>
    </row>
    <row r="63" spans="1:6" x14ac:dyDescent="0.25">
      <c r="A63" s="8" t="s">
        <v>112</v>
      </c>
      <c r="B63" s="9" t="s">
        <v>117</v>
      </c>
      <c r="C63" s="10" t="s">
        <v>87</v>
      </c>
      <c r="D63" s="63">
        <f>256.5/24</f>
        <v>10.6875</v>
      </c>
      <c r="E63" s="140"/>
      <c r="F63" s="89">
        <f t="shared" si="0"/>
        <v>0</v>
      </c>
    </row>
    <row r="64" spans="1:6" x14ac:dyDescent="0.25">
      <c r="A64" s="8" t="s">
        <v>112</v>
      </c>
      <c r="B64" s="9" t="s">
        <v>237</v>
      </c>
      <c r="C64" s="10" t="s">
        <v>115</v>
      </c>
      <c r="D64" s="63">
        <f>310/50</f>
        <v>6.2</v>
      </c>
      <c r="E64" s="140"/>
      <c r="F64" s="89">
        <f t="shared" si="0"/>
        <v>0</v>
      </c>
    </row>
    <row r="65" spans="1:6" x14ac:dyDescent="0.25">
      <c r="A65" s="8" t="s">
        <v>112</v>
      </c>
      <c r="B65" s="9" t="s">
        <v>118</v>
      </c>
      <c r="C65" s="10" t="s">
        <v>87</v>
      </c>
      <c r="D65" s="63">
        <f>256.5/24</f>
        <v>10.6875</v>
      </c>
      <c r="E65" s="140"/>
      <c r="F65" s="89">
        <f t="shared" si="0"/>
        <v>0</v>
      </c>
    </row>
    <row r="66" spans="1:6" x14ac:dyDescent="0.25">
      <c r="A66" s="8" t="s">
        <v>112</v>
      </c>
      <c r="B66" s="9" t="s">
        <v>90</v>
      </c>
      <c r="C66" s="10" t="s">
        <v>87</v>
      </c>
      <c r="D66" s="63">
        <f>256.5/24</f>
        <v>10.6875</v>
      </c>
      <c r="E66" s="140"/>
      <c r="F66" s="89">
        <f t="shared" si="0"/>
        <v>0</v>
      </c>
    </row>
    <row r="67" spans="1:6" x14ac:dyDescent="0.25">
      <c r="A67" s="8" t="s">
        <v>112</v>
      </c>
      <c r="B67" s="9" t="s">
        <v>89</v>
      </c>
      <c r="C67" s="10" t="s">
        <v>87</v>
      </c>
      <c r="D67" s="63">
        <f>256.5/24</f>
        <v>10.6875</v>
      </c>
      <c r="E67" s="140"/>
      <c r="F67" s="89">
        <f t="shared" si="0"/>
        <v>0</v>
      </c>
    </row>
    <row r="68" spans="1:6" x14ac:dyDescent="0.25">
      <c r="A68" s="8" t="s">
        <v>112</v>
      </c>
      <c r="B68" s="9" t="s">
        <v>73</v>
      </c>
      <c r="C68" s="10" t="s">
        <v>121</v>
      </c>
      <c r="D68" s="63">
        <v>5.21</v>
      </c>
      <c r="E68" s="140"/>
      <c r="F68" s="89">
        <f t="shared" si="0"/>
        <v>0</v>
      </c>
    </row>
    <row r="69" spans="1:6" x14ac:dyDescent="0.25">
      <c r="A69" s="8" t="s">
        <v>112</v>
      </c>
      <c r="B69" s="9" t="s">
        <v>62</v>
      </c>
      <c r="C69" s="10" t="s">
        <v>121</v>
      </c>
      <c r="D69" s="63">
        <f>4.75</f>
        <v>4.75</v>
      </c>
      <c r="E69" s="140"/>
      <c r="F69" s="89">
        <f t="shared" si="0"/>
        <v>0</v>
      </c>
    </row>
    <row r="70" spans="1:6" x14ac:dyDescent="0.25">
      <c r="A70" s="8" t="s">
        <v>112</v>
      </c>
      <c r="B70" s="9" t="s">
        <v>31</v>
      </c>
      <c r="C70" s="10" t="s">
        <v>121</v>
      </c>
      <c r="D70" s="63">
        <f>256.5/24</f>
        <v>10.6875</v>
      </c>
      <c r="E70" s="140"/>
      <c r="F70" s="89">
        <f t="shared" si="0"/>
        <v>0</v>
      </c>
    </row>
    <row r="71" spans="1:6" x14ac:dyDescent="0.25">
      <c r="A71" s="8" t="s">
        <v>112</v>
      </c>
      <c r="B71" s="9" t="s">
        <v>142</v>
      </c>
      <c r="C71" s="10" t="s">
        <v>87</v>
      </c>
      <c r="D71" s="63">
        <f>256.5/24</f>
        <v>10.6875</v>
      </c>
      <c r="E71" s="140"/>
      <c r="F71" s="89">
        <f t="shared" si="0"/>
        <v>0</v>
      </c>
    </row>
    <row r="72" spans="1:6" ht="15.75" thickBot="1" x14ac:dyDescent="0.3">
      <c r="A72" s="29"/>
      <c r="B72" s="30"/>
      <c r="C72" s="49"/>
      <c r="D72" s="64"/>
      <c r="E72" s="142"/>
      <c r="F72" s="151">
        <f t="shared" si="0"/>
        <v>0</v>
      </c>
    </row>
    <row r="73" spans="1:6" hidden="1" x14ac:dyDescent="0.25">
      <c r="A73" s="24" t="s">
        <v>122</v>
      </c>
      <c r="B73" s="25" t="s">
        <v>123</v>
      </c>
      <c r="C73" s="48" t="s">
        <v>127</v>
      </c>
      <c r="D73" s="71">
        <v>8</v>
      </c>
      <c r="E73" s="143"/>
      <c r="F73" s="150">
        <f t="shared" si="0"/>
        <v>0</v>
      </c>
    </row>
    <row r="74" spans="1:6" hidden="1" x14ac:dyDescent="0.25">
      <c r="A74" s="8" t="s">
        <v>122</v>
      </c>
      <c r="B74" s="9" t="s">
        <v>124</v>
      </c>
      <c r="C74" s="48" t="s">
        <v>127</v>
      </c>
      <c r="D74" s="63">
        <v>8</v>
      </c>
      <c r="E74" s="140"/>
      <c r="F74" s="89">
        <f t="shared" si="0"/>
        <v>0</v>
      </c>
    </row>
    <row r="75" spans="1:6" hidden="1" x14ac:dyDescent="0.25">
      <c r="A75" s="8" t="s">
        <v>122</v>
      </c>
      <c r="B75" s="9" t="s">
        <v>158</v>
      </c>
      <c r="C75" s="48" t="s">
        <v>127</v>
      </c>
      <c r="D75" s="63">
        <v>8</v>
      </c>
      <c r="E75" s="140"/>
      <c r="F75" s="89">
        <f t="shared" si="0"/>
        <v>0</v>
      </c>
    </row>
    <row r="76" spans="1:6" hidden="1" x14ac:dyDescent="0.25">
      <c r="A76" s="8" t="s">
        <v>122</v>
      </c>
      <c r="B76" s="9" t="s">
        <v>160</v>
      </c>
      <c r="C76" s="48" t="s">
        <v>127</v>
      </c>
      <c r="D76" s="63">
        <v>8</v>
      </c>
      <c r="E76" s="140"/>
      <c r="F76" s="89">
        <f t="shared" si="0"/>
        <v>0</v>
      </c>
    </row>
    <row r="77" spans="1:6" ht="15.75" hidden="1" thickBot="1" x14ac:dyDescent="0.3">
      <c r="A77" s="29" t="s">
        <v>122</v>
      </c>
      <c r="B77" s="30" t="s">
        <v>125</v>
      </c>
      <c r="C77" s="95" t="s">
        <v>126</v>
      </c>
      <c r="D77" s="64">
        <f>340/70</f>
        <v>4.8571428571428568</v>
      </c>
      <c r="E77" s="142"/>
      <c r="F77" s="151">
        <f t="shared" si="0"/>
        <v>0</v>
      </c>
    </row>
    <row r="78" spans="1:6" x14ac:dyDescent="0.25">
      <c r="A78" s="36" t="s">
        <v>188</v>
      </c>
      <c r="B78" s="25" t="s">
        <v>189</v>
      </c>
      <c r="C78" s="48" t="s">
        <v>119</v>
      </c>
      <c r="D78" s="159">
        <f>130/20</f>
        <v>6.5</v>
      </c>
      <c r="E78" s="143"/>
      <c r="F78" s="150">
        <f>SUM(E78*D78)</f>
        <v>0</v>
      </c>
    </row>
    <row r="79" spans="1:6" x14ac:dyDescent="0.25">
      <c r="A79" s="36" t="s">
        <v>188</v>
      </c>
      <c r="B79" s="9" t="s">
        <v>190</v>
      </c>
      <c r="C79" s="10" t="s">
        <v>119</v>
      </c>
      <c r="D79" s="70">
        <f t="shared" ref="D79:D80" si="1">130/20</f>
        <v>6.5</v>
      </c>
      <c r="E79" s="140"/>
      <c r="F79" s="89">
        <f t="shared" si="0"/>
        <v>0</v>
      </c>
    </row>
    <row r="80" spans="1:6" x14ac:dyDescent="0.25">
      <c r="A80" s="36" t="s">
        <v>188</v>
      </c>
      <c r="B80" s="9" t="s">
        <v>251</v>
      </c>
      <c r="C80" s="10" t="s">
        <v>119</v>
      </c>
      <c r="D80" s="90">
        <f t="shared" si="1"/>
        <v>6.5</v>
      </c>
      <c r="E80" s="140"/>
      <c r="F80" s="89">
        <f t="shared" si="0"/>
        <v>0</v>
      </c>
    </row>
    <row r="81" spans="1:6" x14ac:dyDescent="0.25">
      <c r="A81" s="36" t="s">
        <v>188</v>
      </c>
      <c r="B81" s="40" t="s">
        <v>191</v>
      </c>
      <c r="C81" s="10" t="s">
        <v>119</v>
      </c>
      <c r="D81" s="85">
        <f>112.13/96</f>
        <v>1.1680208333333333</v>
      </c>
      <c r="E81" s="141"/>
      <c r="F81" s="89">
        <f t="shared" si="0"/>
        <v>0</v>
      </c>
    </row>
    <row r="82" spans="1:6" x14ac:dyDescent="0.25">
      <c r="A82" s="36" t="s">
        <v>188</v>
      </c>
      <c r="B82" s="40" t="s">
        <v>192</v>
      </c>
      <c r="C82" s="10" t="s">
        <v>119</v>
      </c>
      <c r="D82" s="85">
        <f>437.46/24</f>
        <v>18.227499999999999</v>
      </c>
      <c r="E82" s="141"/>
      <c r="F82" s="89">
        <f t="shared" si="0"/>
        <v>0</v>
      </c>
    </row>
    <row r="83" spans="1:6" x14ac:dyDescent="0.25">
      <c r="A83" s="36" t="s">
        <v>188</v>
      </c>
      <c r="B83" s="40" t="s">
        <v>193</v>
      </c>
      <c r="C83" s="10" t="s">
        <v>119</v>
      </c>
      <c r="D83" s="85">
        <f>450.8/20</f>
        <v>22.54</v>
      </c>
      <c r="E83" s="141"/>
      <c r="F83" s="89">
        <f t="shared" si="0"/>
        <v>0</v>
      </c>
    </row>
    <row r="84" spans="1:6" x14ac:dyDescent="0.25">
      <c r="A84" s="36" t="s">
        <v>188</v>
      </c>
      <c r="B84" s="40" t="s">
        <v>194</v>
      </c>
      <c r="C84" s="41" t="s">
        <v>119</v>
      </c>
      <c r="D84" s="85">
        <f>450.8/20</f>
        <v>22.54</v>
      </c>
      <c r="E84" s="141"/>
      <c r="F84" s="89">
        <f t="shared" si="0"/>
        <v>0</v>
      </c>
    </row>
    <row r="85" spans="1:6" x14ac:dyDescent="0.25">
      <c r="A85" s="36" t="s">
        <v>188</v>
      </c>
      <c r="B85" s="40" t="s">
        <v>201</v>
      </c>
      <c r="C85" s="41" t="s">
        <v>119</v>
      </c>
      <c r="D85" s="85">
        <f>598.6/30</f>
        <v>19.953333333333333</v>
      </c>
      <c r="E85" s="141"/>
      <c r="F85" s="89">
        <f t="shared" si="0"/>
        <v>0</v>
      </c>
    </row>
    <row r="86" spans="1:6" x14ac:dyDescent="0.25">
      <c r="A86" s="36" t="s">
        <v>188</v>
      </c>
      <c r="B86" s="40" t="s">
        <v>200</v>
      </c>
      <c r="C86" s="41" t="s">
        <v>119</v>
      </c>
      <c r="D86" s="85">
        <f>573.5/36</f>
        <v>15.930555555555555</v>
      </c>
      <c r="E86" s="141"/>
      <c r="F86" s="89">
        <f t="shared" ref="F86:F87" si="2">SUM(E86*D86)</f>
        <v>0</v>
      </c>
    </row>
    <row r="87" spans="1:6" ht="15.75" thickBot="1" x14ac:dyDescent="0.3">
      <c r="A87" s="36" t="s">
        <v>188</v>
      </c>
      <c r="B87" s="40" t="s">
        <v>240</v>
      </c>
      <c r="C87" s="41" t="s">
        <v>119</v>
      </c>
      <c r="D87" s="85">
        <f>224.48/32</f>
        <v>7.0149999999999997</v>
      </c>
      <c r="E87" s="141"/>
      <c r="F87" s="89">
        <f t="shared" si="2"/>
        <v>0</v>
      </c>
    </row>
    <row r="88" spans="1:6" s="16" customFormat="1" ht="19.5" thickBot="1" x14ac:dyDescent="0.35">
      <c r="A88" s="82" t="s">
        <v>72</v>
      </c>
      <c r="B88" s="83"/>
      <c r="C88" s="83"/>
      <c r="D88" s="84"/>
      <c r="E88" s="86"/>
      <c r="F88" s="88">
        <f>SUM(F3:F87)</f>
        <v>0</v>
      </c>
    </row>
    <row r="89" spans="1:6" s="74" customFormat="1" x14ac:dyDescent="0.25">
      <c r="A89" s="73"/>
      <c r="C89" s="75"/>
      <c r="D89" s="76"/>
      <c r="E89" s="87"/>
      <c r="F89" s="77"/>
    </row>
    <row r="90" spans="1:6" s="74" customFormat="1" x14ac:dyDescent="0.25">
      <c r="A90" s="73"/>
      <c r="C90" s="75"/>
      <c r="D90" s="76"/>
      <c r="E90" s="87"/>
      <c r="F90" s="77"/>
    </row>
    <row r="91" spans="1:6" s="74" customFormat="1" x14ac:dyDescent="0.25">
      <c r="A91" s="73"/>
      <c r="C91" s="75"/>
      <c r="D91" s="76"/>
      <c r="E91" s="87"/>
      <c r="F91" s="77"/>
    </row>
    <row r="92" spans="1:6" s="74" customFormat="1" x14ac:dyDescent="0.25">
      <c r="A92" s="73"/>
      <c r="C92" s="75"/>
      <c r="D92" s="76"/>
      <c r="E92" s="87"/>
      <c r="F92" s="77"/>
    </row>
    <row r="93" spans="1:6" s="74" customFormat="1" x14ac:dyDescent="0.25">
      <c r="A93" s="73"/>
      <c r="C93" s="75"/>
      <c r="D93" s="76"/>
      <c r="E93" s="87"/>
      <c r="F93" s="77"/>
    </row>
    <row r="94" spans="1:6" s="74" customFormat="1" x14ac:dyDescent="0.25">
      <c r="A94" s="73"/>
      <c r="C94" s="75"/>
      <c r="D94" s="76"/>
      <c r="E94" s="87"/>
      <c r="F94" s="77"/>
    </row>
    <row r="95" spans="1:6" s="74" customFormat="1" x14ac:dyDescent="0.25">
      <c r="A95" s="73"/>
      <c r="C95" s="75"/>
      <c r="D95" s="76"/>
      <c r="E95" s="87"/>
      <c r="F95" s="77"/>
    </row>
    <row r="96" spans="1:6" s="74" customFormat="1" x14ac:dyDescent="0.25">
      <c r="A96" s="73"/>
      <c r="C96" s="75"/>
      <c r="D96" s="76"/>
      <c r="E96" s="87"/>
      <c r="F96" s="77"/>
    </row>
    <row r="97" spans="1:6" s="74" customFormat="1" x14ac:dyDescent="0.25">
      <c r="A97" s="73"/>
      <c r="C97" s="75"/>
      <c r="D97" s="76"/>
      <c r="E97" s="87"/>
      <c r="F97" s="77"/>
    </row>
    <row r="98" spans="1:6" s="74" customFormat="1" x14ac:dyDescent="0.25">
      <c r="A98" s="73"/>
      <c r="C98" s="75"/>
      <c r="D98" s="76"/>
      <c r="E98" s="87"/>
      <c r="F98" s="77"/>
    </row>
    <row r="99" spans="1:6" s="74" customFormat="1" x14ac:dyDescent="0.25">
      <c r="A99" s="73"/>
      <c r="C99" s="75"/>
      <c r="D99" s="78"/>
      <c r="E99" s="87"/>
      <c r="F99" s="77"/>
    </row>
    <row r="100" spans="1:6" s="74" customFormat="1" x14ac:dyDescent="0.25">
      <c r="A100" s="73"/>
      <c r="C100" s="75"/>
      <c r="D100" s="78"/>
      <c r="E100" s="87"/>
      <c r="F100" s="77"/>
    </row>
    <row r="101" spans="1:6" s="74" customFormat="1" x14ac:dyDescent="0.25">
      <c r="A101" s="73"/>
      <c r="C101" s="75"/>
      <c r="D101" s="76"/>
      <c r="E101" s="87"/>
      <c r="F101" s="77"/>
    </row>
    <row r="102" spans="1:6" s="74" customFormat="1" x14ac:dyDescent="0.25">
      <c r="A102" s="73"/>
      <c r="C102" s="75"/>
      <c r="D102" s="76"/>
      <c r="E102" s="87"/>
      <c r="F102" s="77"/>
    </row>
    <row r="103" spans="1:6" s="74" customFormat="1" x14ac:dyDescent="0.25">
      <c r="A103" s="73"/>
      <c r="C103" s="75"/>
      <c r="D103" s="76"/>
      <c r="E103" s="87"/>
      <c r="F103" s="77"/>
    </row>
    <row r="104" spans="1:6" s="74" customFormat="1" x14ac:dyDescent="0.25">
      <c r="A104" s="73"/>
      <c r="C104" s="75"/>
      <c r="D104" s="76"/>
      <c r="E104" s="87"/>
      <c r="F104" s="77"/>
    </row>
    <row r="105" spans="1:6" s="74" customFormat="1" x14ac:dyDescent="0.25">
      <c r="A105" s="73"/>
      <c r="C105" s="75"/>
      <c r="D105" s="76"/>
      <c r="E105" s="87"/>
      <c r="F105" s="77"/>
    </row>
    <row r="106" spans="1:6" s="74" customFormat="1" x14ac:dyDescent="0.25">
      <c r="A106" s="73"/>
      <c r="C106" s="75"/>
      <c r="D106" s="76"/>
      <c r="E106" s="87"/>
      <c r="F106" s="77"/>
    </row>
    <row r="107" spans="1:6" s="74" customFormat="1" x14ac:dyDescent="0.25">
      <c r="A107" s="73"/>
      <c r="C107" s="75"/>
      <c r="D107" s="76"/>
      <c r="E107" s="87"/>
      <c r="F107" s="77"/>
    </row>
    <row r="108" spans="1:6" s="74" customFormat="1" x14ac:dyDescent="0.25">
      <c r="A108" s="73"/>
      <c r="C108" s="75"/>
      <c r="D108" s="76"/>
      <c r="E108" s="87"/>
      <c r="F108" s="77"/>
    </row>
    <row r="109" spans="1:6" s="74" customFormat="1" x14ac:dyDescent="0.25">
      <c r="A109" s="73"/>
      <c r="C109" s="75"/>
      <c r="D109" s="76"/>
      <c r="E109" s="87"/>
      <c r="F109" s="77"/>
    </row>
    <row r="110" spans="1:6" s="74" customFormat="1" x14ac:dyDescent="0.25">
      <c r="A110" s="73"/>
      <c r="C110" s="75"/>
      <c r="D110" s="76"/>
      <c r="E110" s="87"/>
      <c r="F110" s="77"/>
    </row>
    <row r="111" spans="1:6" s="74" customFormat="1" x14ac:dyDescent="0.25">
      <c r="A111" s="73"/>
      <c r="C111" s="75"/>
      <c r="D111" s="76"/>
      <c r="E111" s="87"/>
      <c r="F111" s="77"/>
    </row>
    <row r="112" spans="1:6" s="74" customFormat="1" x14ac:dyDescent="0.25">
      <c r="A112" s="73"/>
      <c r="C112" s="75"/>
      <c r="D112" s="76"/>
      <c r="E112" s="87"/>
      <c r="F112" s="77"/>
    </row>
    <row r="113" spans="1:6" s="74" customFormat="1" x14ac:dyDescent="0.25">
      <c r="A113" s="73"/>
      <c r="C113" s="75"/>
      <c r="D113" s="76"/>
      <c r="E113" s="87"/>
      <c r="F113" s="77"/>
    </row>
    <row r="114" spans="1:6" s="74" customFormat="1" x14ac:dyDescent="0.25">
      <c r="A114" s="73"/>
      <c r="C114" s="75"/>
      <c r="D114" s="76"/>
      <c r="E114" s="87"/>
      <c r="F114" s="77"/>
    </row>
    <row r="115" spans="1:6" s="74" customFormat="1" ht="18.75" x14ac:dyDescent="0.3">
      <c r="A115" s="73"/>
      <c r="C115" s="75"/>
      <c r="D115" s="79"/>
      <c r="E115" s="87"/>
      <c r="F115" s="80"/>
    </row>
    <row r="116" spans="1:6" s="74" customFormat="1" x14ac:dyDescent="0.25">
      <c r="A116" s="73"/>
      <c r="C116" s="75"/>
      <c r="D116" s="79"/>
      <c r="E116" s="87"/>
      <c r="F116" s="81"/>
    </row>
    <row r="117" spans="1:6" s="74" customFormat="1" x14ac:dyDescent="0.25">
      <c r="A117" s="73"/>
      <c r="C117" s="75"/>
      <c r="D117" s="79"/>
      <c r="E117" s="87"/>
      <c r="F117" s="81"/>
    </row>
    <row r="118" spans="1:6" s="74" customFormat="1" x14ac:dyDescent="0.25">
      <c r="A118" s="73"/>
      <c r="C118" s="75"/>
      <c r="D118" s="79"/>
      <c r="E118" s="87"/>
      <c r="F118" s="81"/>
    </row>
    <row r="119" spans="1:6" s="74" customFormat="1" x14ac:dyDescent="0.25">
      <c r="A119" s="73"/>
      <c r="C119" s="75"/>
      <c r="D119" s="79"/>
      <c r="E119" s="87"/>
      <c r="F119" s="81"/>
    </row>
    <row r="120" spans="1:6" s="74" customFormat="1" x14ac:dyDescent="0.25">
      <c r="A120" s="73"/>
      <c r="C120" s="75"/>
      <c r="D120" s="79"/>
      <c r="E120" s="87"/>
      <c r="F120" s="81"/>
    </row>
    <row r="121" spans="1:6" s="74" customFormat="1" x14ac:dyDescent="0.25">
      <c r="A121" s="73"/>
      <c r="C121" s="75"/>
      <c r="D121" s="79"/>
      <c r="E121" s="87"/>
      <c r="F121" s="81"/>
    </row>
    <row r="122" spans="1:6" s="74" customFormat="1" x14ac:dyDescent="0.25">
      <c r="A122" s="73"/>
      <c r="C122" s="75"/>
      <c r="D122" s="79"/>
      <c r="E122" s="87"/>
      <c r="F122" s="81"/>
    </row>
    <row r="123" spans="1:6" s="74" customFormat="1" x14ac:dyDescent="0.25">
      <c r="A123" s="73"/>
      <c r="C123" s="75"/>
      <c r="D123" s="79"/>
      <c r="E123" s="87"/>
      <c r="F123" s="81"/>
    </row>
    <row r="124" spans="1:6" s="74" customFormat="1" x14ac:dyDescent="0.25">
      <c r="A124" s="73"/>
      <c r="C124" s="75"/>
      <c r="D124" s="79"/>
      <c r="E124" s="87"/>
      <c r="F124" s="81"/>
    </row>
    <row r="125" spans="1:6" s="74" customFormat="1" x14ac:dyDescent="0.25">
      <c r="A125" s="73"/>
      <c r="C125" s="75"/>
      <c r="D125" s="79"/>
      <c r="E125" s="87"/>
      <c r="F125" s="81"/>
    </row>
    <row r="126" spans="1:6" s="74" customFormat="1" x14ac:dyDescent="0.25">
      <c r="A126" s="73"/>
      <c r="C126" s="75"/>
      <c r="D126" s="79"/>
      <c r="E126" s="87"/>
      <c r="F126" s="81"/>
    </row>
    <row r="127" spans="1:6" s="74" customFormat="1" x14ac:dyDescent="0.25">
      <c r="A127" s="73"/>
      <c r="C127" s="75"/>
      <c r="D127" s="79"/>
      <c r="E127" s="87"/>
      <c r="F127" s="81"/>
    </row>
  </sheetData>
  <mergeCells count="1">
    <mergeCell ref="D1:F1"/>
  </mergeCells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17"/>
  <sheetViews>
    <sheetView topLeftCell="A9" workbookViewId="0">
      <selection activeCell="D68" sqref="D68"/>
    </sheetView>
  </sheetViews>
  <sheetFormatPr defaultRowHeight="15" x14ac:dyDescent="0.25"/>
  <cols>
    <col min="1" max="1" width="13.140625" style="2" bestFit="1" customWidth="1"/>
    <col min="2" max="2" width="32.5703125" style="1" bestFit="1" customWidth="1"/>
    <col min="3" max="3" width="11.42578125" style="2" bestFit="1" customWidth="1"/>
  </cols>
  <sheetData>
    <row r="1" spans="1:7" ht="93" x14ac:dyDescent="0.25">
      <c r="A1" s="4" t="s">
        <v>0</v>
      </c>
      <c r="B1" s="5" t="s">
        <v>1</v>
      </c>
      <c r="C1" s="6" t="s">
        <v>2</v>
      </c>
      <c r="D1" s="106" t="s">
        <v>131</v>
      </c>
      <c r="E1" s="106" t="s">
        <v>209</v>
      </c>
      <c r="F1" s="106" t="s">
        <v>210</v>
      </c>
    </row>
    <row r="2" spans="1:7" ht="15.75" thickBot="1" x14ac:dyDescent="0.3">
      <c r="A2" s="21"/>
      <c r="B2" s="108"/>
      <c r="C2" s="108"/>
      <c r="D2" s="109"/>
      <c r="E2" s="110"/>
      <c r="F2" s="110"/>
    </row>
    <row r="3" spans="1:7" x14ac:dyDescent="0.25">
      <c r="A3" s="26" t="s">
        <v>3</v>
      </c>
      <c r="B3" s="25" t="s">
        <v>5</v>
      </c>
      <c r="C3" s="48" t="s">
        <v>7</v>
      </c>
      <c r="D3" s="90">
        <f>320/24</f>
        <v>13.333333333333334</v>
      </c>
      <c r="E3" s="111">
        <v>25</v>
      </c>
      <c r="F3" s="119">
        <f>SUM(E3-D3)/E3</f>
        <v>0.46666666666666662</v>
      </c>
    </row>
    <row r="4" spans="1:7" x14ac:dyDescent="0.25">
      <c r="A4" s="8" t="s">
        <v>3</v>
      </c>
      <c r="B4" s="9" t="s">
        <v>6</v>
      </c>
      <c r="C4" s="10" t="s">
        <v>7</v>
      </c>
      <c r="D4" s="70">
        <f>295/24</f>
        <v>12.291666666666666</v>
      </c>
      <c r="E4" s="112">
        <v>25</v>
      </c>
      <c r="F4" s="119">
        <f t="shared" ref="F4:F73" si="0">SUM(E4-D4)/E4</f>
        <v>0.5083333333333333</v>
      </c>
    </row>
    <row r="5" spans="1:7" x14ac:dyDescent="0.25">
      <c r="A5" s="8" t="s">
        <v>3</v>
      </c>
      <c r="B5" s="9" t="s">
        <v>8</v>
      </c>
      <c r="C5" s="10" t="s">
        <v>7</v>
      </c>
      <c r="D5" s="113">
        <f>250/24</f>
        <v>10.416666666666666</v>
      </c>
      <c r="E5" s="112">
        <v>25</v>
      </c>
      <c r="F5" s="119">
        <f t="shared" si="0"/>
        <v>0.58333333333333337</v>
      </c>
      <c r="G5" t="s">
        <v>211</v>
      </c>
    </row>
    <row r="6" spans="1:7" x14ac:dyDescent="0.25">
      <c r="A6" s="8" t="s">
        <v>3</v>
      </c>
      <c r="B6" s="9" t="s">
        <v>9</v>
      </c>
      <c r="C6" s="10" t="s">
        <v>7</v>
      </c>
      <c r="D6" s="113">
        <f>250/24</f>
        <v>10.416666666666666</v>
      </c>
      <c r="E6" s="112">
        <v>25</v>
      </c>
      <c r="F6" s="119">
        <f t="shared" si="0"/>
        <v>0.58333333333333337</v>
      </c>
      <c r="G6" t="s">
        <v>211</v>
      </c>
    </row>
    <row r="7" spans="1:7" x14ac:dyDescent="0.25">
      <c r="A7" s="8" t="s">
        <v>3</v>
      </c>
      <c r="B7" s="9" t="s">
        <v>9</v>
      </c>
      <c r="C7" s="10" t="s">
        <v>134</v>
      </c>
      <c r="D7" s="70">
        <f>258/12</f>
        <v>21.5</v>
      </c>
      <c r="E7" s="112">
        <v>35</v>
      </c>
      <c r="F7" s="119">
        <f t="shared" si="0"/>
        <v>0.38571428571428573</v>
      </c>
    </row>
    <row r="8" spans="1:7" x14ac:dyDescent="0.25">
      <c r="A8" s="8" t="s">
        <v>3</v>
      </c>
      <c r="B8" s="9" t="s">
        <v>10</v>
      </c>
      <c r="C8" s="10" t="s">
        <v>7</v>
      </c>
      <c r="D8" s="70">
        <f>260/24</f>
        <v>10.833333333333334</v>
      </c>
      <c r="E8" s="112">
        <v>25</v>
      </c>
      <c r="F8" s="119">
        <f t="shared" si="0"/>
        <v>0.56666666666666665</v>
      </c>
    </row>
    <row r="9" spans="1:7" x14ac:dyDescent="0.25">
      <c r="A9" s="8" t="s">
        <v>3</v>
      </c>
      <c r="B9" s="9" t="s">
        <v>10</v>
      </c>
      <c r="C9" s="10" t="s">
        <v>134</v>
      </c>
      <c r="D9" s="70">
        <f>203.9/12</f>
        <v>16.991666666666667</v>
      </c>
      <c r="E9" s="112">
        <v>35</v>
      </c>
      <c r="F9" s="119">
        <f t="shared" si="0"/>
        <v>0.51452380952380949</v>
      </c>
    </row>
    <row r="10" spans="1:7" x14ac:dyDescent="0.25">
      <c r="A10" s="8" t="s">
        <v>3</v>
      </c>
      <c r="B10" s="9" t="s">
        <v>4</v>
      </c>
      <c r="C10" s="10" t="s">
        <v>7</v>
      </c>
      <c r="D10" s="70">
        <f>365/24</f>
        <v>15.208333333333334</v>
      </c>
      <c r="E10" s="112">
        <v>30</v>
      </c>
      <c r="F10" s="119">
        <f t="shared" si="0"/>
        <v>0.49305555555555552</v>
      </c>
    </row>
    <row r="11" spans="1:7" x14ac:dyDescent="0.25">
      <c r="A11" s="8" t="s">
        <v>3</v>
      </c>
      <c r="B11" s="9" t="s">
        <v>135</v>
      </c>
      <c r="C11" s="10" t="s">
        <v>134</v>
      </c>
      <c r="D11" s="70">
        <f>184/12</f>
        <v>15.333333333333334</v>
      </c>
      <c r="E11" s="112">
        <v>35</v>
      </c>
      <c r="F11" s="119">
        <f t="shared" si="0"/>
        <v>0.5619047619047618</v>
      </c>
    </row>
    <row r="12" spans="1:7" x14ac:dyDescent="0.25">
      <c r="A12" s="8" t="s">
        <v>3</v>
      </c>
      <c r="B12" s="9" t="s">
        <v>85</v>
      </c>
      <c r="C12" s="10" t="s">
        <v>7</v>
      </c>
      <c r="D12" s="70">
        <f>365/24</f>
        <v>15.208333333333334</v>
      </c>
      <c r="E12" s="112">
        <v>30</v>
      </c>
      <c r="F12" s="119">
        <f t="shared" si="0"/>
        <v>0.49305555555555552</v>
      </c>
    </row>
    <row r="13" spans="1:7" x14ac:dyDescent="0.25">
      <c r="A13" s="8" t="s">
        <v>3</v>
      </c>
      <c r="B13" s="9" t="s">
        <v>11</v>
      </c>
      <c r="C13" s="10" t="s">
        <v>12</v>
      </c>
      <c r="D13" s="70">
        <f>349/24</f>
        <v>14.541666666666666</v>
      </c>
      <c r="E13" s="112">
        <v>30</v>
      </c>
      <c r="F13" s="119">
        <f t="shared" si="0"/>
        <v>0.51527777777777783</v>
      </c>
    </row>
    <row r="14" spans="1:7" x14ac:dyDescent="0.25">
      <c r="A14" s="8" t="s">
        <v>3</v>
      </c>
      <c r="B14" s="9" t="s">
        <v>13</v>
      </c>
      <c r="C14" s="10" t="s">
        <v>7</v>
      </c>
      <c r="D14" s="70">
        <f>335/24</f>
        <v>13.958333333333334</v>
      </c>
      <c r="E14" s="112">
        <v>30</v>
      </c>
      <c r="F14" s="119">
        <f t="shared" si="0"/>
        <v>0.5347222222222221</v>
      </c>
    </row>
    <row r="15" spans="1:7" x14ac:dyDescent="0.25">
      <c r="A15" s="8" t="s">
        <v>3</v>
      </c>
      <c r="B15" s="40" t="s">
        <v>162</v>
      </c>
      <c r="C15" s="10" t="s">
        <v>83</v>
      </c>
      <c r="D15" s="70">
        <f>330/24</f>
        <v>13.75</v>
      </c>
      <c r="E15" s="112">
        <v>40</v>
      </c>
      <c r="F15" s="119">
        <f t="shared" si="0"/>
        <v>0.65625</v>
      </c>
    </row>
    <row r="16" spans="1:7" x14ac:dyDescent="0.25">
      <c r="A16" s="8" t="s">
        <v>3</v>
      </c>
      <c r="B16" s="40" t="s">
        <v>154</v>
      </c>
      <c r="C16" s="10" t="s">
        <v>7</v>
      </c>
      <c r="D16" s="70">
        <f>280/24</f>
        <v>11.666666666666666</v>
      </c>
      <c r="E16" s="112">
        <v>25</v>
      </c>
      <c r="F16" s="119">
        <f t="shared" si="0"/>
        <v>0.53333333333333333</v>
      </c>
    </row>
    <row r="17" spans="1:6" x14ac:dyDescent="0.25">
      <c r="A17" s="8" t="s">
        <v>3</v>
      </c>
      <c r="B17" s="9" t="s">
        <v>179</v>
      </c>
      <c r="C17" s="10" t="s">
        <v>7</v>
      </c>
      <c r="D17" s="70">
        <f>365/24</f>
        <v>15.208333333333334</v>
      </c>
      <c r="E17" s="112">
        <v>30</v>
      </c>
      <c r="F17" s="119">
        <f t="shared" si="0"/>
        <v>0.49305555555555552</v>
      </c>
    </row>
    <row r="18" spans="1:6" ht="15.75" thickBot="1" x14ac:dyDescent="0.3">
      <c r="A18" s="92"/>
      <c r="B18" s="93"/>
      <c r="C18" s="94"/>
      <c r="D18" s="120"/>
      <c r="E18" s="121"/>
      <c r="F18" s="119"/>
    </row>
    <row r="19" spans="1:6" x14ac:dyDescent="0.25">
      <c r="A19" s="24" t="s">
        <v>14</v>
      </c>
      <c r="B19" s="25" t="s">
        <v>15</v>
      </c>
      <c r="C19" s="48" t="s">
        <v>16</v>
      </c>
      <c r="D19" s="90">
        <f>179.89/30</f>
        <v>5.9963333333333333</v>
      </c>
      <c r="E19" s="111">
        <v>15</v>
      </c>
      <c r="F19" s="119">
        <f t="shared" si="0"/>
        <v>0.60024444444444447</v>
      </c>
    </row>
    <row r="20" spans="1:6" x14ac:dyDescent="0.25">
      <c r="A20" s="8" t="s">
        <v>14</v>
      </c>
      <c r="B20" s="9" t="s">
        <v>17</v>
      </c>
      <c r="C20" s="10" t="s">
        <v>16</v>
      </c>
      <c r="D20" s="70">
        <f>185/30</f>
        <v>6.166666666666667</v>
      </c>
      <c r="E20" s="112">
        <v>15</v>
      </c>
      <c r="F20" s="119">
        <f t="shared" si="0"/>
        <v>0.5888888888888888</v>
      </c>
    </row>
    <row r="21" spans="1:6" ht="15.75" thickBot="1" x14ac:dyDescent="0.3">
      <c r="A21" s="29"/>
      <c r="B21" s="30"/>
      <c r="C21" s="31"/>
      <c r="D21" s="91"/>
      <c r="E21" s="114"/>
      <c r="F21" s="119"/>
    </row>
    <row r="22" spans="1:6" x14ac:dyDescent="0.25">
      <c r="A22" s="24" t="s">
        <v>18</v>
      </c>
      <c r="B22" s="25" t="s">
        <v>50</v>
      </c>
      <c r="C22" s="48" t="s">
        <v>7</v>
      </c>
      <c r="D22" s="90">
        <f>285/24</f>
        <v>11.875</v>
      </c>
      <c r="E22" s="111">
        <v>25</v>
      </c>
      <c r="F22" s="119">
        <f t="shared" si="0"/>
        <v>0.52500000000000002</v>
      </c>
    </row>
    <row r="23" spans="1:6" x14ac:dyDescent="0.25">
      <c r="A23" s="8" t="s">
        <v>18</v>
      </c>
      <c r="B23" s="9" t="s">
        <v>165</v>
      </c>
      <c r="C23" s="10" t="s">
        <v>7</v>
      </c>
      <c r="D23" s="70">
        <f>309/24</f>
        <v>12.875</v>
      </c>
      <c r="E23" s="112">
        <v>30</v>
      </c>
      <c r="F23" s="119">
        <f t="shared" si="0"/>
        <v>0.5708333333333333</v>
      </c>
    </row>
    <row r="24" spans="1:6" x14ac:dyDescent="0.25">
      <c r="A24" s="8" t="s">
        <v>18</v>
      </c>
      <c r="B24" s="9" t="s">
        <v>51</v>
      </c>
      <c r="C24" s="10" t="s">
        <v>7</v>
      </c>
      <c r="D24" s="70">
        <f>360/24</f>
        <v>15</v>
      </c>
      <c r="E24" s="112">
        <v>30</v>
      </c>
      <c r="F24" s="119">
        <f t="shared" si="0"/>
        <v>0.5</v>
      </c>
    </row>
    <row r="25" spans="1:6" x14ac:dyDescent="0.25">
      <c r="A25" s="8" t="s">
        <v>18</v>
      </c>
      <c r="B25" s="9" t="s">
        <v>52</v>
      </c>
      <c r="C25" s="10" t="s">
        <v>7</v>
      </c>
      <c r="D25" s="70">
        <f>360/24</f>
        <v>15</v>
      </c>
      <c r="E25" s="112">
        <v>30</v>
      </c>
      <c r="F25" s="119">
        <f t="shared" si="0"/>
        <v>0.5</v>
      </c>
    </row>
    <row r="26" spans="1:6" x14ac:dyDescent="0.25">
      <c r="A26" s="8" t="s">
        <v>18</v>
      </c>
      <c r="B26" s="9" t="s">
        <v>53</v>
      </c>
      <c r="C26" s="10" t="s">
        <v>7</v>
      </c>
      <c r="D26" s="70">
        <f>385/24</f>
        <v>16.041666666666668</v>
      </c>
      <c r="E26" s="112">
        <v>30</v>
      </c>
      <c r="F26" s="119">
        <f t="shared" si="0"/>
        <v>0.46527777777777773</v>
      </c>
    </row>
    <row r="27" spans="1:6" x14ac:dyDescent="0.25">
      <c r="A27" s="8" t="s">
        <v>18</v>
      </c>
      <c r="B27" s="9" t="s">
        <v>164</v>
      </c>
      <c r="C27" s="10" t="s">
        <v>7</v>
      </c>
      <c r="D27" s="70">
        <f>385/24</f>
        <v>16.041666666666668</v>
      </c>
      <c r="E27" s="112">
        <v>30</v>
      </c>
      <c r="F27" s="119">
        <f t="shared" si="0"/>
        <v>0.46527777777777773</v>
      </c>
    </row>
    <row r="28" spans="1:6" x14ac:dyDescent="0.25">
      <c r="A28" s="8" t="s">
        <v>18</v>
      </c>
      <c r="B28" s="40" t="s">
        <v>163</v>
      </c>
      <c r="C28" s="10" t="s">
        <v>7</v>
      </c>
      <c r="D28" s="70">
        <f>430/24</f>
        <v>17.916666666666668</v>
      </c>
      <c r="E28" s="112">
        <v>30</v>
      </c>
      <c r="F28" s="119">
        <f t="shared" si="0"/>
        <v>0.40277777777777773</v>
      </c>
    </row>
    <row r="29" spans="1:6" x14ac:dyDescent="0.25">
      <c r="A29" s="8" t="s">
        <v>18</v>
      </c>
      <c r="B29" s="40" t="s">
        <v>143</v>
      </c>
      <c r="C29" s="10" t="s">
        <v>7</v>
      </c>
      <c r="D29" s="70">
        <f>375/24</f>
        <v>15.625</v>
      </c>
      <c r="E29" s="112">
        <v>35</v>
      </c>
      <c r="F29" s="119">
        <f t="shared" si="0"/>
        <v>0.5535714285714286</v>
      </c>
    </row>
    <row r="30" spans="1:6" x14ac:dyDescent="0.25">
      <c r="A30" s="8" t="s">
        <v>18</v>
      </c>
      <c r="B30" s="40" t="s">
        <v>144</v>
      </c>
      <c r="C30" s="10" t="s">
        <v>7</v>
      </c>
      <c r="D30" s="70">
        <f t="shared" ref="D30:D32" si="1">375/24</f>
        <v>15.625</v>
      </c>
      <c r="E30" s="112">
        <v>35</v>
      </c>
      <c r="F30" s="119">
        <f t="shared" si="0"/>
        <v>0.5535714285714286</v>
      </c>
    </row>
    <row r="31" spans="1:6" x14ac:dyDescent="0.25">
      <c r="A31" s="8" t="s">
        <v>18</v>
      </c>
      <c r="B31" s="40" t="s">
        <v>145</v>
      </c>
      <c r="C31" s="10" t="s">
        <v>7</v>
      </c>
      <c r="D31" s="70">
        <f t="shared" si="1"/>
        <v>15.625</v>
      </c>
      <c r="E31" s="112">
        <v>35</v>
      </c>
      <c r="F31" s="119">
        <f t="shared" si="0"/>
        <v>0.5535714285714286</v>
      </c>
    </row>
    <row r="32" spans="1:6" x14ac:dyDescent="0.25">
      <c r="A32" s="8" t="s">
        <v>18</v>
      </c>
      <c r="B32" s="9" t="s">
        <v>146</v>
      </c>
      <c r="C32" s="10" t="s">
        <v>7</v>
      </c>
      <c r="D32" s="70">
        <f t="shared" si="1"/>
        <v>15.625</v>
      </c>
      <c r="E32" s="112">
        <v>35</v>
      </c>
      <c r="F32" s="119">
        <f t="shared" si="0"/>
        <v>0.5535714285714286</v>
      </c>
    </row>
    <row r="33" spans="1:6" ht="15.75" thickBot="1" x14ac:dyDescent="0.3">
      <c r="A33" s="92"/>
      <c r="B33" s="93"/>
      <c r="C33" s="94"/>
      <c r="D33" s="120"/>
      <c r="E33" s="121"/>
      <c r="F33" s="119"/>
    </row>
    <row r="34" spans="1:6" x14ac:dyDescent="0.25">
      <c r="A34" s="24" t="s">
        <v>19</v>
      </c>
      <c r="B34" s="25" t="s">
        <v>20</v>
      </c>
      <c r="C34" s="48" t="s">
        <v>212</v>
      </c>
      <c r="D34" s="90">
        <f>170/15</f>
        <v>11.333333333333334</v>
      </c>
      <c r="E34" s="111">
        <v>20</v>
      </c>
      <c r="F34" s="119">
        <f t="shared" si="0"/>
        <v>0.43333333333333329</v>
      </c>
    </row>
    <row r="35" spans="1:6" x14ac:dyDescent="0.25">
      <c r="A35" s="8" t="s">
        <v>19</v>
      </c>
      <c r="B35" s="9" t="s">
        <v>23</v>
      </c>
      <c r="C35" s="10" t="s">
        <v>212</v>
      </c>
      <c r="D35" s="70">
        <f>65/15</f>
        <v>4.333333333333333</v>
      </c>
      <c r="E35" s="112">
        <v>15</v>
      </c>
      <c r="F35" s="119">
        <f t="shared" si="0"/>
        <v>0.71111111111111114</v>
      </c>
    </row>
    <row r="36" spans="1:6" x14ac:dyDescent="0.25">
      <c r="A36" s="8" t="s">
        <v>19</v>
      </c>
      <c r="B36" s="9" t="s">
        <v>22</v>
      </c>
      <c r="C36" s="10" t="s">
        <v>213</v>
      </c>
      <c r="D36" s="70">
        <f>200/30</f>
        <v>6.666666666666667</v>
      </c>
      <c r="E36" s="112">
        <v>15</v>
      </c>
      <c r="F36" s="119">
        <f t="shared" si="0"/>
        <v>0.55555555555555547</v>
      </c>
    </row>
    <row r="37" spans="1:6" ht="15.75" thickBot="1" x14ac:dyDescent="0.3">
      <c r="A37" s="29"/>
      <c r="B37" s="30"/>
      <c r="C37" s="31"/>
      <c r="D37" s="91"/>
      <c r="E37" s="114"/>
      <c r="F37" s="119"/>
    </row>
    <row r="38" spans="1:6" x14ac:dyDescent="0.25">
      <c r="A38" s="115" t="s">
        <v>25</v>
      </c>
      <c r="B38" s="37" t="s">
        <v>34</v>
      </c>
      <c r="C38" s="38" t="s">
        <v>115</v>
      </c>
      <c r="D38" s="90">
        <f>368.3/24</f>
        <v>15.345833333333333</v>
      </c>
      <c r="E38" s="111">
        <v>28</v>
      </c>
      <c r="F38" s="119">
        <f t="shared" si="0"/>
        <v>0.45193452380952381</v>
      </c>
    </row>
    <row r="39" spans="1:6" x14ac:dyDescent="0.25">
      <c r="A39" s="13" t="s">
        <v>25</v>
      </c>
      <c r="B39" s="40" t="s">
        <v>173</v>
      </c>
      <c r="C39" s="41" t="s">
        <v>44</v>
      </c>
      <c r="D39" s="70">
        <v>60</v>
      </c>
      <c r="E39" s="112">
        <v>90</v>
      </c>
      <c r="F39" s="119">
        <f t="shared" si="0"/>
        <v>0.33333333333333331</v>
      </c>
    </row>
    <row r="40" spans="1:6" x14ac:dyDescent="0.25">
      <c r="A40" s="13" t="s">
        <v>25</v>
      </c>
      <c r="B40" s="9" t="s">
        <v>86</v>
      </c>
      <c r="C40" s="10" t="s">
        <v>24</v>
      </c>
      <c r="D40" s="70">
        <v>7.5</v>
      </c>
      <c r="E40" s="112">
        <v>15</v>
      </c>
      <c r="F40" s="119">
        <f t="shared" si="0"/>
        <v>0.5</v>
      </c>
    </row>
    <row r="41" spans="1:6" x14ac:dyDescent="0.25">
      <c r="A41" s="13" t="s">
        <v>25</v>
      </c>
      <c r="B41" s="9" t="s">
        <v>26</v>
      </c>
      <c r="C41" s="10" t="s">
        <v>87</v>
      </c>
      <c r="D41" s="70">
        <f>256.5/24</f>
        <v>10.6875</v>
      </c>
      <c r="E41" s="112">
        <v>15</v>
      </c>
      <c r="F41" s="119">
        <f t="shared" si="0"/>
        <v>0.28749999999999998</v>
      </c>
    </row>
    <row r="42" spans="1:6" x14ac:dyDescent="0.25">
      <c r="A42" s="13" t="s">
        <v>25</v>
      </c>
      <c r="B42" s="9" t="s">
        <v>26</v>
      </c>
      <c r="C42" s="10" t="s">
        <v>27</v>
      </c>
      <c r="D42" s="70">
        <f>180/12</f>
        <v>15</v>
      </c>
      <c r="E42" s="112">
        <v>40</v>
      </c>
      <c r="F42" s="119">
        <f t="shared" si="0"/>
        <v>0.625</v>
      </c>
    </row>
    <row r="43" spans="1:6" x14ac:dyDescent="0.25">
      <c r="A43" s="13" t="s">
        <v>25</v>
      </c>
      <c r="B43" s="9" t="s">
        <v>28</v>
      </c>
      <c r="C43" s="10" t="s">
        <v>121</v>
      </c>
      <c r="D43" s="70">
        <f>256.5/24</f>
        <v>10.6875</v>
      </c>
      <c r="E43" s="112">
        <v>15</v>
      </c>
      <c r="F43" s="119">
        <f t="shared" si="0"/>
        <v>0.28749999999999998</v>
      </c>
    </row>
    <row r="44" spans="1:6" x14ac:dyDescent="0.25">
      <c r="A44" s="13" t="s">
        <v>25</v>
      </c>
      <c r="B44" s="9" t="s">
        <v>88</v>
      </c>
      <c r="C44" s="10" t="s">
        <v>87</v>
      </c>
      <c r="D44" s="70">
        <f>256.5/24</f>
        <v>10.6875</v>
      </c>
      <c r="E44" s="112">
        <v>15</v>
      </c>
      <c r="F44" s="119">
        <f t="shared" si="0"/>
        <v>0.28749999999999998</v>
      </c>
    </row>
    <row r="45" spans="1:6" x14ac:dyDescent="0.25">
      <c r="A45" s="13" t="s">
        <v>25</v>
      </c>
      <c r="B45" s="9" t="s">
        <v>128</v>
      </c>
      <c r="C45" s="10" t="s">
        <v>33</v>
      </c>
      <c r="D45" s="70">
        <f>70/6</f>
        <v>11.666666666666666</v>
      </c>
      <c r="E45" s="112">
        <v>20</v>
      </c>
      <c r="F45" s="119">
        <f t="shared" si="0"/>
        <v>0.41666666666666669</v>
      </c>
    </row>
    <row r="46" spans="1:6" x14ac:dyDescent="0.25">
      <c r="A46" s="13" t="s">
        <v>25</v>
      </c>
      <c r="B46" s="9" t="s">
        <v>202</v>
      </c>
      <c r="C46" s="10" t="s">
        <v>33</v>
      </c>
      <c r="D46" s="70">
        <f>266.5/24</f>
        <v>11.104166666666666</v>
      </c>
      <c r="E46" s="112">
        <v>20</v>
      </c>
      <c r="F46" s="119">
        <f t="shared" si="0"/>
        <v>0.4447916666666667</v>
      </c>
    </row>
    <row r="47" spans="1:6" x14ac:dyDescent="0.25">
      <c r="A47" s="13" t="s">
        <v>25</v>
      </c>
      <c r="B47" s="9" t="s">
        <v>29</v>
      </c>
      <c r="C47" s="10" t="s">
        <v>87</v>
      </c>
      <c r="D47" s="70">
        <f>256.5/24</f>
        <v>10.6875</v>
      </c>
      <c r="E47" s="112">
        <v>15</v>
      </c>
      <c r="F47" s="119">
        <f t="shared" si="0"/>
        <v>0.28749999999999998</v>
      </c>
    </row>
    <row r="48" spans="1:6" x14ac:dyDescent="0.25">
      <c r="A48" s="13" t="s">
        <v>25</v>
      </c>
      <c r="B48" s="9" t="s">
        <v>76</v>
      </c>
      <c r="C48" s="10" t="s">
        <v>87</v>
      </c>
      <c r="D48" s="70">
        <f>256.5/24</f>
        <v>10.6875</v>
      </c>
      <c r="E48" s="112">
        <v>15</v>
      </c>
      <c r="F48" s="119">
        <f t="shared" si="0"/>
        <v>0.28749999999999998</v>
      </c>
    </row>
    <row r="49" spans="1:6" x14ac:dyDescent="0.25">
      <c r="A49" s="13" t="s">
        <v>25</v>
      </c>
      <c r="B49" s="14" t="s">
        <v>54</v>
      </c>
      <c r="C49" s="10" t="s">
        <v>32</v>
      </c>
      <c r="D49" s="70">
        <v>7.5</v>
      </c>
      <c r="E49" s="112">
        <v>15</v>
      </c>
      <c r="F49" s="119">
        <f t="shared" si="0"/>
        <v>0.5</v>
      </c>
    </row>
    <row r="50" spans="1:6" x14ac:dyDescent="0.25">
      <c r="A50" s="13" t="s">
        <v>25</v>
      </c>
      <c r="B50" s="14" t="s">
        <v>55</v>
      </c>
      <c r="C50" s="10" t="s">
        <v>32</v>
      </c>
      <c r="D50" s="70">
        <v>7.5</v>
      </c>
      <c r="E50" s="112">
        <v>15</v>
      </c>
      <c r="F50" s="119">
        <f t="shared" si="0"/>
        <v>0.5</v>
      </c>
    </row>
    <row r="51" spans="1:6" x14ac:dyDescent="0.25">
      <c r="A51" s="13" t="s">
        <v>25</v>
      </c>
      <c r="B51" s="14" t="s">
        <v>68</v>
      </c>
      <c r="C51" s="10" t="s">
        <v>32</v>
      </c>
      <c r="D51" s="70">
        <v>7.5</v>
      </c>
      <c r="E51" s="112">
        <v>15</v>
      </c>
      <c r="F51" s="119">
        <f t="shared" si="0"/>
        <v>0.5</v>
      </c>
    </row>
    <row r="52" spans="1:6" x14ac:dyDescent="0.25">
      <c r="A52" s="13" t="s">
        <v>25</v>
      </c>
      <c r="B52" s="14" t="s">
        <v>56</v>
      </c>
      <c r="C52" s="10" t="s">
        <v>32</v>
      </c>
      <c r="D52" s="70">
        <v>7.5</v>
      </c>
      <c r="E52" s="112">
        <v>15</v>
      </c>
      <c r="F52" s="119">
        <f t="shared" si="0"/>
        <v>0.5</v>
      </c>
    </row>
    <row r="53" spans="1:6" x14ac:dyDescent="0.25">
      <c r="A53" s="13" t="s">
        <v>25</v>
      </c>
      <c r="B53" s="14" t="s">
        <v>56</v>
      </c>
      <c r="C53" s="10" t="s">
        <v>132</v>
      </c>
      <c r="D53" s="70">
        <v>15.81</v>
      </c>
      <c r="E53" s="112">
        <v>40</v>
      </c>
      <c r="F53" s="119">
        <f t="shared" si="0"/>
        <v>0.6047499999999999</v>
      </c>
    </row>
    <row r="54" spans="1:6" x14ac:dyDescent="0.25">
      <c r="A54" s="13" t="s">
        <v>25</v>
      </c>
      <c r="B54" s="14" t="s">
        <v>176</v>
      </c>
      <c r="C54" s="10" t="s">
        <v>115</v>
      </c>
      <c r="D54" s="70">
        <f>356/24</f>
        <v>14.833333333333334</v>
      </c>
      <c r="E54" s="112">
        <v>25</v>
      </c>
      <c r="F54" s="119">
        <f t="shared" si="0"/>
        <v>0.40666666666666662</v>
      </c>
    </row>
    <row r="55" spans="1:6" x14ac:dyDescent="0.25">
      <c r="A55" s="13" t="s">
        <v>25</v>
      </c>
      <c r="B55" s="14" t="s">
        <v>35</v>
      </c>
      <c r="C55" s="10" t="s">
        <v>24</v>
      </c>
      <c r="D55" s="70">
        <f>368.3/24</f>
        <v>15.345833333333333</v>
      </c>
      <c r="E55" s="112">
        <v>28</v>
      </c>
      <c r="F55" s="119">
        <f t="shared" si="0"/>
        <v>0.45193452380952381</v>
      </c>
    </row>
    <row r="56" spans="1:6" x14ac:dyDescent="0.25">
      <c r="A56" s="13" t="s">
        <v>25</v>
      </c>
      <c r="B56" s="14" t="s">
        <v>57</v>
      </c>
      <c r="C56" s="10" t="s">
        <v>16</v>
      </c>
      <c r="D56" s="70">
        <f>60/30</f>
        <v>2</v>
      </c>
      <c r="E56" s="112">
        <v>5</v>
      </c>
      <c r="F56" s="119">
        <f t="shared" si="0"/>
        <v>0.6</v>
      </c>
    </row>
    <row r="57" spans="1:6" x14ac:dyDescent="0.25">
      <c r="A57" s="13" t="s">
        <v>25</v>
      </c>
      <c r="B57" s="14" t="s">
        <v>58</v>
      </c>
      <c r="C57" s="10" t="s">
        <v>16</v>
      </c>
      <c r="D57" s="70">
        <f>60/30</f>
        <v>2</v>
      </c>
      <c r="E57" s="112">
        <v>5</v>
      </c>
      <c r="F57" s="119">
        <f t="shared" si="0"/>
        <v>0.6</v>
      </c>
    </row>
    <row r="58" spans="1:6" x14ac:dyDescent="0.25">
      <c r="A58" s="13" t="s">
        <v>25</v>
      </c>
      <c r="B58" s="14" t="s">
        <v>77</v>
      </c>
      <c r="C58" s="10" t="s">
        <v>16</v>
      </c>
      <c r="D58" s="70">
        <f>60/30</f>
        <v>2</v>
      </c>
      <c r="E58" s="112">
        <v>5</v>
      </c>
      <c r="F58" s="119">
        <f t="shared" si="0"/>
        <v>0.6</v>
      </c>
    </row>
    <row r="59" spans="1:6" x14ac:dyDescent="0.25">
      <c r="A59" s="13" t="s">
        <v>25</v>
      </c>
      <c r="B59" s="14" t="s">
        <v>59</v>
      </c>
      <c r="C59" s="10" t="s">
        <v>27</v>
      </c>
      <c r="D59" s="70">
        <f>180/12</f>
        <v>15</v>
      </c>
      <c r="E59" s="112">
        <v>40</v>
      </c>
      <c r="F59" s="119">
        <f t="shared" si="0"/>
        <v>0.625</v>
      </c>
    </row>
    <row r="60" spans="1:6" x14ac:dyDescent="0.25">
      <c r="A60" s="13" t="s">
        <v>25</v>
      </c>
      <c r="B60" s="14" t="s">
        <v>60</v>
      </c>
      <c r="C60" s="10" t="s">
        <v>27</v>
      </c>
      <c r="D60" s="70">
        <f>180/12</f>
        <v>15</v>
      </c>
      <c r="E60" s="112">
        <v>40</v>
      </c>
      <c r="F60" s="119">
        <f t="shared" si="0"/>
        <v>0.625</v>
      </c>
    </row>
    <row r="61" spans="1:6" x14ac:dyDescent="0.25">
      <c r="A61" s="13" t="s">
        <v>25</v>
      </c>
      <c r="B61" s="14" t="s">
        <v>171</v>
      </c>
      <c r="C61" s="10" t="s">
        <v>172</v>
      </c>
      <c r="D61" s="70">
        <f>45/6</f>
        <v>7.5</v>
      </c>
      <c r="E61" s="112">
        <v>10</v>
      </c>
      <c r="F61" s="119">
        <f t="shared" si="0"/>
        <v>0.25</v>
      </c>
    </row>
    <row r="62" spans="1:6" x14ac:dyDescent="0.25">
      <c r="A62" s="13" t="s">
        <v>25</v>
      </c>
      <c r="B62" s="14" t="s">
        <v>61</v>
      </c>
      <c r="C62" s="10" t="s">
        <v>27</v>
      </c>
      <c r="D62" s="70">
        <f>180/12</f>
        <v>15</v>
      </c>
      <c r="E62" s="112">
        <v>40</v>
      </c>
      <c r="F62" s="119">
        <f t="shared" si="0"/>
        <v>0.625</v>
      </c>
    </row>
    <row r="63" spans="1:6" x14ac:dyDescent="0.25">
      <c r="A63" s="13" t="s">
        <v>25</v>
      </c>
      <c r="B63" s="14" t="s">
        <v>73</v>
      </c>
      <c r="C63" s="10" t="s">
        <v>33</v>
      </c>
      <c r="D63" s="70">
        <v>6.5</v>
      </c>
      <c r="E63" s="112">
        <v>15</v>
      </c>
      <c r="F63" s="119">
        <f t="shared" si="0"/>
        <v>0.56666666666666665</v>
      </c>
    </row>
    <row r="64" spans="1:6" x14ac:dyDescent="0.25">
      <c r="A64" s="13" t="s">
        <v>25</v>
      </c>
      <c r="B64" s="9" t="s">
        <v>30</v>
      </c>
      <c r="C64" s="10" t="s">
        <v>87</v>
      </c>
      <c r="D64" s="70">
        <f>256.5/24</f>
        <v>10.6875</v>
      </c>
      <c r="E64" s="112">
        <v>15</v>
      </c>
      <c r="F64" s="119">
        <f t="shared" si="0"/>
        <v>0.28749999999999998</v>
      </c>
    </row>
    <row r="65" spans="1:6" x14ac:dyDescent="0.25">
      <c r="A65" s="13" t="s">
        <v>25</v>
      </c>
      <c r="B65" s="14" t="s">
        <v>31</v>
      </c>
      <c r="C65" s="10" t="s">
        <v>121</v>
      </c>
      <c r="D65" s="70">
        <f>256.5/24</f>
        <v>10.6875</v>
      </c>
      <c r="E65" s="112">
        <v>15</v>
      </c>
      <c r="F65" s="119">
        <f t="shared" si="0"/>
        <v>0.28749999999999998</v>
      </c>
    </row>
    <row r="66" spans="1:6" x14ac:dyDescent="0.25">
      <c r="A66" s="13" t="s">
        <v>25</v>
      </c>
      <c r="B66" s="14" t="s">
        <v>62</v>
      </c>
      <c r="C66" s="10" t="s">
        <v>33</v>
      </c>
      <c r="D66" s="70">
        <v>5</v>
      </c>
      <c r="E66" s="112">
        <v>15</v>
      </c>
      <c r="F66" s="119">
        <f t="shared" si="0"/>
        <v>0.66666666666666663</v>
      </c>
    </row>
    <row r="67" spans="1:6" x14ac:dyDescent="0.25">
      <c r="A67" s="13" t="s">
        <v>25</v>
      </c>
      <c r="B67" s="42" t="s">
        <v>118</v>
      </c>
      <c r="C67" s="10" t="s">
        <v>87</v>
      </c>
      <c r="D67" s="70">
        <f>256.5/24</f>
        <v>10.6875</v>
      </c>
      <c r="E67" s="112">
        <v>15</v>
      </c>
      <c r="F67" s="119">
        <f t="shared" si="0"/>
        <v>0.28749999999999998</v>
      </c>
    </row>
    <row r="68" spans="1:6" x14ac:dyDescent="0.25">
      <c r="A68" s="13" t="s">
        <v>25</v>
      </c>
      <c r="B68" s="42" t="s">
        <v>90</v>
      </c>
      <c r="C68" s="10" t="s">
        <v>87</v>
      </c>
      <c r="D68" s="70">
        <f>256.5/24</f>
        <v>10.6875</v>
      </c>
      <c r="E68" s="112">
        <v>15</v>
      </c>
      <c r="F68" s="119">
        <f t="shared" si="0"/>
        <v>0.28749999999999998</v>
      </c>
    </row>
    <row r="69" spans="1:6" x14ac:dyDescent="0.25">
      <c r="A69" s="13" t="s">
        <v>25</v>
      </c>
      <c r="B69" s="14" t="s">
        <v>89</v>
      </c>
      <c r="C69" s="10" t="s">
        <v>87</v>
      </c>
      <c r="D69" s="70">
        <f>256.5/24</f>
        <v>10.6875</v>
      </c>
      <c r="E69" s="112">
        <v>15</v>
      </c>
      <c r="F69" s="119">
        <f t="shared" si="0"/>
        <v>0.28749999999999998</v>
      </c>
    </row>
    <row r="70" spans="1:6" ht="15.75" thickBot="1" x14ac:dyDescent="0.3">
      <c r="A70" s="32"/>
      <c r="B70" s="33"/>
      <c r="C70" s="49"/>
      <c r="D70" s="120"/>
      <c r="E70" s="121"/>
      <c r="F70" s="119"/>
    </row>
    <row r="71" spans="1:6" x14ac:dyDescent="0.25">
      <c r="A71" s="24" t="s">
        <v>74</v>
      </c>
      <c r="B71" s="25" t="s">
        <v>217</v>
      </c>
      <c r="C71" s="28" t="s">
        <v>16</v>
      </c>
      <c r="D71" s="103">
        <f>295/30</f>
        <v>9.8333333333333339</v>
      </c>
      <c r="E71" s="124">
        <v>35</v>
      </c>
      <c r="F71" s="119">
        <f t="shared" si="0"/>
        <v>0.71904761904761894</v>
      </c>
    </row>
    <row r="72" spans="1:6" ht="15.75" thickBot="1" x14ac:dyDescent="0.3">
      <c r="A72" s="24"/>
      <c r="B72" s="25"/>
      <c r="C72" s="48"/>
      <c r="D72" s="120"/>
      <c r="E72" s="121"/>
      <c r="F72" s="119"/>
    </row>
    <row r="73" spans="1:6" x14ac:dyDescent="0.25">
      <c r="A73" s="26" t="s">
        <v>36</v>
      </c>
      <c r="B73" s="27" t="s">
        <v>150</v>
      </c>
      <c r="C73" s="104" t="s">
        <v>83</v>
      </c>
      <c r="D73" s="116">
        <v>70</v>
      </c>
      <c r="E73" s="111">
        <v>140</v>
      </c>
      <c r="F73" s="119">
        <f t="shared" si="0"/>
        <v>0.5</v>
      </c>
    </row>
    <row r="74" spans="1:6" x14ac:dyDescent="0.25">
      <c r="A74" s="24" t="s">
        <v>36</v>
      </c>
      <c r="B74" s="25" t="s">
        <v>151</v>
      </c>
      <c r="C74" s="105" t="s">
        <v>83</v>
      </c>
      <c r="D74" s="85">
        <v>82</v>
      </c>
      <c r="E74" s="112">
        <v>160</v>
      </c>
      <c r="F74" s="119">
        <f t="shared" ref="F74:F117" si="2">SUM(E74-D74)/E74</f>
        <v>0.48749999999999999</v>
      </c>
    </row>
    <row r="75" spans="1:6" x14ac:dyDescent="0.25">
      <c r="A75" s="24" t="s">
        <v>36</v>
      </c>
      <c r="B75" s="25" t="s">
        <v>133</v>
      </c>
      <c r="C75" s="105" t="s">
        <v>83</v>
      </c>
      <c r="D75" s="85">
        <v>60</v>
      </c>
      <c r="E75" s="112">
        <v>140</v>
      </c>
      <c r="F75" s="119">
        <f t="shared" si="2"/>
        <v>0.5714285714285714</v>
      </c>
    </row>
    <row r="76" spans="1:6" x14ac:dyDescent="0.25">
      <c r="A76" s="24" t="s">
        <v>36</v>
      </c>
      <c r="B76" s="25" t="s">
        <v>170</v>
      </c>
      <c r="C76" s="105" t="s">
        <v>83</v>
      </c>
      <c r="D76" s="85">
        <v>80</v>
      </c>
      <c r="E76" s="112">
        <v>160</v>
      </c>
      <c r="F76" s="119">
        <f t="shared" si="2"/>
        <v>0.5</v>
      </c>
    </row>
    <row r="77" spans="1:6" x14ac:dyDescent="0.25">
      <c r="A77" s="24" t="s">
        <v>36</v>
      </c>
      <c r="B77" s="25" t="s">
        <v>166</v>
      </c>
      <c r="C77" s="105" t="s">
        <v>83</v>
      </c>
      <c r="D77" s="85">
        <v>80</v>
      </c>
      <c r="E77" s="112">
        <v>160</v>
      </c>
      <c r="F77" s="119">
        <f t="shared" si="2"/>
        <v>0.5</v>
      </c>
    </row>
    <row r="78" spans="1:6" x14ac:dyDescent="0.25">
      <c r="A78" s="24" t="s">
        <v>36</v>
      </c>
      <c r="B78" s="25" t="s">
        <v>152</v>
      </c>
      <c r="C78" s="105" t="s">
        <v>83</v>
      </c>
      <c r="D78" s="85">
        <v>125</v>
      </c>
      <c r="E78" s="112">
        <v>220</v>
      </c>
      <c r="F78" s="119">
        <f t="shared" si="2"/>
        <v>0.43181818181818182</v>
      </c>
    </row>
    <row r="79" spans="1:6" x14ac:dyDescent="0.25">
      <c r="A79" s="24" t="s">
        <v>36</v>
      </c>
      <c r="B79" s="25" t="s">
        <v>153</v>
      </c>
      <c r="C79" s="105" t="s">
        <v>83</v>
      </c>
      <c r="D79" s="85">
        <v>105</v>
      </c>
      <c r="E79" s="112">
        <v>200</v>
      </c>
      <c r="F79" s="119">
        <f t="shared" si="2"/>
        <v>0.47499999999999998</v>
      </c>
    </row>
    <row r="80" spans="1:6" x14ac:dyDescent="0.25">
      <c r="A80" s="24" t="s">
        <v>36</v>
      </c>
      <c r="B80" s="25" t="s">
        <v>177</v>
      </c>
      <c r="C80" s="105" t="s">
        <v>83</v>
      </c>
      <c r="D80" s="85">
        <v>89</v>
      </c>
      <c r="E80" s="112">
        <v>180</v>
      </c>
      <c r="F80" s="119">
        <f t="shared" si="2"/>
        <v>0.50555555555555554</v>
      </c>
    </row>
    <row r="81" spans="1:6" x14ac:dyDescent="0.25">
      <c r="A81" s="8" t="s">
        <v>36</v>
      </c>
      <c r="B81" s="9" t="s">
        <v>82</v>
      </c>
      <c r="C81" s="105" t="s">
        <v>83</v>
      </c>
      <c r="D81" s="85">
        <v>120</v>
      </c>
      <c r="E81" s="112">
        <v>240</v>
      </c>
      <c r="F81" s="119">
        <f t="shared" si="2"/>
        <v>0.5</v>
      </c>
    </row>
    <row r="82" spans="1:6" ht="15.75" thickBot="1" x14ac:dyDescent="0.3">
      <c r="A82" s="24"/>
      <c r="B82" s="93"/>
      <c r="C82" s="122"/>
      <c r="D82" s="123"/>
      <c r="E82" s="121"/>
      <c r="F82" s="119"/>
    </row>
    <row r="83" spans="1:6" x14ac:dyDescent="0.25">
      <c r="A83" s="26" t="s">
        <v>37</v>
      </c>
      <c r="B83" s="25" t="s">
        <v>63</v>
      </c>
      <c r="C83" s="48" t="s">
        <v>16</v>
      </c>
      <c r="D83" s="90">
        <f>190/30</f>
        <v>6.333333333333333</v>
      </c>
      <c r="E83" s="111">
        <v>15</v>
      </c>
      <c r="F83" s="119">
        <f t="shared" si="2"/>
        <v>0.57777777777777783</v>
      </c>
    </row>
    <row r="84" spans="1:6" x14ac:dyDescent="0.25">
      <c r="A84" s="8" t="s">
        <v>37</v>
      </c>
      <c r="B84" s="9" t="s">
        <v>64</v>
      </c>
      <c r="C84" s="10" t="s">
        <v>16</v>
      </c>
      <c r="D84" s="70">
        <f>178/30</f>
        <v>5.9333333333333336</v>
      </c>
      <c r="E84" s="112">
        <v>15</v>
      </c>
      <c r="F84" s="119">
        <f t="shared" si="2"/>
        <v>0.60444444444444445</v>
      </c>
    </row>
    <row r="85" spans="1:6" ht="15.75" thickBot="1" x14ac:dyDescent="0.3">
      <c r="A85" s="29"/>
      <c r="B85" s="30"/>
      <c r="C85" s="31" t="s">
        <v>16</v>
      </c>
      <c r="D85" s="91"/>
      <c r="E85" s="114"/>
      <c r="F85" s="119"/>
    </row>
    <row r="86" spans="1:6" x14ac:dyDescent="0.25">
      <c r="A86" s="26" t="s">
        <v>39</v>
      </c>
      <c r="B86" s="27" t="s">
        <v>40</v>
      </c>
      <c r="C86" s="48" t="s">
        <v>16</v>
      </c>
      <c r="D86" s="90">
        <f>185/30</f>
        <v>6.166666666666667</v>
      </c>
      <c r="E86" s="111">
        <v>20</v>
      </c>
      <c r="F86" s="119">
        <f t="shared" si="2"/>
        <v>0.69166666666666665</v>
      </c>
    </row>
    <row r="87" spans="1:6" x14ac:dyDescent="0.25">
      <c r="A87" s="24" t="s">
        <v>39</v>
      </c>
      <c r="B87" s="25" t="s">
        <v>174</v>
      </c>
      <c r="C87" s="48" t="s">
        <v>16</v>
      </c>
      <c r="D87" s="70">
        <f>299/30</f>
        <v>9.9666666666666668</v>
      </c>
      <c r="E87" s="112">
        <v>20</v>
      </c>
      <c r="F87" s="119">
        <f t="shared" si="2"/>
        <v>0.50166666666666671</v>
      </c>
    </row>
    <row r="88" spans="1:6" x14ac:dyDescent="0.25">
      <c r="A88" s="8" t="s">
        <v>39</v>
      </c>
      <c r="B88" s="9" t="s">
        <v>84</v>
      </c>
      <c r="C88" s="10" t="s">
        <v>16</v>
      </c>
      <c r="D88" s="70">
        <f>175/30</f>
        <v>5.833333333333333</v>
      </c>
      <c r="E88" s="112">
        <v>15</v>
      </c>
      <c r="F88" s="119">
        <f t="shared" si="2"/>
        <v>0.61111111111111116</v>
      </c>
    </row>
    <row r="89" spans="1:6" x14ac:dyDescent="0.25">
      <c r="A89" s="8" t="s">
        <v>39</v>
      </c>
      <c r="B89" s="9" t="s">
        <v>65</v>
      </c>
      <c r="C89" s="10" t="s">
        <v>16</v>
      </c>
      <c r="D89" s="70">
        <f>169/30</f>
        <v>5.6333333333333337</v>
      </c>
      <c r="E89" s="112">
        <v>10</v>
      </c>
      <c r="F89" s="119">
        <f t="shared" si="2"/>
        <v>0.43666666666666665</v>
      </c>
    </row>
    <row r="90" spans="1:6" x14ac:dyDescent="0.25">
      <c r="A90" s="8" t="s">
        <v>39</v>
      </c>
      <c r="B90" s="9" t="s">
        <v>41</v>
      </c>
      <c r="C90" s="10" t="s">
        <v>16</v>
      </c>
      <c r="D90" s="70">
        <f>320/30</f>
        <v>10.666666666666666</v>
      </c>
      <c r="E90" s="112">
        <v>20</v>
      </c>
      <c r="F90" s="119">
        <f t="shared" si="2"/>
        <v>0.46666666666666667</v>
      </c>
    </row>
    <row r="91" spans="1:6" x14ac:dyDescent="0.25">
      <c r="A91" s="8" t="s">
        <v>39</v>
      </c>
      <c r="B91" s="9" t="s">
        <v>175</v>
      </c>
      <c r="C91" s="10" t="s">
        <v>16</v>
      </c>
      <c r="D91" s="70">
        <f>150/30</f>
        <v>5</v>
      </c>
      <c r="E91" s="112">
        <v>10</v>
      </c>
      <c r="F91" s="119">
        <f t="shared" si="2"/>
        <v>0.5</v>
      </c>
    </row>
    <row r="92" spans="1:6" x14ac:dyDescent="0.25">
      <c r="A92" s="8" t="s">
        <v>39</v>
      </c>
      <c r="B92" s="9" t="s">
        <v>66</v>
      </c>
      <c r="C92" s="10" t="s">
        <v>16</v>
      </c>
      <c r="D92" s="70">
        <f>300/30</f>
        <v>10</v>
      </c>
      <c r="E92" s="112">
        <v>20</v>
      </c>
      <c r="F92" s="119">
        <f t="shared" si="2"/>
        <v>0.5</v>
      </c>
    </row>
    <row r="93" spans="1:6" x14ac:dyDescent="0.25">
      <c r="A93" s="8" t="s">
        <v>39</v>
      </c>
      <c r="B93" s="9" t="s">
        <v>42</v>
      </c>
      <c r="C93" s="10" t="s">
        <v>16</v>
      </c>
      <c r="D93" s="70">
        <f>100/30</f>
        <v>3.3333333333333335</v>
      </c>
      <c r="E93" s="112">
        <v>10</v>
      </c>
      <c r="F93" s="119">
        <f t="shared" si="2"/>
        <v>0.66666666666666663</v>
      </c>
    </row>
    <row r="94" spans="1:6" ht="15.75" thickBot="1" x14ac:dyDescent="0.3">
      <c r="A94" s="92"/>
      <c r="B94" s="93"/>
      <c r="C94" s="94"/>
      <c r="D94" s="120"/>
      <c r="E94" s="121"/>
      <c r="F94" s="119"/>
    </row>
    <row r="95" spans="1:6" x14ac:dyDescent="0.25">
      <c r="A95" s="8" t="s">
        <v>43</v>
      </c>
      <c r="B95" s="14" t="s">
        <v>147</v>
      </c>
      <c r="C95" s="100" t="s">
        <v>44</v>
      </c>
      <c r="D95" s="116">
        <v>95</v>
      </c>
      <c r="E95" s="111">
        <v>180</v>
      </c>
      <c r="F95" s="119">
        <f t="shared" si="2"/>
        <v>0.47222222222222221</v>
      </c>
    </row>
    <row r="96" spans="1:6" x14ac:dyDescent="0.25">
      <c r="A96" s="8" t="s">
        <v>43</v>
      </c>
      <c r="B96" s="42" t="s">
        <v>148</v>
      </c>
      <c r="C96" s="96" t="s">
        <v>115</v>
      </c>
      <c r="D96" s="85">
        <f>329/24</f>
        <v>13.708333333333334</v>
      </c>
      <c r="E96" s="112">
        <v>30</v>
      </c>
      <c r="F96" s="119">
        <f t="shared" si="2"/>
        <v>0.54305555555555551</v>
      </c>
    </row>
    <row r="97" spans="1:6" x14ac:dyDescent="0.25">
      <c r="A97" s="8" t="s">
        <v>43</v>
      </c>
      <c r="B97" s="42" t="s">
        <v>167</v>
      </c>
      <c r="C97" s="96" t="s">
        <v>44</v>
      </c>
      <c r="D97" s="85">
        <v>110</v>
      </c>
      <c r="E97" s="112">
        <v>200</v>
      </c>
      <c r="F97" s="119">
        <f t="shared" si="2"/>
        <v>0.45</v>
      </c>
    </row>
    <row r="98" spans="1:6" ht="15.75" thickBot="1" x14ac:dyDescent="0.3">
      <c r="A98" s="29"/>
      <c r="B98" s="33"/>
      <c r="C98" s="34"/>
      <c r="D98" s="117"/>
      <c r="E98" s="114"/>
      <c r="F98" s="119"/>
    </row>
    <row r="99" spans="1:6" x14ac:dyDescent="0.25">
      <c r="A99" s="24" t="s">
        <v>45</v>
      </c>
      <c r="B99" s="25" t="s">
        <v>46</v>
      </c>
      <c r="C99" s="48" t="s">
        <v>16</v>
      </c>
      <c r="D99" s="90">
        <f>220/30</f>
        <v>7.333333333333333</v>
      </c>
      <c r="E99" s="111">
        <v>15</v>
      </c>
      <c r="F99" s="119">
        <f t="shared" si="2"/>
        <v>0.51111111111111118</v>
      </c>
    </row>
    <row r="100" spans="1:6" x14ac:dyDescent="0.25">
      <c r="A100" s="24" t="s">
        <v>45</v>
      </c>
      <c r="B100" s="25" t="s">
        <v>161</v>
      </c>
      <c r="C100" s="41" t="s">
        <v>16</v>
      </c>
      <c r="D100" s="70">
        <f>450/30</f>
        <v>15</v>
      </c>
      <c r="E100" s="112">
        <v>30</v>
      </c>
      <c r="F100" s="119">
        <f t="shared" si="2"/>
        <v>0.5</v>
      </c>
    </row>
    <row r="101" spans="1:6" x14ac:dyDescent="0.25">
      <c r="A101" s="8" t="s">
        <v>45</v>
      </c>
      <c r="B101" s="9" t="s">
        <v>47</v>
      </c>
      <c r="C101" s="10" t="s">
        <v>16</v>
      </c>
      <c r="D101" s="70">
        <f>395/30</f>
        <v>13.166666666666666</v>
      </c>
      <c r="E101" s="112">
        <v>25</v>
      </c>
      <c r="F101" s="119">
        <f t="shared" si="2"/>
        <v>0.47333333333333338</v>
      </c>
    </row>
    <row r="102" spans="1:6" ht="15.75" thickBot="1" x14ac:dyDescent="0.3">
      <c r="A102" s="24"/>
      <c r="B102" s="25"/>
      <c r="C102" s="31"/>
      <c r="D102" s="91"/>
      <c r="E102" s="114"/>
      <c r="F102" s="119"/>
    </row>
    <row r="103" spans="1:6" x14ac:dyDescent="0.25">
      <c r="A103" s="26" t="s">
        <v>48</v>
      </c>
      <c r="B103" s="27" t="s">
        <v>78</v>
      </c>
      <c r="C103" s="48" t="s">
        <v>16</v>
      </c>
      <c r="D103" s="90">
        <f>160/30</f>
        <v>5.333333333333333</v>
      </c>
      <c r="E103" s="111">
        <v>15</v>
      </c>
      <c r="F103" s="119">
        <f t="shared" si="2"/>
        <v>0.64444444444444449</v>
      </c>
    </row>
    <row r="104" spans="1:6" x14ac:dyDescent="0.25">
      <c r="A104" s="8" t="s">
        <v>48</v>
      </c>
      <c r="B104" s="9" t="s">
        <v>69</v>
      </c>
      <c r="C104" s="10" t="s">
        <v>16</v>
      </c>
      <c r="D104" s="70">
        <f>190/30</f>
        <v>6.333333333333333</v>
      </c>
      <c r="E104" s="112">
        <v>15</v>
      </c>
      <c r="F104" s="119">
        <f t="shared" si="2"/>
        <v>0.57777777777777783</v>
      </c>
    </row>
    <row r="105" spans="1:6" x14ac:dyDescent="0.25">
      <c r="A105" s="8" t="s">
        <v>48</v>
      </c>
      <c r="B105" s="40" t="s">
        <v>91</v>
      </c>
      <c r="C105" s="10" t="s">
        <v>16</v>
      </c>
      <c r="D105" s="70">
        <f>330/30</f>
        <v>11</v>
      </c>
      <c r="E105" s="112">
        <v>20</v>
      </c>
      <c r="F105" s="119">
        <f t="shared" si="2"/>
        <v>0.45</v>
      </c>
    </row>
    <row r="106" spans="1:6" x14ac:dyDescent="0.25">
      <c r="A106" s="8" t="s">
        <v>48</v>
      </c>
      <c r="B106" s="40" t="s">
        <v>155</v>
      </c>
      <c r="C106" s="10" t="s">
        <v>16</v>
      </c>
      <c r="D106" s="107">
        <f>129/30</f>
        <v>4.3</v>
      </c>
      <c r="E106" s="112">
        <v>15</v>
      </c>
      <c r="F106" s="119">
        <f t="shared" si="2"/>
        <v>0.71333333333333326</v>
      </c>
    </row>
    <row r="107" spans="1:6" x14ac:dyDescent="0.25">
      <c r="A107" s="8" t="s">
        <v>48</v>
      </c>
      <c r="B107" s="40" t="s">
        <v>156</v>
      </c>
      <c r="C107" s="10" t="s">
        <v>16</v>
      </c>
      <c r="D107" s="107">
        <f>129/30</f>
        <v>4.3</v>
      </c>
      <c r="E107" s="112">
        <v>15</v>
      </c>
      <c r="F107" s="119">
        <f t="shared" si="2"/>
        <v>0.71333333333333326</v>
      </c>
    </row>
    <row r="108" spans="1:6" x14ac:dyDescent="0.25">
      <c r="A108" s="8" t="s">
        <v>48</v>
      </c>
      <c r="B108" s="9" t="s">
        <v>67</v>
      </c>
      <c r="C108" s="10" t="s">
        <v>16</v>
      </c>
      <c r="D108" s="70">
        <f>175/30</f>
        <v>5.833333333333333</v>
      </c>
      <c r="E108" s="112">
        <v>15</v>
      </c>
      <c r="F108" s="119">
        <f t="shared" si="2"/>
        <v>0.61111111111111116</v>
      </c>
    </row>
    <row r="109" spans="1:6" ht="15.75" thickBot="1" x14ac:dyDescent="0.3">
      <c r="A109" s="24"/>
      <c r="B109" s="37"/>
      <c r="C109" s="31"/>
      <c r="D109" s="91"/>
      <c r="E109" s="114"/>
      <c r="F109" s="119"/>
    </row>
    <row r="110" spans="1:6" x14ac:dyDescent="0.25">
      <c r="A110" s="26" t="s">
        <v>49</v>
      </c>
      <c r="B110" s="27" t="s">
        <v>168</v>
      </c>
      <c r="C110" s="48" t="s">
        <v>83</v>
      </c>
      <c r="D110" s="90">
        <v>73</v>
      </c>
      <c r="E110" s="111">
        <v>140</v>
      </c>
      <c r="F110" s="119">
        <f t="shared" si="2"/>
        <v>0.47857142857142859</v>
      </c>
    </row>
    <row r="111" spans="1:6" x14ac:dyDescent="0.25">
      <c r="A111" s="36" t="s">
        <v>49</v>
      </c>
      <c r="B111" s="37" t="s">
        <v>205</v>
      </c>
      <c r="C111" s="38" t="s">
        <v>83</v>
      </c>
      <c r="D111" s="70">
        <v>69</v>
      </c>
      <c r="E111" s="112">
        <v>140</v>
      </c>
      <c r="F111" s="119">
        <f t="shared" si="2"/>
        <v>0.50714285714285712</v>
      </c>
    </row>
    <row r="112" spans="1:6" x14ac:dyDescent="0.25">
      <c r="A112" s="8" t="s">
        <v>49</v>
      </c>
      <c r="B112" s="9" t="s">
        <v>214</v>
      </c>
      <c r="C112" s="10" t="s">
        <v>83</v>
      </c>
      <c r="D112" s="70">
        <v>96</v>
      </c>
      <c r="E112" s="112">
        <v>190</v>
      </c>
      <c r="F112" s="119">
        <f t="shared" si="2"/>
        <v>0.49473684210526314</v>
      </c>
    </row>
    <row r="113" spans="1:7" x14ac:dyDescent="0.25">
      <c r="A113" s="24" t="s">
        <v>70</v>
      </c>
      <c r="B113" s="9" t="s">
        <v>215</v>
      </c>
      <c r="C113" s="10" t="s">
        <v>83</v>
      </c>
      <c r="D113" s="70">
        <v>68</v>
      </c>
      <c r="E113" s="112">
        <v>140</v>
      </c>
      <c r="F113" s="119">
        <f t="shared" si="2"/>
        <v>0.51428571428571423</v>
      </c>
    </row>
    <row r="114" spans="1:7" x14ac:dyDescent="0.25">
      <c r="A114" s="24" t="s">
        <v>49</v>
      </c>
      <c r="B114" s="9" t="s">
        <v>178</v>
      </c>
      <c r="C114" s="35" t="s">
        <v>83</v>
      </c>
      <c r="D114" s="113">
        <v>69</v>
      </c>
      <c r="E114" s="112">
        <v>160</v>
      </c>
      <c r="F114" s="119">
        <f t="shared" si="2"/>
        <v>0.56874999999999998</v>
      </c>
      <c r="G114" t="s">
        <v>216</v>
      </c>
    </row>
    <row r="115" spans="1:7" x14ac:dyDescent="0.25">
      <c r="A115" s="24" t="s">
        <v>49</v>
      </c>
      <c r="B115" s="9" t="s">
        <v>180</v>
      </c>
      <c r="C115" s="35" t="s">
        <v>83</v>
      </c>
      <c r="D115" s="70">
        <v>80</v>
      </c>
      <c r="E115" s="112">
        <v>160</v>
      </c>
      <c r="F115" s="119">
        <f t="shared" si="2"/>
        <v>0.5</v>
      </c>
    </row>
    <row r="116" spans="1:7" x14ac:dyDescent="0.25">
      <c r="A116" s="24" t="s">
        <v>49</v>
      </c>
      <c r="B116" s="9" t="s">
        <v>149</v>
      </c>
      <c r="C116" s="35" t="s">
        <v>83</v>
      </c>
      <c r="D116" s="70">
        <v>69</v>
      </c>
      <c r="E116" s="112">
        <v>140</v>
      </c>
      <c r="F116" s="119">
        <f t="shared" si="2"/>
        <v>0.50714285714285712</v>
      </c>
    </row>
    <row r="117" spans="1:7" ht="15.75" thickBot="1" x14ac:dyDescent="0.3">
      <c r="A117" s="29" t="s">
        <v>49</v>
      </c>
      <c r="B117" s="30" t="s">
        <v>169</v>
      </c>
      <c r="C117" s="118" t="s">
        <v>83</v>
      </c>
      <c r="D117" s="91">
        <v>121</v>
      </c>
      <c r="E117" s="114">
        <v>240</v>
      </c>
      <c r="F117" s="119">
        <f t="shared" si="2"/>
        <v>0.49583333333333335</v>
      </c>
    </row>
  </sheetData>
  <pageMargins left="0.25" right="0.25" top="0.75" bottom="0.75" header="0.3" footer="0.3"/>
  <pageSetup paperSize="9" scale="9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Bar</vt:lpstr>
      <vt:lpstr>Tuckshop</vt:lpstr>
      <vt:lpstr>Pricing Structure</vt:lpstr>
      <vt:lpstr>Bar!Print_Area</vt:lpstr>
      <vt:lpstr>Tuckshop!Print_Area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wyvern</dc:creator>
  <cp:lastModifiedBy>Wyvern</cp:lastModifiedBy>
  <cp:lastPrinted>2025-04-02T06:25:35Z</cp:lastPrinted>
  <dcterms:created xsi:type="dcterms:W3CDTF">2018-01-17T06:38:37Z</dcterms:created>
  <dcterms:modified xsi:type="dcterms:W3CDTF">2025-05-02T06:27:38Z</dcterms:modified>
</cp:coreProperties>
</file>