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 Comparison" sheetId="1" r:id="rId4"/>
    <sheet state="visible" name="Price Comparison" sheetId="2" r:id="rId5"/>
    <sheet state="visible" name="BOM" sheetId="3" r:id="rId6"/>
    <sheet state="visible" name="Part List" sheetId="4" r:id="rId7"/>
  </sheets>
  <definedNames>
    <definedName name="partID">'Part List'!$A:$A</definedName>
    <definedName name="partlist">'Part List'!$A:$G</definedName>
    <definedName name="valuevx42">BOM!$K$8</definedName>
    <definedName name="valuevx">#REF!</definedName>
    <definedName hidden="1" localSheetId="2" name="_xlnm._FilterDatabase">BOM!$A$8:$P$36</definedName>
  </definedNames>
  <calcPr/>
</workbook>
</file>

<file path=xl/sharedStrings.xml><?xml version="1.0" encoding="utf-8"?>
<sst xmlns="http://schemas.openxmlformats.org/spreadsheetml/2006/main" count="429" uniqueCount="169">
  <si>
    <t>CM Comparison</t>
  </si>
  <si>
    <t>Criterion</t>
  </si>
  <si>
    <t>Weight</t>
  </si>
  <si>
    <t>Do Intl. Delhi</t>
  </si>
  <si>
    <t>Doggone Taiwan Corp.</t>
  </si>
  <si>
    <t>Fuego Mexico SA de CV</t>
  </si>
  <si>
    <t>Black Wizard Factories</t>
  </si>
  <si>
    <t>Megatron Tech Inc.</t>
  </si>
  <si>
    <t>Jian Yang Technology Shenzhen Ltd.</t>
  </si>
  <si>
    <t>Hodon Group</t>
  </si>
  <si>
    <t>Total Cost</t>
  </si>
  <si>
    <t>Company Size Fit</t>
  </si>
  <si>
    <t>Product Portfolio</t>
  </si>
  <si>
    <t>Communication</t>
  </si>
  <si>
    <t>Relationship</t>
  </si>
  <si>
    <t>Scale-Up Potential</t>
  </si>
  <si>
    <t>Shipping</t>
  </si>
  <si>
    <t>Supply Chain</t>
  </si>
  <si>
    <t>Equipment</t>
  </si>
  <si>
    <t>Quality</t>
  </si>
  <si>
    <t>Services</t>
  </si>
  <si>
    <t>IP</t>
  </si>
  <si>
    <t>Political Risk</t>
  </si>
  <si>
    <t>Final Score</t>
  </si>
  <si>
    <t>Red Flag</t>
  </si>
  <si>
    <t>Strength</t>
  </si>
  <si>
    <t>Price Comparison</t>
  </si>
  <si>
    <t>In-House Estimate</t>
  </si>
  <si>
    <t>Category</t>
  </si>
  <si>
    <t>Part Name</t>
  </si>
  <si>
    <t>Description</t>
  </si>
  <si>
    <t>Unit</t>
  </si>
  <si>
    <t>Qty.</t>
  </si>
  <si>
    <t>Amount</t>
  </si>
  <si>
    <t>Average</t>
  </si>
  <si>
    <t>MTS</t>
  </si>
  <si>
    <t>Total</t>
  </si>
  <si>
    <t>OEM</t>
  </si>
  <si>
    <t>Electronics</t>
  </si>
  <si>
    <t>Peripheral</t>
  </si>
  <si>
    <t>Consumables</t>
  </si>
  <si>
    <t>BOM Total</t>
  </si>
  <si>
    <t>Tooling Cost</t>
  </si>
  <si>
    <t>Jigs and Fixtures</t>
  </si>
  <si>
    <t>Tooling Total</t>
  </si>
  <si>
    <t>Labor</t>
  </si>
  <si>
    <t>Labor Rate ($/hr)</t>
  </si>
  <si>
    <t>Labor Total</t>
  </si>
  <si>
    <t>Markup Total</t>
  </si>
  <si>
    <t>To US Duties (45%)</t>
  </si>
  <si>
    <t>To Europe Duties (40%)</t>
  </si>
  <si>
    <t>To Asia Duties (15%)</t>
  </si>
  <si>
    <t>Cost from Duties</t>
  </si>
  <si>
    <t>Unit Shipping Cost</t>
  </si>
  <si>
    <t>Volume</t>
  </si>
  <si>
    <t>Grand Total per Unit</t>
  </si>
  <si>
    <t>Grand Total</t>
  </si>
  <si>
    <t>Bill of Materials (BOM)</t>
  </si>
  <si>
    <t>Product Name :</t>
  </si>
  <si>
    <t>AirPods™ Pro</t>
  </si>
  <si>
    <t>Assembly Name :</t>
  </si>
  <si>
    <t>A1722</t>
  </si>
  <si>
    <t>[42]</t>
  </si>
  <si>
    <t>Author:</t>
  </si>
  <si>
    <t>John Doe</t>
  </si>
  <si>
    <t>Assembly Revision :</t>
  </si>
  <si>
    <t>Approval Date :</t>
  </si>
  <si>
    <t>Part ID</t>
  </si>
  <si>
    <t>Critical</t>
  </si>
  <si>
    <t>Qty</t>
  </si>
  <si>
    <t>Units</t>
  </si>
  <si>
    <t>Phase</t>
  </si>
  <si>
    <t>Process</t>
  </si>
  <si>
    <t>Procurement</t>
  </si>
  <si>
    <t>Vendor</t>
  </si>
  <si>
    <t>MOQ</t>
  </si>
  <si>
    <t>Lead Time</t>
  </si>
  <si>
    <t>Fixed Cost</t>
  </si>
  <si>
    <t>Unit Cost</t>
  </si>
  <si>
    <t>Cost</t>
  </si>
  <si>
    <t>Shell1</t>
  </si>
  <si>
    <t>Shell Outer</t>
  </si>
  <si>
    <t>Y</t>
  </si>
  <si>
    <t>each</t>
  </si>
  <si>
    <t>In Design</t>
  </si>
  <si>
    <t>Injection Mold Multi-Cavity</t>
  </si>
  <si>
    <t>IDMould</t>
  </si>
  <si>
    <t>Shell2</t>
  </si>
  <si>
    <t>Shell Inner</t>
  </si>
  <si>
    <t>EndCap</t>
  </si>
  <si>
    <t>Antenna Cap</t>
  </si>
  <si>
    <t>N</t>
  </si>
  <si>
    <t>Injection Mold, Electroplating</t>
  </si>
  <si>
    <t>BeamPass</t>
  </si>
  <si>
    <t>Antenna Window</t>
  </si>
  <si>
    <t>Injection Mold</t>
  </si>
  <si>
    <t>Grille1</t>
  </si>
  <si>
    <t>Grille Speaker</t>
  </si>
  <si>
    <t>Die Cut</t>
  </si>
  <si>
    <t>Luoju Metal</t>
  </si>
  <si>
    <t>Grille2</t>
  </si>
  <si>
    <t>Grille Mic #1</t>
  </si>
  <si>
    <t>Grille3</t>
  </si>
  <si>
    <t>Grille Mic #2</t>
  </si>
  <si>
    <t>ChrgPt</t>
  </si>
  <si>
    <t>Charge Connector</t>
  </si>
  <si>
    <t>Copper</t>
  </si>
  <si>
    <t>AntMemb</t>
  </si>
  <si>
    <t>EMI Shielding Membrane</t>
  </si>
  <si>
    <t>m2</t>
  </si>
  <si>
    <t>Roll</t>
  </si>
  <si>
    <t>OTS</t>
  </si>
  <si>
    <t>Eeonyx</t>
  </si>
  <si>
    <t>GrommetM</t>
  </si>
  <si>
    <t>Earbud Size M</t>
  </si>
  <si>
    <t>RTS</t>
  </si>
  <si>
    <t>LSR</t>
  </si>
  <si>
    <t>Wellco</t>
  </si>
  <si>
    <t>W1</t>
  </si>
  <si>
    <t>PCB1</t>
  </si>
  <si>
    <t>Wireless communication chip</t>
  </si>
  <si>
    <t>In Production</t>
  </si>
  <si>
    <t>Apple</t>
  </si>
  <si>
    <t>CY8C4146FN</t>
  </si>
  <si>
    <t>PSoC</t>
  </si>
  <si>
    <t>Cypress</t>
  </si>
  <si>
    <t>PCB Main</t>
  </si>
  <si>
    <t>Foxconn</t>
  </si>
  <si>
    <t>WIR33</t>
  </si>
  <si>
    <t>Flatcable #1</t>
  </si>
  <si>
    <t>m</t>
  </si>
  <si>
    <t>Conwire</t>
  </si>
  <si>
    <t>WIR34</t>
  </si>
  <si>
    <t>Flatcable #2 Battery</t>
  </si>
  <si>
    <t>COAConn12</t>
  </si>
  <si>
    <t>Coaxial Connector</t>
  </si>
  <si>
    <t>98730EWJ</t>
  </si>
  <si>
    <t>PCB2</t>
  </si>
  <si>
    <t>Audio Codec</t>
  </si>
  <si>
    <t>Maxim</t>
  </si>
  <si>
    <t>TPS743</t>
  </si>
  <si>
    <t>LDO Voltage Regulator</t>
  </si>
  <si>
    <t>Texas Instruments</t>
  </si>
  <si>
    <t>PCB #2</t>
  </si>
  <si>
    <t>PCB3</t>
  </si>
  <si>
    <t>PCB #3</t>
  </si>
  <si>
    <t>ACM66</t>
  </si>
  <si>
    <t>Motion-Detecting Accelerometer</t>
  </si>
  <si>
    <t>STMicroelectronics</t>
  </si>
  <si>
    <t>GOKY93mWHA1604</t>
  </si>
  <si>
    <t>Coin-Cell Battery</t>
  </si>
  <si>
    <t>TONTEK</t>
  </si>
  <si>
    <t>VL53LO</t>
  </si>
  <si>
    <t>Optical Sensor</t>
  </si>
  <si>
    <t>DBF002B</t>
  </si>
  <si>
    <t>Dual Beam-Forming Microphone</t>
  </si>
  <si>
    <t>PIFA00320</t>
  </si>
  <si>
    <t>Bluetooth Antenna</t>
  </si>
  <si>
    <t>Pegatron</t>
  </si>
  <si>
    <t>BIS1</t>
  </si>
  <si>
    <t>Consumable</t>
  </si>
  <si>
    <t>Industrial Two-Component Adhesive</t>
  </si>
  <si>
    <t>mL</t>
  </si>
  <si>
    <t>TAPIR</t>
  </si>
  <si>
    <t>Total Pieces</t>
  </si>
  <si>
    <t>Total Fixed</t>
  </si>
  <si>
    <t>Total Unit</t>
  </si>
  <si>
    <t>Picture</t>
  </si>
  <si>
    <t>Flatcable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</si>
</sst>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[$-409]d\-mmm\-yy"/>
    <numFmt numFmtId="167" formatCode="&quot;$&quot;#,##0.00"/>
    <numFmt numFmtId="168" formatCode="[$-409]dd\-mmm\-yy"/>
  </numFmts>
  <fonts count="21">
    <font>
      <sz val="11.0"/>
      <color rgb="FF000000"/>
      <name val="Verdana"/>
      <scheme val="minor"/>
    </font>
    <font>
      <b/>
      <sz val="18.0"/>
      <color rgb="FF2B4575"/>
      <name val="Montserrat"/>
    </font>
    <font>
      <color theme="1"/>
      <name val="Montserrat"/>
    </font>
    <font>
      <sz val="9.0"/>
      <color rgb="FFFFFFFF"/>
      <name val="Montserrat"/>
    </font>
    <font>
      <color theme="1"/>
      <name val="Verdana"/>
      <scheme val="minor"/>
    </font>
    <font>
      <b/>
      <sz val="11.0"/>
      <color rgb="FFFFFFFF"/>
      <name val="Montserrat"/>
    </font>
    <font>
      <sz val="10.0"/>
      <color rgb="FF434343"/>
      <name val="Montserrat"/>
    </font>
    <font>
      <b/>
      <sz val="10.0"/>
      <color rgb="FF434343"/>
      <name val="Montserrat"/>
    </font>
    <font>
      <sz val="10.0"/>
      <color rgb="FF000000"/>
      <name val="Montserrat"/>
    </font>
    <font>
      <b/>
      <sz val="10.0"/>
      <color rgb="FF000000"/>
      <name val="Montserrat"/>
    </font>
    <font>
      <b/>
      <sz val="18.0"/>
      <color rgb="FF273359"/>
      <name val="Montserrat"/>
    </font>
    <font>
      <sz val="10.0"/>
      <color theme="1"/>
      <name val="Montserrat"/>
    </font>
    <font>
      <b/>
      <sz val="16.0"/>
      <color rgb="FF0762C8"/>
      <name val="Montserrat"/>
    </font>
    <font>
      <sz val="11.0"/>
      <color rgb="FF000000"/>
      <name val="Montserrat"/>
    </font>
    <font>
      <color rgb="FF000000"/>
      <name val="Montserrat"/>
    </font>
    <font>
      <sz val="10.0"/>
      <color rgb="FFFFFFFF"/>
      <name val="Montserrat"/>
    </font>
    <font>
      <b/>
      <sz val="10.0"/>
      <color theme="1"/>
      <name val="Montserrat"/>
    </font>
    <font>
      <b/>
      <sz val="10.0"/>
      <color rgb="FFFFFFFF"/>
      <name val="Montserrat"/>
    </font>
    <font>
      <b/>
      <sz val="1.0"/>
      <color rgb="FF000000"/>
      <name val="Montserrat"/>
    </font>
    <font>
      <sz val="10.0"/>
      <color rgb="FF000000"/>
      <name val="Trebuchet MS"/>
    </font>
    <font>
      <sz val="10.0"/>
      <color theme="1"/>
      <name val="Trebuchet MS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62C8"/>
        <bgColor rgb="FF0762C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A64D79"/>
        <bgColor rgb="FFA64D79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6101"/>
        <bgColor rgb="FFFF610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horizontal="center" readingOrder="0" shrinkToFit="0" wrapText="1"/>
    </xf>
    <xf borderId="0" fillId="2" fontId="4" numFmtId="0" xfId="0" applyFont="1"/>
    <xf borderId="1" fillId="0" fontId="4" numFmtId="0" xfId="0" applyBorder="1" applyFont="1"/>
    <xf borderId="1" fillId="3" fontId="5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readingOrder="0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Border="1" applyFont="1"/>
    <xf borderId="1" fillId="2" fontId="8" numFmtId="0" xfId="0" applyBorder="1" applyFont="1"/>
    <xf borderId="1" fillId="2" fontId="8" numFmtId="164" xfId="0" applyAlignment="1" applyBorder="1" applyFont="1" applyNumberFormat="1">
      <alignment readingOrder="0" vertical="top"/>
    </xf>
    <xf borderId="1" fillId="11" fontId="7" numFmtId="0" xfId="0" applyAlignment="1" applyBorder="1" applyFill="1" applyFont="1">
      <alignment horizontal="left" readingOrder="0" shrinkToFit="0" vertical="top" wrapText="1"/>
    </xf>
    <xf borderId="1" fillId="11" fontId="7" numFmtId="0" xfId="0" applyBorder="1" applyFont="1"/>
    <xf borderId="1" fillId="11" fontId="9" numFmtId="0" xfId="0" applyBorder="1" applyFont="1"/>
    <xf borderId="1" fillId="12" fontId="8" numFmtId="164" xfId="0" applyAlignment="1" applyBorder="1" applyFill="1" applyFont="1" applyNumberFormat="1">
      <alignment readingOrder="0" vertical="top"/>
    </xf>
    <xf borderId="1" fillId="13" fontId="8" numFmtId="164" xfId="0" applyAlignment="1" applyBorder="1" applyFill="1" applyFont="1" applyNumberFormat="1">
      <alignment readingOrder="0" vertical="top"/>
    </xf>
    <xf borderId="1" fillId="14" fontId="3" numFmtId="0" xfId="0" applyAlignment="1" applyBorder="1" applyFill="1" applyFont="1">
      <alignment horizontal="center" readingOrder="0" shrinkToFit="0" vertical="center" wrapText="1"/>
    </xf>
    <xf borderId="1" fillId="14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readingOrder="0" vertical="center"/>
    </xf>
    <xf borderId="1" fillId="10" fontId="5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left" readingOrder="0" shrinkToFit="0" vertical="top" wrapText="1"/>
    </xf>
    <xf borderId="1" fillId="2" fontId="8" numFmtId="165" xfId="0" applyBorder="1" applyFont="1" applyNumberFormat="1"/>
    <xf borderId="1" fillId="11" fontId="6" numFmtId="0" xfId="0" applyAlignment="1" applyBorder="1" applyFont="1">
      <alignment horizontal="right" readingOrder="0"/>
    </xf>
    <xf borderId="1" fillId="11" fontId="6" numFmtId="0" xfId="0" applyAlignment="1" applyBorder="1" applyFont="1">
      <alignment horizontal="left" shrinkToFit="0" vertical="top" wrapText="1"/>
    </xf>
    <xf borderId="1" fillId="11" fontId="8" numFmtId="164" xfId="0" applyAlignment="1" applyBorder="1" applyFont="1" applyNumberFormat="1">
      <alignment readingOrder="0" vertical="top"/>
    </xf>
    <xf borderId="1" fillId="2" fontId="6" numFmtId="0" xfId="0" applyBorder="1" applyFont="1"/>
    <xf borderId="1" fillId="2" fontId="8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right" readingOrder="0"/>
    </xf>
    <xf borderId="1" fillId="2" fontId="8" numFmtId="0" xfId="0" applyBorder="1" applyFont="1"/>
    <xf borderId="1" fillId="2" fontId="6" numFmtId="166" xfId="0" applyAlignment="1" applyBorder="1" applyFont="1" applyNumberFormat="1">
      <alignment horizontal="center" shrinkToFit="0" vertical="top" wrapText="1"/>
    </xf>
    <xf borderId="1" fillId="11" fontId="8" numFmtId="164" xfId="0" applyAlignment="1" applyBorder="1" applyFont="1" applyNumberForma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8" numFmtId="4" xfId="0" applyAlignment="1" applyBorder="1" applyFont="1" applyNumberFormat="1">
      <alignment readingOrder="0" vertical="top"/>
    </xf>
    <xf borderId="1" fillId="11" fontId="8" numFmtId="165" xfId="0" applyAlignment="1" applyBorder="1" applyFont="1" applyNumberFormat="1">
      <alignment horizontal="left" shrinkToFit="0" vertical="top" wrapText="1"/>
    </xf>
    <xf borderId="1" fillId="2" fontId="8" numFmtId="9" xfId="0" applyAlignment="1" applyBorder="1" applyFont="1" applyNumberFormat="1">
      <alignment readingOrder="0" vertical="top"/>
    </xf>
    <xf borderId="1" fillId="14" fontId="7" numFmtId="0" xfId="0" applyAlignment="1" applyBorder="1" applyFont="1">
      <alignment horizontal="right" readingOrder="0"/>
    </xf>
    <xf borderId="1" fillId="14" fontId="6" numFmtId="0" xfId="0" applyAlignment="1" applyBorder="1" applyFont="1">
      <alignment horizontal="left" shrinkToFit="0" vertical="top" wrapText="1"/>
    </xf>
    <xf borderId="1" fillId="14" fontId="6" numFmtId="0" xfId="0" applyAlignment="1" applyBorder="1" applyFont="1">
      <alignment horizontal="left" readingOrder="0" shrinkToFit="0" vertical="top" wrapText="1"/>
    </xf>
    <xf borderId="1" fillId="14" fontId="9" numFmtId="0" xfId="0" applyAlignment="1" applyBorder="1" applyFont="1">
      <alignment horizontal="right" readingOrder="0" shrinkToFit="0" vertical="top" wrapText="1"/>
    </xf>
    <xf borderId="1" fillId="15" fontId="6" numFmtId="0" xfId="0" applyAlignment="1" applyBorder="1" applyFill="1" applyFont="1">
      <alignment horizontal="left" shrinkToFit="0" vertical="top" wrapText="1"/>
    </xf>
    <xf borderId="1" fillId="15" fontId="6" numFmtId="166" xfId="0" applyAlignment="1" applyBorder="1" applyFont="1" applyNumberFormat="1">
      <alignment horizontal="center" shrinkToFit="0" vertical="top" wrapText="1"/>
    </xf>
    <xf borderId="1" fillId="16" fontId="7" numFmtId="0" xfId="0" applyAlignment="1" applyBorder="1" applyFill="1" applyFont="1">
      <alignment horizontal="right" readingOrder="0"/>
    </xf>
    <xf borderId="1" fillId="16" fontId="6" numFmtId="0" xfId="0" applyAlignment="1" applyBorder="1" applyFont="1">
      <alignment horizontal="left" shrinkToFit="0" vertical="top" wrapText="1"/>
    </xf>
    <xf borderId="1" fillId="16" fontId="8" numFmtId="0" xfId="0" applyAlignment="1" applyBorder="1" applyFont="1">
      <alignment horizontal="left" shrinkToFit="0" vertical="top" wrapText="1"/>
    </xf>
    <xf borderId="1" fillId="16" fontId="8" numFmtId="164" xfId="0" applyAlignment="1" applyBorder="1" applyFont="1" applyNumberFormat="1">
      <alignment horizontal="left" shrinkToFit="0" vertical="top" wrapText="1"/>
    </xf>
    <xf borderId="1" fillId="16" fontId="8" numFmtId="164" xfId="0" applyAlignment="1" applyBorder="1" applyFont="1" applyNumberFormat="1">
      <alignment readingOrder="0" vertical="top"/>
    </xf>
    <xf borderId="1" fillId="16" fontId="9" numFmtId="0" xfId="0" applyAlignment="1" applyBorder="1" applyFont="1">
      <alignment horizontal="left" shrinkToFit="0" vertical="top" wrapText="1"/>
    </xf>
    <xf borderId="1" fillId="16" fontId="9" numFmtId="167" xfId="0" applyAlignment="1" applyBorder="1" applyFont="1" applyNumberFormat="1">
      <alignment horizontal="left" shrinkToFit="0" vertical="top" wrapText="1"/>
    </xf>
    <xf borderId="1" fillId="16" fontId="9" numFmtId="164" xfId="0" applyAlignment="1" applyBorder="1" applyFont="1" applyNumberFormat="1">
      <alignment readingOrder="0" vertical="top"/>
    </xf>
    <xf borderId="1" fillId="2" fontId="8" numFmtId="166" xfId="0" applyAlignment="1" applyBorder="1" applyFont="1" applyNumberFormat="1">
      <alignment horizontal="center" shrinkToFit="0" vertical="top" wrapText="1"/>
    </xf>
    <xf borderId="0" fillId="0" fontId="10" numFmtId="0" xfId="0" applyAlignment="1" applyFont="1">
      <alignment horizontal="left" readingOrder="0" vertical="center"/>
    </xf>
    <xf borderId="0" fillId="0" fontId="2" numFmtId="0" xfId="0" applyFont="1"/>
    <xf borderId="0" fillId="0" fontId="11" numFmtId="0" xfId="0" applyFont="1"/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readingOrder="0" vertical="center"/>
    </xf>
    <xf borderId="2" fillId="0" fontId="13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right"/>
    </xf>
    <xf borderId="3" fillId="0" fontId="13" numFmtId="0" xfId="0" applyAlignment="1" applyBorder="1" applyFont="1">
      <alignment horizontal="left" readingOrder="0"/>
    </xf>
    <xf borderId="3" fillId="0" fontId="13" numFmtId="0" xfId="0" applyAlignment="1" applyBorder="1" applyFont="1">
      <alignment horizontal="left"/>
    </xf>
    <xf borderId="3" fillId="0" fontId="13" numFmtId="168" xfId="0" applyAlignment="1" applyBorder="1" applyFont="1" applyNumberFormat="1">
      <alignment horizontal="left" readingOrder="0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3" numFmtId="0" xfId="0" applyAlignment="1" applyFont="1">
      <alignment horizontal="left"/>
    </xf>
    <xf borderId="0" fillId="0" fontId="13" numFmtId="167" xfId="0" applyAlignment="1" applyFont="1" applyNumberFormat="1">
      <alignment horizontal="left"/>
    </xf>
    <xf borderId="0" fillId="3" fontId="17" numFmtId="0" xfId="0" applyAlignment="1" applyFont="1">
      <alignment horizontal="left" readingOrder="0" vertical="center"/>
    </xf>
    <xf borderId="0" fillId="3" fontId="17" numFmtId="0" xfId="0" applyAlignment="1" applyFont="1">
      <alignment horizontal="left" vertical="center"/>
    </xf>
    <xf borderId="0" fillId="3" fontId="17" numFmtId="0" xfId="0" applyAlignment="1" applyFont="1">
      <alignment horizontal="center" vertical="center"/>
    </xf>
    <xf borderId="0" fillId="3" fontId="17" numFmtId="0" xfId="0" applyAlignment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vertical="center"/>
    </xf>
    <xf borderId="4" fillId="2" fontId="8" numFmtId="0" xfId="0" applyAlignment="1" applyBorder="1" applyFont="1">
      <alignment horizontal="left" readingOrder="0" vertical="top"/>
    </xf>
    <xf borderId="4" fillId="2" fontId="8" numFmtId="0" xfId="0" applyAlignment="1" applyBorder="1" applyFont="1">
      <alignment readingOrder="0" shrinkToFit="0" vertical="top" wrapText="1"/>
    </xf>
    <xf borderId="4" fillId="2" fontId="8" numFmtId="0" xfId="0" applyAlignment="1" applyBorder="1" applyFont="1">
      <alignment horizontal="center" readingOrder="0" vertical="top"/>
    </xf>
    <xf borderId="4" fillId="2" fontId="8" numFmtId="0" xfId="0" applyAlignment="1" applyBorder="1" applyFont="1">
      <alignment horizontal="center" readingOrder="0" shrinkToFit="0" vertical="top" wrapText="1"/>
    </xf>
    <xf borderId="4" fillId="2" fontId="8" numFmtId="0" xfId="0" applyAlignment="1" applyBorder="1" applyFont="1">
      <alignment readingOrder="0"/>
    </xf>
    <xf borderId="4" fillId="2" fontId="8" numFmtId="3" xfId="0" applyAlignment="1" applyBorder="1" applyFont="1" applyNumberFormat="1">
      <alignment readingOrder="0"/>
    </xf>
    <xf borderId="0" fillId="2" fontId="13" numFmtId="164" xfId="0" applyFont="1" applyNumberFormat="1"/>
    <xf borderId="4" fillId="17" fontId="8" numFmtId="165" xfId="0" applyAlignment="1" applyBorder="1" applyFill="1" applyFont="1" applyNumberFormat="1">
      <alignment horizontal="center" vertical="top"/>
    </xf>
    <xf borderId="4" fillId="2" fontId="8" numFmtId="0" xfId="0" applyAlignment="1" applyBorder="1" applyFont="1">
      <alignment horizontal="left" vertical="top"/>
    </xf>
    <xf borderId="4" fillId="2" fontId="8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Border="1" applyFont="1"/>
    <xf borderId="4" fillId="2" fontId="8" numFmtId="0" xfId="0" applyAlignment="1" applyBorder="1" applyFont="1">
      <alignment horizontal="left" readingOrder="0"/>
    </xf>
    <xf borderId="0" fillId="17" fontId="8" numFmtId="0" xfId="0" applyAlignment="1" applyFont="1">
      <alignment vertical="center"/>
    </xf>
    <xf borderId="0" fillId="17" fontId="9" numFmtId="0" xfId="0" applyAlignment="1" applyFont="1">
      <alignment vertical="center"/>
    </xf>
    <xf borderId="0" fillId="17" fontId="9" numFmtId="0" xfId="0" applyAlignment="1" applyFont="1">
      <alignment horizontal="right" readingOrder="0" vertical="center"/>
    </xf>
    <xf borderId="0" fillId="17" fontId="9" numFmtId="0" xfId="0" applyAlignment="1" applyFont="1">
      <alignment horizontal="center" vertical="center"/>
    </xf>
    <xf borderId="0" fillId="17" fontId="9" numFmtId="0" xfId="0" applyAlignment="1" applyFont="1">
      <alignment horizontal="center" shrinkToFit="0" vertical="center" wrapText="1"/>
    </xf>
    <xf borderId="0" fillId="17" fontId="9" numFmtId="0" xfId="0" applyAlignment="1" applyFont="1">
      <alignment readingOrder="0" vertical="center"/>
    </xf>
    <xf borderId="0" fillId="17" fontId="9" numFmtId="165" xfId="0" applyAlignment="1" applyFont="1" applyNumberFormat="1">
      <alignment horizontal="center" vertical="center"/>
    </xf>
    <xf borderId="5" fillId="17" fontId="9" numFmtId="165" xfId="0" applyAlignment="1" applyBorder="1" applyFont="1" applyNumberFormat="1">
      <alignment horizontal="center" vertical="center"/>
    </xf>
    <xf borderId="0" fillId="2" fontId="8" numFmtId="0" xfId="0" applyAlignment="1" applyFont="1">
      <alignment vertical="center"/>
    </xf>
    <xf borderId="0" fillId="2" fontId="9" numFmtId="0" xfId="0" applyAlignment="1" applyFont="1">
      <alignment vertical="center"/>
    </xf>
    <xf borderId="0" fillId="2" fontId="18" numFmtId="0" xfId="0" applyAlignment="1" applyFont="1">
      <alignment horizontal="right" readingOrder="0" vertical="center"/>
    </xf>
    <xf borderId="0" fillId="2" fontId="9" numFmtId="0" xfId="0" applyAlignment="1" applyFont="1">
      <alignment horizontal="center" vertical="center"/>
    </xf>
    <xf borderId="0" fillId="2" fontId="9" numFmtId="0" xfId="0" applyAlignment="1" applyFont="1">
      <alignment horizontal="center" shrinkToFit="0" vertical="center" wrapText="1"/>
    </xf>
    <xf borderId="0" fillId="2" fontId="9" numFmtId="0" xfId="0" applyAlignment="1" applyFont="1">
      <alignment vertical="center"/>
    </xf>
    <xf borderId="0" fillId="2" fontId="9" numFmtId="0" xfId="0" applyAlignment="1" applyFont="1">
      <alignment readingOrder="0" vertical="center"/>
    </xf>
    <xf borderId="0" fillId="2" fontId="9" numFmtId="3" xfId="0" applyAlignment="1" applyFont="1" applyNumberFormat="1">
      <alignment readingOrder="0" vertical="center"/>
    </xf>
    <xf borderId="0" fillId="2" fontId="9" numFmtId="0" xfId="0" applyAlignment="1" applyFont="1">
      <alignment horizontal="right" readingOrder="0" vertical="center"/>
    </xf>
    <xf borderId="0" fillId="18" fontId="9" numFmtId="165" xfId="0" applyAlignment="1" applyFill="1" applyFont="1" applyNumberFormat="1">
      <alignment horizontal="center" vertical="center"/>
    </xf>
    <xf borderId="0" fillId="0" fontId="8" numFmtId="0" xfId="0" applyFont="1"/>
    <xf borderId="0" fillId="0" fontId="14" numFmtId="0" xfId="0" applyFont="1"/>
    <xf borderId="0" fillId="0" fontId="14" numFmtId="0" xfId="0" applyAlignment="1" applyFont="1">
      <alignment shrinkToFit="0" wrapText="1"/>
    </xf>
    <xf borderId="0" fillId="0" fontId="13" numFmtId="168" xfId="0" applyAlignment="1" applyFont="1" applyNumberFormat="1">
      <alignment horizontal="left" readingOrder="0"/>
    </xf>
    <xf borderId="4" fillId="2" fontId="8" numFmtId="164" xfId="0" applyAlignment="1" applyBorder="1" applyFont="1" applyNumberFormat="1">
      <alignment readingOrder="0" vertical="top"/>
    </xf>
    <xf borderId="4" fillId="2" fontId="8" numFmtId="164" xfId="0" applyAlignment="1" applyBorder="1" applyFont="1" applyNumberFormat="1">
      <alignment vertical="top"/>
    </xf>
    <xf borderId="4" fillId="2" fontId="19" numFmtId="0" xfId="0" applyBorder="1" applyFont="1"/>
    <xf borderId="4" fillId="2" fontId="20" numFmtId="0" xfId="0" applyAlignment="1" applyBorder="1" applyFont="1">
      <alignment horizontal="left" vertical="top"/>
    </xf>
    <xf borderId="4" fillId="2" fontId="20" numFmtId="0" xfId="0" applyAlignment="1" applyBorder="1" applyFont="1">
      <alignment shrinkToFit="0" vertical="top" wrapText="1"/>
    </xf>
    <xf borderId="4" fillId="2" fontId="20" numFmtId="0" xfId="0" applyBorder="1" applyFont="1"/>
    <xf borderId="4" fillId="2" fontId="20" numFmtId="164" xfId="0" applyAlignment="1" applyBorder="1" applyFont="1" applyNumberFormat="1">
      <alignment readingOrder="0" vertical="top"/>
    </xf>
    <xf borderId="4" fillId="2" fontId="20" numFmtId="164" xfId="0" applyAlignment="1" applyBorder="1" applyFont="1" applyNumberFormat="1">
      <alignment vertical="top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A5D9C"/>
          <bgColor rgb="FF3A5D9C"/>
        </patternFill>
      </fill>
      <border/>
    </dxf>
    <dxf>
      <font/>
      <fill>
        <patternFill patternType="solid">
          <fgColor rgb="FFD3DDEE"/>
          <bgColor rgb="FFD3DDE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CM Comparison-style">
      <tableStyleElement dxfId="3" type="headerRow"/>
      <tableStyleElement dxfId="4" type="firstRowStripe"/>
      <tableStyleElement dxfId="4" type="secondRowStripe"/>
    </tableStyle>
    <tableStyle count="3" pivot="0" name="Price Comparison-style">
      <tableStyleElement dxfId="3" type="headerRow"/>
      <tableStyleElement dxfId="4" type="firstRowStripe"/>
      <tableStyleElement dxfId="4" type="secondRowStripe"/>
    </tableStyle>
    <tableStyle count="4" pivot="0" name="Part List-style">
      <tableStyleElement dxfId="3" type="headerRow"/>
      <tableStyleElement dxfId="4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1428750</xdr:colOff>
      <xdr:row>0</xdr:row>
      <xdr:rowOff>57150</xdr:rowOff>
    </xdr:from>
    <xdr:ext cx="2533650" cy="13716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22" displayName="Table_1" id="1">
  <tableColumns count="9">
    <tableColumn name="Criterion" id="1"/>
    <tableColumn name="Weight" id="2"/>
    <tableColumn name="Do Intl. Delhi" id="3"/>
    <tableColumn name="Doggone Taiwan Corp." id="4"/>
    <tableColumn name="Fuego Mexico SA de CV" id="5"/>
    <tableColumn name="Black Wizard Factories" id="6"/>
    <tableColumn name="Megatron Tech Inc." id="7"/>
    <tableColumn name="Jian Yang Technology Shenzhen Ltd." id="8"/>
    <tableColumn name="Hodon Group" id="9"/>
  </tableColumns>
  <tableStyleInfo name="CM Comparison-style" showColumnStripes="0" showFirstColumn="1" showLastColumn="1" showRowStripes="1"/>
</table>
</file>

<file path=xl/tables/table2.xml><?xml version="1.0" encoding="utf-8"?>
<table xmlns="http://schemas.openxmlformats.org/spreadsheetml/2006/main" headerRowCount="0" ref="A3:J53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rice Comparis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8:G77" displayName="Table_3" id="3">
  <tableColumns count="7">
    <tableColumn name="Part ID" id="1"/>
    <tableColumn name="Category" id="2"/>
    <tableColumn name="Part Name" id="3"/>
    <tableColumn name="Description" id="4"/>
    <tableColumn name="Picture" id="5"/>
    <tableColumn name="Units" id="6"/>
    <tableColumn name="Cost" id="7"/>
  </tableColumns>
  <tableStyleInfo name="Part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19.22"/>
    <col customWidth="1" min="2" max="2" width="11.11"/>
    <col customWidth="1" min="3" max="4" width="12.44"/>
    <col customWidth="1" min="5" max="6" width="13.22"/>
    <col customWidth="1" min="7" max="7" width="12.44"/>
    <col customWidth="1" min="8" max="9" width="11.78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12.0" customHeight="1">
      <c r="A2" s="2"/>
      <c r="B2" s="2"/>
      <c r="C2" s="3"/>
      <c r="D2" s="3"/>
      <c r="E2" s="4"/>
      <c r="F2" s="3"/>
      <c r="H2" s="5"/>
      <c r="I2" s="5"/>
    </row>
    <row r="3" ht="37.5" customHeight="1">
      <c r="A3" s="6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1" t="s">
        <v>7</v>
      </c>
      <c r="H3" s="12" t="s">
        <v>8</v>
      </c>
      <c r="I3" s="13" t="s">
        <v>9</v>
      </c>
    </row>
    <row r="4">
      <c r="A4" s="14" t="s">
        <v>10</v>
      </c>
      <c r="B4" s="15">
        <v>10.0</v>
      </c>
      <c r="C4" s="16">
        <v>10.0</v>
      </c>
      <c r="D4" s="16">
        <v>6.0</v>
      </c>
      <c r="E4" s="16">
        <v>7.0</v>
      </c>
      <c r="F4" s="16">
        <v>9.0</v>
      </c>
      <c r="G4" s="16">
        <v>10.0</v>
      </c>
      <c r="H4" s="16">
        <v>10.0</v>
      </c>
      <c r="I4" s="16">
        <v>5.0</v>
      </c>
    </row>
    <row r="5">
      <c r="A5" s="14" t="s">
        <v>11</v>
      </c>
      <c r="B5" s="15">
        <v>7.0</v>
      </c>
      <c r="C5" s="16">
        <v>5.0</v>
      </c>
      <c r="D5" s="16">
        <v>10.0</v>
      </c>
      <c r="E5" s="16">
        <v>6.0</v>
      </c>
      <c r="F5" s="16">
        <v>6.0</v>
      </c>
      <c r="G5" s="16">
        <v>9.0</v>
      </c>
      <c r="H5" s="16">
        <v>8.0</v>
      </c>
      <c r="I5" s="16">
        <v>7.0</v>
      </c>
    </row>
    <row r="6">
      <c r="A6" s="14" t="s">
        <v>12</v>
      </c>
      <c r="B6" s="15">
        <v>8.0</v>
      </c>
      <c r="C6" s="16">
        <v>8.0</v>
      </c>
      <c r="D6" s="16">
        <v>8.0</v>
      </c>
      <c r="E6" s="16">
        <v>4.0</v>
      </c>
      <c r="F6" s="16">
        <v>8.0</v>
      </c>
      <c r="G6" s="16">
        <v>10.0</v>
      </c>
      <c r="H6" s="16">
        <v>9.0</v>
      </c>
      <c r="I6" s="16">
        <v>8.0</v>
      </c>
    </row>
    <row r="7">
      <c r="A7" s="14" t="s">
        <v>13</v>
      </c>
      <c r="B7" s="15">
        <v>8.0</v>
      </c>
      <c r="C7" s="16">
        <v>9.0</v>
      </c>
      <c r="D7" s="16">
        <v>6.0</v>
      </c>
      <c r="E7" s="16">
        <v>6.0</v>
      </c>
      <c r="F7" s="16">
        <v>1.0</v>
      </c>
      <c r="G7" s="16">
        <v>8.0</v>
      </c>
      <c r="H7" s="16">
        <v>8.0</v>
      </c>
      <c r="I7" s="16">
        <v>9.0</v>
      </c>
    </row>
    <row r="8">
      <c r="A8" s="14" t="s">
        <v>14</v>
      </c>
      <c r="B8" s="15">
        <v>4.0</v>
      </c>
      <c r="C8" s="16">
        <v>3.0</v>
      </c>
      <c r="D8" s="16">
        <v>3.0</v>
      </c>
      <c r="E8" s="16">
        <v>4.0</v>
      </c>
      <c r="F8" s="16">
        <v>2.0</v>
      </c>
      <c r="G8" s="16">
        <v>4.0</v>
      </c>
      <c r="H8" s="16">
        <v>6.0</v>
      </c>
      <c r="I8" s="16">
        <v>7.0</v>
      </c>
    </row>
    <row r="9">
      <c r="A9" s="14" t="s">
        <v>15</v>
      </c>
      <c r="B9" s="15">
        <v>7.0</v>
      </c>
      <c r="C9" s="16">
        <v>4.0</v>
      </c>
      <c r="D9" s="16">
        <v>10.0</v>
      </c>
      <c r="E9" s="16">
        <v>7.0</v>
      </c>
      <c r="F9" s="16">
        <v>6.0</v>
      </c>
      <c r="G9" s="16">
        <v>8.0</v>
      </c>
      <c r="H9" s="16">
        <v>4.0</v>
      </c>
      <c r="I9" s="16">
        <v>6.0</v>
      </c>
    </row>
    <row r="10">
      <c r="A10" s="14" t="s">
        <v>16</v>
      </c>
      <c r="B10" s="15">
        <v>2.0</v>
      </c>
      <c r="C10" s="16">
        <v>1.0</v>
      </c>
      <c r="D10" s="16">
        <v>2.0</v>
      </c>
      <c r="E10" s="16">
        <v>8.0</v>
      </c>
      <c r="F10" s="16">
        <v>10.0</v>
      </c>
      <c r="G10" s="16">
        <v>3.0</v>
      </c>
      <c r="H10" s="16">
        <v>2.0</v>
      </c>
      <c r="I10" s="16">
        <v>8.0</v>
      </c>
    </row>
    <row r="11">
      <c r="A11" s="14" t="s">
        <v>17</v>
      </c>
      <c r="B11" s="15">
        <v>6.0</v>
      </c>
      <c r="C11" s="16">
        <v>3.0</v>
      </c>
      <c r="D11" s="16">
        <v>8.0</v>
      </c>
      <c r="E11" s="16">
        <v>2.0</v>
      </c>
      <c r="F11" s="16">
        <v>9.0</v>
      </c>
      <c r="G11" s="16">
        <v>6.0</v>
      </c>
      <c r="H11" s="16">
        <v>9.0</v>
      </c>
      <c r="I11" s="16">
        <v>5.0</v>
      </c>
    </row>
    <row r="12">
      <c r="A12" s="14" t="s">
        <v>18</v>
      </c>
      <c r="B12" s="15">
        <v>6.0</v>
      </c>
      <c r="C12" s="16">
        <v>6.0</v>
      </c>
      <c r="D12" s="16">
        <v>8.0</v>
      </c>
      <c r="E12" s="16">
        <v>6.0</v>
      </c>
      <c r="F12" s="16">
        <v>10.0</v>
      </c>
      <c r="G12" s="16">
        <v>5.0</v>
      </c>
      <c r="H12" s="16">
        <v>6.0</v>
      </c>
      <c r="I12" s="16">
        <v>10.0</v>
      </c>
    </row>
    <row r="13">
      <c r="A13" s="14" t="s">
        <v>19</v>
      </c>
      <c r="B13" s="15">
        <v>8.0</v>
      </c>
      <c r="C13" s="16">
        <v>6.0</v>
      </c>
      <c r="D13" s="16">
        <v>8.0</v>
      </c>
      <c r="E13" s="16">
        <v>2.0</v>
      </c>
      <c r="F13" s="16">
        <v>10.0</v>
      </c>
      <c r="G13" s="16">
        <v>6.0</v>
      </c>
      <c r="H13" s="16">
        <v>6.0</v>
      </c>
      <c r="I13" s="16">
        <v>8.0</v>
      </c>
    </row>
    <row r="14">
      <c r="A14" s="14" t="s">
        <v>20</v>
      </c>
      <c r="B14" s="15">
        <v>4.0</v>
      </c>
      <c r="C14" s="16">
        <v>1.0</v>
      </c>
      <c r="D14" s="16">
        <v>3.0</v>
      </c>
      <c r="E14" s="16">
        <v>3.0</v>
      </c>
      <c r="F14" s="16">
        <v>3.0</v>
      </c>
      <c r="G14" s="16">
        <v>4.0</v>
      </c>
      <c r="H14" s="16">
        <v>6.0</v>
      </c>
      <c r="I14" s="16">
        <v>9.0</v>
      </c>
    </row>
    <row r="15">
      <c r="A15" s="14" t="s">
        <v>21</v>
      </c>
      <c r="B15" s="17">
        <v>8.0</v>
      </c>
      <c r="C15" s="16">
        <v>3.0</v>
      </c>
      <c r="D15" s="16">
        <v>8.0</v>
      </c>
      <c r="E15" s="16">
        <v>8.0</v>
      </c>
      <c r="F15" s="16">
        <v>9.0</v>
      </c>
      <c r="G15" s="16">
        <v>6.0</v>
      </c>
      <c r="H15" s="16">
        <v>0.0</v>
      </c>
      <c r="I15" s="16">
        <v>9.0</v>
      </c>
    </row>
    <row r="16">
      <c r="A16" s="14" t="s">
        <v>22</v>
      </c>
      <c r="B16" s="15">
        <v>3.0</v>
      </c>
      <c r="C16" s="16">
        <v>5.0</v>
      </c>
      <c r="D16" s="16">
        <v>5.0</v>
      </c>
      <c r="E16" s="16">
        <v>3.0</v>
      </c>
      <c r="F16" s="16">
        <v>8.0</v>
      </c>
      <c r="G16" s="16">
        <v>2.0</v>
      </c>
      <c r="H16" s="16">
        <v>2.0</v>
      </c>
      <c r="I16" s="16">
        <v>2.0</v>
      </c>
    </row>
    <row r="17">
      <c r="A17" s="18"/>
      <c r="B17" s="19"/>
      <c r="C17" s="20"/>
      <c r="D17" s="20"/>
      <c r="E17" s="21"/>
      <c r="F17" s="21"/>
      <c r="G17" s="21"/>
      <c r="H17" s="21"/>
      <c r="I17" s="21"/>
    </row>
    <row r="18">
      <c r="A18" s="22" t="s">
        <v>23</v>
      </c>
      <c r="B18" s="23"/>
      <c r="C18" s="24">
        <f t="shared" ref="C18:I18" si="1">C5*$B5+C9*$B9+C10*$B10+C11*$B11+C12*$B12+C13*$B13+C7*$B7+C14*$B14+C15*$B15+C16*$B16+C4*$B4+C6*$B6+C8*$B8</f>
        <v>458</v>
      </c>
      <c r="D18" s="24">
        <f t="shared" si="1"/>
        <v>579</v>
      </c>
      <c r="E18" s="24">
        <f t="shared" si="1"/>
        <v>422</v>
      </c>
      <c r="F18" s="24">
        <f t="shared" si="1"/>
        <v>576</v>
      </c>
      <c r="G18" s="24">
        <f t="shared" si="1"/>
        <v>569</v>
      </c>
      <c r="H18" s="24">
        <f t="shared" si="1"/>
        <v>516</v>
      </c>
      <c r="I18" s="24">
        <f t="shared" si="1"/>
        <v>589</v>
      </c>
    </row>
    <row r="19">
      <c r="A19" s="14"/>
      <c r="B19" s="19"/>
      <c r="C19" s="20"/>
      <c r="D19" s="20"/>
      <c r="E19" s="21"/>
      <c r="F19" s="21"/>
      <c r="G19" s="21"/>
      <c r="H19" s="21"/>
      <c r="I19" s="21"/>
    </row>
    <row r="20">
      <c r="A20" s="18"/>
      <c r="B20" s="19"/>
      <c r="C20" s="20"/>
      <c r="D20" s="20"/>
      <c r="E20" s="21"/>
      <c r="F20" s="21"/>
      <c r="G20" s="21"/>
      <c r="H20" s="25"/>
      <c r="I20" s="21" t="s">
        <v>24</v>
      </c>
    </row>
    <row r="21">
      <c r="A21" s="18"/>
      <c r="B21" s="19"/>
      <c r="C21" s="20"/>
      <c r="D21" s="20"/>
      <c r="E21" s="21"/>
      <c r="F21" s="21"/>
      <c r="G21" s="21"/>
      <c r="H21" s="26"/>
      <c r="I21" s="21" t="s">
        <v>25</v>
      </c>
    </row>
    <row r="22">
      <c r="A22" s="18"/>
      <c r="B22" s="19"/>
      <c r="C22" s="20"/>
      <c r="D22" s="20"/>
      <c r="E22" s="21"/>
      <c r="F22" s="21"/>
      <c r="G22" s="21"/>
      <c r="H22" s="21"/>
      <c r="I22" s="21"/>
    </row>
  </sheetData>
  <conditionalFormatting sqref="C4:I16">
    <cfRule type="cellIs" dxfId="0" priority="1" operator="greaterThanOrEqual">
      <formula>9</formula>
    </cfRule>
  </conditionalFormatting>
  <conditionalFormatting sqref="C4:I16">
    <cfRule type="cellIs" dxfId="1" priority="2" operator="lessThanOrEqual">
      <formula>2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9.56"/>
    <col customWidth="1" min="2" max="2" width="13.56"/>
    <col customWidth="1" min="3" max="3" width="18.44"/>
    <col customWidth="1" min="4" max="5" width="5.56"/>
    <col customWidth="1" min="6" max="6" width="12.44"/>
    <col customWidth="1" min="7" max="7" width="13.22"/>
    <col customWidth="1" min="8" max="8" width="12.44"/>
    <col customWidth="1" min="9" max="9" width="11.78"/>
    <col customWidth="1" min="10" max="10" width="12.11"/>
  </cols>
  <sheetData>
    <row r="1" ht="26.25" customHeight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</row>
    <row r="2" ht="26.25" customHeight="1">
      <c r="A2" s="2"/>
      <c r="B2" s="2"/>
      <c r="C2" s="2"/>
      <c r="D2" s="2"/>
      <c r="E2" s="2"/>
      <c r="F2" s="27" t="s">
        <v>27</v>
      </c>
      <c r="G2" s="8" t="s">
        <v>4</v>
      </c>
      <c r="H2" s="11" t="s">
        <v>7</v>
      </c>
      <c r="I2" s="13" t="s">
        <v>9</v>
      </c>
      <c r="J2" s="2"/>
    </row>
    <row r="3" ht="21.0" customHeight="1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28" t="s">
        <v>33</v>
      </c>
      <c r="G3" s="29" t="s">
        <v>33</v>
      </c>
      <c r="H3" s="30" t="s">
        <v>33</v>
      </c>
      <c r="I3" s="31" t="s">
        <v>33</v>
      </c>
      <c r="J3" s="6" t="s">
        <v>34</v>
      </c>
    </row>
    <row r="4">
      <c r="A4" s="32" t="s">
        <v>35</v>
      </c>
      <c r="B4" s="19" t="str">
        <f>BOM!$B9</f>
        <v>Shell1</v>
      </c>
      <c r="C4" s="19" t="str">
        <f>BOM!$D9</f>
        <v>Shell Outer</v>
      </c>
      <c r="D4" s="19" t="str">
        <f>BOM!$G9</f>
        <v>each</v>
      </c>
      <c r="E4" s="19">
        <f>BOM!$F9</f>
        <v>1</v>
      </c>
      <c r="F4" s="33">
        <f>BOM!$P9</f>
        <v>0.42</v>
      </c>
      <c r="G4" s="21">
        <v>0.35</v>
      </c>
      <c r="H4" s="21">
        <v>0.6</v>
      </c>
      <c r="I4" s="21">
        <v>0.75</v>
      </c>
      <c r="J4" s="21">
        <f t="shared" ref="J4:J34" si="1">SUM(F4:I4)/4</f>
        <v>0.53</v>
      </c>
    </row>
    <row r="5">
      <c r="A5" s="18"/>
      <c r="B5" s="19" t="str">
        <f>BOM!$B10</f>
        <v>Shell2</v>
      </c>
      <c r="C5" s="19" t="str">
        <f>BOM!$D10</f>
        <v>Shell Inner</v>
      </c>
      <c r="D5" s="19" t="str">
        <f>BOM!$G10</f>
        <v>each</v>
      </c>
      <c r="E5" s="19">
        <f>BOM!$F10</f>
        <v>1</v>
      </c>
      <c r="F5" s="33">
        <f>BOM!$P10</f>
        <v>0.18</v>
      </c>
      <c r="G5" s="21">
        <v>0.16</v>
      </c>
      <c r="H5" s="21">
        <v>0.5</v>
      </c>
      <c r="I5" s="21">
        <v>0.45</v>
      </c>
      <c r="J5" s="21">
        <f t="shared" si="1"/>
        <v>0.3225</v>
      </c>
    </row>
    <row r="6">
      <c r="A6" s="18"/>
      <c r="B6" s="19" t="str">
        <f>BOM!$B11</f>
        <v>EndCap</v>
      </c>
      <c r="C6" s="19" t="str">
        <f>BOM!$D11</f>
        <v>Antenna Cap</v>
      </c>
      <c r="D6" s="19" t="str">
        <f>BOM!$G11</f>
        <v>each</v>
      </c>
      <c r="E6" s="19">
        <f>BOM!$F11</f>
        <v>1</v>
      </c>
      <c r="F6" s="33">
        <f>BOM!$P11</f>
        <v>0.45</v>
      </c>
      <c r="G6" s="21">
        <v>0.22</v>
      </c>
      <c r="H6" s="21">
        <v>0.3</v>
      </c>
      <c r="I6" s="21">
        <v>0.4</v>
      </c>
      <c r="J6" s="21">
        <f t="shared" si="1"/>
        <v>0.3425</v>
      </c>
    </row>
    <row r="7">
      <c r="A7" s="18"/>
      <c r="B7" s="19" t="str">
        <f>BOM!$B12</f>
        <v>BeamPass</v>
      </c>
      <c r="C7" s="19" t="str">
        <f>BOM!$D12</f>
        <v>Antenna Window</v>
      </c>
      <c r="D7" s="19" t="str">
        <f>BOM!$G12</f>
        <v>each</v>
      </c>
      <c r="E7" s="19">
        <f>BOM!$F12</f>
        <v>1</v>
      </c>
      <c r="F7" s="33">
        <f>BOM!$P12</f>
        <v>0.12</v>
      </c>
      <c r="G7" s="21">
        <v>0.06</v>
      </c>
      <c r="H7" s="21">
        <v>0.1</v>
      </c>
      <c r="I7" s="21">
        <v>0.05</v>
      </c>
      <c r="J7" s="21">
        <f t="shared" si="1"/>
        <v>0.0825</v>
      </c>
    </row>
    <row r="8">
      <c r="A8" s="18"/>
      <c r="B8" s="19" t="str">
        <f>BOM!$B13</f>
        <v>Grille1</v>
      </c>
      <c r="C8" s="19" t="str">
        <f>BOM!$D13</f>
        <v>Grille Speaker</v>
      </c>
      <c r="D8" s="19" t="str">
        <f>BOM!$G13</f>
        <v>each</v>
      </c>
      <c r="E8" s="19">
        <f>BOM!$F13</f>
        <v>1</v>
      </c>
      <c r="F8" s="33">
        <f>BOM!$P13</f>
        <v>0.15</v>
      </c>
      <c r="G8" s="21">
        <v>0.21</v>
      </c>
      <c r="H8" s="21">
        <v>0.25</v>
      </c>
      <c r="I8" s="21">
        <v>0.1</v>
      </c>
      <c r="J8" s="21">
        <f t="shared" si="1"/>
        <v>0.1775</v>
      </c>
    </row>
    <row r="9">
      <c r="A9" s="18"/>
      <c r="B9" s="19" t="str">
        <f>BOM!$B14</f>
        <v>Grille2</v>
      </c>
      <c r="C9" s="19" t="str">
        <f>BOM!$D14</f>
        <v>Grille Mic #1</v>
      </c>
      <c r="D9" s="19" t="str">
        <f>BOM!$G14</f>
        <v>each</v>
      </c>
      <c r="E9" s="19">
        <f>BOM!$F14</f>
        <v>1</v>
      </c>
      <c r="F9" s="33">
        <f>BOM!$P14</f>
        <v>0.12</v>
      </c>
      <c r="G9" s="21">
        <v>0.21</v>
      </c>
      <c r="H9" s="21">
        <v>0.15</v>
      </c>
      <c r="I9" s="21">
        <v>0.1</v>
      </c>
      <c r="J9" s="21">
        <f t="shared" si="1"/>
        <v>0.145</v>
      </c>
    </row>
    <row r="10">
      <c r="A10" s="18"/>
      <c r="B10" s="19" t="str">
        <f>BOM!$B15</f>
        <v>Grille3</v>
      </c>
      <c r="C10" s="19" t="str">
        <f>BOM!$D15</f>
        <v>Grille Mic #2</v>
      </c>
      <c r="D10" s="19" t="str">
        <f>BOM!$G15</f>
        <v>each</v>
      </c>
      <c r="E10" s="19">
        <f>BOM!$F15</f>
        <v>1</v>
      </c>
      <c r="F10" s="33">
        <f>BOM!$P15</f>
        <v>0.12</v>
      </c>
      <c r="G10" s="21">
        <v>0.21</v>
      </c>
      <c r="H10" s="21">
        <v>0.15</v>
      </c>
      <c r="I10" s="21">
        <v>0.1</v>
      </c>
      <c r="J10" s="21">
        <f t="shared" si="1"/>
        <v>0.145</v>
      </c>
    </row>
    <row r="11">
      <c r="A11" s="18"/>
      <c r="B11" s="19" t="str">
        <f>BOM!$B16</f>
        <v>ChrgPt</v>
      </c>
      <c r="C11" s="19" t="str">
        <f>BOM!$D16</f>
        <v>Charge Connector</v>
      </c>
      <c r="D11" s="19" t="str">
        <f>BOM!$G16</f>
        <v>each</v>
      </c>
      <c r="E11" s="19">
        <f>BOM!$F16</f>
        <v>1</v>
      </c>
      <c r="F11" s="33">
        <f>BOM!$P16</f>
        <v>0.24</v>
      </c>
      <c r="G11" s="21">
        <v>0.4</v>
      </c>
      <c r="H11" s="21">
        <v>0.2</v>
      </c>
      <c r="I11" s="21">
        <v>0.35</v>
      </c>
      <c r="J11" s="21">
        <f t="shared" si="1"/>
        <v>0.2975</v>
      </c>
    </row>
    <row r="12">
      <c r="A12" s="18"/>
      <c r="B12" s="19" t="str">
        <f>BOM!$B17</f>
        <v>AntMemb</v>
      </c>
      <c r="C12" s="19" t="str">
        <f>BOM!$D17</f>
        <v>EMI Shielding Membrane</v>
      </c>
      <c r="D12" s="19" t="str">
        <f>BOM!$G17</f>
        <v>m2</v>
      </c>
      <c r="E12" s="19">
        <f>BOM!$F17</f>
        <v>0.0006</v>
      </c>
      <c r="F12" s="33">
        <f>BOM!$P17</f>
        <v>0.0774</v>
      </c>
      <c r="G12" s="21">
        <v>0.22</v>
      </c>
      <c r="H12" s="21">
        <v>0.1</v>
      </c>
      <c r="I12" s="21">
        <v>0.2</v>
      </c>
      <c r="J12" s="21">
        <f t="shared" si="1"/>
        <v>0.14935</v>
      </c>
    </row>
    <row r="13">
      <c r="A13" s="18"/>
      <c r="B13" s="19"/>
      <c r="C13" s="34" t="s">
        <v>36</v>
      </c>
      <c r="D13" s="35"/>
      <c r="E13" s="35"/>
      <c r="F13" s="36">
        <f t="shared" ref="F13:I13" si="2">SUM(F4:F12)</f>
        <v>1.8774</v>
      </c>
      <c r="G13" s="36">
        <f t="shared" si="2"/>
        <v>2.04</v>
      </c>
      <c r="H13" s="36">
        <f t="shared" si="2"/>
        <v>2.35</v>
      </c>
      <c r="I13" s="36">
        <f t="shared" si="2"/>
        <v>2.5</v>
      </c>
      <c r="J13" s="36">
        <f t="shared" si="1"/>
        <v>2.19185</v>
      </c>
    </row>
    <row r="14">
      <c r="A14" s="32" t="s">
        <v>37</v>
      </c>
      <c r="B14" s="19" t="str">
        <f>BOM!$B18</f>
        <v>GrommetM</v>
      </c>
      <c r="C14" s="19" t="str">
        <f>BOM!$D18</f>
        <v>Earbud Size M</v>
      </c>
      <c r="D14" s="19">
        <f>BOM!$G18</f>
        <v>0.2</v>
      </c>
      <c r="E14" s="19">
        <f>BOM!$F18</f>
        <v>1</v>
      </c>
      <c r="F14" s="33">
        <f>BOM!$P18</f>
        <v>0.2</v>
      </c>
      <c r="G14" s="21">
        <v>0.03</v>
      </c>
      <c r="H14" s="21">
        <v>0.05</v>
      </c>
      <c r="I14" s="21">
        <v>0.08</v>
      </c>
      <c r="J14" s="21">
        <f t="shared" si="1"/>
        <v>0.09</v>
      </c>
    </row>
    <row r="15">
      <c r="A15" s="18"/>
      <c r="B15" s="19"/>
      <c r="C15" s="34" t="s">
        <v>36</v>
      </c>
      <c r="D15" s="35"/>
      <c r="E15" s="35"/>
      <c r="F15" s="36">
        <f t="shared" ref="F15:I15" si="3">F14</f>
        <v>0.2</v>
      </c>
      <c r="G15" s="36">
        <f t="shared" si="3"/>
        <v>0.03</v>
      </c>
      <c r="H15" s="36">
        <f t="shared" si="3"/>
        <v>0.05</v>
      </c>
      <c r="I15" s="36">
        <f t="shared" si="3"/>
        <v>0.08</v>
      </c>
      <c r="J15" s="36">
        <f t="shared" si="1"/>
        <v>0.09</v>
      </c>
    </row>
    <row r="16">
      <c r="A16" s="32" t="s">
        <v>38</v>
      </c>
      <c r="B16" s="19" t="str">
        <f>BOM!$B19</f>
        <v>W1</v>
      </c>
      <c r="C16" s="19" t="str">
        <f>BOM!$D19</f>
        <v>Wireless communication chip</v>
      </c>
      <c r="D16" s="19" t="str">
        <f>BOM!$G19</f>
        <v>each</v>
      </c>
      <c r="E16" s="19">
        <f>BOM!$F19</f>
        <v>1</v>
      </c>
      <c r="F16" s="33">
        <f>BOM!$P19</f>
        <v>3.82</v>
      </c>
      <c r="G16" s="21">
        <v>5.5</v>
      </c>
      <c r="H16" s="21">
        <v>2.24</v>
      </c>
      <c r="I16" s="21">
        <v>6.75</v>
      </c>
      <c r="J16" s="21">
        <f t="shared" si="1"/>
        <v>4.5775</v>
      </c>
    </row>
    <row r="17">
      <c r="A17" s="18"/>
      <c r="B17" s="19" t="str">
        <f>BOM!$B20</f>
        <v>CY8C4146FN</v>
      </c>
      <c r="C17" s="19" t="str">
        <f>BOM!$D20</f>
        <v>PSoC</v>
      </c>
      <c r="D17" s="19" t="str">
        <f>BOM!$G20</f>
        <v>each</v>
      </c>
      <c r="E17" s="19">
        <f>BOM!$F20</f>
        <v>1</v>
      </c>
      <c r="F17" s="33">
        <f>BOM!$P20</f>
        <v>1.86</v>
      </c>
      <c r="G17" s="21">
        <v>2.2</v>
      </c>
      <c r="H17" s="21">
        <v>1.0</v>
      </c>
      <c r="I17" s="21">
        <v>3.25</v>
      </c>
      <c r="J17" s="21">
        <f t="shared" si="1"/>
        <v>2.0775</v>
      </c>
    </row>
    <row r="18">
      <c r="A18" s="18"/>
      <c r="B18" s="19" t="str">
        <f>BOM!$B21</f>
        <v>PCB1</v>
      </c>
      <c r="C18" s="19" t="str">
        <f>BOM!$D21</f>
        <v>PCB Main</v>
      </c>
      <c r="D18" s="19" t="str">
        <f>BOM!$G21</f>
        <v>each</v>
      </c>
      <c r="E18" s="19">
        <f>BOM!$F21</f>
        <v>1</v>
      </c>
      <c r="F18" s="33">
        <f>BOM!$P21</f>
        <v>5.23</v>
      </c>
      <c r="G18" s="21">
        <v>4.19</v>
      </c>
      <c r="H18" s="21">
        <v>2.8</v>
      </c>
      <c r="I18" s="21">
        <v>2.2</v>
      </c>
      <c r="J18" s="21">
        <f t="shared" si="1"/>
        <v>3.605</v>
      </c>
    </row>
    <row r="19">
      <c r="A19" s="18"/>
      <c r="B19" s="19" t="str">
        <f>BOM!$B22</f>
        <v>WIR33</v>
      </c>
      <c r="C19" s="19" t="str">
        <f>BOM!$D22</f>
        <v>Flatcable #1</v>
      </c>
      <c r="D19" s="19" t="str">
        <f>BOM!$G22</f>
        <v>m</v>
      </c>
      <c r="E19" s="19">
        <f>BOM!$F22</f>
        <v>0.022</v>
      </c>
      <c r="F19" s="33">
        <f>BOM!$P22</f>
        <v>0.132</v>
      </c>
      <c r="G19" s="21">
        <v>0.1</v>
      </c>
      <c r="H19" s="21">
        <v>0.1</v>
      </c>
      <c r="I19" s="21">
        <v>0.15</v>
      </c>
      <c r="J19" s="21">
        <f t="shared" si="1"/>
        <v>0.1205</v>
      </c>
    </row>
    <row r="20">
      <c r="A20" s="18"/>
      <c r="B20" s="19" t="str">
        <f>BOM!$B23</f>
        <v>WIR34</v>
      </c>
      <c r="C20" s="19" t="str">
        <f>BOM!$D23</f>
        <v>Flatcable #2 Battery</v>
      </c>
      <c r="D20" s="19" t="str">
        <f>BOM!$G23</f>
        <v>m</v>
      </c>
      <c r="E20" s="19">
        <f>BOM!$F23</f>
        <v>0.013</v>
      </c>
      <c r="F20" s="33">
        <f>BOM!$P23</f>
        <v>0.078</v>
      </c>
      <c r="G20" s="21">
        <v>0.08</v>
      </c>
      <c r="H20" s="21">
        <v>0.1</v>
      </c>
      <c r="I20" s="21">
        <v>0.15</v>
      </c>
      <c r="J20" s="21">
        <f t="shared" si="1"/>
        <v>0.102</v>
      </c>
    </row>
    <row r="21">
      <c r="A21" s="18"/>
      <c r="B21" s="19" t="str">
        <f>BOM!$B24</f>
        <v>COAConn12</v>
      </c>
      <c r="C21" s="19" t="str">
        <f>BOM!$D24</f>
        <v>Coaxial Connector</v>
      </c>
      <c r="D21" s="19" t="str">
        <f>BOM!$G24</f>
        <v>each</v>
      </c>
      <c r="E21" s="19">
        <f>BOM!$F24</f>
        <v>1</v>
      </c>
      <c r="F21" s="33">
        <f>BOM!$P24</f>
        <v>0.06</v>
      </c>
      <c r="G21" s="21">
        <v>0.05</v>
      </c>
      <c r="H21" s="21">
        <v>0.04</v>
      </c>
      <c r="I21" s="21">
        <v>0.2</v>
      </c>
      <c r="J21" s="21">
        <f t="shared" si="1"/>
        <v>0.0875</v>
      </c>
    </row>
    <row r="22">
      <c r="A22" s="18"/>
      <c r="B22" s="19" t="str">
        <f>BOM!$B25</f>
        <v>98730EWJ</v>
      </c>
      <c r="C22" s="19" t="str">
        <f>BOM!$D25</f>
        <v>Audio Codec</v>
      </c>
      <c r="D22" s="19" t="str">
        <f>BOM!$G25</f>
        <v>each</v>
      </c>
      <c r="E22" s="19">
        <f>BOM!$F25</f>
        <v>1</v>
      </c>
      <c r="F22" s="33">
        <f>BOM!$P25</f>
        <v>0.75</v>
      </c>
      <c r="G22" s="21">
        <v>0.55</v>
      </c>
      <c r="H22" s="21">
        <v>0.99</v>
      </c>
      <c r="I22" s="21">
        <v>1.29</v>
      </c>
      <c r="J22" s="21">
        <f t="shared" si="1"/>
        <v>0.895</v>
      </c>
    </row>
    <row r="23">
      <c r="A23" s="18"/>
      <c r="B23" s="19" t="str">
        <f>BOM!$B26</f>
        <v>TPS743</v>
      </c>
      <c r="C23" s="19" t="str">
        <f>BOM!$D26</f>
        <v>LDO Voltage Regulator</v>
      </c>
      <c r="D23" s="19" t="str">
        <f>BOM!$G26</f>
        <v>each</v>
      </c>
      <c r="E23" s="19">
        <f>BOM!$F26</f>
        <v>1</v>
      </c>
      <c r="F23" s="33">
        <f>BOM!$P26</f>
        <v>0.24</v>
      </c>
      <c r="G23" s="21">
        <v>0.11</v>
      </c>
      <c r="H23" s="21">
        <v>0.2</v>
      </c>
      <c r="I23" s="21">
        <v>0.35</v>
      </c>
      <c r="J23" s="21">
        <f t="shared" si="1"/>
        <v>0.225</v>
      </c>
    </row>
    <row r="24">
      <c r="A24" s="18"/>
      <c r="B24" s="19" t="str">
        <f>BOM!$B27</f>
        <v>PCB2</v>
      </c>
      <c r="C24" s="19" t="str">
        <f>BOM!$D27</f>
        <v>PCB #2</v>
      </c>
      <c r="D24" s="19" t="str">
        <f>BOM!$G27</f>
        <v>each</v>
      </c>
      <c r="E24" s="19">
        <f>BOM!$F27</f>
        <v>1</v>
      </c>
      <c r="F24" s="33">
        <f>BOM!$P27</f>
        <v>1.15</v>
      </c>
      <c r="G24" s="21">
        <v>2.25</v>
      </c>
      <c r="H24" s="21">
        <v>2.0</v>
      </c>
      <c r="I24" s="21">
        <v>1.5</v>
      </c>
      <c r="J24" s="21">
        <f t="shared" si="1"/>
        <v>1.725</v>
      </c>
    </row>
    <row r="25">
      <c r="A25" s="18"/>
      <c r="B25" s="19" t="str">
        <f>BOM!$B28</f>
        <v>PCB3</v>
      </c>
      <c r="C25" s="19" t="str">
        <f>BOM!$D28</f>
        <v>PCB #3</v>
      </c>
      <c r="D25" s="19" t="str">
        <f>BOM!$G28</f>
        <v>each</v>
      </c>
      <c r="E25" s="19">
        <f>BOM!$F28</f>
        <v>1</v>
      </c>
      <c r="F25" s="33">
        <f>BOM!$P28</f>
        <v>1.12</v>
      </c>
      <c r="G25" s="21">
        <v>1.75</v>
      </c>
      <c r="H25" s="21">
        <v>1.5</v>
      </c>
      <c r="I25" s="21">
        <v>1.11</v>
      </c>
      <c r="J25" s="21">
        <f t="shared" si="1"/>
        <v>1.37</v>
      </c>
    </row>
    <row r="26">
      <c r="A26" s="18"/>
      <c r="B26" s="19"/>
      <c r="C26" s="34" t="s">
        <v>36</v>
      </c>
      <c r="D26" s="35"/>
      <c r="E26" s="35"/>
      <c r="F26" s="36">
        <f t="shared" ref="F26:I26" si="4">sum(F16:F25)</f>
        <v>14.44</v>
      </c>
      <c r="G26" s="36">
        <f t="shared" si="4"/>
        <v>16.78</v>
      </c>
      <c r="H26" s="36">
        <f t="shared" si="4"/>
        <v>10.97</v>
      </c>
      <c r="I26" s="36">
        <f t="shared" si="4"/>
        <v>16.95</v>
      </c>
      <c r="J26" s="36">
        <f t="shared" si="1"/>
        <v>14.785</v>
      </c>
    </row>
    <row r="27">
      <c r="A27" s="32" t="s">
        <v>39</v>
      </c>
      <c r="B27" s="19" t="str">
        <f>BOM!$B29</f>
        <v>ACM66</v>
      </c>
      <c r="C27" s="19" t="str">
        <f>BOM!$D29</f>
        <v>Motion-Detecting Accelerometer</v>
      </c>
      <c r="D27" s="19" t="str">
        <f>BOM!$G29</f>
        <v>each</v>
      </c>
      <c r="E27" s="19">
        <f>BOM!$F29</f>
        <v>2</v>
      </c>
      <c r="F27" s="33">
        <f>BOM!$P29</f>
        <v>1.6</v>
      </c>
      <c r="G27" s="21">
        <v>1.98</v>
      </c>
      <c r="H27" s="21">
        <v>0.98</v>
      </c>
      <c r="I27" s="21">
        <v>2.8</v>
      </c>
      <c r="J27" s="21">
        <f t="shared" si="1"/>
        <v>1.84</v>
      </c>
    </row>
    <row r="28">
      <c r="A28" s="18"/>
      <c r="B28" s="19" t="str">
        <f>BOM!$B30</f>
        <v>GOKY93mWHA1604</v>
      </c>
      <c r="C28" s="19" t="str">
        <f>BOM!$D30</f>
        <v>Coin-Cell Battery</v>
      </c>
      <c r="D28" s="19" t="str">
        <f>BOM!$G30</f>
        <v>each</v>
      </c>
      <c r="E28" s="19">
        <f>BOM!$F30</f>
        <v>1</v>
      </c>
      <c r="F28" s="33">
        <f>BOM!$P30</f>
        <v>0.32</v>
      </c>
      <c r="G28" s="21">
        <v>0.15</v>
      </c>
      <c r="H28" s="21">
        <v>0.12</v>
      </c>
      <c r="I28" s="21">
        <v>0.24</v>
      </c>
      <c r="J28" s="21">
        <f t="shared" si="1"/>
        <v>0.2075</v>
      </c>
    </row>
    <row r="29">
      <c r="A29" s="18"/>
      <c r="B29" s="19" t="str">
        <f>BOM!$B31</f>
        <v>VL53LO</v>
      </c>
      <c r="C29" s="19" t="str">
        <f>BOM!$D31</f>
        <v>Optical Sensor</v>
      </c>
      <c r="D29" s="19" t="str">
        <f>BOM!$G31</f>
        <v>each</v>
      </c>
      <c r="E29" s="19">
        <f>BOM!$F31</f>
        <v>2</v>
      </c>
      <c r="F29" s="33">
        <f>BOM!$P31</f>
        <v>1.18</v>
      </c>
      <c r="G29" s="21">
        <v>0.75</v>
      </c>
      <c r="H29" s="21">
        <v>0.54</v>
      </c>
      <c r="I29" s="21">
        <v>1.0</v>
      </c>
      <c r="J29" s="21">
        <f t="shared" si="1"/>
        <v>0.8675</v>
      </c>
    </row>
    <row r="30">
      <c r="A30" s="18"/>
      <c r="B30" s="19" t="str">
        <f>BOM!$B32</f>
        <v>DBF002B</v>
      </c>
      <c r="C30" s="19" t="str">
        <f>BOM!$D32</f>
        <v>Dual Beam-Forming Microphone</v>
      </c>
      <c r="D30" s="19" t="str">
        <f>BOM!$G32</f>
        <v>each</v>
      </c>
      <c r="E30" s="19">
        <f>BOM!$F32</f>
        <v>2</v>
      </c>
      <c r="F30" s="33">
        <f>BOM!$P32</f>
        <v>3.98</v>
      </c>
      <c r="G30" s="21">
        <v>3.42</v>
      </c>
      <c r="H30" s="21">
        <v>2.0</v>
      </c>
      <c r="I30" s="21">
        <v>5.98</v>
      </c>
      <c r="J30" s="21">
        <f t="shared" si="1"/>
        <v>3.845</v>
      </c>
    </row>
    <row r="31">
      <c r="A31" s="18"/>
      <c r="B31" s="19" t="str">
        <f>BOM!$B33</f>
        <v>PIFA00320</v>
      </c>
      <c r="C31" s="19" t="str">
        <f>BOM!$D33</f>
        <v>Bluetooth Antenna</v>
      </c>
      <c r="D31" s="19" t="str">
        <f>BOM!$G33</f>
        <v>each</v>
      </c>
      <c r="E31" s="19">
        <f>BOM!$F33</f>
        <v>1</v>
      </c>
      <c r="F31" s="33">
        <f>BOM!$P33</f>
        <v>0.85</v>
      </c>
      <c r="G31" s="21">
        <v>1.98</v>
      </c>
      <c r="H31" s="21">
        <v>1.5</v>
      </c>
      <c r="I31" s="21">
        <v>1.11</v>
      </c>
      <c r="J31" s="21">
        <f t="shared" si="1"/>
        <v>1.36</v>
      </c>
    </row>
    <row r="32">
      <c r="A32" s="18"/>
      <c r="B32" s="18"/>
      <c r="C32" s="34" t="s">
        <v>36</v>
      </c>
      <c r="D32" s="35"/>
      <c r="E32" s="35"/>
      <c r="F32" s="36">
        <f t="shared" ref="F32:I32" si="5">sum(F27:F31)</f>
        <v>7.93</v>
      </c>
      <c r="G32" s="36">
        <f t="shared" si="5"/>
        <v>8.28</v>
      </c>
      <c r="H32" s="36">
        <f t="shared" si="5"/>
        <v>5.14</v>
      </c>
      <c r="I32" s="36">
        <f t="shared" si="5"/>
        <v>11.13</v>
      </c>
      <c r="J32" s="36">
        <f t="shared" si="1"/>
        <v>8.12</v>
      </c>
    </row>
    <row r="33">
      <c r="A33" s="32" t="s">
        <v>40</v>
      </c>
      <c r="B33" s="19" t="str">
        <f>BOM!$B34</f>
        <v>BIS1</v>
      </c>
      <c r="C33" s="19" t="str">
        <f>BOM!$D34</f>
        <v>Industrial Two-Component Adhesive</v>
      </c>
      <c r="D33" s="37" t="str">
        <f>BOM!$G34</f>
        <v>mL</v>
      </c>
      <c r="E33" s="37">
        <f>BOM!$F34</f>
        <v>0.5</v>
      </c>
      <c r="F33" s="33">
        <f>BOM!$P34</f>
        <v>0.03</v>
      </c>
      <c r="G33" s="21">
        <v>0.02</v>
      </c>
      <c r="H33" s="21">
        <v>0.01</v>
      </c>
      <c r="I33" s="21">
        <v>0.07</v>
      </c>
      <c r="J33" s="21">
        <f t="shared" si="1"/>
        <v>0.0325</v>
      </c>
    </row>
    <row r="34">
      <c r="A34" s="38"/>
      <c r="B34" s="38"/>
      <c r="C34" s="34" t="s">
        <v>36</v>
      </c>
      <c r="D34" s="35"/>
      <c r="E34" s="35"/>
      <c r="F34" s="36">
        <f t="shared" ref="F34:I34" si="6">F33</f>
        <v>0.03</v>
      </c>
      <c r="G34" s="36">
        <f t="shared" si="6"/>
        <v>0.02</v>
      </c>
      <c r="H34" s="36">
        <f t="shared" si="6"/>
        <v>0.01</v>
      </c>
      <c r="I34" s="36">
        <f t="shared" si="6"/>
        <v>0.07</v>
      </c>
      <c r="J34" s="36">
        <f t="shared" si="1"/>
        <v>0.0325</v>
      </c>
    </row>
    <row r="35">
      <c r="A35" s="38"/>
      <c r="B35" s="38"/>
      <c r="C35" s="39"/>
      <c r="D35" s="18"/>
      <c r="E35" s="18"/>
      <c r="F35" s="40"/>
      <c r="G35" s="18"/>
      <c r="H35" s="18"/>
      <c r="I35" s="18"/>
      <c r="J35" s="41"/>
    </row>
    <row r="36">
      <c r="A36" s="38"/>
      <c r="B36" s="38"/>
      <c r="C36" s="34" t="s">
        <v>41</v>
      </c>
      <c r="D36" s="35"/>
      <c r="E36" s="35"/>
      <c r="F36" s="42">
        <f t="shared" ref="F36:I36" si="7">F13+F15+F26+F32+F34</f>
        <v>24.4774</v>
      </c>
      <c r="G36" s="42">
        <f t="shared" si="7"/>
        <v>27.15</v>
      </c>
      <c r="H36" s="42">
        <f t="shared" si="7"/>
        <v>18.52</v>
      </c>
      <c r="I36" s="42">
        <f t="shared" si="7"/>
        <v>30.73</v>
      </c>
      <c r="J36" s="36">
        <f t="shared" ref="J36:J38" si="8">SUM(F36:I36)/4</f>
        <v>25.21935</v>
      </c>
    </row>
    <row r="37">
      <c r="A37" s="38"/>
      <c r="B37" s="38"/>
      <c r="C37" s="38" t="s">
        <v>42</v>
      </c>
      <c r="D37" s="38"/>
      <c r="E37" s="38"/>
      <c r="F37" s="21">
        <f>BOM!$N35</f>
        <v>55350</v>
      </c>
      <c r="G37" s="21">
        <v>30300.0</v>
      </c>
      <c r="H37" s="21">
        <v>52000.0</v>
      </c>
      <c r="I37" s="21">
        <v>85000.0</v>
      </c>
      <c r="J37" s="21">
        <f t="shared" si="8"/>
        <v>55662.5</v>
      </c>
    </row>
    <row r="38">
      <c r="A38" s="38"/>
      <c r="B38" s="38"/>
      <c r="C38" s="43" t="s">
        <v>43</v>
      </c>
      <c r="D38" s="38"/>
      <c r="E38" s="38"/>
      <c r="F38" s="21">
        <v>12000.0</v>
      </c>
      <c r="G38" s="21">
        <v>14000.0</v>
      </c>
      <c r="H38" s="21">
        <v>10000.0</v>
      </c>
      <c r="I38" s="21">
        <v>5000.0</v>
      </c>
      <c r="J38" s="21">
        <f t="shared" si="8"/>
        <v>10250</v>
      </c>
    </row>
    <row r="39">
      <c r="A39" s="38"/>
      <c r="B39" s="38"/>
      <c r="C39" s="34" t="s">
        <v>44</v>
      </c>
      <c r="D39" s="35"/>
      <c r="E39" s="35"/>
      <c r="F39" s="42">
        <f t="shared" ref="F39:J39" si="9">F37+F38</f>
        <v>67350</v>
      </c>
      <c r="G39" s="42">
        <f t="shared" si="9"/>
        <v>44300</v>
      </c>
      <c r="H39" s="42">
        <f t="shared" si="9"/>
        <v>62000</v>
      </c>
      <c r="I39" s="42">
        <f t="shared" si="9"/>
        <v>90000</v>
      </c>
      <c r="J39" s="42">
        <f t="shared" si="9"/>
        <v>65912.5</v>
      </c>
    </row>
    <row r="40">
      <c r="A40" s="38"/>
      <c r="B40" s="38"/>
      <c r="C40" s="43" t="s">
        <v>45</v>
      </c>
      <c r="D40" s="38"/>
      <c r="E40" s="38"/>
      <c r="F40" s="44">
        <v>0.25</v>
      </c>
      <c r="G40" s="44">
        <v>0.25</v>
      </c>
      <c r="H40" s="44">
        <v>0.3</v>
      </c>
      <c r="I40" s="44">
        <v>0.4</v>
      </c>
      <c r="J40" s="44">
        <f t="shared" ref="J40:J43" si="10">SUM(F40:I40)/4</f>
        <v>0.3</v>
      </c>
    </row>
    <row r="41">
      <c r="A41" s="38"/>
      <c r="B41" s="38"/>
      <c r="C41" s="38" t="s">
        <v>46</v>
      </c>
      <c r="D41" s="38"/>
      <c r="E41" s="38"/>
      <c r="F41" s="21">
        <v>12.0</v>
      </c>
      <c r="G41" s="21">
        <v>15.6</v>
      </c>
      <c r="H41" s="21">
        <v>9.9</v>
      </c>
      <c r="I41" s="21">
        <v>12.0</v>
      </c>
      <c r="J41" s="21">
        <f t="shared" si="10"/>
        <v>12.375</v>
      </c>
    </row>
    <row r="42">
      <c r="A42" s="38"/>
      <c r="B42" s="38"/>
      <c r="C42" s="34" t="s">
        <v>47</v>
      </c>
      <c r="D42" s="34"/>
      <c r="E42" s="34"/>
      <c r="F42" s="45">
        <f t="shared" ref="F42:I42" si="11">F40*F41</f>
        <v>3</v>
      </c>
      <c r="G42" s="45">
        <f t="shared" si="11"/>
        <v>3.9</v>
      </c>
      <c r="H42" s="45">
        <f t="shared" si="11"/>
        <v>2.97</v>
      </c>
      <c r="I42" s="45">
        <f t="shared" si="11"/>
        <v>4.8</v>
      </c>
      <c r="J42" s="45">
        <f t="shared" si="10"/>
        <v>3.6675</v>
      </c>
    </row>
    <row r="43">
      <c r="A43" s="38"/>
      <c r="B43" s="38"/>
      <c r="C43" s="34" t="s">
        <v>48</v>
      </c>
      <c r="D43" s="35"/>
      <c r="E43" s="35"/>
      <c r="F43" s="45">
        <v>5.0</v>
      </c>
      <c r="G43" s="45">
        <v>4.0</v>
      </c>
      <c r="H43" s="45">
        <v>4.5</v>
      </c>
      <c r="I43" s="45">
        <v>5.0</v>
      </c>
      <c r="J43" s="45">
        <f t="shared" si="10"/>
        <v>4.625</v>
      </c>
    </row>
    <row r="44">
      <c r="A44" s="38"/>
      <c r="B44" s="38"/>
      <c r="C44" s="43" t="s">
        <v>49</v>
      </c>
      <c r="D44" s="38"/>
      <c r="E44" s="38"/>
      <c r="F44" s="21"/>
      <c r="G44" s="46">
        <v>0.07</v>
      </c>
      <c r="H44" s="46">
        <v>0.15</v>
      </c>
      <c r="I44" s="46">
        <v>0.15</v>
      </c>
      <c r="J44" s="21"/>
    </row>
    <row r="45">
      <c r="A45" s="38"/>
      <c r="B45" s="38"/>
      <c r="C45" s="43" t="s">
        <v>50</v>
      </c>
      <c r="D45" s="38"/>
      <c r="E45" s="38"/>
      <c r="F45" s="21"/>
      <c r="G45" s="46">
        <v>0.0</v>
      </c>
      <c r="H45" s="46">
        <v>0.0</v>
      </c>
      <c r="I45" s="46">
        <v>0.0</v>
      </c>
      <c r="J45" s="21"/>
    </row>
    <row r="46">
      <c r="A46" s="38"/>
      <c r="B46" s="38"/>
      <c r="C46" s="43" t="s">
        <v>51</v>
      </c>
      <c r="D46" s="38"/>
      <c r="E46" s="38"/>
      <c r="F46" s="21"/>
      <c r="G46" s="46">
        <v>0.05</v>
      </c>
      <c r="H46" s="46">
        <v>0.0</v>
      </c>
      <c r="I46" s="46">
        <v>0.0</v>
      </c>
      <c r="J46" s="21"/>
    </row>
    <row r="47">
      <c r="A47" s="38"/>
      <c r="B47" s="38"/>
      <c r="C47" s="34" t="s">
        <v>52</v>
      </c>
      <c r="D47" s="35"/>
      <c r="E47" s="35"/>
      <c r="F47" s="36"/>
      <c r="G47" s="36">
        <f t="shared" ref="G47:I47" si="12">(G36+G42+G43)*(0.45*G44+0.4*G45+0.15*G46)</f>
        <v>1.36695</v>
      </c>
      <c r="H47" s="36">
        <f t="shared" si="12"/>
        <v>1.754325</v>
      </c>
      <c r="I47" s="36">
        <f t="shared" si="12"/>
        <v>2.735775</v>
      </c>
      <c r="J47" s="36"/>
    </row>
    <row r="48">
      <c r="A48" s="38"/>
      <c r="B48" s="38"/>
      <c r="C48" s="34" t="s">
        <v>53</v>
      </c>
      <c r="D48" s="35"/>
      <c r="E48" s="35"/>
      <c r="F48" s="36"/>
      <c r="G48" s="36">
        <v>2.0</v>
      </c>
      <c r="H48" s="36">
        <v>2.0</v>
      </c>
      <c r="I48" s="36">
        <v>2.5</v>
      </c>
      <c r="J48" s="36">
        <f>SUM(F48:I48)/4</f>
        <v>1.625</v>
      </c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>
      <c r="A50" s="38"/>
      <c r="B50" s="38"/>
      <c r="C50" s="47" t="s">
        <v>54</v>
      </c>
      <c r="D50" s="48"/>
      <c r="E50" s="49"/>
      <c r="F50" s="50">
        <v>100000.0</v>
      </c>
      <c r="G50" s="51"/>
      <c r="H50" s="51"/>
      <c r="I50" s="51"/>
      <c r="J50" s="52"/>
    </row>
    <row r="51">
      <c r="A51" s="38"/>
      <c r="B51" s="38"/>
      <c r="C51" s="53" t="s">
        <v>55</v>
      </c>
      <c r="D51" s="54"/>
      <c r="E51" s="54"/>
      <c r="F51" s="55"/>
      <c r="G51" s="56">
        <f t="shared" ref="G51:I51" si="13">G36+G42+G43+G47+G48+(G39/$F$50)</f>
        <v>38.85995</v>
      </c>
      <c r="H51" s="56">
        <f t="shared" si="13"/>
        <v>30.364325</v>
      </c>
      <c r="I51" s="56">
        <f t="shared" si="13"/>
        <v>46.665775</v>
      </c>
      <c r="J51" s="57">
        <f>SUM(F51:I51)/4</f>
        <v>28.9725125</v>
      </c>
    </row>
    <row r="52">
      <c r="A52" s="38"/>
      <c r="B52" s="38"/>
      <c r="C52" s="53" t="s">
        <v>56</v>
      </c>
      <c r="D52" s="54"/>
      <c r="E52" s="54"/>
      <c r="F52" s="58"/>
      <c r="G52" s="59">
        <f t="shared" ref="G52:I52" si="14">G51*$F50</f>
        <v>3885995</v>
      </c>
      <c r="H52" s="59">
        <f t="shared" si="14"/>
        <v>3036432.5</v>
      </c>
      <c r="I52" s="59">
        <f t="shared" si="14"/>
        <v>4666577.5</v>
      </c>
      <c r="J52" s="60">
        <f>SUM(F52:I52)/3</f>
        <v>3863001.667</v>
      </c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6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17.67"/>
    <col customWidth="1" min="2" max="2" width="8.56"/>
    <col customWidth="1" min="3" max="3" width="7.67"/>
    <col customWidth="1" min="4" max="4" width="16.67"/>
    <col customWidth="1" min="5" max="5" width="8.33"/>
    <col customWidth="1" min="6" max="6" width="5.67"/>
    <col customWidth="1" min="7" max="7" width="5.44"/>
    <col customWidth="1" min="8" max="10" width="9.0"/>
    <col customWidth="1" min="11" max="11" width="6.56"/>
    <col customWidth="1" min="12" max="12" width="8.11"/>
    <col customWidth="1" min="13" max="14" width="9.67"/>
    <col customWidth="1" min="15" max="15" width="8.56"/>
    <col customWidth="1" min="16" max="16" width="7.44"/>
  </cols>
  <sheetData>
    <row r="1" ht="24.75" customHeight="1">
      <c r="A1" s="62" t="s">
        <v>57</v>
      </c>
      <c r="B1" s="63"/>
      <c r="D1" s="64"/>
      <c r="F1" s="65"/>
      <c r="G1" s="65"/>
      <c r="H1" s="66"/>
      <c r="I1" s="66"/>
      <c r="K1" s="65"/>
      <c r="L1" s="65"/>
      <c r="M1" s="67" t="str">
        <f>HYPERLINK("https://www.formlabs.com/","Template by Formlabs")</f>
        <v>Template by Formlabs</v>
      </c>
      <c r="O1" s="65"/>
      <c r="P1" s="65"/>
    </row>
    <row r="2" ht="15.0" customHeight="1">
      <c r="A2" s="68" t="s">
        <v>58</v>
      </c>
      <c r="B2" s="68" t="s">
        <v>59</v>
      </c>
      <c r="F2" s="64"/>
      <c r="G2" s="64"/>
      <c r="H2" s="69"/>
      <c r="I2" s="69"/>
      <c r="J2" s="64"/>
      <c r="K2" s="64"/>
      <c r="L2" s="64"/>
      <c r="M2" s="64"/>
      <c r="N2" s="64"/>
      <c r="O2" s="64"/>
      <c r="P2" s="64"/>
    </row>
    <row r="3" ht="15.75" customHeight="1">
      <c r="A3" s="68" t="s">
        <v>60</v>
      </c>
      <c r="B3" s="70" t="s">
        <v>61</v>
      </c>
      <c r="F3" s="64"/>
      <c r="G3" s="64"/>
      <c r="H3" s="69"/>
      <c r="I3" s="69"/>
      <c r="J3" s="64"/>
      <c r="K3" s="71" t="s">
        <v>62</v>
      </c>
      <c r="L3" s="71"/>
      <c r="M3" s="71"/>
      <c r="N3" s="71"/>
      <c r="O3" s="64"/>
      <c r="P3" s="64"/>
    </row>
    <row r="4" ht="15.75" customHeight="1">
      <c r="A4" s="72" t="s">
        <v>63</v>
      </c>
      <c r="B4" s="72" t="s">
        <v>64</v>
      </c>
      <c r="F4" s="63"/>
      <c r="G4" s="64"/>
      <c r="H4" s="69"/>
      <c r="I4" s="69"/>
      <c r="J4" s="64"/>
      <c r="K4" s="64"/>
      <c r="L4" s="64"/>
      <c r="M4" s="64"/>
      <c r="N4" s="64"/>
      <c r="O4" s="64"/>
      <c r="P4" s="64"/>
    </row>
    <row r="5" ht="15.75" customHeight="1">
      <c r="A5" s="73" t="s">
        <v>65</v>
      </c>
      <c r="B5" s="72">
        <v>21.0</v>
      </c>
      <c r="F5" s="63"/>
      <c r="G5" s="64"/>
      <c r="H5" s="69"/>
      <c r="I5" s="69"/>
      <c r="J5" s="64"/>
      <c r="K5" s="64"/>
      <c r="L5" s="64"/>
      <c r="M5" s="64"/>
      <c r="N5" s="64"/>
      <c r="O5" s="64"/>
      <c r="P5" s="64"/>
    </row>
    <row r="6" ht="15.75" customHeight="1">
      <c r="A6" s="73" t="s">
        <v>66</v>
      </c>
      <c r="B6" s="74">
        <v>43451.0</v>
      </c>
      <c r="F6" s="75"/>
      <c r="G6" s="75"/>
      <c r="H6" s="76"/>
      <c r="I6" s="76"/>
      <c r="J6" s="75"/>
      <c r="K6" s="64"/>
      <c r="L6" s="64"/>
      <c r="M6" s="64"/>
      <c r="N6" s="64"/>
      <c r="O6" s="75"/>
      <c r="P6" s="75"/>
    </row>
    <row r="7" ht="15.75" customHeight="1">
      <c r="A7" s="77"/>
      <c r="B7" s="78"/>
      <c r="F7" s="75"/>
      <c r="G7" s="75"/>
      <c r="H7" s="76"/>
      <c r="I7" s="76"/>
      <c r="J7" s="75"/>
      <c r="K7" s="64"/>
      <c r="L7" s="64"/>
      <c r="M7" s="64"/>
      <c r="N7" s="64"/>
      <c r="O7" s="75"/>
      <c r="P7" s="75"/>
    </row>
    <row r="8" ht="16.5" customHeight="1">
      <c r="A8" s="79" t="s">
        <v>67</v>
      </c>
      <c r="B8" s="80" t="s">
        <v>29</v>
      </c>
      <c r="C8" s="79" t="s">
        <v>28</v>
      </c>
      <c r="D8" s="79" t="s">
        <v>30</v>
      </c>
      <c r="E8" s="79" t="s">
        <v>68</v>
      </c>
      <c r="F8" s="81" t="s">
        <v>69</v>
      </c>
      <c r="G8" s="81" t="s">
        <v>70</v>
      </c>
      <c r="H8" s="82" t="s">
        <v>71</v>
      </c>
      <c r="I8" s="82" t="s">
        <v>72</v>
      </c>
      <c r="J8" s="83" t="s">
        <v>73</v>
      </c>
      <c r="K8" s="83" t="s">
        <v>74</v>
      </c>
      <c r="L8" s="83" t="s">
        <v>75</v>
      </c>
      <c r="M8" s="83" t="s">
        <v>76</v>
      </c>
      <c r="N8" s="83" t="s">
        <v>77</v>
      </c>
      <c r="O8" s="81" t="s">
        <v>78</v>
      </c>
      <c r="P8" s="81" t="s">
        <v>79</v>
      </c>
    </row>
    <row r="9" ht="49.5" customHeight="1">
      <c r="A9" s="84">
        <v>17221.0</v>
      </c>
      <c r="B9" s="85" t="s">
        <v>80</v>
      </c>
      <c r="C9" s="84" t="s">
        <v>35</v>
      </c>
      <c r="D9" s="85" t="s">
        <v>81</v>
      </c>
      <c r="E9" s="85" t="s">
        <v>82</v>
      </c>
      <c r="F9" s="86">
        <v>1.0</v>
      </c>
      <c r="G9" s="86" t="s">
        <v>83</v>
      </c>
      <c r="H9" s="87" t="s">
        <v>84</v>
      </c>
      <c r="I9" s="87" t="s">
        <v>85</v>
      </c>
      <c r="J9" s="86" t="s">
        <v>35</v>
      </c>
      <c r="K9" s="88" t="s">
        <v>86</v>
      </c>
      <c r="L9" s="89">
        <v>5000.0</v>
      </c>
      <c r="M9" s="89">
        <v>90.0</v>
      </c>
      <c r="N9" s="89">
        <v>55000.0</v>
      </c>
      <c r="O9" s="90">
        <f>IFERROR(VLOOKUP($A9,partlist,7,0),"n/f")</f>
        <v>0.42</v>
      </c>
      <c r="P9" s="91">
        <f>BOM!$F9*BOM!$O9</f>
        <v>0.42</v>
      </c>
    </row>
    <row r="10" ht="49.5" customHeight="1">
      <c r="A10" s="84">
        <v>17222.0</v>
      </c>
      <c r="B10" s="85" t="s">
        <v>87</v>
      </c>
      <c r="C10" s="84" t="s">
        <v>35</v>
      </c>
      <c r="D10" s="85" t="s">
        <v>88</v>
      </c>
      <c r="E10" s="85" t="s">
        <v>82</v>
      </c>
      <c r="F10" s="86">
        <v>1.0</v>
      </c>
      <c r="G10" s="86" t="s">
        <v>83</v>
      </c>
      <c r="H10" s="87" t="s">
        <v>84</v>
      </c>
      <c r="I10" s="87" t="s">
        <v>85</v>
      </c>
      <c r="J10" s="86" t="s">
        <v>35</v>
      </c>
      <c r="K10" s="88" t="s">
        <v>86</v>
      </c>
      <c r="L10" s="89">
        <v>5000.0</v>
      </c>
      <c r="M10" s="89">
        <v>90.0</v>
      </c>
      <c r="N10" s="89">
        <v>28000.0</v>
      </c>
      <c r="O10" s="90">
        <f>IFERROR(VLOOKUP($A10,partlist,7,0),"n/f")</f>
        <v>0.18</v>
      </c>
      <c r="P10" s="91">
        <f>BOM!$F10*BOM!$O10</f>
        <v>0.18</v>
      </c>
    </row>
    <row r="11" ht="49.5" customHeight="1">
      <c r="A11" s="84">
        <v>17223.0</v>
      </c>
      <c r="B11" s="85" t="s">
        <v>89</v>
      </c>
      <c r="C11" s="84" t="s">
        <v>35</v>
      </c>
      <c r="D11" s="85" t="s">
        <v>90</v>
      </c>
      <c r="E11" s="85" t="s">
        <v>91</v>
      </c>
      <c r="F11" s="86">
        <v>1.0</v>
      </c>
      <c r="G11" s="86" t="s">
        <v>83</v>
      </c>
      <c r="H11" s="87" t="s">
        <v>84</v>
      </c>
      <c r="I11" s="87" t="s">
        <v>92</v>
      </c>
      <c r="J11" s="86" t="s">
        <v>35</v>
      </c>
      <c r="K11" s="88" t="s">
        <v>86</v>
      </c>
      <c r="L11" s="89">
        <v>5000.0</v>
      </c>
      <c r="M11" s="89">
        <v>90.0</v>
      </c>
      <c r="N11" s="89">
        <v>12000.0</v>
      </c>
      <c r="O11" s="90">
        <f>IFERROR(VLOOKUP($A11,partlist,7,0),"n/f")</f>
        <v>0.45</v>
      </c>
      <c r="P11" s="91">
        <f>BOM!$F11*BOM!$O11</f>
        <v>0.45</v>
      </c>
    </row>
    <row r="12" ht="49.5" customHeight="1">
      <c r="A12" s="84">
        <v>17224.0</v>
      </c>
      <c r="B12" s="85" t="s">
        <v>93</v>
      </c>
      <c r="C12" s="84" t="s">
        <v>35</v>
      </c>
      <c r="D12" s="85" t="s">
        <v>94</v>
      </c>
      <c r="E12" s="85" t="s">
        <v>91</v>
      </c>
      <c r="F12" s="86">
        <v>1.0</v>
      </c>
      <c r="G12" s="86" t="s">
        <v>83</v>
      </c>
      <c r="H12" s="87" t="s">
        <v>84</v>
      </c>
      <c r="I12" s="87" t="s">
        <v>95</v>
      </c>
      <c r="J12" s="86" t="s">
        <v>35</v>
      </c>
      <c r="K12" s="88" t="s">
        <v>86</v>
      </c>
      <c r="L12" s="89">
        <v>5000.0</v>
      </c>
      <c r="M12" s="89">
        <v>90.0</v>
      </c>
      <c r="N12" s="89">
        <v>8000.0</v>
      </c>
      <c r="O12" s="90">
        <f>IFERROR(VLOOKUP($A12,partlist,7,0),"n/f")</f>
        <v>0.12</v>
      </c>
      <c r="P12" s="91">
        <f>BOM!$F12*BOM!$O12</f>
        <v>0.12</v>
      </c>
    </row>
    <row r="13" ht="49.5" customHeight="1">
      <c r="A13" s="84">
        <v>302201.0</v>
      </c>
      <c r="B13" s="85" t="s">
        <v>96</v>
      </c>
      <c r="C13" s="84" t="s">
        <v>35</v>
      </c>
      <c r="D13" s="85" t="s">
        <v>97</v>
      </c>
      <c r="E13" s="85" t="s">
        <v>91</v>
      </c>
      <c r="F13" s="86">
        <v>1.0</v>
      </c>
      <c r="G13" s="86" t="s">
        <v>83</v>
      </c>
      <c r="H13" s="87" t="s">
        <v>84</v>
      </c>
      <c r="I13" s="87" t="s">
        <v>98</v>
      </c>
      <c r="J13" s="86" t="s">
        <v>35</v>
      </c>
      <c r="K13" s="88" t="s">
        <v>99</v>
      </c>
      <c r="L13" s="89">
        <v>2000.0</v>
      </c>
      <c r="M13" s="88">
        <v>40.0</v>
      </c>
      <c r="N13" s="88">
        <v>750.0</v>
      </c>
      <c r="O13" s="90">
        <f>IFERROR(VLOOKUP($A13,partlist,7,0),"n/f")</f>
        <v>0.15</v>
      </c>
      <c r="P13" s="91">
        <f>BOM!$F13*BOM!$O13</f>
        <v>0.15</v>
      </c>
    </row>
    <row r="14" ht="49.5" customHeight="1">
      <c r="A14" s="84">
        <v>302301.0</v>
      </c>
      <c r="B14" s="85" t="s">
        <v>100</v>
      </c>
      <c r="C14" s="84" t="s">
        <v>35</v>
      </c>
      <c r="D14" s="85" t="s">
        <v>101</v>
      </c>
      <c r="E14" s="85" t="s">
        <v>91</v>
      </c>
      <c r="F14" s="86">
        <v>1.0</v>
      </c>
      <c r="G14" s="86" t="s">
        <v>83</v>
      </c>
      <c r="H14" s="87" t="s">
        <v>84</v>
      </c>
      <c r="I14" s="87" t="s">
        <v>98</v>
      </c>
      <c r="J14" s="86" t="s">
        <v>35</v>
      </c>
      <c r="K14" s="88" t="s">
        <v>99</v>
      </c>
      <c r="L14" s="89">
        <v>2000.0</v>
      </c>
      <c r="M14" s="88">
        <v>40.0</v>
      </c>
      <c r="N14" s="88">
        <v>600.0</v>
      </c>
      <c r="O14" s="90">
        <f>IFERROR(VLOOKUP($A14,partlist,7,0),"n/f")</f>
        <v>0.12</v>
      </c>
      <c r="P14" s="91">
        <f>BOM!$F14*BOM!$O14</f>
        <v>0.12</v>
      </c>
    </row>
    <row r="15" ht="49.5" customHeight="1">
      <c r="A15" s="84">
        <v>302321.0</v>
      </c>
      <c r="B15" s="85" t="s">
        <v>102</v>
      </c>
      <c r="C15" s="84" t="s">
        <v>35</v>
      </c>
      <c r="D15" s="85" t="s">
        <v>103</v>
      </c>
      <c r="E15" s="85" t="s">
        <v>91</v>
      </c>
      <c r="F15" s="86">
        <v>1.0</v>
      </c>
      <c r="G15" s="86" t="s">
        <v>83</v>
      </c>
      <c r="H15" s="87" t="s">
        <v>84</v>
      </c>
      <c r="I15" s="87" t="s">
        <v>98</v>
      </c>
      <c r="J15" s="86" t="s">
        <v>35</v>
      </c>
      <c r="K15" s="88" t="s">
        <v>99</v>
      </c>
      <c r="L15" s="89">
        <v>2000.0</v>
      </c>
      <c r="M15" s="88">
        <v>40.0</v>
      </c>
      <c r="N15" s="88">
        <v>400.0</v>
      </c>
      <c r="O15" s="90">
        <f>IFERROR(VLOOKUP($A15,partlist,7,0),"n/f")</f>
        <v>0.12</v>
      </c>
      <c r="P15" s="91">
        <f>BOM!$F15*BOM!$O15</f>
        <v>0.12</v>
      </c>
    </row>
    <row r="16" ht="49.5" customHeight="1">
      <c r="A16" s="84">
        <v>20111.0</v>
      </c>
      <c r="B16" s="85" t="s">
        <v>104</v>
      </c>
      <c r="C16" s="84" t="s">
        <v>35</v>
      </c>
      <c r="D16" s="85" t="s">
        <v>105</v>
      </c>
      <c r="E16" s="85" t="s">
        <v>91</v>
      </c>
      <c r="F16" s="86">
        <v>1.0</v>
      </c>
      <c r="G16" s="86" t="s">
        <v>83</v>
      </c>
      <c r="H16" s="87"/>
      <c r="I16" s="87" t="s">
        <v>106</v>
      </c>
      <c r="J16" s="86" t="s">
        <v>35</v>
      </c>
      <c r="K16" s="88" t="s">
        <v>99</v>
      </c>
      <c r="L16" s="89">
        <v>1500.0</v>
      </c>
      <c r="M16" s="89">
        <v>30.0</v>
      </c>
      <c r="N16" s="89"/>
      <c r="O16" s="90">
        <f>IFERROR(VLOOKUP($A16,partlist,7,0),"n/f")</f>
        <v>0.24</v>
      </c>
      <c r="P16" s="91">
        <f>BOM!$F16*BOM!$O16</f>
        <v>0.24</v>
      </c>
    </row>
    <row r="17" ht="49.5" customHeight="1">
      <c r="A17" s="84">
        <v>4211473.0</v>
      </c>
      <c r="B17" s="85" t="s">
        <v>107</v>
      </c>
      <c r="C17" s="84" t="s">
        <v>35</v>
      </c>
      <c r="D17" s="85" t="s">
        <v>108</v>
      </c>
      <c r="E17" s="85" t="s">
        <v>91</v>
      </c>
      <c r="F17" s="86">
        <v>6.0E-4</v>
      </c>
      <c r="G17" s="86" t="s">
        <v>109</v>
      </c>
      <c r="H17" s="87" t="s">
        <v>84</v>
      </c>
      <c r="I17" s="87" t="s">
        <v>110</v>
      </c>
      <c r="J17" s="86" t="s">
        <v>111</v>
      </c>
      <c r="K17" s="88" t="s">
        <v>112</v>
      </c>
      <c r="L17" s="89">
        <v>2500.0</v>
      </c>
      <c r="M17" s="89">
        <v>30.0</v>
      </c>
      <c r="N17" s="89">
        <v>100.0</v>
      </c>
      <c r="O17" s="90">
        <f>IFERROR(VLOOKUP($A17,partlist,7,0),"n/f")</f>
        <v>129</v>
      </c>
      <c r="P17" s="91">
        <f>BOM!$F17*BOM!$O17</f>
        <v>0.0774</v>
      </c>
    </row>
    <row r="18" ht="49.5" customHeight="1">
      <c r="A18" s="92">
        <v>4504369.0</v>
      </c>
      <c r="B18" s="85" t="s">
        <v>113</v>
      </c>
      <c r="C18" s="84" t="s">
        <v>37</v>
      </c>
      <c r="D18" s="84" t="s">
        <v>114</v>
      </c>
      <c r="E18" s="85" t="s">
        <v>91</v>
      </c>
      <c r="F18" s="93">
        <v>1.0</v>
      </c>
      <c r="G18" s="93">
        <f>IFERROR(VLOOKUP($A18,partlist,7,0),"n/f")</f>
        <v>0.2</v>
      </c>
      <c r="H18" s="87" t="s">
        <v>115</v>
      </c>
      <c r="I18" s="87" t="s">
        <v>116</v>
      </c>
      <c r="J18" s="86" t="s">
        <v>111</v>
      </c>
      <c r="K18" s="88" t="s">
        <v>117</v>
      </c>
      <c r="L18" s="89">
        <v>10000.0</v>
      </c>
      <c r="M18" s="88">
        <v>14.0</v>
      </c>
      <c r="N18" s="88">
        <v>0.0</v>
      </c>
      <c r="O18" s="90">
        <f>IFERROR(VLOOKUP($A18,partlist,7,0),"n/f")</f>
        <v>0.2</v>
      </c>
      <c r="P18" s="91">
        <f>BOM!$F18*BOM!$O18</f>
        <v>0.2</v>
      </c>
    </row>
    <row r="19" ht="49.5" customHeight="1">
      <c r="A19" s="84">
        <v>3.4350013E8</v>
      </c>
      <c r="B19" s="85" t="s">
        <v>118</v>
      </c>
      <c r="C19" s="84" t="s">
        <v>119</v>
      </c>
      <c r="D19" s="85" t="s">
        <v>120</v>
      </c>
      <c r="E19" s="85" t="s">
        <v>82</v>
      </c>
      <c r="F19" s="86">
        <v>1.0</v>
      </c>
      <c r="G19" s="86" t="s">
        <v>83</v>
      </c>
      <c r="H19" s="87" t="s">
        <v>121</v>
      </c>
      <c r="I19" s="94"/>
      <c r="J19" s="86" t="s">
        <v>111</v>
      </c>
      <c r="K19" s="88" t="s">
        <v>122</v>
      </c>
      <c r="L19" s="89">
        <v>50000.0</v>
      </c>
      <c r="M19" s="88">
        <v>60.0</v>
      </c>
      <c r="N19" s="95"/>
      <c r="O19" s="90">
        <f>IFERROR(VLOOKUP($A19,partlist,7,0),"n/f")</f>
        <v>3.82</v>
      </c>
      <c r="P19" s="91">
        <f>BOM!$F19*BOM!$O19</f>
        <v>3.82</v>
      </c>
    </row>
    <row r="20" ht="49.5" customHeight="1">
      <c r="A20" s="84">
        <v>9.4807714E8</v>
      </c>
      <c r="B20" s="85" t="s">
        <v>123</v>
      </c>
      <c r="C20" s="84" t="s">
        <v>119</v>
      </c>
      <c r="D20" s="85" t="s">
        <v>124</v>
      </c>
      <c r="E20" s="85" t="s">
        <v>82</v>
      </c>
      <c r="F20" s="86">
        <v>1.0</v>
      </c>
      <c r="G20" s="86" t="s">
        <v>83</v>
      </c>
      <c r="H20" s="87" t="s">
        <v>115</v>
      </c>
      <c r="I20" s="94"/>
      <c r="J20" s="86" t="s">
        <v>111</v>
      </c>
      <c r="K20" s="88" t="s">
        <v>125</v>
      </c>
      <c r="L20" s="89">
        <v>20000.0</v>
      </c>
      <c r="M20" s="88">
        <v>21.0</v>
      </c>
      <c r="N20" s="95"/>
      <c r="O20" s="90">
        <f>IFERROR(VLOOKUP($A20,partlist,7,0),"n/f")</f>
        <v>1.86</v>
      </c>
      <c r="P20" s="91">
        <f>BOM!$F20*BOM!$O20</f>
        <v>1.86</v>
      </c>
    </row>
    <row r="21" ht="49.5" customHeight="1">
      <c r="A21" s="84">
        <v>2.2254886E7</v>
      </c>
      <c r="B21" s="85" t="s">
        <v>119</v>
      </c>
      <c r="C21" s="84" t="s">
        <v>119</v>
      </c>
      <c r="D21" s="85" t="s">
        <v>126</v>
      </c>
      <c r="E21" s="85" t="s">
        <v>91</v>
      </c>
      <c r="F21" s="86">
        <v>1.0</v>
      </c>
      <c r="G21" s="86" t="s">
        <v>83</v>
      </c>
      <c r="H21" s="87" t="s">
        <v>84</v>
      </c>
      <c r="I21" s="94"/>
      <c r="J21" s="86" t="s">
        <v>35</v>
      </c>
      <c r="K21" s="88" t="s">
        <v>127</v>
      </c>
      <c r="L21" s="89">
        <v>5000.0</v>
      </c>
      <c r="M21" s="89">
        <v>90.0</v>
      </c>
      <c r="N21" s="89">
        <v>1500.0</v>
      </c>
      <c r="O21" s="90">
        <f>IFERROR(VLOOKUP($A21,partlist,7,0),"n/f")</f>
        <v>5.23</v>
      </c>
      <c r="P21" s="91">
        <f>BOM!$F21*BOM!$O21</f>
        <v>5.23</v>
      </c>
    </row>
    <row r="22" ht="49.5" customHeight="1">
      <c r="A22" s="84">
        <v>22043.0</v>
      </c>
      <c r="B22" s="85" t="s">
        <v>128</v>
      </c>
      <c r="C22" s="84" t="s">
        <v>119</v>
      </c>
      <c r="D22" s="85" t="s">
        <v>129</v>
      </c>
      <c r="E22" s="85" t="s">
        <v>91</v>
      </c>
      <c r="F22" s="86">
        <v>0.022</v>
      </c>
      <c r="G22" s="86" t="s">
        <v>130</v>
      </c>
      <c r="H22" s="87" t="s">
        <v>115</v>
      </c>
      <c r="I22" s="94"/>
      <c r="J22" s="86" t="s">
        <v>111</v>
      </c>
      <c r="K22" s="88" t="s">
        <v>131</v>
      </c>
      <c r="L22" s="89">
        <v>1000.0</v>
      </c>
      <c r="M22" s="89">
        <v>3.0</v>
      </c>
      <c r="N22" s="89"/>
      <c r="O22" s="90">
        <f>IFERROR(VLOOKUP($A22,partlist,7,0),"n/f")</f>
        <v>6</v>
      </c>
      <c r="P22" s="91">
        <f>BOM!$F22*BOM!$O22</f>
        <v>0.132</v>
      </c>
    </row>
    <row r="23" ht="49.5" customHeight="1">
      <c r="A23" s="84">
        <v>22043.0</v>
      </c>
      <c r="B23" s="85" t="s">
        <v>132</v>
      </c>
      <c r="C23" s="84" t="s">
        <v>119</v>
      </c>
      <c r="D23" s="85" t="s">
        <v>133</v>
      </c>
      <c r="E23" s="85" t="s">
        <v>91</v>
      </c>
      <c r="F23" s="86">
        <v>0.013</v>
      </c>
      <c r="G23" s="86" t="s">
        <v>130</v>
      </c>
      <c r="H23" s="87" t="s">
        <v>115</v>
      </c>
      <c r="I23" s="94"/>
      <c r="J23" s="86" t="s">
        <v>111</v>
      </c>
      <c r="K23" s="88" t="s">
        <v>131</v>
      </c>
      <c r="L23" s="89">
        <v>1000.0</v>
      </c>
      <c r="M23" s="89">
        <v>3.0</v>
      </c>
      <c r="N23" s="89"/>
      <c r="O23" s="90">
        <f>IFERROR(VLOOKUP($A23,partlist,7,0),"n/f")</f>
        <v>6</v>
      </c>
      <c r="P23" s="91">
        <f>BOM!$F23*BOM!$O23</f>
        <v>0.078</v>
      </c>
    </row>
    <row r="24" ht="49.5" customHeight="1">
      <c r="A24" s="84">
        <v>5.1254683E7</v>
      </c>
      <c r="B24" s="85" t="s">
        <v>134</v>
      </c>
      <c r="C24" s="84" t="s">
        <v>119</v>
      </c>
      <c r="D24" s="85" t="s">
        <v>135</v>
      </c>
      <c r="E24" s="85" t="s">
        <v>91</v>
      </c>
      <c r="F24" s="86">
        <v>1.0</v>
      </c>
      <c r="G24" s="86" t="s">
        <v>83</v>
      </c>
      <c r="H24" s="87" t="s">
        <v>115</v>
      </c>
      <c r="I24" s="94"/>
      <c r="J24" s="86" t="s">
        <v>35</v>
      </c>
      <c r="K24" s="88" t="s">
        <v>131</v>
      </c>
      <c r="L24" s="89">
        <v>20000.0</v>
      </c>
      <c r="M24" s="89">
        <v>20.0</v>
      </c>
      <c r="N24" s="89">
        <v>1000.0</v>
      </c>
      <c r="O24" s="90">
        <f>IFERROR(VLOOKUP($A24,partlist,7,0),"n/f")</f>
        <v>0.06</v>
      </c>
      <c r="P24" s="91">
        <f>BOM!$F24*BOM!$O24</f>
        <v>0.06</v>
      </c>
    </row>
    <row r="25" ht="49.5" customHeight="1">
      <c r="A25" s="84">
        <v>9.22062448E8</v>
      </c>
      <c r="B25" s="85" t="s">
        <v>136</v>
      </c>
      <c r="C25" s="84" t="s">
        <v>137</v>
      </c>
      <c r="D25" s="85" t="s">
        <v>138</v>
      </c>
      <c r="E25" s="85" t="s">
        <v>82</v>
      </c>
      <c r="F25" s="86">
        <v>1.0</v>
      </c>
      <c r="G25" s="86" t="s">
        <v>83</v>
      </c>
      <c r="H25" s="87" t="s">
        <v>115</v>
      </c>
      <c r="I25" s="94"/>
      <c r="J25" s="86" t="s">
        <v>111</v>
      </c>
      <c r="K25" s="88" t="s">
        <v>139</v>
      </c>
      <c r="L25" s="89">
        <v>25000.0</v>
      </c>
      <c r="M25" s="88">
        <v>14.0</v>
      </c>
      <c r="N25" s="95"/>
      <c r="O25" s="90">
        <f>IFERROR(VLOOKUP($A25,partlist,7,0),"n/f")</f>
        <v>0.75</v>
      </c>
      <c r="P25" s="91">
        <f>BOM!$F25*BOM!$O25</f>
        <v>0.75</v>
      </c>
    </row>
    <row r="26" ht="49.5" customHeight="1">
      <c r="A26" s="84">
        <v>9.21558741E8</v>
      </c>
      <c r="B26" s="85" t="s">
        <v>140</v>
      </c>
      <c r="C26" s="84" t="s">
        <v>137</v>
      </c>
      <c r="D26" s="85" t="s">
        <v>141</v>
      </c>
      <c r="E26" s="85" t="s">
        <v>91</v>
      </c>
      <c r="F26" s="86">
        <v>1.0</v>
      </c>
      <c r="G26" s="86" t="s">
        <v>83</v>
      </c>
      <c r="H26" s="87" t="s">
        <v>115</v>
      </c>
      <c r="I26" s="94"/>
      <c r="J26" s="86" t="s">
        <v>111</v>
      </c>
      <c r="K26" s="88" t="s">
        <v>142</v>
      </c>
      <c r="L26" s="89">
        <v>40000.0</v>
      </c>
      <c r="M26" s="88">
        <v>10.0</v>
      </c>
      <c r="N26" s="95"/>
      <c r="O26" s="90">
        <f>IFERROR(VLOOKUP($A26,partlist,7,0),"n/f")</f>
        <v>0.24</v>
      </c>
      <c r="P26" s="91">
        <f>BOM!$F26*BOM!$O26</f>
        <v>0.24</v>
      </c>
    </row>
    <row r="27" ht="49.5" customHeight="1">
      <c r="A27" s="84">
        <v>2.2254862E7</v>
      </c>
      <c r="B27" s="85" t="s">
        <v>137</v>
      </c>
      <c r="C27" s="84" t="s">
        <v>137</v>
      </c>
      <c r="D27" s="85" t="s">
        <v>143</v>
      </c>
      <c r="E27" s="85" t="s">
        <v>91</v>
      </c>
      <c r="F27" s="86">
        <v>1.0</v>
      </c>
      <c r="G27" s="86" t="s">
        <v>83</v>
      </c>
      <c r="H27" s="87" t="s">
        <v>84</v>
      </c>
      <c r="I27" s="94"/>
      <c r="J27" s="86" t="s">
        <v>35</v>
      </c>
      <c r="K27" s="88" t="s">
        <v>127</v>
      </c>
      <c r="L27" s="89">
        <v>5000.0</v>
      </c>
      <c r="M27" s="89">
        <v>90.0</v>
      </c>
      <c r="N27" s="89">
        <v>1500.0</v>
      </c>
      <c r="O27" s="90">
        <f>IFERROR(VLOOKUP($A27,partlist,7,0),"n/f")</f>
        <v>1.15</v>
      </c>
      <c r="P27" s="91">
        <f>BOM!$F27*BOM!$O27</f>
        <v>1.15</v>
      </c>
    </row>
    <row r="28" ht="49.5" customHeight="1">
      <c r="A28" s="84">
        <v>2.2254851E7</v>
      </c>
      <c r="B28" s="85" t="s">
        <v>144</v>
      </c>
      <c r="C28" s="84" t="s">
        <v>144</v>
      </c>
      <c r="D28" s="85" t="s">
        <v>145</v>
      </c>
      <c r="E28" s="85" t="s">
        <v>91</v>
      </c>
      <c r="F28" s="86">
        <v>1.0</v>
      </c>
      <c r="G28" s="86" t="s">
        <v>83</v>
      </c>
      <c r="H28" s="87" t="s">
        <v>84</v>
      </c>
      <c r="I28" s="94"/>
      <c r="J28" s="86" t="s">
        <v>35</v>
      </c>
      <c r="K28" s="88" t="s">
        <v>127</v>
      </c>
      <c r="L28" s="89">
        <v>5000.0</v>
      </c>
      <c r="M28" s="89">
        <v>90.0</v>
      </c>
      <c r="N28" s="89">
        <v>1500.0</v>
      </c>
      <c r="O28" s="90">
        <f>IFERROR(VLOOKUP($A28,partlist,7,0),"n/f")</f>
        <v>1.12</v>
      </c>
      <c r="P28" s="91">
        <f>BOM!$F28*BOM!$O28</f>
        <v>1.12</v>
      </c>
    </row>
    <row r="29" ht="49.5" customHeight="1">
      <c r="A29" s="84">
        <v>9.8844012E7</v>
      </c>
      <c r="B29" s="96" t="s">
        <v>146</v>
      </c>
      <c r="C29" s="84" t="s">
        <v>39</v>
      </c>
      <c r="D29" s="85" t="s">
        <v>147</v>
      </c>
      <c r="E29" s="85" t="s">
        <v>82</v>
      </c>
      <c r="F29" s="86">
        <v>2.0</v>
      </c>
      <c r="G29" s="86" t="s">
        <v>83</v>
      </c>
      <c r="H29" s="87" t="s">
        <v>121</v>
      </c>
      <c r="I29" s="94"/>
      <c r="J29" s="86" t="s">
        <v>35</v>
      </c>
      <c r="K29" s="88" t="s">
        <v>148</v>
      </c>
      <c r="L29" s="89">
        <v>50000.0</v>
      </c>
      <c r="M29" s="88">
        <v>50.0</v>
      </c>
      <c r="N29" s="95"/>
      <c r="O29" s="90">
        <f>IFERROR(VLOOKUP($A29,partlist,7,0),"n/f")</f>
        <v>0.8</v>
      </c>
      <c r="P29" s="91">
        <f>BOM!$F29*BOM!$O29</f>
        <v>1.6</v>
      </c>
    </row>
    <row r="30" ht="49.5" customHeight="1">
      <c r="A30" s="84">
        <v>9.8843558E7</v>
      </c>
      <c r="B30" s="84" t="s">
        <v>149</v>
      </c>
      <c r="C30" s="84" t="s">
        <v>39</v>
      </c>
      <c r="D30" s="85" t="s">
        <v>150</v>
      </c>
      <c r="E30" s="85" t="s">
        <v>91</v>
      </c>
      <c r="F30" s="86">
        <v>1.0</v>
      </c>
      <c r="G30" s="86" t="s">
        <v>83</v>
      </c>
      <c r="H30" s="87" t="s">
        <v>115</v>
      </c>
      <c r="I30" s="94"/>
      <c r="J30" s="86" t="s">
        <v>111</v>
      </c>
      <c r="K30" s="88" t="s">
        <v>151</v>
      </c>
      <c r="L30" s="89">
        <v>10000.0</v>
      </c>
      <c r="M30" s="88">
        <v>7.0</v>
      </c>
      <c r="N30" s="95"/>
      <c r="O30" s="90">
        <f>IFERROR(VLOOKUP($A30,partlist,7,0),"n/f")</f>
        <v>0.32</v>
      </c>
      <c r="P30" s="91">
        <f>BOM!$F30*BOM!$O30</f>
        <v>0.32</v>
      </c>
    </row>
    <row r="31" ht="49.5" customHeight="1">
      <c r="A31" s="84">
        <v>9.8835688E7</v>
      </c>
      <c r="B31" s="85" t="s">
        <v>152</v>
      </c>
      <c r="C31" s="84" t="s">
        <v>39</v>
      </c>
      <c r="D31" s="85" t="s">
        <v>153</v>
      </c>
      <c r="E31" s="85" t="s">
        <v>91</v>
      </c>
      <c r="F31" s="86">
        <v>2.0</v>
      </c>
      <c r="G31" s="86" t="s">
        <v>83</v>
      </c>
      <c r="H31" s="87" t="s">
        <v>115</v>
      </c>
      <c r="I31" s="94"/>
      <c r="J31" s="86" t="s">
        <v>111</v>
      </c>
      <c r="K31" s="88" t="s">
        <v>148</v>
      </c>
      <c r="L31" s="89">
        <v>10000.0</v>
      </c>
      <c r="M31" s="88">
        <v>10.0</v>
      </c>
      <c r="N31" s="95"/>
      <c r="O31" s="90">
        <f>IFERROR(VLOOKUP($A31,partlist,7,0),"n/f")</f>
        <v>0.59</v>
      </c>
      <c r="P31" s="91">
        <f>BOM!$F31*BOM!$O31</f>
        <v>1.18</v>
      </c>
    </row>
    <row r="32" ht="49.5" customHeight="1">
      <c r="A32" s="84">
        <v>9.8838466E7</v>
      </c>
      <c r="B32" s="85" t="s">
        <v>154</v>
      </c>
      <c r="C32" s="84" t="s">
        <v>39</v>
      </c>
      <c r="D32" s="85" t="s">
        <v>155</v>
      </c>
      <c r="E32" s="85" t="s">
        <v>82</v>
      </c>
      <c r="F32" s="86">
        <v>2.0</v>
      </c>
      <c r="G32" s="86" t="s">
        <v>83</v>
      </c>
      <c r="H32" s="87" t="s">
        <v>121</v>
      </c>
      <c r="I32" s="94"/>
      <c r="J32" s="86" t="s">
        <v>35</v>
      </c>
      <c r="K32" s="88" t="s">
        <v>127</v>
      </c>
      <c r="L32" s="89">
        <v>50000.0</v>
      </c>
      <c r="M32" s="88">
        <v>25.0</v>
      </c>
      <c r="N32" s="95"/>
      <c r="O32" s="90">
        <f>IFERROR(VLOOKUP($A32,partlist,7,0),"n/f")</f>
        <v>1.99</v>
      </c>
      <c r="P32" s="91">
        <f>BOM!$F32*BOM!$O32</f>
        <v>3.98</v>
      </c>
    </row>
    <row r="33" ht="49.5" customHeight="1">
      <c r="A33" s="84">
        <v>10030.0</v>
      </c>
      <c r="B33" s="85" t="s">
        <v>156</v>
      </c>
      <c r="C33" s="84" t="s">
        <v>39</v>
      </c>
      <c r="D33" s="85" t="s">
        <v>157</v>
      </c>
      <c r="E33" s="85" t="s">
        <v>82</v>
      </c>
      <c r="F33" s="86">
        <v>1.0</v>
      </c>
      <c r="G33" s="86" t="s">
        <v>83</v>
      </c>
      <c r="H33" s="87" t="s">
        <v>121</v>
      </c>
      <c r="I33" s="94"/>
      <c r="J33" s="86" t="s">
        <v>111</v>
      </c>
      <c r="K33" s="88" t="s">
        <v>158</v>
      </c>
      <c r="L33" s="89">
        <v>5000.0</v>
      </c>
      <c r="M33" s="88">
        <v>70.0</v>
      </c>
      <c r="N33" s="95"/>
      <c r="O33" s="90">
        <f>IFERROR(VLOOKUP($A33,partlist,7,0),"n/f")</f>
        <v>0.85</v>
      </c>
      <c r="P33" s="91">
        <f>BOM!$F33*BOM!$O33</f>
        <v>0.85</v>
      </c>
    </row>
    <row r="34" ht="49.5" customHeight="1">
      <c r="A34" s="84">
        <v>2771.0</v>
      </c>
      <c r="B34" s="85" t="s">
        <v>159</v>
      </c>
      <c r="C34" s="84" t="s">
        <v>160</v>
      </c>
      <c r="D34" s="85" t="s">
        <v>161</v>
      </c>
      <c r="E34" s="85" t="s">
        <v>91</v>
      </c>
      <c r="F34" s="86">
        <v>0.5</v>
      </c>
      <c r="G34" s="86" t="s">
        <v>162</v>
      </c>
      <c r="H34" s="87" t="s">
        <v>115</v>
      </c>
      <c r="I34" s="94"/>
      <c r="J34" s="86" t="s">
        <v>111</v>
      </c>
      <c r="K34" s="88" t="s">
        <v>163</v>
      </c>
      <c r="L34" s="95"/>
      <c r="M34" s="88">
        <v>2.0</v>
      </c>
      <c r="N34" s="95"/>
      <c r="O34" s="90">
        <f>IFERROR(VLOOKUP($A34,partlist,7,0),"n/f")</f>
        <v>0.06</v>
      </c>
      <c r="P34" s="91">
        <f>BOM!$F34*BOM!$O34</f>
        <v>0.03</v>
      </c>
    </row>
    <row r="35" ht="20.25" customHeight="1">
      <c r="A35" s="97"/>
      <c r="B35" s="97"/>
      <c r="C35" s="97"/>
      <c r="D35" s="98"/>
      <c r="E35" s="99" t="s">
        <v>164</v>
      </c>
      <c r="F35" s="100"/>
      <c r="G35" s="100"/>
      <c r="H35" s="101"/>
      <c r="I35" s="101"/>
      <c r="J35" s="100"/>
      <c r="K35" s="98"/>
      <c r="L35" s="102" t="s">
        <v>165</v>
      </c>
      <c r="M35" s="103"/>
      <c r="N35" s="104">
        <f>SUBTOTAL(109,BOM!$N$10:$N$34)</f>
        <v>55350</v>
      </c>
      <c r="O35" s="99" t="s">
        <v>36</v>
      </c>
      <c r="P35" s="104">
        <f>sum(P9:P34)</f>
        <v>24.4774</v>
      </c>
    </row>
    <row r="36" ht="15.75" customHeight="1">
      <c r="A36" s="105"/>
      <c r="B36" s="105"/>
      <c r="C36" s="105"/>
      <c r="D36" s="106"/>
      <c r="E36" s="107"/>
      <c r="F36" s="108"/>
      <c r="G36" s="108"/>
      <c r="H36" s="109"/>
      <c r="I36" s="109"/>
      <c r="J36" s="108"/>
      <c r="K36" s="110"/>
      <c r="L36" s="111" t="s">
        <v>54</v>
      </c>
      <c r="M36" s="112"/>
      <c r="N36" s="112">
        <v>100000.0</v>
      </c>
      <c r="O36" s="113" t="s">
        <v>166</v>
      </c>
      <c r="P36" s="114">
        <f>N35/N36+P35</f>
        <v>25.0309</v>
      </c>
    </row>
    <row r="37" ht="15.75" customHeight="1">
      <c r="A37" s="115"/>
      <c r="B37" s="115"/>
      <c r="C37" s="115"/>
      <c r="D37" s="115"/>
      <c r="E37" s="115"/>
      <c r="F37" s="116"/>
      <c r="G37" s="116"/>
      <c r="H37" s="117"/>
      <c r="I37" s="117"/>
      <c r="J37" s="116"/>
      <c r="K37" s="116"/>
      <c r="L37" s="116"/>
      <c r="M37" s="116"/>
      <c r="N37" s="116"/>
      <c r="O37" s="115"/>
      <c r="P37" s="115"/>
    </row>
  </sheetData>
  <autoFilter ref="$A$8:$P$36"/>
  <conditionalFormatting sqref="K8:N8">
    <cfRule type="containsText" dxfId="0" priority="1" operator="containsText" text="Vertex42.com">
      <formula>NOT(ISERROR(SEARCH(("Vertex42.com"),(K8))))</formula>
    </cfRule>
  </conditionalFormatting>
  <dataValidations>
    <dataValidation type="list" allowBlank="1" sqref="A9:A34">
      <formula1>'Part List'!$A$9:$A$33</formula1>
    </dataValidation>
  </dataValidations>
  <printOptions horizontalCentered="1"/>
  <pageMargins bottom="0.75" footer="0.0" header="0.0" left="0.7" right="0.7" top="0.75"/>
  <pageSetup fitToWidth="0" paperSize="9" orientation="portrait"/>
  <headerFooter>
    <oddHeader>&amp;L</oddHeader>
    <oddFooter>&amp;LBill of Materials Template © 2019 by Vertex42.com&amp;RPage 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1.22" defaultRowHeight="15.0"/>
  <cols>
    <col customWidth="1" min="1" max="1" width="16.89"/>
    <col customWidth="1" min="2" max="2" width="13.56"/>
    <col customWidth="1" min="3" max="3" width="16.67"/>
    <col customWidth="1" min="4" max="4" width="21.56"/>
    <col customWidth="1" min="5" max="5" width="9.56"/>
    <col customWidth="1" min="6" max="6" width="7.67"/>
    <col customWidth="1" min="7" max="7" width="11.11"/>
  </cols>
  <sheetData>
    <row r="1" ht="24.75" customHeight="1">
      <c r="A1" s="62" t="s">
        <v>57</v>
      </c>
      <c r="B1" s="63"/>
      <c r="E1" s="67" t="str">
        <f>HYPERLINK("https://www.formlabs.com/","Template by Formlabs")</f>
        <v>Template by Formlabs</v>
      </c>
      <c r="F1" s="65"/>
      <c r="G1" s="65"/>
    </row>
    <row r="2" ht="15.0" customHeight="1">
      <c r="A2" s="68" t="s">
        <v>58</v>
      </c>
      <c r="B2" s="68" t="s">
        <v>59</v>
      </c>
      <c r="F2" s="64"/>
      <c r="G2" s="64"/>
    </row>
    <row r="3" ht="15.0" customHeight="1">
      <c r="A3" s="68" t="s">
        <v>60</v>
      </c>
      <c r="B3" s="70" t="s">
        <v>61</v>
      </c>
      <c r="F3" s="64"/>
      <c r="G3" s="64"/>
    </row>
    <row r="4" ht="15.0" customHeight="1">
      <c r="A4" s="72" t="s">
        <v>63</v>
      </c>
      <c r="B4" s="72" t="s">
        <v>64</v>
      </c>
      <c r="F4" s="64"/>
      <c r="G4" s="64"/>
    </row>
    <row r="5" ht="15.0" customHeight="1">
      <c r="A5" s="73" t="s">
        <v>65</v>
      </c>
      <c r="B5" s="72">
        <v>21.0</v>
      </c>
      <c r="F5" s="64"/>
      <c r="G5" s="64"/>
    </row>
    <row r="6" ht="15.0" customHeight="1">
      <c r="A6" s="73" t="s">
        <v>66</v>
      </c>
      <c r="B6" s="74">
        <v>43451.0</v>
      </c>
      <c r="F6" s="64"/>
      <c r="G6" s="64"/>
    </row>
    <row r="7" ht="15.0" customHeight="1">
      <c r="A7" s="77"/>
      <c r="B7" s="118"/>
      <c r="F7" s="64"/>
      <c r="G7" s="64"/>
    </row>
    <row r="8" ht="16.5" customHeight="1">
      <c r="A8" s="79" t="s">
        <v>67</v>
      </c>
      <c r="B8" s="79" t="s">
        <v>28</v>
      </c>
      <c r="C8" s="79" t="s">
        <v>29</v>
      </c>
      <c r="D8" s="79" t="s">
        <v>30</v>
      </c>
      <c r="E8" s="79" t="s">
        <v>167</v>
      </c>
      <c r="F8" s="83" t="s">
        <v>70</v>
      </c>
      <c r="G8" s="83" t="s">
        <v>79</v>
      </c>
    </row>
    <row r="9" ht="29.25" customHeight="1">
      <c r="A9" s="84">
        <v>2771.0</v>
      </c>
      <c r="B9" s="85" t="s">
        <v>40</v>
      </c>
      <c r="C9" s="85" t="s">
        <v>159</v>
      </c>
      <c r="D9" s="85" t="s">
        <v>161</v>
      </c>
      <c r="E9" s="95"/>
      <c r="F9" s="119" t="s">
        <v>162</v>
      </c>
      <c r="G9" s="119">
        <v>0.06</v>
      </c>
    </row>
    <row r="10" ht="29.25" customHeight="1">
      <c r="A10" s="92">
        <v>302301.0</v>
      </c>
      <c r="B10" s="85" t="s">
        <v>35</v>
      </c>
      <c r="C10" s="85" t="s">
        <v>100</v>
      </c>
      <c r="D10" s="85" t="s">
        <v>101</v>
      </c>
      <c r="E10" s="95"/>
      <c r="F10" s="119" t="s">
        <v>83</v>
      </c>
      <c r="G10" s="119">
        <v>0.12</v>
      </c>
    </row>
    <row r="11" ht="29.25" customHeight="1">
      <c r="A11" s="92">
        <v>302201.0</v>
      </c>
      <c r="B11" s="85" t="s">
        <v>35</v>
      </c>
      <c r="C11" s="85" t="s">
        <v>96</v>
      </c>
      <c r="D11" s="85" t="s">
        <v>97</v>
      </c>
      <c r="E11" s="95"/>
      <c r="F11" s="119" t="s">
        <v>83</v>
      </c>
      <c r="G11" s="120">
        <v>0.15</v>
      </c>
    </row>
    <row r="12" ht="29.25" customHeight="1">
      <c r="A12" s="84">
        <v>302321.0</v>
      </c>
      <c r="B12" s="85" t="s">
        <v>35</v>
      </c>
      <c r="C12" s="85" t="s">
        <v>102</v>
      </c>
      <c r="D12" s="85" t="s">
        <v>103</v>
      </c>
      <c r="E12" s="95"/>
      <c r="F12" s="119" t="s">
        <v>83</v>
      </c>
      <c r="G12" s="119">
        <v>0.12</v>
      </c>
    </row>
    <row r="13" ht="29.25" customHeight="1">
      <c r="A13" s="84">
        <v>17221.0</v>
      </c>
      <c r="B13" s="85" t="s">
        <v>35</v>
      </c>
      <c r="C13" s="85" t="s">
        <v>80</v>
      </c>
      <c r="D13" s="85" t="s">
        <v>81</v>
      </c>
      <c r="E13" s="95"/>
      <c r="F13" s="119" t="s">
        <v>83</v>
      </c>
      <c r="G13" s="119">
        <v>0.42</v>
      </c>
    </row>
    <row r="14" ht="29.25" customHeight="1">
      <c r="A14" s="84">
        <v>17222.0</v>
      </c>
      <c r="B14" s="85" t="s">
        <v>35</v>
      </c>
      <c r="C14" s="85" t="s">
        <v>87</v>
      </c>
      <c r="D14" s="85" t="s">
        <v>88</v>
      </c>
      <c r="E14" s="95"/>
      <c r="F14" s="119" t="s">
        <v>83</v>
      </c>
      <c r="G14" s="119">
        <v>0.18</v>
      </c>
    </row>
    <row r="15" ht="29.25" customHeight="1">
      <c r="A15" s="84">
        <v>17223.0</v>
      </c>
      <c r="B15" s="85" t="s">
        <v>35</v>
      </c>
      <c r="C15" s="85" t="s">
        <v>89</v>
      </c>
      <c r="D15" s="85" t="s">
        <v>90</v>
      </c>
      <c r="E15" s="95"/>
      <c r="F15" s="119" t="s">
        <v>83</v>
      </c>
      <c r="G15" s="119">
        <v>0.45</v>
      </c>
    </row>
    <row r="16" ht="29.25" customHeight="1">
      <c r="A16" s="84">
        <v>17224.0</v>
      </c>
      <c r="B16" s="85" t="s">
        <v>35</v>
      </c>
      <c r="C16" s="85" t="s">
        <v>93</v>
      </c>
      <c r="D16" s="85" t="s">
        <v>94</v>
      </c>
      <c r="E16" s="95"/>
      <c r="F16" s="119" t="s">
        <v>83</v>
      </c>
      <c r="G16" s="119">
        <v>0.12</v>
      </c>
    </row>
    <row r="17" ht="29.25" customHeight="1">
      <c r="A17" s="84">
        <v>20111.0</v>
      </c>
      <c r="B17" s="85" t="s">
        <v>35</v>
      </c>
      <c r="C17" s="85" t="s">
        <v>104</v>
      </c>
      <c r="D17" s="85" t="s">
        <v>105</v>
      </c>
      <c r="E17" s="95"/>
      <c r="F17" s="119" t="s">
        <v>83</v>
      </c>
      <c r="G17" s="119">
        <v>0.24</v>
      </c>
    </row>
    <row r="18" ht="29.25" customHeight="1">
      <c r="A18" s="84">
        <v>22043.0</v>
      </c>
      <c r="B18" s="85" t="s">
        <v>119</v>
      </c>
      <c r="C18" s="85" t="s">
        <v>128</v>
      </c>
      <c r="D18" s="85" t="s">
        <v>168</v>
      </c>
      <c r="E18" s="95"/>
      <c r="F18" s="119" t="s">
        <v>130</v>
      </c>
      <c r="G18" s="119">
        <v>6.0</v>
      </c>
    </row>
    <row r="19" ht="29.25" customHeight="1">
      <c r="A19" s="84">
        <v>10030.0</v>
      </c>
      <c r="B19" s="85" t="s">
        <v>39</v>
      </c>
      <c r="C19" s="85" t="s">
        <v>156</v>
      </c>
      <c r="D19" s="85" t="s">
        <v>157</v>
      </c>
      <c r="E19" s="95"/>
      <c r="F19" s="119" t="s">
        <v>83</v>
      </c>
      <c r="G19" s="119">
        <v>0.85</v>
      </c>
    </row>
    <row r="20" ht="29.25" customHeight="1">
      <c r="A20" s="84">
        <v>2.2254886E7</v>
      </c>
      <c r="B20" s="85" t="s">
        <v>119</v>
      </c>
      <c r="C20" s="84" t="s">
        <v>119</v>
      </c>
      <c r="D20" s="85" t="s">
        <v>126</v>
      </c>
      <c r="E20" s="95"/>
      <c r="F20" s="119" t="s">
        <v>83</v>
      </c>
      <c r="G20" s="119">
        <v>5.23</v>
      </c>
    </row>
    <row r="21" ht="29.25" customHeight="1">
      <c r="A21" s="84">
        <v>2.2254862E7</v>
      </c>
      <c r="B21" s="85" t="s">
        <v>137</v>
      </c>
      <c r="C21" s="84" t="s">
        <v>137</v>
      </c>
      <c r="D21" s="85" t="s">
        <v>143</v>
      </c>
      <c r="E21" s="95"/>
      <c r="F21" s="119" t="s">
        <v>83</v>
      </c>
      <c r="G21" s="119">
        <v>1.15</v>
      </c>
    </row>
    <row r="22" ht="29.25" customHeight="1">
      <c r="A22" s="84">
        <v>2.2254851E7</v>
      </c>
      <c r="B22" s="85" t="s">
        <v>144</v>
      </c>
      <c r="C22" s="84" t="s">
        <v>144</v>
      </c>
      <c r="D22" s="85" t="s">
        <v>145</v>
      </c>
      <c r="E22" s="95"/>
      <c r="F22" s="119" t="s">
        <v>83</v>
      </c>
      <c r="G22" s="119">
        <v>1.12</v>
      </c>
    </row>
    <row r="23" ht="29.25" customHeight="1">
      <c r="A23" s="84">
        <v>3.4350013E8</v>
      </c>
      <c r="B23" s="85" t="s">
        <v>119</v>
      </c>
      <c r="C23" s="85" t="s">
        <v>118</v>
      </c>
      <c r="D23" s="85" t="s">
        <v>120</v>
      </c>
      <c r="E23" s="95"/>
      <c r="F23" s="119" t="s">
        <v>83</v>
      </c>
      <c r="G23" s="119">
        <v>3.82</v>
      </c>
    </row>
    <row r="24" ht="29.25" customHeight="1">
      <c r="A24" s="92">
        <v>4211473.0</v>
      </c>
      <c r="B24" s="85" t="s">
        <v>35</v>
      </c>
      <c r="C24" s="85" t="s">
        <v>107</v>
      </c>
      <c r="D24" s="85" t="s">
        <v>108</v>
      </c>
      <c r="E24" s="95"/>
      <c r="F24" s="119" t="s">
        <v>109</v>
      </c>
      <c r="G24" s="119">
        <v>129.0</v>
      </c>
    </row>
    <row r="25" ht="29.25" customHeight="1">
      <c r="A25" s="84">
        <v>4504369.0</v>
      </c>
      <c r="B25" s="85" t="s">
        <v>113</v>
      </c>
      <c r="C25" s="85" t="s">
        <v>113</v>
      </c>
      <c r="D25" s="85" t="s">
        <v>114</v>
      </c>
      <c r="E25" s="95"/>
      <c r="F25" s="119"/>
      <c r="G25" s="119">
        <v>0.2</v>
      </c>
    </row>
    <row r="26" ht="29.25" customHeight="1">
      <c r="A26" s="84">
        <v>5.1254683E7</v>
      </c>
      <c r="B26" s="85" t="s">
        <v>119</v>
      </c>
      <c r="C26" s="85" t="s">
        <v>134</v>
      </c>
      <c r="D26" s="85" t="s">
        <v>135</v>
      </c>
      <c r="E26" s="95"/>
      <c r="F26" s="119" t="s">
        <v>83</v>
      </c>
      <c r="G26" s="119">
        <v>0.06</v>
      </c>
    </row>
    <row r="27" ht="29.25" customHeight="1">
      <c r="A27" s="84">
        <v>9.22062448E8</v>
      </c>
      <c r="B27" s="85" t="s">
        <v>137</v>
      </c>
      <c r="C27" s="85" t="s">
        <v>136</v>
      </c>
      <c r="D27" s="85" t="s">
        <v>138</v>
      </c>
      <c r="E27" s="95"/>
      <c r="F27" s="119" t="s">
        <v>83</v>
      </c>
      <c r="G27" s="119">
        <v>0.75</v>
      </c>
    </row>
    <row r="28" ht="29.25" customHeight="1">
      <c r="A28" s="84">
        <v>9.4807714E8</v>
      </c>
      <c r="B28" s="85" t="s">
        <v>119</v>
      </c>
      <c r="C28" s="85" t="s">
        <v>123</v>
      </c>
      <c r="D28" s="85" t="s">
        <v>124</v>
      </c>
      <c r="E28" s="95"/>
      <c r="F28" s="119" t="s">
        <v>83</v>
      </c>
      <c r="G28" s="119">
        <v>1.86</v>
      </c>
    </row>
    <row r="29" ht="29.25" customHeight="1">
      <c r="A29" s="84">
        <v>9.21558741E8</v>
      </c>
      <c r="B29" s="85" t="s">
        <v>137</v>
      </c>
      <c r="C29" s="85" t="s">
        <v>140</v>
      </c>
      <c r="D29" s="85" t="s">
        <v>141</v>
      </c>
      <c r="E29" s="95"/>
      <c r="F29" s="119" t="s">
        <v>83</v>
      </c>
      <c r="G29" s="119">
        <v>0.24</v>
      </c>
    </row>
    <row r="30" ht="29.25" customHeight="1">
      <c r="A30" s="84">
        <v>9.8844012E7</v>
      </c>
      <c r="B30" s="85" t="s">
        <v>39</v>
      </c>
      <c r="C30" s="96" t="s">
        <v>146</v>
      </c>
      <c r="D30" s="85" t="s">
        <v>147</v>
      </c>
      <c r="E30" s="95"/>
      <c r="F30" s="119" t="s">
        <v>83</v>
      </c>
      <c r="G30" s="119">
        <v>0.8</v>
      </c>
    </row>
    <row r="31" ht="29.25" customHeight="1">
      <c r="A31" s="84">
        <v>9.8843558E7</v>
      </c>
      <c r="B31" s="85" t="s">
        <v>39</v>
      </c>
      <c r="C31" s="84" t="s">
        <v>149</v>
      </c>
      <c r="D31" s="85" t="s">
        <v>150</v>
      </c>
      <c r="E31" s="95"/>
      <c r="F31" s="119" t="s">
        <v>83</v>
      </c>
      <c r="G31" s="119">
        <v>0.32</v>
      </c>
    </row>
    <row r="32" ht="29.25" customHeight="1">
      <c r="A32" s="84">
        <v>9.8835688E7</v>
      </c>
      <c r="B32" s="85" t="s">
        <v>39</v>
      </c>
      <c r="C32" s="85" t="s">
        <v>152</v>
      </c>
      <c r="D32" s="85" t="s">
        <v>153</v>
      </c>
      <c r="E32" s="95"/>
      <c r="F32" s="119" t="s">
        <v>83</v>
      </c>
      <c r="G32" s="119">
        <v>0.59</v>
      </c>
    </row>
    <row r="33" ht="29.25" customHeight="1">
      <c r="A33" s="84">
        <v>9.8838466E7</v>
      </c>
      <c r="B33" s="85" t="s">
        <v>39</v>
      </c>
      <c r="C33" s="85" t="s">
        <v>154</v>
      </c>
      <c r="D33" s="85" t="s">
        <v>155</v>
      </c>
      <c r="E33" s="121"/>
      <c r="F33" s="119" t="s">
        <v>83</v>
      </c>
      <c r="G33" s="119">
        <v>1.99</v>
      </c>
    </row>
    <row r="34" ht="29.25" customHeight="1">
      <c r="A34" s="122"/>
      <c r="B34" s="123"/>
      <c r="C34" s="123"/>
      <c r="D34" s="123"/>
      <c r="E34" s="124"/>
      <c r="F34" s="125"/>
      <c r="G34" s="126"/>
    </row>
    <row r="35" ht="29.25" customHeight="1">
      <c r="A35" s="122"/>
      <c r="B35" s="123"/>
      <c r="C35" s="123"/>
      <c r="D35" s="123"/>
      <c r="E35" s="124"/>
      <c r="F35" s="125"/>
      <c r="G35" s="126"/>
    </row>
    <row r="36" ht="29.25" customHeight="1">
      <c r="A36" s="122"/>
      <c r="B36" s="123"/>
      <c r="C36" s="123"/>
      <c r="D36" s="123"/>
      <c r="E36" s="124"/>
      <c r="F36" s="125"/>
      <c r="G36" s="126"/>
    </row>
    <row r="37" ht="29.25" customHeight="1">
      <c r="A37" s="122"/>
      <c r="B37" s="123"/>
      <c r="C37" s="123"/>
      <c r="D37" s="123"/>
      <c r="E37" s="124"/>
      <c r="F37" s="125"/>
      <c r="G37" s="126"/>
    </row>
    <row r="38" ht="29.25" customHeight="1">
      <c r="A38" s="122"/>
      <c r="B38" s="123"/>
      <c r="C38" s="123"/>
      <c r="D38" s="123"/>
      <c r="E38" s="124"/>
      <c r="F38" s="125"/>
      <c r="G38" s="126"/>
    </row>
    <row r="39" ht="29.25" customHeight="1">
      <c r="A39" s="122"/>
      <c r="B39" s="123"/>
      <c r="C39" s="123"/>
      <c r="D39" s="123"/>
      <c r="E39" s="124"/>
      <c r="F39" s="125"/>
      <c r="G39" s="126"/>
    </row>
    <row r="40" ht="29.25" customHeight="1">
      <c r="A40" s="122"/>
      <c r="B40" s="123"/>
      <c r="C40" s="123"/>
      <c r="D40" s="123"/>
      <c r="E40" s="124"/>
      <c r="F40" s="125"/>
      <c r="G40" s="126"/>
    </row>
    <row r="41" ht="29.25" customHeight="1">
      <c r="A41" s="122"/>
      <c r="B41" s="123"/>
      <c r="C41" s="123"/>
      <c r="D41" s="123"/>
      <c r="E41" s="124"/>
      <c r="F41" s="125"/>
      <c r="G41" s="126"/>
    </row>
    <row r="42" ht="29.25" customHeight="1">
      <c r="A42" s="122"/>
      <c r="B42" s="123"/>
      <c r="C42" s="123"/>
      <c r="D42" s="123"/>
      <c r="E42" s="124"/>
      <c r="F42" s="125"/>
      <c r="G42" s="126"/>
    </row>
    <row r="43" ht="29.25" customHeight="1">
      <c r="A43" s="122"/>
      <c r="B43" s="123"/>
      <c r="C43" s="123"/>
      <c r="D43" s="123"/>
      <c r="E43" s="124"/>
      <c r="F43" s="125"/>
      <c r="G43" s="126"/>
    </row>
    <row r="44" ht="29.25" customHeight="1">
      <c r="A44" s="122"/>
      <c r="B44" s="123"/>
      <c r="C44" s="123"/>
      <c r="D44" s="123"/>
      <c r="E44" s="124"/>
      <c r="F44" s="125"/>
      <c r="G44" s="126"/>
    </row>
    <row r="45" ht="29.25" customHeight="1">
      <c r="A45" s="122"/>
      <c r="B45" s="123"/>
      <c r="C45" s="123"/>
      <c r="D45" s="123"/>
      <c r="E45" s="124"/>
      <c r="F45" s="125"/>
      <c r="G45" s="126"/>
    </row>
    <row r="46" ht="29.25" customHeight="1">
      <c r="A46" s="122"/>
      <c r="B46" s="123"/>
      <c r="C46" s="123"/>
      <c r="D46" s="123"/>
      <c r="E46" s="124"/>
      <c r="F46" s="125"/>
      <c r="G46" s="126"/>
    </row>
    <row r="47" ht="29.25" customHeight="1">
      <c r="A47" s="122"/>
      <c r="B47" s="123"/>
      <c r="C47" s="123"/>
      <c r="D47" s="123"/>
      <c r="E47" s="124"/>
      <c r="F47" s="125"/>
      <c r="G47" s="126"/>
    </row>
    <row r="48" ht="29.25" customHeight="1">
      <c r="A48" s="122"/>
      <c r="B48" s="123"/>
      <c r="C48" s="123"/>
      <c r="D48" s="123"/>
      <c r="E48" s="124"/>
      <c r="F48" s="125"/>
      <c r="G48" s="126"/>
    </row>
    <row r="49" ht="29.25" customHeight="1">
      <c r="A49" s="122"/>
      <c r="B49" s="123"/>
      <c r="C49" s="123"/>
      <c r="D49" s="123"/>
      <c r="E49" s="124"/>
      <c r="F49" s="125"/>
      <c r="G49" s="126"/>
    </row>
    <row r="50" ht="29.25" customHeight="1">
      <c r="A50" s="122"/>
      <c r="B50" s="123"/>
      <c r="C50" s="123"/>
      <c r="D50" s="123"/>
      <c r="E50" s="124"/>
      <c r="F50" s="125"/>
      <c r="G50" s="126"/>
    </row>
    <row r="51" ht="29.25" customHeight="1">
      <c r="A51" s="122"/>
      <c r="B51" s="123"/>
      <c r="C51" s="123"/>
      <c r="D51" s="123"/>
      <c r="E51" s="124"/>
      <c r="F51" s="125"/>
      <c r="G51" s="126"/>
    </row>
    <row r="52" ht="29.25" customHeight="1">
      <c r="A52" s="122"/>
      <c r="B52" s="123"/>
      <c r="C52" s="123"/>
      <c r="D52" s="123"/>
      <c r="E52" s="124"/>
      <c r="F52" s="125"/>
      <c r="G52" s="126"/>
    </row>
    <row r="53" ht="29.25" customHeight="1">
      <c r="A53" s="122"/>
      <c r="B53" s="123"/>
      <c r="C53" s="123"/>
      <c r="D53" s="123"/>
      <c r="E53" s="124"/>
      <c r="F53" s="125"/>
      <c r="G53" s="126"/>
    </row>
    <row r="54" ht="29.25" customHeight="1">
      <c r="A54" s="122"/>
      <c r="B54" s="123"/>
      <c r="C54" s="123"/>
      <c r="D54" s="123"/>
      <c r="E54" s="124"/>
      <c r="F54" s="125"/>
      <c r="G54" s="126"/>
    </row>
    <row r="55" ht="29.25" customHeight="1">
      <c r="A55" s="122"/>
      <c r="B55" s="123"/>
      <c r="C55" s="123"/>
      <c r="D55" s="123"/>
      <c r="E55" s="124"/>
      <c r="F55" s="125"/>
      <c r="G55" s="126"/>
    </row>
    <row r="56" ht="29.25" customHeight="1">
      <c r="A56" s="122"/>
      <c r="B56" s="123"/>
      <c r="C56" s="123"/>
      <c r="D56" s="123"/>
      <c r="E56" s="124"/>
      <c r="F56" s="125"/>
      <c r="G56" s="126"/>
    </row>
    <row r="57" ht="29.25" customHeight="1">
      <c r="A57" s="122"/>
      <c r="B57" s="123"/>
      <c r="C57" s="123"/>
      <c r="D57" s="123"/>
      <c r="E57" s="124"/>
      <c r="F57" s="125"/>
      <c r="G57" s="126"/>
    </row>
    <row r="58" ht="29.25" customHeight="1">
      <c r="A58" s="122"/>
      <c r="B58" s="123"/>
      <c r="C58" s="123"/>
      <c r="D58" s="123"/>
      <c r="E58" s="124"/>
      <c r="F58" s="125"/>
      <c r="G58" s="126"/>
    </row>
    <row r="59" ht="29.25" customHeight="1">
      <c r="A59" s="122"/>
      <c r="B59" s="123"/>
      <c r="C59" s="123"/>
      <c r="D59" s="123"/>
      <c r="E59" s="124"/>
      <c r="F59" s="125"/>
      <c r="G59" s="126"/>
    </row>
    <row r="60" ht="29.25" customHeight="1">
      <c r="A60" s="122"/>
      <c r="B60" s="123"/>
      <c r="C60" s="123"/>
      <c r="D60" s="123"/>
      <c r="E60" s="124"/>
      <c r="F60" s="125"/>
      <c r="G60" s="126"/>
    </row>
    <row r="61" ht="29.25" customHeight="1">
      <c r="A61" s="122"/>
      <c r="B61" s="123"/>
      <c r="C61" s="123"/>
      <c r="D61" s="123"/>
      <c r="E61" s="124"/>
      <c r="F61" s="125"/>
      <c r="G61" s="126"/>
    </row>
    <row r="62" ht="29.25" customHeight="1">
      <c r="A62" s="122"/>
      <c r="B62" s="123"/>
      <c r="C62" s="123"/>
      <c r="D62" s="123"/>
      <c r="E62" s="124"/>
      <c r="F62" s="125"/>
      <c r="G62" s="126"/>
    </row>
    <row r="63" ht="29.25" customHeight="1">
      <c r="A63" s="122"/>
      <c r="B63" s="123"/>
      <c r="C63" s="123"/>
      <c r="D63" s="123"/>
      <c r="E63" s="124"/>
      <c r="F63" s="125"/>
      <c r="G63" s="126"/>
    </row>
    <row r="64" ht="29.25" customHeight="1">
      <c r="A64" s="122"/>
      <c r="B64" s="123"/>
      <c r="C64" s="123"/>
      <c r="D64" s="123"/>
      <c r="E64" s="124"/>
      <c r="F64" s="125"/>
      <c r="G64" s="126"/>
    </row>
    <row r="65" ht="29.25" customHeight="1">
      <c r="A65" s="122"/>
      <c r="B65" s="123"/>
      <c r="C65" s="123"/>
      <c r="D65" s="123"/>
      <c r="E65" s="124"/>
      <c r="F65" s="125"/>
      <c r="G65" s="126"/>
    </row>
    <row r="66" ht="29.25" customHeight="1">
      <c r="A66" s="122"/>
      <c r="B66" s="123"/>
      <c r="C66" s="123"/>
      <c r="D66" s="123"/>
      <c r="E66" s="124"/>
      <c r="F66" s="125"/>
      <c r="G66" s="126"/>
    </row>
    <row r="67" ht="29.25" customHeight="1">
      <c r="A67" s="122"/>
      <c r="B67" s="123"/>
      <c r="C67" s="123"/>
      <c r="D67" s="123"/>
      <c r="E67" s="124"/>
      <c r="F67" s="125"/>
      <c r="G67" s="126"/>
    </row>
    <row r="68" ht="29.25" customHeight="1">
      <c r="A68" s="122"/>
      <c r="B68" s="123"/>
      <c r="C68" s="123"/>
      <c r="D68" s="123"/>
      <c r="E68" s="124"/>
      <c r="F68" s="125"/>
      <c r="G68" s="126"/>
    </row>
    <row r="69" ht="29.25" customHeight="1">
      <c r="A69" s="122"/>
      <c r="B69" s="123"/>
      <c r="C69" s="123"/>
      <c r="D69" s="123"/>
      <c r="E69" s="124"/>
      <c r="F69" s="125"/>
      <c r="G69" s="126"/>
    </row>
    <row r="70" ht="29.25" customHeight="1">
      <c r="A70" s="122"/>
      <c r="B70" s="123"/>
      <c r="C70" s="123"/>
      <c r="D70" s="123"/>
      <c r="E70" s="124"/>
      <c r="F70" s="125"/>
      <c r="G70" s="126"/>
    </row>
    <row r="71" ht="29.25" customHeight="1">
      <c r="A71" s="122"/>
      <c r="B71" s="123"/>
      <c r="C71" s="123"/>
      <c r="D71" s="123"/>
      <c r="E71" s="124"/>
      <c r="F71" s="125"/>
      <c r="G71" s="126"/>
    </row>
    <row r="72" ht="29.25" customHeight="1">
      <c r="A72" s="122"/>
      <c r="B72" s="123"/>
      <c r="C72" s="123"/>
      <c r="D72" s="123"/>
      <c r="E72" s="124"/>
      <c r="F72" s="125"/>
      <c r="G72" s="126"/>
    </row>
    <row r="73" ht="29.25" customHeight="1">
      <c r="A73" s="122"/>
      <c r="B73" s="123"/>
      <c r="C73" s="123"/>
      <c r="D73" s="123"/>
      <c r="E73" s="124"/>
      <c r="F73" s="125"/>
      <c r="G73" s="126"/>
    </row>
    <row r="74" ht="29.25" customHeight="1">
      <c r="A74" s="122"/>
      <c r="B74" s="123"/>
      <c r="C74" s="123"/>
      <c r="D74" s="123"/>
      <c r="E74" s="124"/>
      <c r="F74" s="125"/>
      <c r="G74" s="126"/>
    </row>
    <row r="75" ht="29.25" customHeight="1">
      <c r="A75" s="122"/>
      <c r="B75" s="123"/>
      <c r="C75" s="123"/>
      <c r="D75" s="123"/>
      <c r="E75" s="124"/>
      <c r="F75" s="125"/>
      <c r="G75" s="126"/>
    </row>
    <row r="76" ht="29.25" customHeight="1">
      <c r="A76" s="122"/>
      <c r="B76" s="123"/>
      <c r="C76" s="123"/>
      <c r="D76" s="123"/>
      <c r="E76" s="124"/>
      <c r="F76" s="125"/>
      <c r="G76" s="126"/>
    </row>
    <row r="77" ht="29.25" customHeight="1">
      <c r="A77" s="122"/>
      <c r="B77" s="123"/>
      <c r="C77" s="123"/>
      <c r="D77" s="123"/>
      <c r="E77" s="124"/>
      <c r="F77" s="125"/>
      <c r="G77" s="126"/>
    </row>
  </sheetData>
  <dataValidations>
    <dataValidation type="list" allowBlank="1" sqref="A12:A18 A20:A23 A26:A33">
      <formula1>partID</formula1>
    </dataValidation>
  </dataValidations>
  <printOptions horizontalCentered="1"/>
  <pageMargins bottom="0.25" footer="0.0" header="0.0" left="0.25" right="0.25" top="0.25"/>
  <pageSetup fitToHeight="0" orientation="portrait"/>
  <drawing r:id="rId1"/>
  <tableParts count="1">
    <tablePart r:id="rId3"/>
  </tableParts>
</worksheet>
</file>