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3.xml" ContentType="application/vnd.openxmlformats-officedocument.drawing+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charts/chart17.xml" ContentType="application/vnd.openxmlformats-officedocument.drawingml.chart+xml"/>
  <Override PartName="/xl/charts/style18.xml" ContentType="application/vnd.ms-office.chartstyle+xml"/>
  <Override PartName="/xl/charts/colors18.xml" ContentType="application/vnd.ms-office.chartcolorstyle+xml"/>
  <Override PartName="/xl/charts/chart18.xml" ContentType="application/vnd.openxmlformats-officedocument.drawingml.chart+xml"/>
  <Override PartName="/xl/charts/style19.xml" ContentType="application/vnd.ms-office.chartstyle+xml"/>
  <Override PartName="/xl/charts/colors19.xml" ContentType="application/vnd.ms-office.chartcolorstyle+xml"/>
  <Override PartName="/xl/charts/chart19.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4.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harts/chart20.xml" ContentType="application/vnd.openxmlformats-officedocument.drawingml.chart+xml"/>
  <Override PartName="/xl/charts/style21.xml" ContentType="application/vnd.ms-office.chartstyle+xml"/>
  <Override PartName="/xl/charts/colors21.xml" ContentType="application/vnd.ms-office.chartcolorstyle+xml"/>
  <Override PartName="/xl/charts/chartEx2.xml" ContentType="application/vnd.ms-office.chartex+xml"/>
  <Override PartName="/xl/charts/style22.xml" ContentType="application/vnd.ms-office.chartstyle+xml"/>
  <Override PartName="/xl/charts/colors22.xml" ContentType="application/vnd.ms-office.chartcolorstyle+xml"/>
  <Override PartName="/xl/charts/chartEx3.xml" ContentType="application/vnd.ms-office.chartex+xml"/>
  <Override PartName="/xl/charts/style23.xml" ContentType="application/vnd.ms-office.chartstyle+xml"/>
  <Override PartName="/xl/charts/colors23.xml" ContentType="application/vnd.ms-office.chartcolorstyle+xml"/>
  <Override PartName="/xl/charts/chart21.xml" ContentType="application/vnd.openxmlformats-officedocument.drawingml.chart+xml"/>
  <Override PartName="/xl/charts/style24.xml" ContentType="application/vnd.ms-office.chartstyle+xml"/>
  <Override PartName="/xl/charts/colors24.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24226"/>
  <mc:AlternateContent xmlns:mc="http://schemas.openxmlformats.org/markup-compatibility/2006">
    <mc:Choice Requires="x15">
      <x15ac:absPath xmlns:x15ac="http://schemas.microsoft.com/office/spreadsheetml/2010/11/ac" url="https://365abdn-my.sharepoint.com/personal/t12jd22_abdn_ac_uk/Documents/01 - Turing College/01 - GitHub portfolio/DCF model - wind turbines/"/>
    </mc:Choice>
  </mc:AlternateContent>
  <xr:revisionPtr revIDLastSave="4845" documentId="8_{D5B73881-E8AC-4AEC-BC26-94D9C0E6608B}" xr6:coauthVersionLast="47" xr6:coauthVersionMax="47" xr10:uidLastSave="{63D80A5E-2933-4341-AA6F-C20C0C21A1EB}"/>
  <bookViews>
    <workbookView xWindow="-108" yWindow="-108" windowWidth="23256" windowHeight="12456" tabRatio="738" xr2:uid="{00000000-000D-0000-FFFF-FFFF00000000}"/>
  </bookViews>
  <sheets>
    <sheet name="Dashboard" sheetId="14" r:id="rId1"/>
    <sheet name="Further analysis" sheetId="12" r:id="rId2"/>
    <sheet name="Input Data (+SSA)" sheetId="1" r:id="rId3"/>
    <sheet name="Calculations" sheetId="8" r:id="rId4"/>
    <sheet name="Sheet1" sheetId="15" r:id="rId5"/>
    <sheet name="CB_DATA_" sheetId="6" state="veryHidden" r:id="rId6"/>
  </sheets>
  <definedNames>
    <definedName name="_∆_NPV">'Further analysis'!$G$10:$G$16</definedName>
    <definedName name="_xlchart.v1.0" hidden="1">Calculations!$B$32</definedName>
    <definedName name="_xlchart.v1.1" hidden="1">Calculations!$D$32:$AC$32</definedName>
    <definedName name="_xlchart.v1.2" hidden="1">Calculations!$D$6:$AC$6</definedName>
    <definedName name="_xlchart.v1.3" hidden="1">Calculations!$B$32</definedName>
    <definedName name="_xlchart.v1.4" hidden="1">Calculations!$D$32:$AC$32</definedName>
    <definedName name="_xlchart.v1.5" hidden="1">Calculations!$D$6:$AC$6</definedName>
    <definedName name="_xlchart.v1.6" hidden="1">Calculations!$D$31:$AC$31</definedName>
    <definedName name="_xlchart.v1.7" hidden="1">Calculations!$D$6:$AC$6</definedName>
    <definedName name="actual__expected__output_of_all_wind_turbines__mWh_yr">'Input Data (+SSA)'!$E$51</definedName>
    <definedName name="actual__expected__output_of_one_wind_turbine__mWh_yr">'Input Data (+SSA)'!$E$50</definedName>
    <definedName name="annual_expected_power">'Input Data (+SSA)'!$E$12</definedName>
    <definedName name="approximate_simple_payback__years">Calculations!#REF!</definedName>
    <definedName name="average_electricity_price">'Input Data (+SSA)'!$E$38</definedName>
    <definedName name="capacity_factor_percent">'Input Data (+SSA)'!$E$10</definedName>
    <definedName name="Capex">Calculations!$D$14:$AF$14</definedName>
    <definedName name="CapEx_Perc_Years">Calculations!$D$9:$AF$9</definedName>
    <definedName name="CB_Block_00000000000000000000000000000000" localSheetId="2" hidden="1">"'7.0.0.0"</definedName>
    <definedName name="CB_Block_00000000000000000000000000000001" localSheetId="5" hidden="1">"'634653461715418904"</definedName>
    <definedName name="CB_Block_00000000000000000000000000000001" localSheetId="2" hidden="1">"'634653403757896242"</definedName>
    <definedName name="CB_Block_00000000000000000000000000000003" localSheetId="2" hidden="1">"'11.1.2391.0"</definedName>
    <definedName name="CB_BlockExt_00000000000000000000000000000003" localSheetId="2" hidden="1">"'11.1.2.1.000"</definedName>
    <definedName name="CBWorkbookPriority" localSheetId="5" hidden="1">-154541182</definedName>
    <definedName name="CBx_2f9ae1423f944791bf6d6211e8ce3734" localSheetId="5" hidden="1">"'Input Data'!$A$1"</definedName>
    <definedName name="CBx_5292947177e54a30b2d77b8231c239cb" localSheetId="5" hidden="1">"'Capture'!$A$1"</definedName>
    <definedName name="CBx_551ab216ca7549a0b1a5e32288747636" localSheetId="5" hidden="1">"'CB_DATA_'!$A$1"</definedName>
    <definedName name="CBx_9c32164055984a4c926193bc90f08e09" localSheetId="5" hidden="1">"'Calculations'!$A$1"</definedName>
    <definedName name="CBx_Sheet_Guid" localSheetId="5" hidden="1">"'551ab216-ca75-49a0-b1a5-e32288747636"</definedName>
    <definedName name="CBx_Sheet_Guid" localSheetId="2" hidden="1">"'2f9ae142-3f94-4791-bf6d-6211e8ce3734"</definedName>
    <definedName name="CBx_SheetRef" localSheetId="5" hidden="1">CB_DATA_!$A$14</definedName>
    <definedName name="CBx_SheetRef" localSheetId="2" hidden="1">CB_DATA_!$C$14</definedName>
    <definedName name="CBx_StorageType" localSheetId="5" hidden="1">2</definedName>
    <definedName name="CBx_StorageType" localSheetId="2" hidden="1">2</definedName>
    <definedName name="corporation_tax_rate">'Input Data (+SSA)'!$E$41</definedName>
    <definedName name="Cumulative_Net_Cash_Flow_Discounted">Calculations!$D$36:$AF$36</definedName>
    <definedName name="Cumulative_Net_Cash_Flow_Discounted_Positive_Indicator">Calculations!$D$40:$AF$40</definedName>
    <definedName name="Cumulative_Net_Cash_Flow_Positive_Indicator">Calculations!$D$37:$AF$37</definedName>
    <definedName name="Cumulative_Net_Cash_Flow_Undiscounted">Calculations!$D$35:$AF$35</definedName>
    <definedName name="Decomm_Perc_Years">Calculations!$D$11:$AF$11</definedName>
    <definedName name="Decommissioning_Cost_Allowance">Calculations!$D$28:$AF$28</definedName>
    <definedName name="Decommissioning_Costs">Calculations!$D$16:$AF$16</definedName>
    <definedName name="decommissioning_costs_percentage">'Input Data (+SSA)'!$E$26</definedName>
    <definedName name="Depreciation_Allowance" comment="This is calculated using the following: (total capital costs + total decommissioning costs) / expected useful life of the project. From the IF formula entered into the cell, you can see that this is applied only in operational years allowed by dep.">Calculations!$D$27:$AF$27</definedName>
    <definedName name="depreciation_allowance_years">'Input Data (+SSA)'!$E$42</definedName>
    <definedName name="discount_rate_r">'Input Data (+SSA)'!$E$34</definedName>
    <definedName name="expected_useful_life_of_turbine">'Input Data (+SSA)'!$E$8</definedName>
    <definedName name="grid_connection_costs">'Input Data (+SSA)'!$E$19</definedName>
    <definedName name="inflation">'Input Data (+SSA)'!$E$35</definedName>
    <definedName name="irr_post_tax">Calculations!$D$52</definedName>
    <definedName name="lag">Calculations!XFD:XFD</definedName>
    <definedName name="Lagged_Cumulative_Net_Cash_Flow_Discounted_Positive_Indicator">Calculations!$D$41:$AF$41</definedName>
    <definedName name="Lagged_Cumulative_Net_Cash_Flow_Positive_Indicator">Calculations!$D$38:$AF$38</definedName>
    <definedName name="lcoe_mwh">Calculations!$D$47</definedName>
    <definedName name="levelised_cost_of_electricity">Calculations!#REF!</definedName>
    <definedName name="levelised_cost_of_electricity____MWh">Calculations!$D$54</definedName>
    <definedName name="Max_NPV">'Further analysis'!$F$10:$F$16</definedName>
    <definedName name="maximum_possible_output_of_all_wind_turbines_mWh_yr">'Input Data (+SSA)'!$E$49</definedName>
    <definedName name="maximum_possible_output_of_one_wind_turbine__mWh_yr">'Input Data (+SSA)'!$E$48</definedName>
    <definedName name="Min_NPV">'Further analysis'!$C$10:$C$16</definedName>
    <definedName name="Net_Cash_Flow_Pre_Tax_Discounted">Calculations!$D$26:$AF$26</definedName>
    <definedName name="npv_capex">Calculations!$D$53</definedName>
    <definedName name="npv_electricity_output">Calculations!#REF!</definedName>
    <definedName name="NPV_Impact_Capacity_Factor">'Input Data (+SSA)'!$D$98:$D$104</definedName>
    <definedName name="NPV_Impact_Discount_Rate">'Input Data (+SSA)'!$D$116:$D$122</definedName>
    <definedName name="NPV_Impact_Electricity_Price">'Input Data (+SSA)'!$D$62:$D$68</definedName>
    <definedName name="NPV_Impact_Inflation">'Input Data (+SSA)'!$D$170:$D$176</definedName>
    <definedName name="NPV_Impact_Number_Of_Turbines">'Input Data (+SSA)'!$D$152:$D$158</definedName>
    <definedName name="NPV_Impact_OpEx_Per_Turbine">'Input Data (+SSA)'!$D$134:$D$140</definedName>
    <definedName name="NPV_Impact_Turbine_Lifetime">'Input Data (+SSA)'!$D$80:$D$86</definedName>
    <definedName name="NPV_Impact_Years_Before_Turbines_Operate">'Input Data (+SSA)'!$D$188:$D$194</definedName>
    <definedName name="NPV_Total_Cost">Calculations!$D$45:$AF$45</definedName>
    <definedName name="npv_total_costs">Calculations!#REF!</definedName>
    <definedName name="NPV_Total_Energy">Calculations!$D$46:$AF$46</definedName>
    <definedName name="number_of_turbines">'Input Data (+SSA)'!$E$11</definedName>
    <definedName name="number_of_years_of_decommissioning">'Input Data (+SSA)'!$E$27</definedName>
    <definedName name="one_plus_discount_rate">'Input Data (+SSA)'!$E$46</definedName>
    <definedName name="one_plus_inflation_rate">'Input Data (+SSA)'!$E$45</definedName>
    <definedName name="Opex">Calculations!$D$15:$AF$15</definedName>
    <definedName name="OpEx_Perc_Years">Calculations!$D$10:$AF$10</definedName>
    <definedName name="other_capital_costs">'Input Data (+SSA)'!$E$20</definedName>
    <definedName name="Payback_Year">Calculations!$D$39:$AF$39</definedName>
    <definedName name="percentage_of_capital_costs_in_year_one">'Input Data (+SSA)'!$E$16</definedName>
    <definedName name="percentage_of_capital_costs_in_year_two">'Input Data (+SSA)'!$E$17</definedName>
    <definedName name="percentage_of_capital_costs_in_year_zero">'Input Data (+SSA)'!$E$15</definedName>
    <definedName name="percentage_of_decommissioning_costs_in_year_n_1">'Input Data (+SSA)'!$E$28</definedName>
    <definedName name="percentage_of_decommissioning_costs_in_year_n_2">'Input Data (+SSA)'!$E$29</definedName>
    <definedName name="percentage_of_decommissioning_costs_in_year_n_3">'Input Data (+SSA)'!$E$30</definedName>
    <definedName name="Post_Tax_Net_Cash_Flow_Discounted">Calculations!$D$32:$AF$32</definedName>
    <definedName name="Post_Tax_Net_Cash_Flow_Undiscounted">Calculations!$D$31:$AF$31</definedName>
    <definedName name="post_tax_npv">Calculations!$D$51</definedName>
    <definedName name="post_tax_npv_capex_ratio__profitability_index">Calculations!$D$55</definedName>
    <definedName name="Pre_Tax_Net_Cash_Flow_Undiscounted">Calculations!$D$25:$AF$25</definedName>
    <definedName name="pre_tax_npv">Calculations!$D$50</definedName>
    <definedName name="pre_tax_npv_capex_ratio__profitability_Index">Calculations!#REF!</definedName>
    <definedName name="Tax_Paid">Calculations!$D$30:$AF$30</definedName>
    <definedName name="Taxable_Cash_Flow">Calculations!$D$29:$AF$29</definedName>
    <definedName name="todate">Calculations!$D$5:A$1048576</definedName>
    <definedName name="total_capacity_of_all_turbines__mW">'Input Data (+SSA)'!$E$47</definedName>
    <definedName name="total_capital_costs">'Input Data (+SSA)'!$E$21</definedName>
    <definedName name="total_cost_of_construction_for_all_turbines">'Input Data (+SSA)'!#REF!</definedName>
    <definedName name="total_cost_of_construction_per_turbine">'Input Data (+SSA)'!$E$18</definedName>
    <definedName name="total_decommissioning_costs">'Input Data (+SSA)'!$E$31</definedName>
    <definedName name="Total_Expenditure_Discounted">Calculations!$D$18:$AC$18</definedName>
    <definedName name="Total_Expenditure_Undiscounted">Calculations!$D$17:$AF$17</definedName>
    <definedName name="total_hours_of_potential_operation_yearly">'Input Data (+SSA)'!$E$9</definedName>
    <definedName name="total_opex_per_year">'Input Data (+SSA)'!$E$24</definedName>
    <definedName name="Total_Sales_Undiscounted">Calculations!$D$21:$AF$21</definedName>
    <definedName name="turbine_capacity_mW">'Input Data (+SSA)'!$E$7</definedName>
    <definedName name="turbine_economic_lifetime_years">'Input Data (+SSA)'!#REF!</definedName>
    <definedName name="Year">Calculations!$D$6:$AF$6</definedName>
    <definedName name="yearly_operation_and_maintenance_costs_per_turbine">'Input Data (+SSA)'!$E$23</definedName>
    <definedName name="years_before_turbines_start_operating" comment="This is to help calculate the depreciation allowance. ">'Input Data (+SSA)'!$E$14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6" i="12" l="1"/>
  <c r="K16" i="12"/>
  <c r="M15" i="12"/>
  <c r="C10" i="12" l="1"/>
  <c r="D10" i="12"/>
  <c r="E10" i="12"/>
  <c r="F10" i="12"/>
  <c r="E11" i="12"/>
  <c r="D13" i="12"/>
  <c r="E13" i="12"/>
  <c r="E15" i="12"/>
  <c r="E16" i="12"/>
  <c r="E12" i="12"/>
  <c r="E14" i="12"/>
  <c r="D11" i="12"/>
  <c r="D15" i="12"/>
  <c r="D16" i="12"/>
  <c r="D12" i="12"/>
  <c r="D14" i="12"/>
  <c r="G10" i="12" l="1"/>
  <c r="B189" i="1"/>
  <c r="B190" i="1"/>
  <c r="B191" i="1"/>
  <c r="B192" i="1"/>
  <c r="B193" i="1"/>
  <c r="B194" i="1"/>
  <c r="B188" i="1"/>
  <c r="B152" i="1"/>
  <c r="B153" i="1"/>
  <c r="B154" i="1"/>
  <c r="B156" i="1"/>
  <c r="B157" i="1"/>
  <c r="B158" i="1"/>
  <c r="B155" i="1"/>
  <c r="B104" i="1"/>
  <c r="B98" i="1"/>
  <c r="B99" i="1"/>
  <c r="B100" i="1"/>
  <c r="B101" i="1"/>
  <c r="B102" i="1"/>
  <c r="B103" i="1"/>
  <c r="C11" i="12"/>
  <c r="F11" i="12"/>
  <c r="F13" i="12"/>
  <c r="C13" i="12"/>
  <c r="F15" i="12"/>
  <c r="C15" i="12"/>
  <c r="F16" i="12"/>
  <c r="C16" i="12"/>
  <c r="F12" i="12"/>
  <c r="C12" i="12"/>
  <c r="F14" i="12"/>
  <c r="C14" i="12"/>
  <c r="G11" i="12" l="1"/>
  <c r="G16" i="12"/>
  <c r="G15" i="12"/>
  <c r="G12" i="12"/>
  <c r="G13" i="12"/>
  <c r="G14" i="12"/>
  <c r="C140" i="1"/>
  <c r="B140" i="1" s="1"/>
  <c r="C139" i="1"/>
  <c r="B139" i="1" s="1"/>
  <c r="C138" i="1"/>
  <c r="B138" i="1" s="1"/>
  <c r="C134" i="1"/>
  <c r="B134" i="1" s="1"/>
  <c r="C135" i="1"/>
  <c r="B135" i="1" s="1"/>
  <c r="C136" i="1"/>
  <c r="B136" i="1" s="1"/>
  <c r="B137" i="1"/>
  <c r="B83" i="1"/>
  <c r="B86" i="1"/>
  <c r="B85" i="1"/>
  <c r="B84" i="1"/>
  <c r="B80" i="1"/>
  <c r="B81" i="1"/>
  <c r="B82" i="1"/>
  <c r="C176" i="1"/>
  <c r="B176" i="1" s="1"/>
  <c r="C175" i="1"/>
  <c r="B175" i="1" s="1"/>
  <c r="C174" i="1"/>
  <c r="B174" i="1" s="1"/>
  <c r="C170" i="1"/>
  <c r="B170" i="1" s="1"/>
  <c r="C171" i="1"/>
  <c r="B171" i="1" s="1"/>
  <c r="C172" i="1"/>
  <c r="B172" i="1" s="1"/>
  <c r="B173" i="1"/>
  <c r="B119" i="1"/>
  <c r="B68" i="1"/>
  <c r="B67" i="1"/>
  <c r="B66" i="1"/>
  <c r="B62" i="1"/>
  <c r="B63" i="1"/>
  <c r="B64" i="1"/>
  <c r="B65" i="1"/>
  <c r="H10" i="12" l="1"/>
  <c r="H15" i="12"/>
  <c r="H14" i="12"/>
  <c r="H11" i="12"/>
  <c r="H16" i="12"/>
  <c r="H12" i="12"/>
  <c r="H13" i="12"/>
  <c r="C118" i="1"/>
  <c r="B118" i="1" s="1"/>
  <c r="B122" i="1"/>
  <c r="B121" i="1"/>
  <c r="B120" i="1"/>
  <c r="B117" i="1"/>
  <c r="B116" i="1"/>
  <c r="AD45" i="8" l="1"/>
  <c r="AE45" i="8"/>
  <c r="AF45" i="8"/>
  <c r="E27" i="8"/>
  <c r="F27" i="8"/>
  <c r="P27" i="8"/>
  <c r="Q27" i="8"/>
  <c r="R27" i="8"/>
  <c r="S27" i="8"/>
  <c r="T27" i="8"/>
  <c r="U27" i="8"/>
  <c r="V27" i="8"/>
  <c r="W27" i="8"/>
  <c r="X27" i="8"/>
  <c r="Y27" i="8"/>
  <c r="Z27" i="8"/>
  <c r="AA27" i="8"/>
  <c r="AB27" i="8"/>
  <c r="AC27" i="8"/>
  <c r="AD27" i="8"/>
  <c r="AE27" i="8"/>
  <c r="AF27" i="8"/>
  <c r="D27" i="8"/>
  <c r="G14" i="8"/>
  <c r="H14" i="8"/>
  <c r="I14" i="8"/>
  <c r="J14" i="8"/>
  <c r="K14" i="8"/>
  <c r="L14" i="8"/>
  <c r="M14" i="8"/>
  <c r="N14" i="8"/>
  <c r="O14" i="8"/>
  <c r="P14" i="8"/>
  <c r="Q14" i="8"/>
  <c r="R14" i="8"/>
  <c r="S14" i="8"/>
  <c r="T14" i="8"/>
  <c r="U14" i="8"/>
  <c r="V14" i="8"/>
  <c r="W14" i="8"/>
  <c r="X14" i="8"/>
  <c r="Y14" i="8"/>
  <c r="Z14" i="8"/>
  <c r="AA14" i="8"/>
  <c r="AB14" i="8"/>
  <c r="AC14" i="8"/>
  <c r="AD14" i="8"/>
  <c r="AE14" i="8"/>
  <c r="AF14" i="8"/>
  <c r="E11" i="8"/>
  <c r="E16" i="8" s="1"/>
  <c r="F11" i="8"/>
  <c r="F16" i="8" s="1"/>
  <c r="G11" i="8"/>
  <c r="G16" i="8" s="1"/>
  <c r="H11" i="8"/>
  <c r="H16" i="8" s="1"/>
  <c r="I11" i="8"/>
  <c r="I16" i="8" s="1"/>
  <c r="J11" i="8"/>
  <c r="J16" i="8" s="1"/>
  <c r="K11" i="8"/>
  <c r="K16" i="8" s="1"/>
  <c r="L11" i="8"/>
  <c r="L16" i="8" s="1"/>
  <c r="M11" i="8"/>
  <c r="M16" i="8" s="1"/>
  <c r="N11" i="8"/>
  <c r="N16" i="8" s="1"/>
  <c r="O11" i="8"/>
  <c r="O16" i="8" s="1"/>
  <c r="P11" i="8"/>
  <c r="P16" i="8" s="1"/>
  <c r="Q11" i="8"/>
  <c r="Q16" i="8" s="1"/>
  <c r="R11" i="8"/>
  <c r="R16" i="8" s="1"/>
  <c r="S11" i="8"/>
  <c r="S16" i="8" s="1"/>
  <c r="T11" i="8"/>
  <c r="T16" i="8" s="1"/>
  <c r="U11" i="8"/>
  <c r="U16" i="8" s="1"/>
  <c r="V11" i="8"/>
  <c r="V16" i="8" s="1"/>
  <c r="W11" i="8"/>
  <c r="W16" i="8" s="1"/>
  <c r="X11" i="8"/>
  <c r="X16" i="8" s="1"/>
  <c r="Y11" i="8"/>
  <c r="Y16" i="8" s="1"/>
  <c r="Z11" i="8"/>
  <c r="Z16" i="8" s="1"/>
  <c r="AA11" i="8"/>
  <c r="AB11" i="8"/>
  <c r="AC11" i="8"/>
  <c r="AD11" i="8"/>
  <c r="AE11" i="8"/>
  <c r="AE16" i="8" s="1"/>
  <c r="AF11" i="8"/>
  <c r="AF16" i="8" s="1"/>
  <c r="D11" i="8"/>
  <c r="D16" i="8" s="1"/>
  <c r="E10" i="8"/>
  <c r="E15" i="8" s="1"/>
  <c r="F10" i="8"/>
  <c r="F15" i="8" s="1"/>
  <c r="G10" i="8"/>
  <c r="H10" i="8"/>
  <c r="I10" i="8"/>
  <c r="J10" i="8"/>
  <c r="K10" i="8"/>
  <c r="L10" i="8"/>
  <c r="M10" i="8"/>
  <c r="N10" i="8"/>
  <c r="O10" i="8"/>
  <c r="P10" i="8"/>
  <c r="Q10" i="8"/>
  <c r="R10" i="8"/>
  <c r="S10" i="8"/>
  <c r="T10" i="8"/>
  <c r="U10" i="8"/>
  <c r="V10" i="8"/>
  <c r="W10" i="8"/>
  <c r="X10" i="8"/>
  <c r="Y10" i="8"/>
  <c r="Z10" i="8"/>
  <c r="AA10" i="8"/>
  <c r="AB10" i="8"/>
  <c r="AB15" i="8" s="1"/>
  <c r="AC10" i="8"/>
  <c r="AC15" i="8" s="1"/>
  <c r="AD10" i="8"/>
  <c r="AD15" i="8" s="1"/>
  <c r="AE10" i="8"/>
  <c r="AE15" i="8" s="1"/>
  <c r="AF10" i="8"/>
  <c r="AF15" i="8" s="1"/>
  <c r="D10" i="8"/>
  <c r="D15" i="8" s="1"/>
  <c r="AF46" i="8" l="1"/>
  <c r="AD46" i="8"/>
  <c r="AB46" i="8"/>
  <c r="AE46" i="8"/>
  <c r="AC46" i="8"/>
  <c r="F46" i="8"/>
  <c r="E46" i="8"/>
  <c r="D46" i="8"/>
  <c r="C11" i="8"/>
  <c r="C10" i="8"/>
  <c r="E24" i="1" l="1"/>
  <c r="E21" i="1" l="1"/>
  <c r="O27" i="8" s="1"/>
  <c r="E12" i="1"/>
  <c r="E31" i="1" l="1"/>
  <c r="H27" i="8"/>
  <c r="I27" i="8"/>
  <c r="J27" i="8"/>
  <c r="K27" i="8"/>
  <c r="M27" i="8"/>
  <c r="L27" i="8"/>
  <c r="N27" i="8"/>
  <c r="G27" i="8"/>
  <c r="E45" i="1"/>
  <c r="AA15" i="8" s="1"/>
  <c r="E46" i="1"/>
  <c r="AD16" i="8" l="1"/>
  <c r="AD28" i="8" s="1"/>
  <c r="T15" i="8"/>
  <c r="U15" i="8"/>
  <c r="I15" i="8"/>
  <c r="N15" i="8"/>
  <c r="S15" i="8"/>
  <c r="R15" i="8"/>
  <c r="X15" i="8"/>
  <c r="J15" i="8"/>
  <c r="Q15" i="8"/>
  <c r="P15" i="8"/>
  <c r="K15" i="8"/>
  <c r="V15" i="8"/>
  <c r="L15" i="8"/>
  <c r="Y15" i="8"/>
  <c r="G15" i="8"/>
  <c r="M15" i="8"/>
  <c r="Z15" i="8"/>
  <c r="O15" i="8"/>
  <c r="H15" i="8"/>
  <c r="W15" i="8"/>
  <c r="AB16" i="8"/>
  <c r="AC16" i="8"/>
  <c r="AC28" i="8" s="1"/>
  <c r="AA16" i="8"/>
  <c r="D28" i="8"/>
  <c r="E28" i="8"/>
  <c r="F28" i="8"/>
  <c r="H28" i="8"/>
  <c r="I28" i="8"/>
  <c r="J28" i="8"/>
  <c r="L28" i="8"/>
  <c r="M28" i="8"/>
  <c r="N28" i="8"/>
  <c r="O28" i="8"/>
  <c r="Q28" i="8"/>
  <c r="R28" i="8"/>
  <c r="T28" i="8"/>
  <c r="U28" i="8"/>
  <c r="V28" i="8"/>
  <c r="Y28" i="8"/>
  <c r="Z28" i="8"/>
  <c r="D21" i="8"/>
  <c r="E21" i="8"/>
  <c r="F21" i="8"/>
  <c r="E15" i="1"/>
  <c r="D9" i="8" s="1"/>
  <c r="D14" i="8" l="1"/>
  <c r="F22" i="8"/>
  <c r="E22" i="8"/>
  <c r="D22" i="8"/>
  <c r="X28" i="8"/>
  <c r="W28" i="8"/>
  <c r="G28" i="8"/>
  <c r="AE28" i="8"/>
  <c r="AB28" i="8"/>
  <c r="AA28" i="8"/>
  <c r="S28" i="8"/>
  <c r="K28" i="8"/>
  <c r="P28" i="8"/>
  <c r="E48" i="1"/>
  <c r="E17" i="1"/>
  <c r="F9" i="8" s="1"/>
  <c r="F14" i="8" s="1"/>
  <c r="E16" i="1"/>
  <c r="E9" i="8" s="1"/>
  <c r="E14" i="8" s="1"/>
  <c r="D53" i="8" l="1"/>
  <c r="D17" i="8"/>
  <c r="C9" i="8"/>
  <c r="M17" i="8"/>
  <c r="M18" i="8" s="1"/>
  <c r="M45" i="8" s="1"/>
  <c r="U17" i="8"/>
  <c r="U18" i="8" s="1"/>
  <c r="U45" i="8" s="1"/>
  <c r="AC17" i="8"/>
  <c r="AC18" i="8" s="1"/>
  <c r="AC45" i="8" s="1"/>
  <c r="N17" i="8"/>
  <c r="N18" i="8" s="1"/>
  <c r="N45" i="8" s="1"/>
  <c r="AD17" i="8"/>
  <c r="AD18" i="8" s="1"/>
  <c r="O17" i="8"/>
  <c r="O18" i="8" s="1"/>
  <c r="O45" i="8" s="1"/>
  <c r="AE17" i="8"/>
  <c r="AE18" i="8" s="1"/>
  <c r="H17" i="8"/>
  <c r="H18" i="8" s="1"/>
  <c r="H45" i="8" s="1"/>
  <c r="X17" i="8"/>
  <c r="X18" i="8" s="1"/>
  <c r="X45" i="8" s="1"/>
  <c r="Q17" i="8"/>
  <c r="Q18" i="8" s="1"/>
  <c r="Q45" i="8" s="1"/>
  <c r="J17" i="8"/>
  <c r="J18" i="8" s="1"/>
  <c r="J45" i="8" s="1"/>
  <c r="R17" i="8"/>
  <c r="R18" i="8" s="1"/>
  <c r="R45" i="8" s="1"/>
  <c r="Z17" i="8"/>
  <c r="Z18" i="8" s="1"/>
  <c r="Z45" i="8" s="1"/>
  <c r="K17" i="8"/>
  <c r="K18" i="8" s="1"/>
  <c r="K45" i="8" s="1"/>
  <c r="S17" i="8"/>
  <c r="S18" i="8" s="1"/>
  <c r="S45" i="8" s="1"/>
  <c r="AA17" i="8"/>
  <c r="AA18" i="8" s="1"/>
  <c r="AA45" i="8" s="1"/>
  <c r="P17" i="8"/>
  <c r="P18" i="8" s="1"/>
  <c r="P45" i="8" s="1"/>
  <c r="Y17" i="8"/>
  <c r="Y18" i="8" s="1"/>
  <c r="Y45" i="8" s="1"/>
  <c r="I17" i="8"/>
  <c r="I18" i="8" s="1"/>
  <c r="I45" i="8" s="1"/>
  <c r="L17" i="8"/>
  <c r="L18" i="8" s="1"/>
  <c r="L45" i="8" s="1"/>
  <c r="T17" i="8"/>
  <c r="T18" i="8" s="1"/>
  <c r="T45" i="8" s="1"/>
  <c r="AB17" i="8"/>
  <c r="AB18" i="8" s="1"/>
  <c r="AB45" i="8" s="1"/>
  <c r="V17" i="8"/>
  <c r="V18" i="8" s="1"/>
  <c r="V45" i="8" s="1"/>
  <c r="G17" i="8"/>
  <c r="G18" i="8" s="1"/>
  <c r="G45" i="8" s="1"/>
  <c r="W17" i="8"/>
  <c r="W18" i="8" s="1"/>
  <c r="W45" i="8" s="1"/>
  <c r="E49" i="1"/>
  <c r="E51" i="1" s="1"/>
  <c r="AA46" i="8" s="1"/>
  <c r="E50" i="1"/>
  <c r="E47" i="1"/>
  <c r="D18" i="8" l="1"/>
  <c r="D45" i="8" s="1"/>
  <c r="D25" i="8"/>
  <c r="J46" i="8"/>
  <c r="Q46" i="8"/>
  <c r="I46" i="8"/>
  <c r="P46" i="8"/>
  <c r="O46" i="8"/>
  <c r="N46" i="8"/>
  <c r="T46" i="8"/>
  <c r="M46" i="8"/>
  <c r="H46" i="8"/>
  <c r="G46" i="8"/>
  <c r="V46" i="8"/>
  <c r="S46" i="8"/>
  <c r="R46" i="8"/>
  <c r="Y46" i="8"/>
  <c r="L46" i="8"/>
  <c r="K46" i="8"/>
  <c r="Z46" i="8"/>
  <c r="W46" i="8"/>
  <c r="U46" i="8"/>
  <c r="X46" i="8"/>
  <c r="K21" i="8"/>
  <c r="S21" i="8"/>
  <c r="AA21" i="8"/>
  <c r="T21" i="8"/>
  <c r="AC21" i="8"/>
  <c r="N21" i="8"/>
  <c r="AD21" i="8"/>
  <c r="W21" i="8"/>
  <c r="AE21" i="8"/>
  <c r="G21" i="8"/>
  <c r="G25" i="8" s="1"/>
  <c r="H21" i="8"/>
  <c r="P21" i="8"/>
  <c r="X21" i="8"/>
  <c r="AF21" i="8"/>
  <c r="I21" i="8"/>
  <c r="Q21" i="8"/>
  <c r="Y21" i="8"/>
  <c r="V21" i="8"/>
  <c r="O21" i="8"/>
  <c r="J21" i="8"/>
  <c r="R21" i="8"/>
  <c r="Z21" i="8"/>
  <c r="L21" i="8"/>
  <c r="AB21" i="8"/>
  <c r="M21" i="8"/>
  <c r="U21" i="8"/>
  <c r="D11" i="6"/>
  <c r="D29" i="8" l="1"/>
  <c r="D26" i="8"/>
  <c r="G29" i="8"/>
  <c r="G26" i="8"/>
  <c r="AD22" i="8"/>
  <c r="AD25" i="8"/>
  <c r="X22" i="8"/>
  <c r="X25" i="8"/>
  <c r="X26" i="8" s="1"/>
  <c r="H22" i="8"/>
  <c r="H25" i="8"/>
  <c r="AE22" i="8"/>
  <c r="AE25" i="8"/>
  <c r="AE26" i="8" s="1"/>
  <c r="AB22" i="8"/>
  <c r="AB25" i="8"/>
  <c r="AB26" i="8" s="1"/>
  <c r="W22" i="8"/>
  <c r="W25" i="8"/>
  <c r="W26" i="8" s="1"/>
  <c r="Z22" i="8"/>
  <c r="Z25" i="8"/>
  <c r="Z26" i="8" s="1"/>
  <c r="N22" i="8"/>
  <c r="N25" i="8"/>
  <c r="N26" i="8" s="1"/>
  <c r="I22" i="8"/>
  <c r="I25" i="8"/>
  <c r="M22" i="8"/>
  <c r="M25" i="8"/>
  <c r="M26" i="8" s="1"/>
  <c r="L22" i="8"/>
  <c r="L25" i="8"/>
  <c r="L26" i="8" s="1"/>
  <c r="R22" i="8"/>
  <c r="R25" i="8"/>
  <c r="R26" i="8" s="1"/>
  <c r="AC22" i="8"/>
  <c r="AC25" i="8"/>
  <c r="AC26" i="8" s="1"/>
  <c r="T22" i="8"/>
  <c r="T25" i="8"/>
  <c r="T26" i="8" s="1"/>
  <c r="O22" i="8"/>
  <c r="O25" i="8"/>
  <c r="O26" i="8" s="1"/>
  <c r="U22" i="8"/>
  <c r="U25" i="8"/>
  <c r="U26" i="8" s="1"/>
  <c r="S22" i="8"/>
  <c r="S25" i="8"/>
  <c r="S26" i="8" s="1"/>
  <c r="K22" i="8"/>
  <c r="K25" i="8"/>
  <c r="K26" i="8" s="1"/>
  <c r="P22" i="8"/>
  <c r="P25" i="8"/>
  <c r="P26" i="8" s="1"/>
  <c r="J22" i="8"/>
  <c r="J25" i="8"/>
  <c r="J26" i="8" s="1"/>
  <c r="AA22" i="8"/>
  <c r="AA25" i="8"/>
  <c r="AA26" i="8" s="1"/>
  <c r="V22" i="8"/>
  <c r="V25" i="8"/>
  <c r="V26" i="8" s="1"/>
  <c r="Y22" i="8"/>
  <c r="Y25" i="8"/>
  <c r="Y26" i="8" s="1"/>
  <c r="Q22" i="8"/>
  <c r="Q25" i="8"/>
  <c r="Q26" i="8" s="1"/>
  <c r="AF22" i="8"/>
  <c r="G22" i="8"/>
  <c r="E17" i="8"/>
  <c r="E25" i="8" s="1"/>
  <c r="F17" i="8"/>
  <c r="F25" i="8" s="1"/>
  <c r="C11" i="6"/>
  <c r="A11" i="6"/>
  <c r="E26" i="8" l="1"/>
  <c r="H29" i="8"/>
  <c r="H30" i="8" s="1"/>
  <c r="H31" i="8" s="1"/>
  <c r="H26" i="8"/>
  <c r="I29" i="8"/>
  <c r="I30" i="8" s="1"/>
  <c r="I31" i="8" s="1"/>
  <c r="I26" i="8"/>
  <c r="F29" i="8"/>
  <c r="F26" i="8"/>
  <c r="AD29" i="8"/>
  <c r="AD30" i="8" s="1"/>
  <c r="AD31" i="8" s="1"/>
  <c r="AD26" i="8"/>
  <c r="E29" i="8"/>
  <c r="Q29" i="8"/>
  <c r="Q30" i="8" s="1"/>
  <c r="Q31" i="8" s="1"/>
  <c r="W29" i="8"/>
  <c r="W30" i="8" s="1"/>
  <c r="W31" i="8" s="1"/>
  <c r="AB29" i="8"/>
  <c r="AB30" i="8" s="1"/>
  <c r="AB31" i="8" s="1"/>
  <c r="L29" i="8"/>
  <c r="L30" i="8" s="1"/>
  <c r="L31" i="8" s="1"/>
  <c r="N29" i="8"/>
  <c r="N30" i="8" s="1"/>
  <c r="N31" i="8" s="1"/>
  <c r="V29" i="8"/>
  <c r="V30" i="8" s="1"/>
  <c r="V31" i="8" s="1"/>
  <c r="AC29" i="8"/>
  <c r="AC30" i="8" s="1"/>
  <c r="AC31" i="8" s="1"/>
  <c r="Y29" i="8"/>
  <c r="Y30" i="8" s="1"/>
  <c r="Y31" i="8" s="1"/>
  <c r="AA29" i="8"/>
  <c r="AA30" i="8" s="1"/>
  <c r="AA31" i="8" s="1"/>
  <c r="U29" i="8"/>
  <c r="U30" i="8" s="1"/>
  <c r="U31" i="8" s="1"/>
  <c r="O29" i="8"/>
  <c r="O30" i="8" s="1"/>
  <c r="O31" i="8" s="1"/>
  <c r="J29" i="8"/>
  <c r="J30" i="8" s="1"/>
  <c r="J31" i="8" s="1"/>
  <c r="AE29" i="8"/>
  <c r="AE30" i="8" s="1"/>
  <c r="AE31" i="8" s="1"/>
  <c r="P29" i="8"/>
  <c r="P30" i="8" s="1"/>
  <c r="P31" i="8" s="1"/>
  <c r="K29" i="8"/>
  <c r="K30" i="8" s="1"/>
  <c r="K31" i="8" s="1"/>
  <c r="M29" i="8"/>
  <c r="M30" i="8" s="1"/>
  <c r="M31" i="8" s="1"/>
  <c r="X29" i="8"/>
  <c r="X30" i="8" s="1"/>
  <c r="X31" i="8" s="1"/>
  <c r="Z29" i="8"/>
  <c r="Z30" i="8" s="1"/>
  <c r="Z31" i="8" s="1"/>
  <c r="T29" i="8"/>
  <c r="T30" i="8" s="1"/>
  <c r="T31" i="8" s="1"/>
  <c r="R29" i="8"/>
  <c r="R30" i="8" s="1"/>
  <c r="R31" i="8" s="1"/>
  <c r="S29" i="8"/>
  <c r="S30" i="8" s="1"/>
  <c r="S31" i="8" s="1"/>
  <c r="F18" i="8"/>
  <c r="F45" i="8" s="1"/>
  <c r="E18" i="8"/>
  <c r="E45" i="8" s="1"/>
  <c r="G30" i="8"/>
  <c r="G31" i="8" s="1"/>
  <c r="AF28" i="8"/>
  <c r="AF17" i="8"/>
  <c r="D30" i="8"/>
  <c r="D31" i="8" s="1"/>
  <c r="D47" i="8" l="1" a="1"/>
  <c r="D47" i="8" s="1"/>
  <c r="I10" i="14" s="1"/>
  <c r="AF25" i="8"/>
  <c r="AF26" i="8" s="1"/>
  <c r="E50" i="8" s="1"/>
  <c r="AF18" i="8"/>
  <c r="D32" i="8"/>
  <c r="V32" i="8"/>
  <c r="M32" i="8"/>
  <c r="N32" i="8"/>
  <c r="AB32" i="8"/>
  <c r="P32" i="8"/>
  <c r="R32" i="8"/>
  <c r="W32" i="8"/>
  <c r="K32" i="8"/>
  <c r="S32" i="8"/>
  <c r="H32" i="8"/>
  <c r="T32" i="8"/>
  <c r="U32" i="8"/>
  <c r="Q32" i="8"/>
  <c r="AC32" i="8"/>
  <c r="AE32" i="8"/>
  <c r="O32" i="8"/>
  <c r="AD32" i="8"/>
  <c r="Z32" i="8"/>
  <c r="G32" i="8"/>
  <c r="I32" i="8"/>
  <c r="AA32" i="8"/>
  <c r="L32" i="8"/>
  <c r="X32" i="8"/>
  <c r="J32" i="8"/>
  <c r="Y32" i="8"/>
  <c r="E30" i="8"/>
  <c r="E31" i="8" s="1"/>
  <c r="F30" i="8"/>
  <c r="F31" i="8" s="1"/>
  <c r="D35" i="8"/>
  <c r="M19" i="12" l="1"/>
  <c r="F10" i="14"/>
  <c r="D54" i="8"/>
  <c r="D36" i="8"/>
  <c r="D40" i="8" s="1"/>
  <c r="D42" i="8" s="1"/>
  <c r="AF29" i="8"/>
  <c r="AF30" i="8" s="1"/>
  <c r="AF31" i="8" s="1"/>
  <c r="F9" i="14" s="1"/>
  <c r="D50" i="8"/>
  <c r="D37" i="8"/>
  <c r="F32" i="8"/>
  <c r="E32" i="8"/>
  <c r="N35" i="8"/>
  <c r="F35" i="8"/>
  <c r="Z35" i="8"/>
  <c r="J35" i="8"/>
  <c r="AC35" i="8"/>
  <c r="K35" i="8"/>
  <c r="H35" i="8"/>
  <c r="U35" i="8"/>
  <c r="V35" i="8"/>
  <c r="E35" i="8"/>
  <c r="L35" i="8"/>
  <c r="M35" i="8"/>
  <c r="Q35" i="8"/>
  <c r="X35" i="8"/>
  <c r="P35" i="8"/>
  <c r="R35" i="8"/>
  <c r="AE35" i="8"/>
  <c r="Y35" i="8"/>
  <c r="W35" i="8"/>
  <c r="AB35" i="8"/>
  <c r="O35" i="8"/>
  <c r="T35" i="8"/>
  <c r="G35" i="8"/>
  <c r="AA35" i="8"/>
  <c r="I35" i="8"/>
  <c r="S35" i="8"/>
  <c r="AD35" i="8"/>
  <c r="E41" i="8" l="1" a="1"/>
  <c r="E41" i="8" s="1"/>
  <c r="D39" i="8"/>
  <c r="L36" i="8"/>
  <c r="L40" i="8" s="1"/>
  <c r="U36" i="8"/>
  <c r="U40" i="8" s="1"/>
  <c r="AE36" i="8"/>
  <c r="AE40" i="8" s="1"/>
  <c r="W36" i="8"/>
  <c r="W40" i="8" s="1"/>
  <c r="M36" i="8"/>
  <c r="M40" i="8" s="1"/>
  <c r="Q36" i="8"/>
  <c r="Q40" i="8" s="1"/>
  <c r="G36" i="8"/>
  <c r="G40" i="8" s="1"/>
  <c r="H36" i="8"/>
  <c r="H40" i="8" s="1"/>
  <c r="J36" i="8"/>
  <c r="J40" i="8" s="1"/>
  <c r="E36" i="8"/>
  <c r="E40" i="8" s="1"/>
  <c r="AB36" i="8"/>
  <c r="AB40" i="8" s="1"/>
  <c r="AC36" i="8"/>
  <c r="AC40" i="8" s="1"/>
  <c r="X36" i="8"/>
  <c r="X40" i="8" s="1"/>
  <c r="Z36" i="8"/>
  <c r="Z40" i="8" s="1"/>
  <c r="AA36" i="8"/>
  <c r="AA40" i="8" s="1"/>
  <c r="AD36" i="8"/>
  <c r="AD40" i="8" s="1"/>
  <c r="Y36" i="8"/>
  <c r="Y40" i="8" s="1"/>
  <c r="T36" i="8"/>
  <c r="T40" i="8" s="1"/>
  <c r="F36" i="8"/>
  <c r="F40" i="8" s="1"/>
  <c r="N36" i="8"/>
  <c r="N40" i="8" s="1"/>
  <c r="V36" i="8"/>
  <c r="V40" i="8" s="1"/>
  <c r="P36" i="8"/>
  <c r="P40" i="8" s="1"/>
  <c r="S36" i="8"/>
  <c r="S40" i="8" s="1"/>
  <c r="O36" i="8"/>
  <c r="O40" i="8" s="1"/>
  <c r="I36" i="8"/>
  <c r="I40" i="8" s="1"/>
  <c r="K36" i="8"/>
  <c r="K40" i="8" s="1"/>
  <c r="R36" i="8"/>
  <c r="R40" i="8" s="1"/>
  <c r="E38" i="8" a="1"/>
  <c r="E38" i="8" s="1"/>
  <c r="G37" i="8"/>
  <c r="M37" i="8"/>
  <c r="AC37" i="8"/>
  <c r="T37" i="8"/>
  <c r="O37" i="8"/>
  <c r="U37" i="8"/>
  <c r="H37" i="8"/>
  <c r="AE37" i="8"/>
  <c r="J37" i="8"/>
  <c r="E37" i="8"/>
  <c r="AB37" i="8"/>
  <c r="Y37" i="8"/>
  <c r="Z37" i="8"/>
  <c r="P37" i="8"/>
  <c r="AA37" i="8"/>
  <c r="X37" i="8"/>
  <c r="Q37" i="8"/>
  <c r="L37" i="8"/>
  <c r="V37" i="8"/>
  <c r="W37" i="8"/>
  <c r="K37" i="8"/>
  <c r="R37" i="8"/>
  <c r="F37" i="8"/>
  <c r="N37" i="8"/>
  <c r="AD37" i="8"/>
  <c r="S37" i="8"/>
  <c r="I37" i="8"/>
  <c r="AF32" i="8"/>
  <c r="AF36" i="8" s="1"/>
  <c r="AF40" i="8" s="1"/>
  <c r="D52" i="8"/>
  <c r="AF35" i="8"/>
  <c r="F8" i="14" l="1"/>
  <c r="E39" i="8"/>
  <c r="E51" i="8"/>
  <c r="D51" i="8"/>
  <c r="Y41" i="8" a="1"/>
  <c r="Y41" i="8" s="1"/>
  <c r="Y42" i="8" s="1"/>
  <c r="F41" i="8" a="1"/>
  <c r="F41" i="8" s="1"/>
  <c r="F42" i="8" s="1"/>
  <c r="E42" i="8"/>
  <c r="AA41" i="8" a="1"/>
  <c r="AA41" i="8" s="1"/>
  <c r="AA42" i="8" s="1"/>
  <c r="I41" i="8" a="1"/>
  <c r="I41" i="8" s="1"/>
  <c r="I42" i="8" s="1"/>
  <c r="T41" i="8" a="1"/>
  <c r="T41" i="8" s="1"/>
  <c r="T42" i="8" s="1"/>
  <c r="H41" i="8" a="1"/>
  <c r="H41" i="8" s="1"/>
  <c r="H42" i="8" s="1"/>
  <c r="L41" i="8" a="1"/>
  <c r="L41" i="8" s="1"/>
  <c r="L42" i="8" s="1"/>
  <c r="Q41" i="8" a="1"/>
  <c r="Q41" i="8" s="1"/>
  <c r="Q42" i="8" s="1"/>
  <c r="R41" i="8" a="1"/>
  <c r="R41" i="8" s="1"/>
  <c r="R42" i="8" s="1"/>
  <c r="AD41" i="8" a="1"/>
  <c r="AD41" i="8" s="1"/>
  <c r="AD42" i="8" s="1"/>
  <c r="W41" i="8" a="1"/>
  <c r="W41" i="8" s="1"/>
  <c r="W42" i="8" s="1"/>
  <c r="N41" i="8" a="1"/>
  <c r="N41" i="8" s="1"/>
  <c r="N42" i="8" s="1"/>
  <c r="AC41" i="8" a="1"/>
  <c r="AC41" i="8" s="1"/>
  <c r="AC42" i="8" s="1"/>
  <c r="O41" i="8" a="1"/>
  <c r="O41" i="8" s="1"/>
  <c r="O42" i="8" s="1"/>
  <c r="X41" i="8" a="1"/>
  <c r="X41" i="8" s="1"/>
  <c r="X42" i="8" s="1"/>
  <c r="AE41" i="8" a="1"/>
  <c r="AE41" i="8" s="1"/>
  <c r="AE42" i="8" s="1"/>
  <c r="K41" i="8" a="1"/>
  <c r="K41" i="8" s="1"/>
  <c r="K42" i="8" s="1"/>
  <c r="AF41" i="8" a="1"/>
  <c r="AF41" i="8" s="1"/>
  <c r="AF42" i="8" s="1"/>
  <c r="AB41" i="8" a="1"/>
  <c r="AB41" i="8" s="1"/>
  <c r="AB42" i="8" s="1"/>
  <c r="S41" i="8" a="1"/>
  <c r="S41" i="8" s="1"/>
  <c r="S42" i="8" s="1"/>
  <c r="P41" i="8" a="1"/>
  <c r="P41" i="8" s="1"/>
  <c r="P42" i="8" s="1"/>
  <c r="G41" i="8" a="1"/>
  <c r="G41" i="8" s="1"/>
  <c r="G42" i="8" s="1"/>
  <c r="U41" i="8" a="1"/>
  <c r="U41" i="8" s="1"/>
  <c r="U42" i="8" s="1"/>
  <c r="V41" i="8" a="1"/>
  <c r="V41" i="8" s="1"/>
  <c r="V42" i="8" s="1"/>
  <c r="J41" i="8" a="1"/>
  <c r="J41" i="8" s="1"/>
  <c r="J42" i="8" s="1"/>
  <c r="Z41" i="8" a="1"/>
  <c r="Z41" i="8" s="1"/>
  <c r="Z42" i="8" s="1"/>
  <c r="M41" i="8" a="1"/>
  <c r="M41" i="8" s="1"/>
  <c r="M42" i="8" s="1"/>
  <c r="W38" i="8" a="1"/>
  <c r="W38" i="8" s="1"/>
  <c r="W39" i="8" s="1"/>
  <c r="M38" i="8" a="1"/>
  <c r="M38" i="8" s="1"/>
  <c r="M39" i="8" s="1"/>
  <c r="R38" i="8" a="1"/>
  <c r="R38" i="8" s="1"/>
  <c r="R39" i="8" s="1"/>
  <c r="H38" i="8" a="1"/>
  <c r="H38" i="8" s="1"/>
  <c r="H39" i="8" s="1"/>
  <c r="Y38" i="8" a="1"/>
  <c r="Y38" i="8" s="1"/>
  <c r="Y39" i="8" s="1"/>
  <c r="AA38" i="8" a="1"/>
  <c r="AA38" i="8" s="1"/>
  <c r="AA39" i="8" s="1"/>
  <c r="J38" i="8" a="1"/>
  <c r="J38" i="8" s="1"/>
  <c r="J39" i="8" s="1"/>
  <c r="AB38" i="8" a="1"/>
  <c r="AB38" i="8" s="1"/>
  <c r="AB39" i="8" s="1"/>
  <c r="F38" i="8" a="1"/>
  <c r="F38" i="8" s="1"/>
  <c r="F39" i="8" s="1"/>
  <c r="Q38" i="8" a="1"/>
  <c r="Q38" i="8" s="1"/>
  <c r="Q39" i="8" s="1"/>
  <c r="AE38" i="8" a="1"/>
  <c r="AE38" i="8" s="1"/>
  <c r="AE39" i="8" s="1"/>
  <c r="K38" i="8" a="1"/>
  <c r="K38" i="8" s="1"/>
  <c r="K39" i="8" s="1"/>
  <c r="Z38" i="8" a="1"/>
  <c r="Z38" i="8" s="1"/>
  <c r="Z39" i="8" s="1"/>
  <c r="AC38" i="8" a="1"/>
  <c r="AC38" i="8" s="1"/>
  <c r="AC39" i="8" s="1"/>
  <c r="T38" i="8" a="1"/>
  <c r="T38" i="8" s="1"/>
  <c r="T39" i="8" s="1"/>
  <c r="AF38" i="8" a="1"/>
  <c r="AF38" i="8" s="1"/>
  <c r="S38" i="8" a="1"/>
  <c r="S38" i="8" s="1"/>
  <c r="S39" i="8" s="1"/>
  <c r="V38" i="8" a="1"/>
  <c r="V38" i="8" s="1"/>
  <c r="V39" i="8" s="1"/>
  <c r="L38" i="8" a="1"/>
  <c r="L38" i="8" s="1"/>
  <c r="L39" i="8" s="1"/>
  <c r="P38" i="8" a="1"/>
  <c r="P38" i="8" s="1"/>
  <c r="P39" i="8" s="1"/>
  <c r="AD38" i="8" a="1"/>
  <c r="AD38" i="8" s="1"/>
  <c r="AD39" i="8" s="1"/>
  <c r="N38" i="8" a="1"/>
  <c r="N38" i="8" s="1"/>
  <c r="N39" i="8" s="1"/>
  <c r="O38" i="8" a="1"/>
  <c r="O38" i="8" s="1"/>
  <c r="O39" i="8" s="1"/>
  <c r="G38" i="8" a="1"/>
  <c r="G38" i="8" s="1"/>
  <c r="G39" i="8" s="1"/>
  <c r="I38" i="8" a="1"/>
  <c r="I38" i="8" s="1"/>
  <c r="I39" i="8" s="1"/>
  <c r="X38" i="8" a="1"/>
  <c r="X38" i="8" s="1"/>
  <c r="X39" i="8" s="1"/>
  <c r="U38" i="8" a="1"/>
  <c r="U38" i="8" s="1"/>
  <c r="U39" i="8" s="1"/>
  <c r="AF37" i="8"/>
  <c r="F11" i="14" l="1"/>
  <c r="J264" i="1"/>
  <c r="J275" i="1"/>
  <c r="J253" i="1"/>
  <c r="D97" i="1"/>
  <c r="D151" i="1"/>
  <c r="D133" i="1"/>
  <c r="D187" i="1"/>
  <c r="D169" i="1"/>
  <c r="D79" i="1"/>
  <c r="D115" i="1"/>
  <c r="D61" i="1"/>
  <c r="J209" i="1"/>
  <c r="J231" i="1"/>
  <c r="D55" i="8"/>
  <c r="J242" i="1"/>
  <c r="J220" i="1"/>
  <c r="AF39"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tc={895CF2E9-3AFD-4EF4-B4E7-C55FE92BBD7C}</author>
    <author>tc={3DEB06E2-7BBF-4CA0-8B2C-AA8A3156B285}</author>
  </authors>
  <commentList>
    <comment ref="D9" authorId="0" shapeId="0" xr:uid="{895CF2E9-3AFD-4EF4-B4E7-C55FE92BBD7C}">
      <text>
        <t>[Threaded comment]
Your version of Excel allows you to read this threaded comment; however, any edits to it will get removed if the file is opened in a newer version of Excel. Learn more: https://go.microsoft.com/fwlink/?linkid=870924
Comment:
    Costs +10%; revenues -10% vs. base, except where these values are not available. Then own judgement used.</t>
      </text>
    </comment>
    <comment ref="E9" authorId="1" shapeId="0" xr:uid="{3DEB06E2-7BBF-4CA0-8B2C-AA8A3156B285}">
      <text>
        <t xml:space="preserve">[Threaded comment]
Your version of Excel allows you to read this threaded comment; however, any edits to it will get removed if the file is opened in a newer version of Excel. Learn more: https://go.microsoft.com/fwlink/?linkid=870924
Comment:
    Costs -10%; revenues +10% vs. base, except where these values are not available. Then own judgement used.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tc={346C37F8-A034-48D4-A995-669C54DB6DFE}</author>
  </authors>
  <commentList>
    <comment ref="B28" authorId="0" shapeId="0" xr:uid="{346C37F8-A034-48D4-A995-669C54DB6DFE}">
      <text>
        <t>[Threaded comment]
Your version of Excel allows you to read this threaded comment; however, any edits to it will get removed if the file is opened in a newer version of Excel. Learn more: https://go.microsoft.com/fwlink/?linkid=870924
Comment:
    Decommissioning costs are tax deductible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<sst xmlns="http://schemas.openxmlformats.org/spreadsheetml/2006/main" count="243" uniqueCount="184">
  <si>
    <t>Inputs</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</si>
  <si>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</si>
  <si>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</si>
  <si>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</si>
  <si>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</si>
  <si>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</si>
  <si>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</si>
  <si>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</si>
  <si>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</si>
  <si>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</si>
  <si>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</si>
  <si>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</si>
  <si>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</si>
  <si>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551ab216-ca75-49a0-b1a5-e32288747636</t>
  </si>
  <si>
    <t>CB_Block_0</t>
  </si>
  <si>
    <t>㜸〱敤㕣㕢㙣ㅣ㔷ㄹ摥ㄹ敦慣㜷搶㜶散挶改㈵扤扡㌷㘸敢㘸ㅢ愷㑤㉦㤴㤰晡㤲㕢㥢㡢ㅢ㍢㈹㔵㈹摢昱敥ㄹ㝢㤲㤹㔹㜷㘶搶㠹㑢㠱ㄴ㑡㑢戹〸戵㍣㐰戹㔶ㄵ慡㐰㐸㈰㄰慡捡敤〱〹〹㠴㕡搴㠷ち〹㈴㔰㈹〸ㅥ㐰㈸ㄲ㉦㝤愸㔴扥敦捣捣敥散慥㜷散㙥㕢㜰㤱㈷搹㍦㘷捥晤㥣晦㝡晥晦㑣㌲㑡㈶㤳㜹〳て晦攵㤳㘵攲攲㤹㘵㍦㄰㑥㜱戲㙡摢愲ㅣ㔸㔵搷㉦㡥㝢㥥戱㝣搰昲㠳ㅥ㔴挸㤵㉣㤴晢㕡挹户ㅥㄴ昹搲㤲昰㝣㔴搲㌲㤹㝣㕥㔷㔱捥㑥昸ㅢ㡡㕦㜴戶敡捦〲捣㑥㑥ㅣ㤹㍢㠱㕥㘷㠲慡㈷戶㡤ㅣて摢敥ㅡㅢ㉢㡥ㄵ㜷摣㜰敢㔸㜱晢戶㤱挹㥡ㅤ搴㍣戱换ㄵ戵挰㌳散㙤㈳搳戵㌹摢㉡摦㈹㤶㘷慢㈷㠵扢㑢捣㙤扦㘱捥戸昱㤶戱ㅢ㜷敥㌴㙦扤昵㤶㝥っ㥤㌹㍣㌹㌱敤〹搳㝦㥢晡搴㌸攵ㅢ愷㐴搹攲摡㠴昰㉣㜷扥㌸㌹㠱扦㠹昹攳敤收攲捣㠲㄰〱㠷ㄶ㥥㜰换挲搷搱戰捦ㄹ昷晤㥡戳挸捤搳㥤扤㔸㙡搹昰〳捤㤹ㄴ戶慤㍢㜱慦㜹攷〸昶捥㌶㤶晢㥤ㄹ攱晡㔶㘰㉤㔹挱㜲捥㤹㐵㐷㤵〱攷㤸㉦㡥ㅡ敥扣㌸㙣㌸㐲㜳昶搵慣㑡㌶㝣㌲㍤敦㡤扢㐸㑥㑣㉥扦㌸敥㍢㤳ぢ㠶㈷㘷攴㜳㘳㔲敡敥昵捡捤㜵慦散摣㉦愷㉥㐷㘰㥦㔷㜷慥㠷㤲攳㠶㔷慦㌹摡戹㘶戴昸收ㄹ㕣摦戹㝥㘲㡦㥡摢㕣摢戹㡤摣捡收摡㑡㕦㐴摦㜲㐷戱ㄸ㍤㐷搰㑢㤰㈷㈰〲昵〲㐱ㅦ㐱㍦㠰㤲晤㌷戸㈴搹㤰㐵㙡挹㔰㑢㜳㙡愹慣㤶㉡㙡㐹愸㈵㔳㉤捤慢愵〵戵㘴愹愵ㄳ㙡改㈴敡挴㑦扥户㔷㡤㥥昲搸㑤摦昹敥㕦晥㜴攸晢昶㡦㉥㌸㍤昰㠷㤷晡㌷愱搲㕤搱愴愶㍣攳ㄴ㐸慤㐱挵㍢㡡摢昹㘷㜵慥〰㔳㤸㍢捤㥢捤戱戱捡捥敤挶つ㠶挶㘵愵㈰扦㠹㔰㠶㔰户摦扣摢㜲㉢搵㔳ㄲ㜷ㄷ㑦ㄸ扥㘸㙣摣㘸㔴㌶㔱慤戹ㄵ晦愲㤵ぢ㘷〲㈳㄰ㄷ戶㤶㌵㍡㘹㙢㌶〳戶ㄲ扥ㅣ敦搲搶㘶挷つ扢㈶挶㑦㕢㘱昱㈵㉤挵捥戴㔷㥤敢㕣扡搷ㄳて搴㑢摢㘶㌴づ愱戶㈴晢㙥㕢㘵㔸ㄴ捥㙢㘴㜲愱敡ぢ㔷㑥㙦搴㤹戶捡㈷㠵㌷㈳㈸ㄲ㐵㐵㉥昵㕣ㄶ㐵㕣㍦㝡挴挵㐲挱慤㤵㉢㤲戹收㥥搳〱㤸㔹㔴㌰摦㐵攱〵换戳挶㥣㉤捥㙢慡ㄲ㡥㠹㠲慤㑤搹㝢慢攵㥡㍦㔹㜵〳慦㙡㌷㤷㡣㔷㤶っ㐸㥡捡愱㙡㐵㘴戳ㄹ㈹ㄴ㈰㜰㝢㝡ㄴ㈵㜳㕤㘷㕥㤰㠸㐸愰㤸㡣㝣㐱㌳搹ㄵ㡦㘲㜵㔸㠵㉤㐸㤳敡㔵慢㜴挶昹㑡ㄹ㤳挲㠱㠹㌵㔱㝦㜰搰㙢㔶改戶㡥戹㜷戶戲慡づ㐷慢摦戳㈴摣㘰扦攱㔶㙣攱愵㙡㍦㠵㌳搲〷〱戴戳㄰〸ㅤ㜷㡦慡㑥㌹慤㉣㙢愷慣㑡戰㤰㕢㄰搶晣㐲㠰㍣㘸挸㝣㥥㕢摢昶攸攷㈰㑢摦㑣㌰っ㔰㈸㘴㜲㕢㔸㈹㔷挰㤳搱㈸㥤㔲㜸戹㐹㤰戳㕤ㄳ㉦昷㥢㝢㉤㍢㄰愱㔰ㅥ㌴㠱㤱㔰慢㐹昴つ㤰㐴㍤愳ㅣ㉡㡣㉤收㈴愸搴戰摣㘰戹挱户㙤㕣ㄲㄲ搱㠶㉣㔸㜷戲㠰愲愰㔹ㅥ愴昰ㅡ㠸愶㐵ㅡ愴㔷㑥㄰ㄱ搹㈰㐵戳愳攷㘶㈲㘳晤ㄴㄹ㠱晡㐹㈲㘴敤敤㥤㘵〴㠹扤㥤㐸搹愸㈳㍦㙥㐸戳㤵㙣昹㔰㥡㥤㡢㡤搳捦㈳㌸㥦攰〲㠲慤〰捡摦㈰攱㈸攵㤰㙥㝥昴㡢昰慥㕦㑣㜰〹〰攴㤳㑥㤹ㄳ㠹㉡摡㔰㙢戱㈳㔹㙦〰㜶戲㌴㡡㐳㔱㐴换戸㙥㘷づ㌸ㄲ搱㤱搵戹㍥㜴㙤㔶敡搸昷㜴愶捤攴㜲㐸㤱㈹㔵㤳㙢㕤愵㙡㜲㈳㔸戵㑢扤㜵ㄹ㥡敡㈳〴㤷〳㠴㡡㠵挶敥摡慣㜹㥡㤳敦ち㤳㈸㌴㠴扡㔴敥ㄱㄱ搳晣㑦ㄱ㜰㙤㐷㤷つ晢㤹愶攰愸昹慥户㥦户㜵收敤〸改㉤㍡㜳㐳攷搰㔷昴㈶㉤攸㉢挰㕥捡ㅦ㍢敡㤷慢㔰慣㕦㑤昰ㅥ㠰ㄶ晤挲㤳昷㥢昵ㄲ㐸㤳搸㐹㘰㙥㌳㍤㉥搲挲㥤㕤㕥ㄴ㔲晢昴㥢戳㠶㌷㉦〲㜸㉦づ㑣挱づ慥㝡㥥戰㜱愰慤挸っ㥥㕤捥㙦捥昴昷㝡㔵㠷昹ㅢ昶戱晦慥㔰っ搹慣摡㤳㘹戱㡦㔳散捣㠴扦㈹㐱㌹搴扦㌷㜴ㄶㄲ㠹㐶捤攴挵㜶改㘷换つ㐹搲㠵㈴戹〶摢慡㕦ぢ〰㈹愱晣慥愳㐴ㄹ㘵戵㙤戲㕡戳戵㑡敦㕥捡挹愴挵㝦搸㈶㐷晡㐲㘷敤〴㝣〷晥㠰㌳㘳㌹㜵㘱搱攷㑣ぢ慦っ扦㠲㘵㡢㐲攸㤲愵愸搹㤰ㄵ敦ㄲ㔹搱搳搳㜶㤶㑥昱慤㐹㍡㘹㤱ㄲ愹摣㥥㕡㤸㜲づ㙦㄰ㄵ㕤㤰ㄴ㉡㈹㙥愱扡〴㈲攵戱敥㠶㠸改㐲挴ㄴ戱㜱晡昵〴摢〹挶〰戴摦㐲搲慣㜵攳ㄹち敢㕤愲㍢扢㔴捡攴㠹〶改ㅥ㝣戱愳戰扡㤱挳散㈴戸〹愰挵晣愱昳㌱㠵㄰㈵捡ㄳ㠴㐸㙢㐹㌷㡦㕢攲ㄴ㘹㘰㤳㠹愰搲㘴捤て慡づ愳㑡〳收㔴昵㜰㌵㤸戲晣㐵㐴愱㠶捤㈸㜱昷㠲㜰㐱㕤ㅥ㙣㥦㤶扣敡攲愲愸攸收㑣戵〶搱㜶㘰㙡㍤ㅣ捡戱㍥搸㤲昲㕣慥㉡㜸扡㍢ㅢ愳ぢ㐵㥥㠸攱㙢愵㈷㜶㑤㥥㙦ㅥ晡〶ㅢ㍢㍡㙢〵戶攸㌳㐳愶㘳㍡㙦㘲ㄷㄱ㌵愸昴㥡戳ぢ㥥㄰㔳〳收㍥捦慡搸㤶㉢㠸っ搸㤸っ搴ㅤㄴ昳㠸㄰㑣㔷ㄹ晦慢扡〳收慣㘷戸晥愲挱㘰攲昲收愶㌷ㄹㄲ搱捣〹换昵㌱㡣挴㈲搳㠳收捣㐲昵ㄴ愲戵㌵挷摤㘷㉣晡敢〲㉢㈴晡昰㤱愸㔱㔴㐵㔵㤵扣㥡敦ㄶ㍦㍣㤰㘷㌲㍢昰换ㄲ㐸㕣㘵㌴晡换㔳戴㌷敤晡㈸㍥㐳㍢㥤㜳敡㐷攴愸㥥搹㤳㉡㠵挹愹晡㉤㙣㜳㉢挰ㅤ晢㡥ㅤ㘸㐴攵摥㔲扣㕡愳㠷㍦㐵挶㑢戲愸〷㐱攸㥦摢ㄴ㤲ち昳㐸㌹攰㐰㘰㥣㙦慤攴㔷㌰㘵ㅤ㔲摦愶㐶㜲㉦愲㐸晤收㐱㘳㑥搸㠸㐵㍢㐶戰㈹㝣愱ㄹ敢ㄸ戶ㅦ㤵㑤㔶ㅤ挷㈰㘹㤱㉣㘷捡〶㈹㜸扣ㄶ㔴て㔹慥㙥〲㐸晡㡢戲㡣搳挸㌲㑥换慣㝥昳㈸挳㠲㌲捤扥慡昳㠶㘷〵ぢ㡥㔵捥昳㠵愱扢㜵㐱㤳㘰㜲㑡摥昸㠹㘵挶㐸㡢㌵㝦っ㈶㥢㕦〴扡㡢㤰愳摣㍡愲ㅦ㤴慢㉡㌹晣㔱扡㜴㉣㐱挰㐸㉦愹㝥ㅢ㝡搳攴捤〸㠸ㅣ昹㥣㡤敦㕦㥣晤㌸㜲㐲扦ㅣ戱㥥㐲㈲昰〸㈶㠴㍣摤摢㌹昳㤸㙢〵挰ㅥ㌱戶搷ち愶㝣愰ㅣ〰㐹㜹扣扤㔰㘲㌵搱㘸戴慥ㄵ㉥㙢㉦㙡㔲ㄳ㤷戶㤷㈷昵挶㔵㉢ㄴ㠷ㅡ㈵愱㐸㔶慢㈴㌵换ち㜳㕣㑦慡㐶㤱㡡㍢搶㌶㑡㥡摢戴戱敦㤴㈲㙦㐱㌱㐹㥡挹攸扢㈴愱㈰挸㑢敡㠰㡥愲扦㍥㥤㍣ㄲ搱ㅡ摡〰〵敡愹㌰㙦㈰ち〷ㅥ挰㤵㤳㡡㈸㐴㙦攰敦㑤㔱昲㐸㉤㘸㉡㌱㑥て㐷㈵攳戶㝤挴㠵㤵㔰㌶扣捡㍡㘱㘹慣㉤搴㌰㤲㍢扢搵晥攱昶㈶ㄸ㌱㘲㐳㠶㐴㔲晣挰㘰㐳㌰㔷㈲㥡㑡敢㙣㠰㕢㕤捦捥昳敤㤰㌰㕣㠹㠱㤹愰㌲㈵㤶愴ㄹ搶戰攴㠷㘵㠳晡㘹㔱捡㔱摤ㅣ㥦昳愱搲〳捡昱㈸㈵ㄹ㕣㌷㡦搲㉤㠵ぢっ㄰扢㔱㙡扡ㅣ㈰慣㕢敦㠰㈷㠳昵㠳ㅤ散㐸ㄸ㌶愱㜵㐶〹㥡㑢㈱摣收㐵㤰㜷扡挴㈸〴愹㈹㥦㝦敤㔶扥昲ㄴ㥦敦散捥挴㠹㠸㠹ㄸ敡㑡戱ㅥ㠰摣㘴㔴㤲㕣㌴ㅣ〷换㐳挹㈶㠵㔶㝦㥣㐷ㄳ㘳㠰㈶㥦ㄷ攰〶て攳㔸㠳㘴ㅢㅢ㜷摣〲ぢ摡搴㕥摥㘴ㅥ㜰换㜶慤㈲愴㉡㡥㘵戵搴挸敢〲㕦昲晡㕦挸㑤㈹晢ㄲ㙤捡〱ㅣ愵戸㘴㈲愹㝢扢㕢晦〰㥡㑢㈱㠷㍥㐲搹挶攰㘳㡡㕢㑥〶挳摡敥㈸搰㍥摣摣戸扣㈰㉦捥㐱愴戵㘵㔱㤶ㅤ挴㕤扣㝡〴㔹㜲㕢愲摡挱敡挱㉡㙤昶㐴搶㝥㉢捣㕡ㄷ㌸挲㍡㐳㠱㤷换挱ㄸ改㤲㍢搸㐹收㙣ㄴ搹㍤晢㜱昹㥡㌹扢㍢㌲㍥ㄴ挶㜷㜹ち捡㘰㔷挱㐸㌴戸搵㠶搵慤㌰昲㑢换㕢扦ㅤ㐰㘱〸㤸〶㉤㙡㠶〶捥〴搲慢ㅢ㌸っ㐶愶㐴㐷㤳㠱㔴挶㈸㠷攱戰〷搲挰㑤㍣㐸捦㔶愱㠴㠲㉤昲㔲㔸㝣㉦㜱搴挱ㄱ愸敡㥤搷㤲㌹㙤〴戸晡攲㙥㙤挹ㅥ慦㔴㘸敥挲㍦户㉥戰㡡㙢ㅢ愱㌹扡愵攵㐲㤶㕣ㄳ敤扢㉢㕢ち愲㡢㠲㍢愶㡡晢㡤愰扣㌰ㄳ㉣㠷㤷戶扡㈵〹敤攷昰㐷慣㌸㍡㙤收慣换㑢愸㑢摣晢挲㐹户㝡捡㤵昳搲㝣摥昸愳ㄵ慢昷昶㜲㤲㠵捣ㅢ昸㈳ㅦ㌵愳晤っ㍤慥㘵摡散愰攱㈰㘱㍦昲〹愵挱〸搲㈹㜴〲摢扤㝥㘳㠰㜴戲愵㠵㑥愴㈰搸㈰ㄴ㜷晥㙤㈳ㄴ攵愷㐰㉢㠹㈵㍣㤲㘳捦㥦〵敢㉢㍦㐱づㄱ㡥昷㐸㡣㘸㤷㈳㤵㠲㍡㈹挸愳敢ㅤ扣っ昲晦㠳愵㤸㥢㔷㘴愷晦〲㌳㉢㍦㙥㐵搱愵㐴搱昳敤㈸㘲㈰昶㑤㠵扣㌹晢㡤愳收㍢㝥慤昷㝦㜸搴扣〳ㄸ收㈳慤㌱〴搵ㄸ㡣慦ㅢ〳㍤㙤挶挰搵㈸㤶挶挰㥤㙣挳㜸㝤㘸っ㐴摥㡥㐳挸㔸摤ㄸ㘰ㄴ㉦挵攴㑢〴㔵ㄳづっ㥥戵捥㜳攸〹摢㡦敢戵挲㐷攴ㅥ敡挹㥦㠴敦改晣昶散㘹挳㌳㥣慤㌲㝦㥦㈷愰戶扣㔹摣搷㤶㑤搸攲挲ㄵ㑢㘴愳ㄵ扣ㄲ戱㍦㝤挳㜳戲戶㕢敡挰㔴昸㠴㡥㝡㈵慦攴摥㠲㑦㐴攱〹㈱昳㤱㉤摦摢昷攷〷ㅦ搹捤㝢㘹ㄱ慤㙡っ〴㜷ㄳ㥣愷攵㠰昰㙤攲㑡挸戹晣晣收㄰㍥㐴戲ㄶ㙤㌱㘱㜸搲摥昱㜵㈷㑥㠶㠴㤷㈰捣㤰昸搶㠳㌱㠹ㅢづ愱㌱㔹㙣㜱㙣捡捦㤷愴㌳戰㤸㤸戸昴摥挵〱㐲愵愳捡敡搲慥搴㝥〸愵昳㈶㈷搲㙣て昲㝣挹㐷㔱㝥搰慡搵㜶㔲慢㐹㌳㔱ㄹ㐵㡤㔸㑡㈱搲㐰ち㐹ㅥ㔹ㄸ晡㤷㔲㙡ㅡ〹慤〸㤰ㄲ㐳㙢つ收昲攴扦㈱〴㐴晤㝡㕦㤷㥦慡㘰ㄷ㠱挵搸敢摥敤搹㤵㔶㘷慣㥡ㄸ㤴㤵愷㡦扢㤰㤰挷ㄴ㘶㌰㑡㉢㜳㡦㈲ㄱ㍦摡ㄸ㔲㙢㜶㍣㜱㤰〱㈷っ戱㠵㡣慤㌹昴慡ㄵ㥣㍤㙥つ㜷㍣愰㘷㜲㔲㘱戸㥢㤹㡤愳愷㡣挶㠵㔵ぢ㘱ㄶ攱㘰㤸慣㌷敡㡢㡡愰戳摣慤㌸㝦㈲捣挷敦㠱㔸㍥摡攸晡摣搶ㄲ敡㌸户ㄷぢ攴て昶搷愵㈹㡣㡤㔱挹㌱㤰戰㙢慡㤵て㉦㠱捦愰㠹戴攷ㄵ扤㤱攴㔸㡡挲㘸㜴捣㔹㍤㙡㥢晥㘷㥣㕡㜲搶㉣㙢㌳㘰摤愴晦㡦㈳㘳㔵晤慦㌰捡㈶㔱㜶㜷㤴攰㡢挶㐸挹慡挱ㄹ敥〸㝣搸〸搳挸㈳戰㉥㤳っ㙥㠷愹ㄹ㝣愲ㅡㄶ㑢〹づて㔷戶昵ㄲ㐴扤㉤㙤摢扥㡥〲㤰㔱㈰敤摢㄰㐱ㅤ摢㜳搲敤攷搸摣㍤挸摥㜲挸㉡㝢㔵扦㙡〶㈳㌳〸敦㡥昰ぢ㌳ㄳ㌶捦戸昲㙣慢㔰扢ㄲ㍢搱㝦㉦摡ㅣ㍥〲㠱㝤㔸〴㙦㔷搴㤱㌱㠴戵挵㉣昸戵搱㔰㈲㤰㐴敤攰㥦㘳摥㔵㌳㙣㝣愰㝡〴㕥捤㠰㔹敢㐲搹㠵扥攵搶扢ㄸ摣㍡摣挶扡ㄳ㥥ㅦ㘱ㄷㄱ〶㤳㑢戸昷㍥敥㙢敢ㅥ㌴搷㡤搶收戳㘶㜷摥戵㠲昶㉤攰㜴㙤愳㌴㤳っ挷攴㜷挷〵晤㍥㐲挴㜹攸ㅤ㕤扢㉢㤶扤つ㠳捥愳捦戶改昲ㅡ戵攱㈸㕢㐳㥣晢挳㘸慡摣㑥㠰㥦㕥㡡ㄲ㝣㔱攸捦扢㡤㠹愷戱㉣㌲〰搲㤹㥣〱搰㤹慡扦戱ㄲ㔵㉢㍣㕡㤰ちぢ捡搷㔱捥㕤ち㔷㕢㘱ㅥ㡥ㅡ昲〸㠱戴㉥〰攲㐷攱ㄱ㐲㡥晦ㄵ㌴愸㡦㍦㡦摣捥攳㝦㜹挵昱愹晣攵晡㤲晤て挵捡㐳㍦㠱㘲晤㈴㠱㑤攰〰っ挵㍡㘴㤰㘲㤱戲㈶ㄷ〶ㄱ㝥扣ㅢ㘹㍣㉦㐵晦扥戲晢挵ㄷ昸晣㜳户㈲〵㈱㡡㥡㔷㐱㐱㈸㔷昱㐴㜲ㄵ㡢挸敤扣㡡㉦慣戴㡡㈱捡㐸捥㐴昷〰〶㝡ㄴ搲㡡㕣㤵㡦〴㌷㤴㍦㐵㈲ㄴ㠹愶㔹っㄱ戱戲㙤つ〹戴攵捥换戶㑢㐸挴㙤㠷攲敤搱戸㈳㈹摦昲㐸㐳㠹㜷ㅦ改扥挹㠵晥搷㕣愸ㅥ昳㑥攴㜸㕤ㄷ㐲〲㙢攳挷戱ㅤ㘵㝢慥换愰扥昲㜸㡣愱晤晢攳て愵搴㈸捣〴ち〹㑤㔳㔲ㄴ㌷㔲昹㜴㕣昹〷捦㌵扣愴㈸挰〳㌲ち㉢㤳昲㘴攵挷攲捡㍢昰ㄱ㤶慣㤳攱愵〱㍥慦挴㤵㐹愱戲昲愳㜱攵㝦散搸㕡慦ㅣㄳ㘴搸戳㐶㙡㐹㌱㝡攵㌱㈰昱㐱㌶㑦搷㥡㐹㐵摡㘷㠶搹ㄴ愱㌲㕡㙣㑢㔵摡㡦晢ㅦㅥ㍥㠹㍥㠸敢㑣戸昵〱㘹ㅢ晥捦〸〷㜰捤㘹捡〸っ㝣昱扣㠴昸戲愷换㌷㌶捥㤹㐷㍣㘴昴㥡〷㝣ㅣ慥㉡敢㡡㐴㘰ㄷ㘴挳晤㕤挵て㥦㘲㐳㌶昶㈳㡥㡢愹扣㌶搲㥤ㄶ㤱戱㤴慣昲㐸㡣搹捣㤹〶捤攸ㅦ〵㜲㈰㉦〱㤹搰㍦〶ㄸ挶㕥戶㌰㘳㠸㠲㐰㜲昹ㄹ㈴昴㠷〹㍥〱㔰㔰挸昵愴㠳摣㈷〱〶攳晦㤷㘲㘴㐹㍡㑥㔴攵愱㜸戰㈴ㄹ改㥦㘲㠳㐷〱㝡攰戱㔵㈲㈲㉣攸㡦㈱㈷㌹㈸㈵㠸ㅣ昴㜱ㄶ㝣㠶攰戳〰〵㡤㤳㕤昳慥㜱㑤㕤慡戰捦愱愹挲慤㤰〲敤昳㔱㠲㉦摡ㄹ㠰摢㍡ㅢ捤㍣ㄳ挷摦昱㈳扡搹昴挱晥ㅥ㝣㠰扦捣㐵昷攰晦ㅦ搱愴㠵㥦㔵摦搷㕤㕦㘴〲㡤昳攱捦挳㘶扦㠵㝥戸慥㠶戱挹ㅥ摦㡦㕦㕥捤㈹て攳摦㌳昸㈹て㘰〴㡥㐲㤵㥢㠷扦㠵㌴㈰ぢㄶ愳〲敡㉥晤〹〰㠵㌸㈶㥥昴㈷昹㐶搴戲㝦晤㡢㔱㠲㉦ち昱㝡㠶〹㍢㙡ㅥて㐸㕣换㠲㤳㉤〳ㄲ晦戲攰㐴㜲挰㉦㈱㔷㤱挸㐲愲㔹㍤ㄱ㘹㔹收㍥〵㌰搰㌳挸戹㔱摤愹愷㤵昲晤㤵晢敦㝦㙤㌰㍢㜲㘱昶㠳户昷㍦昵捡㙦㕥㝤昲攵て敤晡晢敢㕦晢摡换㝦㝤昲㠵搷㝦㌶户敢㔷捦㍣昳换㍢扥昹挲慢㥢捤愷搵攷㕥㍢昸昴㐳㘳㈷ㅦ㝡挰㍣㜶摤扥㠷敥㌹㜱搷搸昴㌹愳㍤㍤扤扤敦ㅤ晥昵〵搷っ㥤㜹攰㜹攵ㄷ扦㍦摦㔵攴㜲㌹愰〰㠸㥦㈱㉥㕢㑥攳慢㐸㘰ㅡ㥣昱㍢㍡つ㉥昷っ㝥㑡㈵摡愸〹扣攴攱摣攰〴㘴㐱戹戹愰敦㍦㘰搴戳㜸</t>
  </si>
  <si>
    <t>Decisioneering:7.0.0.0</t>
  </si>
  <si>
    <t>CB_Block_7.0.0.0:1</t>
  </si>
  <si>
    <t>2f9ae142-3f94-4791-bf6d-6211e8ce3734</t>
  </si>
  <si>
    <t>9c321640-5598-4a4c-9261-93bc90f08e09</t>
  </si>
  <si>
    <t>㜸〱敤㕣㕢㡣㈴㔵ㄹ敥慡敥敡改敡㤹搹ㄹ㜶㜶㠱攵㍡摣㉦戳㘹㜶ㄶ㔶㐰㕣㤷戹戰ㄷ搸换戰㌳扢㐸㄰㥢㥡敥㔳㌳戵摢㔵㍤㔴㔵捦敥㈰捡愲〸攲㈵ち㈶㉡㠸㑡㠸㈱晡㘲㠲て〴ㄴㅦ㑣㑣㌴ち挶㄰㘲攲㠳〹㄰㠲てㅡ戳㠹㉦㍣㤰攰昷㥤慡敡慥敥㥥慥ㄹㅡ搰挱㑣敤昶扦愷捥晤㥣晦㝡晥晦搴愶㤴㔴㉡昵ㅥㅥ晥换㈷挳挴㜹搳㑢㥥㉦散挲㐴戵㔲ㄱ㈵摦慡㍡㕥㘱捣㜵㡤愵晤㤶攷愷㔱㈱㕢戴㔰敥㘹㐵捦扡㑦攴㡡㡢挲昵㔰㐹㑢愵㜲㌹㕤㐵㌹㍢攱㙦㌰㝡搱搹慡㉦〳㌰㌳㌱㝥㘸昶ㄸ㝡㥤昶慢慥搸㍡㝣㌴㘸扢㜳㜴戴㌰㕡搸㝥敤㡤愳㠵㙤㕢㠷㈷㙡ㄵ扦收㡡㥤㡥愸昹慥㔱搹㍡㍣㔵㥢慤㔸愵摢挴搲㑣昵戸㜰㜶㡡搹㙤搷捥ㅡ搷摤㌰㝡摤㡥ㅤ收㡤㌷摥搰㠷愱㔳〷㈷挶愷㕣㘱㝡ㅦ㔲㥦ㅡ愷㝣摤愴㈸㔹㕣㥢㄰慥攵捣ㄵ㈶挶昱㌷㌶㝦扣㕤㕦㤸㥥ㄷ挲攷搰挲ㄵ㑥㐹㜸㍡ㅡ昶摡㘳㥥㔷戳ㄷ戸㜹扡扤ㅢ㑢㉤ㄹ㥥慦搹ㄳ愲㔲搱敤愸搷㥣㝤〸㝢㔷㌱㤶晡散㘹攱㜸㤶㙦㉤㕡晥㔲搶㥥㐱㐷攵㝥晢㠸㈷づㅢ捥㥣㌸㘸搸㐲戳昷搴慣㜲㈶㜸㔲改㉢愲㉥攲ㄳ㤳换㉦㡣㜹昶挴扣攱捡ㄹ㜹摣㤸㠴扡扢摤㔲㜳摤㑢㍡昷换愹换ㄱ搸攷㘵㥤敢愱攴愸攱搶㙢㡥㜴慥ㄹ㉥扥㜹〶搷㜴慥ㅦ摢愳收㌶㔷㜵㙥㈳户戲戹戶搲ㅢ搲户摣㔱㉣㐶捦ㄲ昴㄰攴〸㠸㐰㍤㑦搰㑢搰〷愰㘴晥つ㉥㠹㌷㘴㤱㕡㌴搴攲慣㕡㉣愹挵戲㕡ㄴ㙡搱㔴㡢㜳㙡㜱㕥㉤㕡㙡昱㤸㕡㍣㡥㍡搱㤳敢改㔱挳㈷扤昹㡤㔷晦㜸㜶攱挰攳㤷扣昴摤户㕥㝤晢摢㝤ㅢ㔰改昶㜰㔲㤳慥㜱〲愴搶愰攲敤㠵㙤晣戳㌲㔷㠰㈹捣ㅤ收昵收攸㘸㜹挷㌶攳㕡㐳攳戲ㄲ㤰摦㐴㈸㠳愸摢㘷摥㘱㌹攵敡〹㠹扢昳挶つ㑦㌴㌶㙥㈴㉣ㅢ慦搶㥣戲㜷敥昲㠵搳扥攱㡢㜳㕡换ㅡ㥤戴㌵㥢〶㕢〹㑦㡥㜷㐱㙢戳愳㐶愵㈶挶㑥㕡㐱昱昹㉤挵昶㤴㕢㥤敤㕣扡摢ㄵ昷搶㑢摢㘶㌴〶愱戶㈸晢㙥㕢㘵㔰ㄴ捣㙢㜸㘲扥敡〹㐷㑥㙦挴㥥戲㑡挷㠵㍢㉤㈸ㄲ㐵㔹㉥㜵㌳㡢㐲慥ㅦ㌹攴㘰愱攰搶昲挵昱㕣昳㤶㤳㍥㤸㔹㤴㌱摦〵攱晡㑢㌳挶㙣㐵㥣搹㔴㈵ㄸㄳ〵㕢㥡戲㜷㔷㑢㌵㙦愲敡昸㙥戵搲㕣㌲㔶㕥㌴㈰㘹捡〷慡㘵㤱挹愴愴㔰㠰挰㑤愷ㄵ㈵㜵㜵㘷㕥㤰㠸㠸愱㤸㡣㝣㜶㌳搹ㄵづ㘳㜵㔸㐵㐵㤰㈶搵㑢㔷攸㡣昳㤵㌲㈶㠱〳㘳㙢愲晥攰愰㔷慥搰㙤ㅤ㜳ㅦ㙤㘵㔵ㅤち㔷㝦换愲㜰晣扤㠶㔳慥〸㌷㔱晢㈹㥣㤱㍥〰愰㥤㠶㐰攸戸㝢㔴㜵捡㐹㘵㐹㍢㘱㤵晤昹散扣戰收收㝤攴㐱㐳收㜲摣摡戶㐷㍦〳㔹晡㐶㠲㈱㠰㝣㍥㤵摤挴㑡搹㍣㥥㤴㐶改㤴挰换㑤㠲㥣敤㥡㜸戹捦摣㙤㔵㝣ㄱ〸攵〱ㄳㄸ〹戴㥡㐴㕦㍦㐹搴㌵㑡㠱挲搸㘴㑥㠰㑡つ换昱㤷ㅡ㝣摢挶㈵〱ㄱ慤换㠲㌵㈷ぢ㈸ち㥡攵㐱〲慦㠱㘸㕡愴㐱㜲攵ㄸㄱ㤱つㄲ㌴㍢㝡㙥㈶㌲搶㑦㤰ㄱ愸ㅦ㈷㐲搶摥搶㔹㐶㤰搸摢㠹㤴㡤㍡昲攳扡㌴㕢捥㤶て愴搹㘶㙣㥣㝥㈶挱㔹〴㘷ㄳ㙣〱㔰摥㠶㠴愳㤴㐳扡昹搱捦挵扢㝥ㅥ挱昹〰㤰㑦㍡㘵㑥㈸慡㘸㐳慤挶㡥㘴扤㝥搸挹搲㈸づ㐴ㄱ㉤攳扡㥤搹㙦㑢㐴㠷㔶攷摡搰戵ㄹ愹㘳㉦敦㑣㥢昱攵㤰㈲ㄳ慡挶搷扡㐲搵昸㐶戰㙡㤷㝡敢㐲㌴搵㠷〹㉥〲〸ㄴぢ㡤摤搵㔹昳㌴㈷㍦ㄶ㈶㔱㘰〸㜵愹摣㐳㈲愶昹㥦㈰攰摡㡥㉥敢昶㌳㑤挱ㄱ昳㘳㙦㍦㙦敤捣摢㈱搲㕢㜴收扡捥愱慦攸㝤㕡搰ㄷ㠳扤㤴扦㜵搴㉦㤷愲㔸扦㡣攰㜲㠰ㄶ晤挲㤳昷晢昵ㄲ㐸㤳搸㡥㘱㙥㈳㍤㉥搲挲㥤㔹㕡㄰㔲晢昴㤹㌳㠶㍢㈷㝣㜸㉦昶㑤挲づ慥扡慥愸攰㐰㕢㤶ㄹ㍣扢㥣搵㥣改敤㜶慢㌶昳搷敤㘳敦㘳愱ㄸ㌲ㄹ㌵㥤㙡戱㡦ㄳ散捣㤸扦㈹㐶㌹搴扦搷㜶ㄶㄲ戱㐶捤攴挵㜶挹㘷换㜵㐹搲㠵㈴戹ㄲ摢慡㕦〵〰㈹愱晣愵愳㐴ㄹ㘱戵慤戲㕡戳戵㑡敦㕥挲挹愴挵㝦搸㈶㐷㝡〳㘷敤㌸㝣〷㕥扦㍤㙤搹㜵㘱搱㙢㑦〹户〴扦㠲㔵ㄱ昹挰㈵㑢㔱戳㉥㉢㍥㈶戲㈲㥤㙥㍢㑢㈷昸搶㈴㥤戴㐸㠹㐴㙥㑦㉣㑣㌸㠷㌷㠸㡡㉥㐸ち㤵〴户㔰㕤〲㤱昲㔸㜷㕤挴㜴㈱㘲ち搸㌸晤ㅡ㠲㙤〴愳〰摡㥦㈰㘹㔶扢昱っ㠵昵㉣搲㥤㕤㉣愶㜲㐴㠳㜴て扥搲㔱㔸㕤挷㘱㜶㄰㝣〲愰挵晣愱昳㌱㠱㄰㈵捡㘳㠴㐸㙢㐹㌷㡦㕡攲〴㘹㘰㠳㠹愰搲㐴捤昳慢㌶愳㑡晤收㘴昵㘰搵㥦戴扣〵㐴愱㠶捣㌰㜱挷扣㜰㐰㕤㉥㙣㥦㤶扣敡挲㠲㈸敢收㜴戵〶搱戶㙦㜲㉤ㅣ捡戱㍥搸㤲昲㕣慥㉡㜸扡㍢ㅢ愳ぢ㐵㥥㠸攱㙢愵㈷㜶㔵㥥㙦ㅥ晡〶ㅡ㍢㍡㘳昹ㄵ搱㙢〶㑣挷㜴捥挴㉥㈲㙡㔰敥㌱㘷收㕤㈱㈶晢捤㍤慥㔵慥㔸㡥㈰㌲㘰㘳㌲㔰户㕦捣㈱㐲㌰㔵㘵晣慦敡昴㥢㌳慥攱㜸ぢ〶㠳㠹㑢ㅢ㥢摥㘴㐸㐴㌳挷㉤挷挳㌰ㄲ㡢㑣て㤸搳昳搵ㄳ㠸搶搶㙣㘷㡦戱攰慤〹慣㤰攸㠳㐷愲㐶㔱ㄵ㔵㔵㜲㙡慥㕢晣昰㐰㥥㑡㙤挷㉦㐳㈰㜱㤵搲攸㉦㑦搰摥戴敢挳昸っ敤㜴捥愹て㤱愳㝡㘶㍡㔱ち㤳㔳昵ㅢ搸收㐶㠰㕢昷ㅣ搹搷㠸捡㝤愰㜸戵㐶て㝦㠲㡣㤷㘴㔱て㠲搰㍦户㈱㈰ㄵ收㤱㜲挰㠱挰㌸摦㕡挹㉦㙦捡㍡愴扥つ㡤攴㙥㐴㤱晡捣晤挶慣愸㈰ㄶ㙤ㅢ晥㠶攰㠵㘶慣㙤㔴扣戰㙣愲㙡摢〶㐹㡢㘴㌹㕤㌲㐸挱㘳㌵扦㝡挰㜲㜴ㄳ㐰搲㕦㤸㘵㥣㐴㤶㜱㔲㘶昵㤹㠷ㄹㄶ㤴㘹昶㔵㥤㌳㕣换㥦户慤㔲㡥㉦っ摤慤〹㥡〴㤳㔳昲㐶㑦㈴㌳㠶㕢慣昹㈳㌰搹扣〲搰㕤㠰ㅣ攵搶ㄱ晤愰㕣㔵挹攲㡦搲愵㘳〹〲㐶㝡㐹昵㥢搰㥢㈶㙦㐶㐰攴挸攷㜴㜴晦攲昴〳挸〹晣㜲挴㝡〲㠹挰㈳ㄸㄳ昲㜴㙦㘷捤㈳㡥攵〳㝢挴搸㙥换㥦昴㠰㜲〰㈴攵昱昶ㅣ㠹搵㔸愳㤱扡㔶戸戰扤愸㐹㑤㕣搰㕥ㅥ搷ㅢ㤷㉥㔳ㅣ㘸㤴㤸㈲㔹愹㤲搴㉣换捣㜱㉤愹ㅡ㐵㉡敥㐸摢㈸㐹㙥搳挶扥㔳㡡㝣〰挵㈴㘹㈶愵敦㤴㠴㠲㈰㉦愹〳㍡㡡晥晡㘴昲㠸㐵㙢㘸〳攴愹愷㠲扣晥㌰ㅣ戸て㔷㑥捡㈲ㅦ扥㠱扦㌷㠴挹㐳㌵扦愹挴㌸㌹ㄴ㤶㡣㔵㉡㠷ㅣ㔸〹㈵挳㉤慦ㄱ㤶挶摡〲つ㈳戹戳㕢敤ㅦ㙣㙦㡣ㄱ㐳㌶㘴㐸㈴挱てっ㌶〴㜳挵愲愹戴捥晡戹搵昵散ㅣ摦づ〸挳㤱ㄸ㤸昶换㤳㘲㔱㥡㘱つ㑢㝥㐸㌶愸㥦ㄶ愵ㅣ搵捤戱㔹て㉡摤愷ㅣて㔳㤲挱㜵昳㌰摤㔲戸挰〰戱ㅢ愶愶㑡㍥挲扡昵づ㜸㌲㔸㍢搸挱㡥〴㘱ㄳ㕡㘷㤴愰搹〴挲㙤㕥〴㜹愷㑢㡣㐲㤰㥡昲昹搷㉥攵挹㈷昸晣㙣㔷㉡㑡㠴㑣挴㔰㔷㠲昵〰攴挶愳㤲攴愲愱㈸㔸ㅥ㐸㌶㈹戴晡愲㍣㥡ㄸ晤㌴昹㕣ㅦ㌷㜸ㄸ挷ㅡ㈰摢㔴㜰挷捤户愰㑤㉢㑢ㅢ捣㝤㑥愹㔲㉢ぢ愹㡡㈳㔹㉤㌵昲㥡挰㤷扣晥ㄷ㜰㔳挲扥㠴㥢戲て㐷㈹㉥㤹㐸敡摥敥搶㍦㡤收㔲挸愱㡦㐰戶㌱昸㤸攰㤶㤳挱戰戶㍢ち戴て㌷㌶㉥㉦挸㡢㜳㄰㘹㙤㔹㤴㘵晢㜱ㄷ慦ㅥ㐱㤶摣ㄶ慢戶扦扡扦㑡㥢㍤㤶戵搷ち戲搶〴㡥戰捥㐰攰㘵戳㌰㐶扡攴づ㜶㤲㍡ㅤ㐶㜶㑦㍦㈰㕦㔳愷㜷㠵挶㠷挲昸㉥㑦㐱㈹散㉡ㄸ㠹〶户摡戰扡ㄵ㐶㝥㘹㜹敢㌷〳㈸っ〱搳愰㐵捤挰挰ㄹ㐷㝡㘵〳㠷挱挸㠴攸㘸㍣㤰捡ㄸ攵㄰ㅣ昶㐰ㅡ戸㠹〷改㤹㉡㤴㤰扦㐹㕥ち㡢敥㈵㡥搸㌸〲㔵摤㌳㕢㌲愷っㅦ㔷㕦㥣㉤㉤搹㘳攵㌲捤㕤昸攷搶〴㔶㜱㙤㈳㌰㐷㌷戵㕣挸㤲㙢愲㝤㜷㐹㑢㐱㜸㔱㜰晢㘴㘱慦攱㤷收愷晤愵攰搲㔶户㈴愱晤ㅡ晥㠸㘵㐷愷捤㥣㜱㜸〹㜵㤱㝢㥦㍦敥㔴㑦㌸㜲㕥㥡挷ㅢ㝦戴㘲昵㥥ㅥ㑥㌲㥦㝡て㝦攴愳愶戴㤷搰攳㙡愶捤づㅡづㄲ昶㈳㥦㐰ㅡっ㈳㥤㐰㈷戰摤敢㌷〶㐸㈷㥢㕡攸㐴ち㠲㜵㐲㜱收㍥㌴㐲㔱㝥〵戴㤲㔸㠲㈳㌹昶晣㔹戰扥昲㑢攴㄰攱㜸て挵㠸㜶ㄱ㔲〹愸㤳㠲㍣扣摥挱换㈰晦㍦㔸㡡戸㜹㔹㜶晡㉦㌰戳昲㘲㉢㡡㉥㈰㡡㕥㘸㐷ㄱ〳戱敦㉢攴捤搹慦ㅦ㌵㍦昲㙢扤晦挳愳收慤挰㌰ㅦ㘹㡤㈱愸挶㘰㝣摤ㄸ㐸户ㄹ〳㤷愱㔸ㅡ〳户戱つ攳昵㠱㌱㄰㝡㍢づ㈰㘳㘵㘳㠰㔱扣〴㤳㉦ㄶ㔴㡤㌹㌰㜸搶㍡搳愶㈷㙣㉦慥搷ちて㤱㝢愸㈷㙦〲扥愷戳摡戳愷っ搷戰户挸晣㍤慥㠰摡㜲㘷㜰㕦㕢㌶㘱㡢㜳㤶㉤㤱㡤㤶昱㑡㐴晥昴㜵捦挹敡㙥愹〳㔳挱ㄳ㌸敡㤵㥣㤲晤〰㍥ㄱ㠵㈷㠴搴攷㌷晤㝣捦ㅢ昷㍤戴㡢昷搲㐲㕡搵ㄸ〸敥㈶㌸㑦换〱攱摢搸㤵㤰捤晣晣收〰㍥㐴戲ㄶ㉡㘲摣㜰愵扤攳改㜶㤴っ〸㉦㐶㤸〱昱慤〵㘳ㄲ㌷ㅣ〲㘳戲搰攲搸㤴㥦㉦㐹㘷㘰㈱㌶㜱改扤㡢〲㠴㑡㐷㤵搵愵㕤愹晤〲㑡攷㝤㑥愴搹ㅥ攴昹㤲㡦愲㍣搷慡搵㜶㔰慢㐹㌳㔱ㄹ㐱㡤㐸㑡㈱搲㐰ち㠹ㅦ㔹ㄸ晡㤷㔲㙡ち〹慤〰㤰㄰㐳㙢つ收昲攴扦㉥〴㐴晤㝡㕦㤷㥦慡㘰ㄷ㠱挵挸敢摥敤搹㤵㔶㘷愴㥡ㄸ㤴㤵愷㡦摢㤱㤰挷ㄴ㘶㌰㑡㉢㜳て㈳ㄱ㍤摡㈸㔲慢㜶㍣㜱㤰㝥㍢〸戱〵㡣慤搹昴慡攵敤㕢㥣ㅡ敥㜸㐰捦㘴愵挲㜰㌶㌲ㅢ㐷㑦ㄹ㡤ぢ慡收㠳㉣挲㠱㈰㔹㙦搴ㅢㄶ㐱㘷㌹㕢㜰晥㐴㤸㡦摦〳戱㝣愴搱昵收搶ㄲ敡㌸愷〷ぢ攴て昶搷〵〹㡣㡤㔱挹㌱㤰戰慢慡㤵ぢ㉥㠱㑦愳㠹戴攷ㄵ扤㤱攴㔸㡡挲㘸㜴挴㔹㘹戵㑤晦㌳㑥㉤㌹㙢㠶戵ㄹ戰㙥搲晦㐷㤱戱愲晥㔷ㄸ㘵㤳㈸扢㈳㑣昰㐵㘳愴㘴挵攰っ㜷〴㍥㙣㠴㘹攴ㄱ㔸㤷㐹〶户㠳搴㌴㍥㔱つ㡡愵〴㠷㠷㉢搳㝡〹愲摥㤶戶㙤㙦㐷〱挸㈸㤰昶㔳㠸愰㡥敤㌹改昶㜳㙣昶㑥㘴㙦㍡㘰㤵摣慡㔷㌵晤攱㘹㠴㜷㠷昹㠵㤹〹㥢㘷㑣㜹戶㔵愸㕤㠲㥤攸扢ぢ㙤づㅥ㠲挰㍥㈸晣て㉢敡挸ㄸ挲敡㘲ㄶ晣摡㘸㌰ㄶ㐸愲㜶昰捥㌰㙦慦ㄹㄵ㝣愰㝡〸㕥㑤㥦㔹㙢㐲搹〵扥攵搶扢ㄸ摣㍡摣挶扡つ㥥ㅦ㔱㈹㈰っ㈶㤷㜰搷摤摣搷搶㍤㘸慥ㅢ慥捤㘳捤敥扣㙢㜹敤㈷挰改敡㐶㘹㈶ㄹ㡥挹敦㡥昳晡摤㠴㠸昳搰㍢扡㝡㔷㉣㝢ㅢ〲㥤㠷㥦㙤搳攵㌵㔲㠱愳㙣ㄵ㜱敥捦愱愹㜲㌳〱㝥㝡㌱㑣昰㐵愱㍦敦㈶㈶㥥挶戲挸〰㐸愷戲〶㐰㘷慡晥搱㜲㔴慤昰㘸㐱㉡捣㉢㍦㐴㌹㜷㈹㔸㙤㤹㜹㌸㙡挸㈳〴搲扡〰㠸ㅥ㠵㐷〸㌹晥㤳㘸㔰ㅦ㝦づ戹㥤挷晦晥戲攳㔳昹换昵挵晢ㅦ㡣㤴㠷㝥っ挵晡㜱㠲ち㠱つ㌰ㄸ改㤰〱㡡㐵捡㥡㙣㄰㐴㜸㜱ㄷ搲㜸晥ㅣ晥晢晡慥㔷㕥收昳捦㕤㡡ㄴ㠴㈸㙡㕥〵〵愱㕣挵㘳昱㔵㉣㈰户昳㉡扥戵摣㉡〶㈹㈳㌹ㄳ摤〵攸㑦㉢愴ㄵ戹㉡て〹㙥㈸㝦㡡㐴㈸ㄲ㑤戳ㄸ㈴㘲㘵摢ㅡㄲ㘸换㥤㤷㙤ㄷ㤱㠸摡づ㐶摢愳㜱㐷ㄲ扥攵㤱㠶ㄲ敦㍥搲㝤㤳つ晣慦搹㐰㍤收散搰昱扡㈶㠴〴搶挶㡦㘳㍢捡昶㙣㤷㐱㝤攵搱〸㐳㝢昷㐶ㅦ㑡愹㘱㤸〹ㄴㄲ㤸愶愴㈸㙥愴昲搵愸昲㜳捦㌷扣愴㈸挰〳㌲ち㉡㤳昲㘴攵㐷愲捡摢昱ㄱ㤶慣㤳攲愵〱㍥慦㐷㤵㐹愱戲昲挳㔱攵㝦㙣摦㔲慦ㅣㄱ㘴搰戳㐶㙡㐹㌰㝡攵㌱㈰昶㐱㌶㑦搷㥡㐹㐵摡㙢〶搹ㄴ愱㌲㕡㕣㤱慡戴て昷㍦㕣㝣ㄲ扤ㅦ搷㤹㜰敢〳搲㌶昸㥦ㄱ昶攱㥡搳愴攱ㅢ昸攲㜹ㄱ昱㘵㔷㤷㙦㙣㥣㌵て戹挸攸㌱昷㜹㌸㕣㤵搷ㄴ㠹挰㉥挸〴晢扢㠲ㅦ㍥挱㠶㙣散㐷ㄴㄷ㔳㜹㙤愴㍢㉤㈲㘳㈹ㄹ攵愱〸戳愹㔳つ㥡搱扦〰攴㐰㕥〲㌲愱㝦ㄱ㌰㠸扤㙣㘲挶㈰〵㠱攴昲㔳㐸攸てㄲ㝣〹㈰慦㤰敢㐹〷搹㉦〳っ㐴晦㉦挵昰愲㜴㥣愸捡晤搱㘰㜱㌲搲扦挲〶て〳愴攱戱㔵㐲㈲捣敢㡦㈰㈷㍥㈸㈵㠸ㅣ昴㔱ㄶ㝣㡤攰敢〰㜹㡤㤳㕤昵慥㜱㑤㕤慡戰㙦愰愹挲慤㤰〲敤㥢㘱㠲㉦摡㈹㠰㥢㍡ㅢ捤㍣ㄳ㐷摦昱㈳扡搹昴挱晥㉤昸〰㝦㠹㡢㑥攳晦ㅦ搱愴㠵㥦㔱㍦搹㕤㕦㘴〲㡤昳攱捦挵㘶㝦㠰㝥戸慥㠶戱挹ㅥ㍦㠵㕦㑥捤㉡て攲摦㔳昸㈹昷㘲〴㡥㐲㤵㥢㠳扦㠵㌴㈰ぢㄶ挲〲敡㉥晤㌱〰㠵㌸㈶㥥昴挷昹㐶搴戲㝦晤㍢㘱㠲㉦ち昱㝡㡡㠹㑡搸㍣ㅡ㤰戸㤶〵挷㕢〶㈴晥㘵挱戱昸㠰摦㐳慥㈲㤱㠵㐴戳㝡㈲搲㌲捣㝤〲愰㍦㍤挰戹㔱摤愹㈷㤵搲㍤攵㝢敥㜹㘷㈰㌳㝣㑥收㌳㌷昷㍤昱晡ㅦ摥㝣晣戵捦敥晣晢扢㑦㍤昵摡㕢㡦扦晣敥㑢戳㍢㝦昷捣㌳扦扤昵挷㉦扦戹搱㝣㕡㝤晥㥤晤㑦摦㍦㝡晣晥㝢捤㈳㔷敦戹晦捥㘳户㡦㑥㥤㌱㤲㑥昷昴㕣㌱昴晢戳慦ㅣ㍣㜵敦ぢ捡㙦晥㝡㤶愳挸攵㜲㐰〱㄰㍤㠳㕣戶㥣挶て㤰挰㌴㌸攳㡦㜴ㅡ㕣敥㈹晣㤴㜲戸㔱攳㜸挹挱戹挱〹挸㠲㔲㜳㐱敦㝦〰㐷攷戳㤲</t>
  </si>
  <si>
    <t>㜸〱捤㔹㕢㙣ㅣ㔷ㄹ摥㤹摤㔹敦慣㜷敤捤愵㘹㥢摥㕣㘸㥡戶㙥㔶㜱搲㌴㐹㑢㤴搸敢㌸㜱攲挴㑥搶㐹㐰㙤戵ㄹ敦㥥㠹㈷㥥㡢㍢㌳㥢搸愸愲扣昰挲〳㠲昲㐰㡢ち㉤ㄵ㉡ㄴ㈱㜸㐱〸㐴㕦㐰㐸㈰ㄴ㈴㉡㔵攲㈲㔵㐲ㄵ㔲㠵愸㔰㄰㔲搵㠷㑡攵晢捥捣慥㜷搷敢㑤敡〶挹挷昲扦攷㍥攷晣户昳㥤晦㈴㤴㐴㈲昱㌱ㄲ㝦㤹㔲捣摣㕤㕥づ㐲攱ㄴ㑢㥥㙤㡢㙡㘸㜹㙥㔰ㅣ昵㝤㘳㜹捡ち挲㈴㍡愴㉢ㄶ摡〳慤ㄲ㔸㕦ㄴ㤹捡ㄵ攱〷攸愴㈵ㄲ㤹㡣慥愲㥤㤳昰扦搰㈸攸ㅣ㤵㑢㠱捣㤶挶愶攷㉥㘳搶㜲攸昹攲搱愱昳搱搸㐳㈳㈳挵㤱攲㥥扤〷㐷㡡扢ㅦㅤ㉡搵敤戰敥㡢㐳慥愸㠷扥㘱㍦㍡㌴㔳㥦戳慤敡㐹戱㍣敢㉤〸昷㤰㤸摢扤㜷捥㜸散挰挸㘳晢昶㤹〷てㅥ挸攱搳㠹搳愵戱ㄹ㕦㤸挱慤㥡㌳捤㌹愷㑢㘳挵搳㈲扣㔵㜳昶㘱㑥㑣㌹敥㌹㠶攵摥愲㐹㌵昲㜶敦戸愸㕡ㄴ㠲㄰扥攵㕥㉡㘲搹㙤㡣㐶㘹㝦㜱〲ㅣ慦ㅡ㐱㔸ㄲ戶㝤㔶㤸㕣㑣捥㈱捦㠴㉦摣慡〸〶㥣愳㑢㔵㘱挷捤㐱挶㌹㙦昸愷つ㐷愴㤸ㄹ㜴㈲戹㑤搶㠴ㅢ㕡攱㜲摥㌹ㄷ㠸戳㠶㝢㐹戰㡢收ㅣ慢㕢戵㔴㑡㐹愵ㄲ挹㥤摤ㄶ㈳㘵㔳㥣昰慢愵㜹挳て㘵㠹㔲ㅢ改搶户㐵㐳攴挲摢㤶㐵㉤ㅡ敡ㄸ㐵㌱㤵㉤攷愴昰㕤㘱昳㈳ㄴ摥㜰㐷㈷挹㤳㠸昵㑤收㌴㜶㐳㕥㈸晤戱摥换慤愰㐲捦㤰攸㈰改㉣㐸晦改㤹昳㤵愳㌳㤵捡㠴㌵慢昷戳㈹〷愲愴晥ぢ晢㘹ㅤ捡㈶戵㘲愸㤵㌹戵㔲㔵㉢㌵戵㈲搴㡡愹㔶㉥愹㤵㜹戵㘲愹㤵换㙡㘵〱㝤ㅡ㈹搳搷愷挶挹晦扥昸搹ㄹ昱搴搸㑦晥昶㤵㥤慦㝦昰挳挷㜳〳攸㜴㈶㕥搶戸㙦㕣㠵㙣㔷搴㘶㑦㜱㌷晦㙥㙣㉦㌰ㄷ㜳㥦戹摦ㅣㄹ愹敤摢㙤散㌵㌴㙥散㘶愵戴ㄵ㝤㜳收〵换慤㜹㔷愵搸㜲收㠴㘵㠷挲㤷㠵㐱ㄳ㍦㤱敡挹㜲摥㍣扡〴㥢慤㐶ㄲ摥㙡㤶㠴ㅦ㐲搷挳攵ㄵ戱摦㍤㘶〴㘲愵㌸ㅣ捦㍤收搵摤㕡㜰㔷昷挶㜲㘸㠴㘲㝢㘷摢捡㈴慢㠶㤵㘱〷㈲㤰㑢扡户㜳搸㜹挳慥㡢搱㈵㉢㙡扥愷愳ㄹㄶ攱捤慤摤㍡攱㡢㘷㥢慤慢㔶㌴ち㜷㜹㐵捥扤㙡㤷㔱㔳戴慥愱搲扣ㄷ〸㔷㉥㙦搸㤹戱慡ぢ挲㉦ぢ㍡㕢㔱㤳㕢扤㡤㑤戱㔹づ㑦扢搸㈸っ慤昶㤹搶㕡㌲㕡戸㌵㔱挳㝡ㄷ挱攵攵㔹㘳捥ㄶ摢摡扡㐴摦㐴挳㥤㙤搵ㄳ㕥戵ㅥ㤴㍣㌷昴㍤扢扤㘵戴㜶挵㠰㉢愸㥤昲㙡㈲㈵㔳㈲愲㑡㈲㤹㔴㤴挴㐳摤㙣㡡㜳〷戴扡ㄶ㈵愱㙤昷敥摣愲㐴散摣搵㕡㥢㌳㈳搳愲㘴散晦㜰捦㤵戴㉡㈱㝢敦敥搹扢㡢㤲㜲搰ㅤ敤㠶㔷㍣ぢ昹㐰づ戶愰㔵慡て慣㍤攵㡡㕥摥㘰愵㉤㔲攱搹捡摥㍤㤸㈶愷㙤敡摥晦户戳慡㙥㠹㜷㝦昴ちㅣ晥㜱挳慤搹挲敦㠹っㄴ慥㐸ㅦ㈴㈹㤰㙣㈲搹㑣戲〵㐴㝢ㅦ㙥㜲㑤㡥搲愹㉢㑢捡戲㜶搵慡㠵昳改㜹㘱㕤㥡て㔱〷㐴㤱挹㤰摤ㅦ㘰戴㡤㕦つㅦ〹〸㉢昴摢㐸戶㤱摣づ㤲捤㈶搲㜷攰ㄷ慥㕡扦㤳㍦摢㐱〶ㅢ㈷摥㔰愴㤹搹㠴㐶㙦晥挹捦ㅣ昹㐱㜹挴〱㠳〴㥡㠳㜹㠳㘴戲ㅢ㌷㡥ㅢ挱㝣㐸㐳散搹挸敤敡㜷㤱摣つ㤲扢〷攴昴㜱㘱挳㡣㙦ㄵ㝣搱㜸ち摤昰㤸愴㜴戶㌹攵㘵户㍡敦㝢㉥挰摣戸ㄱㅡ愳㔵㘰㠱㐰㌱搲捥㤴㔷慡㠷㘹攷戸㠵㥦㥣㜳㔶㉣ち㈳㉣挱㑤㠷㜹㘷ち㌸㐲晡搱挹摡㤲收㐴㄰㘰㕣〴㔵㥤㔸㘱ㄲ㙥㘹㈹㡤ㅣ晣㙣捥愱愳ㄱ㑢㈱愷敥㜳㘶っ㘰㡤㔰㐷愷㘱㌹㉡捡㜱㘴㕥搶㌵㐶㘷攳ㄲ㘶㈸挸㙣换㉣晤戲㈲㥡㈹㐱㔶㈶攰㤹ㄲ挹㔴㑣㍢㉤攸㕣㘸搹㐱㌱㘶㙦㜱摣〳㤶ㄴㄲ捥㤲敤改㌴ㄴ㉣摤㔳㔸㥤㠶㑥戰㌱㕤㥤㡢愶挵㔲㡥昹㕥㝤㤱㠰攳㔶捤挳戹ㄲ晡扤㈰慦晣攷㐷㑦敥昸捥㑦㍦㡥㝦㥦㠷ㄱ挸愴ㄳ㡦攸搴㜷ㄶ昱㈳㤳㝥㍦㝥戲扤摡㌴㈲㤶慥㥥㜶つ㕣㐴㤳捥㌹搸敤慣㉦㈴搰换挸挲昲愲挸㍢ㄷ㍣㝦㘱捥昳ㄶ㈸晣〱㔹ち收㠵〸㠹㥥晡㘳戰挸扣愲㈸挹㘴ㅢ㍥㙡㠱㔹挴㕤改ㅤ㈰昹㔱摢ㅥ㙡捣ㄸ愴ㅦ㐴㔵㤲㌸㙥㈷㌲摢㘸扤扢㠰扡㜶㔱㠷㜶〵㥥㕤㕣戲㠳㈵攵㉦搸㍢挱搷㤱㙤㝢㕥㝥昱摣搴㠹ㄷ㡣㙦扥昹昵敢㕦搳㤵㍦挷つ㥤㜰㑡愳㜳敡㔴て〹ぢ㥢〷㑤换ㄱ㐶户㤳㌶捦戹㔶ㄸ昴㥢愳昵搰㥢戰挲昱㈰捣㤹㈰挸捡㈱摢愵㑦㙥ㄹ㌴㙣㥥户挴搵㔹㌰攸扥搵㑤㐰捣愵㝡㄰㝡㔲昳敦㕤摤㍥敥㥤昶挲㜱㉢㔸戴㡤攵〷扡㌴㐷㉤ㄷ收㠵ぢ㤰攰〳㉢摣愸㤳户戸㈸㙡㕤搶㔸昶敡㝥㔵㑣㡥㙦〴㤸愱㐴㈶㥣㠰㤶挰㠰㤵ㅤ㙢ㅦ慢㉤㝣愷㕥慡搰㉣㘵㥤愷㤴㍣㉡昴㘱捣㠲㡢慡㠲搳㐳㝦ㄴ㔹ㅣ㈲ㅡ㡦慥摥㉡搲〲㕣攸㘴戳㈶挴ㅡ搵攵㘳㘴㍣改〶㔶㑤㘴攳搲㈹换ㅤ㠸戳搳昵戰慤挵㔸摡ㄲ户㐰晤愷㕤㠸扥㙡昸戵㡤㈰ㄵ㙣っ㈹ㄲ㠹㤲挶摦晡ㄸㅤ㑤㤳㐸㕣㙦㐴ㄸ慥㍦てて戵ぢ搵攴㌵ㄱ㐲㔷㙦搴㌴㐷㘴㕡㜰ㅦ捤㌷㑦㜶㌷慢㌳㉣㥤ㄲ㠶㉢愵㔰づ㙢攳攲捡㠰散㈱愰攰戸愸摡㘲㑢㝢㔱ㅥ㑡扡㌹㍡〷㌷㔲て挵㐰㌳㈷つ㕤㌷捦ち摢㈰㠶捦㌵㜳㌳搵㄰户㥣收㝣挴攷ㅢ㐷㐲攰㐸㉡㤶㤲㈲攵㤴敥愱扣敤㥢愰つ慤㔳慡㌸㙥㑤㤹晥㝤㔸昹昶㑢㑣㙦ㅣ㑥㌴㌲㔹愶㠴㐶㙣㜱昳㈰㥤㤶戴愵㜱㜷㡣㍣㥣㜴㕥戹㐶ㅤ昱㜱摥㤴㝥て㤷㘰挶㈸〶㘹㍡㌶〲㐸愱㔵㌵㙣㝢㜹挰㥣㜴慢㜶扤㈶愶㡣㌹㘱㌷㝣戶攷㍢ㅢ㐴㕥㌲戶ㄶ挹慡〷㕦攲㥢换㈴〲㙣㡤㉢挱扡摤㕣㐲㉦㠲慤ㄲ㈷㘰㡥慣扥ㅢ㈵㡡㠶㜸晣ㄳ摦㠸〸㌹㌶慦摣攷㘵攸〷慥㙤㔵ㄵ㝤ㅡ搱㘱昳㔲㈵㉤慥愵摢㤴㌷攵攱挲㕢㙢愹㍡㙥㐵㔵ㅢ挶慥愴㤸搲改昴㝡てㄸ昰ち改㝡ㄳ㥡敤㍦晣攱ㄳ㈷晦昴搶攱㠴ㄲㄹ〷㉦㉦㥤戸戲〵㠸挸戳㕦㍡㐱ㅥ㐷㠳昴㘰ㄱ㜰㤸戵㐲㕢昴㥢戲㕤收㌳㌴〹㜲戳捦㥣㥤〷㐶ㅢ捦㥢挷㝣慢㘶㕢慥㈰〸㐱〰㠶攱戶㈹㜱〹愱㠲ㄹ㉦戰ㄸ捤捤㥢戳扥攱〶㡢㠴攲搵攵捤㙤㈵㈹㉣捤ㅣ戳㕣ㄸ㔰昴㑤收〷捤昲扣㜷ㄵ〱攱扡攳ㅥ㌳ㄶ㠳つ㈱㈸㠶㤸愳ㄴ㔹㤵慡愸慡㤲㔱㌳敢㍤慢㈴㜲㈶㈰㐸散挱戴㉡〹捣㠵〶挳㙢㘶て㥢愵愴攲㘰つ㙤㤶敢㙡ぢ慣㜶扤㈹㌶㈳敡昴挳㍡㍦㤶摢ぢ㜲攲搸戹挹㤵㄰摦愷ち㡢㙢扣ㄸ昷㌸づ愴㙡㌴攳〹㔴挹㠱㐸㕤㔸㐷敤搱愵搴㔹敡㔴挱慣㈹晢㔰ㅢ㜱㠲戲㍢戳ㄳ戸改攵㘰晣㜰扦戸㈱挳敦づ㐴〵㐲㍡挷戰㠳戸慤攴㌹㡥㐱昵愲㙡㤶攱扢㐵㐶攲㙢㜸ㄳ摤〴㤱㍡ㄸ㔷ㄹ㑢愸㌲㤶㘴ㄵ㡥㘴挶〸㘵㥥㜳㜹㤷っ摦ち攷ㅤ慢㥡㘱㠱㜱扣つ愱㤷㔰㈱㜹㉢〵㐳㤹愴㜲〲慣㜶摥挶愳ぢ㈴挴㕤挴晤㠱慣愳昸愱扤慡㍣挷㤵㜵〶㘰愰扥搲攱敢晢㌰㥢㈶ㅦ㘰㜸㉦㘶㙡〱㘱愸㤱㥡慤㌰㔶挲㘶晤昱㌸挳㐲㡡愱㠹㥥㜷㘲摥摢戲㔳㥥㔱㥢㐰愸搷昳晢攲㘷㥣っ㐴㑢户攲ㄷㄸ〷㈹㈱㠸㠸攰攴ㄵ㘰㘱㍦挳㡡㌲㈲っ㈹㐶㔰搲㤱っ挹ㅢ㐴㜴晡㌳摤扥㌵搹㤸敢㠱昸扥搸晡ㅣ㌵戹㙡晥昷捦ㅣ㌸㡣㐵㘱㕢㠴ㄲ晡㝥㤲〳㈰ち㈳㉣摣㑦㐷㠷㠳散昰〴㠸挶㡢㜶愷㤵慣ㄹ㌳攰㘳㡢收昰ㅥ㥡㜱戸ㅤ㐰㡥㌴㈲ㅣ㠸㠹㠰㈵改晥っ㘳ち晡㤳㈰㝦扣㜶敤㄰㝥ㄲ捡晤㈰㡤敦㑢戶㐵ぢ晣ㅣ慡㜵昶搰㜸ぢ戹戹㕢て㠷ㄷ㕡慥愲戴搱㘰㤳㜹愶㙥搸㜸㤱㤹〶ㅥち㔹戵ㄱ㡣㈰ㄵ愱搲捥㐷㠶昶㠷ㅡ㕣攸攴ㄶ㥥㝡㠶㈱㡦㑥ㅥ戴昷㡤昷ㄶ戰攷晡㔰㙢㔶晢つ攲〲㌷昷ㄵ㕡㐱摦ㄵ挶慦㉡ㄵ挴㜵㔰愲攰戳㍡㔵っ〷㠲挲摢愲㌴㥢㈳挸搰挸愴愱昱㕥㈳㙢㐷㤱㘹㈴㡤ㄸ慣挷攱搱〱昸㌸㝥换㡡慡搳愹つ摢㝣㜷敤㘶㈳敤㘷挸ㄸ㠶㉡挴㜸慢搶愰昰㜸㤱戵攳㜱㐶敡㌱㕤挴つ扤ㄲ㕤ㄹ慥戲昰㑦攵㜰搹挶㤹挰㉣㘳㍥㔱㡥㐶㄰㌵㘳搱㥥て㤰㥢敡㡣昲㌶挷㌲愲搲扦戵㈳慡㉥㠷戱㠵敥㑦晢ㄵ㐴戴收㜸敥㘰㐵㉡ㅣ挳㤴㥥〰搹㝡捡慡晡㕥攰㤹攱㔰ㄹ搸㘶㠸敦㉣㈶㔰敥愸昶㑢捣搸昵㥢摣㔸捡攵攳愵ㄴ㜴㜶挱昵慥扡㜲㌵㕡挰攷㈶挹慦扥㍥㝥㠶搸㔷愶捦㠲㡢〵扡㑡づ搶㡦㠳攴㤳〵晡ㅡ愶〲晤つ㔳㠱捥㠵愹㐰〷挳㌴㐸㤷挰㔹愸㑡户㌴ㄵ攸㐸㈸捤昴㈴挸愶搲㔸愵晤㥤㌶㝤〲搵㌹㔴㑢㤷㝢ㄶ㉦㌵改㤳愸ㄹ㐰㑤ぢ㙣㈹搰ㄳ㜱ㄶ㝤㡡㠴㔱㜲昹晡愹㔰攱㈵㈳愶㤱㘱〷晥ㄷ㡥㠰㐸づ捣㈰愳㥦〱挹慢㠵㔱晣㌰㈹㔲て㤱搱㥢㌵㈸ㄴ挶㐱攴㤸㌲㌲昹愴㐶收㍤戹㜶戰愷㘵㜱挳㌰㤱戶㤷慥愳㜸戹㕡愶挵㈵㜱㤸㘸㜲㘳㈹昵㠹昵捤㐵〷㐴〴㈶晦㝦っ㕤昹ㄴ昳㤰㔱㉢晡挹ㄹ敦挳扦㝥づ㐴㈱㕦㜳㉣敤㈰㜹㤰㘴㈷㠸昲〳㝣戲㙢㄰昳昵戸愱㌳㠸㔹愰㈴㈴㈳㥦攲㈴㑦㤳㍣〳㤲㔵㈸っ㜲㔵㜹つ㐳戹㤵㠷㔰挸攰收㐷〱挹㠶敦挵つて愳㐲扦〸愲㔱ㄸ㡦慣捤戹〸愲慤扣愵㌲〲愳㤹戴晥㝥㌳㝡捡㈴晦㘴愴换㤶愶㤳〳㕡昳昱㥡㌹㠵ぢ〸㌰ㅡㅥ攵㘳㜵挴挵㠴愷㘶〳て攸戲挴挱㘹㜳摡〷㐰攸㌳㈷〳㕣㜳㙡ㄹ㍣ㄱ㠴㜸㕤㜶㌷挲㈹〶㘷㤶愲㥥㐱搳ㄸ㥣㔴扢晡ㄱ㍡㠸㑥晣搰㜲㤷㕢攱㐷攳㍥慦ㄲ攴慤敦っ㑢ㅢ昸搸捡戳㤶㜴㕣㠱慡㝣ㄷ㜲愵㥦换晥㙢捦㥤ㅦ㜳戹㍣㤰昴㉡㝥搲㌵㄰㐶搲ㄵ戹て㠴㍡㜵㠱㥡〸㈲捡㈸愸㐶昵散摣ㄸ扤晡〴㐷㜴㍣挸昵昷㜳户㙦ㅣ晥攷㤱㉦ㅤ昹敡愸㐲つ㤴㡡昵㔲慣㔸㜴㐶ㄹ㌵慤㔰㉢㘵挳㡢㜱〳晤㑢〶㈰㤸㥡㉡ㅢ扥ㄵ㌷搰挱攸㤷㐱〶㉦㠲搰㐲晡摥㔲ㄵ愰挲㐰摤㥣ち搴昷㤲搷ㄳ敦挰慥摥㔱㠰ㄴ戹愱㥢收㌴㡤㜱㥤〷改〲㠶㉡㘴ㄳ攷搰敤㌸挳挲㈰㔷㝡〱晦敡㤲㔲扤㔸扢㜸昱挳挱搴搰昶搴攷㡦攴㕥晡晢ㅦ摥㝤攱敤愷て扤昷搱换㉦扦晤㡦ㄷ慥㝤昴收摣愱摦扤昶摡㙦㑦扣㜲敤摤捤收慢敡捦㍦㥣㝡昵戹㤱㠵攷㥥㌵捦㍤㜲散戹㉦㕣㍥㌳㌲戳㘹㌸㤹散敢摢戹攵昷㜷㍣㔴昸昲戳扦㔰㝥晤搷摢㕤㐵㝥ㅢㅦ㘸㍡㑦攴ㄳ〵慥㐱摡扣㡢㑣㍥愹昰㐷戲昱ㅢ㌱ㅢ挷㔰㤱㔱ㄲ晤晦〳〸㌳㠸〶</t>
  </si>
  <si>
    <t>Maximum number of hours in any particular year in which each turbine could operate.</t>
  </si>
  <si>
    <t>Corporate tax rate</t>
  </si>
  <si>
    <t>Number of turbines approved for construction</t>
  </si>
  <si>
    <t>Maximum depreciation allowances - maximum of 1/6 of total nominal capex can be set against taxable income in each of the first 6 years of operation of the windfarm</t>
  </si>
  <si>
    <t>Year</t>
  </si>
  <si>
    <t>Discount rate</t>
  </si>
  <si>
    <t xml:space="preserve">Inflation </t>
  </si>
  <si>
    <t>Capex</t>
  </si>
  <si>
    <t>Opex</t>
  </si>
  <si>
    <t>Sales</t>
  </si>
  <si>
    <t>Percentage of capital costs in year one</t>
  </si>
  <si>
    <t>Percentage of capital costs in year two</t>
  </si>
  <si>
    <t>Inflation rate (1+inflation)</t>
  </si>
  <si>
    <t>Discount rate (1+discount_rate)</t>
  </si>
  <si>
    <t>Production capacity of each turbine measured in in megawatts.</t>
  </si>
  <si>
    <t>Depreciation allowance</t>
  </si>
  <si>
    <t>Decommissioning cost allowance</t>
  </si>
  <si>
    <t>Payback Calculations</t>
  </si>
  <si>
    <t>Percentage of decommissioning costs in year n+1</t>
  </si>
  <si>
    <t>Percentage of decommissioning costs in year n+2</t>
  </si>
  <si>
    <t>Percentage of decommissioning costs in year n+3</t>
  </si>
  <si>
    <t>Number of years of decommissioning</t>
  </si>
  <si>
    <t>Inflation</t>
  </si>
  <si>
    <t>Rank</t>
  </si>
  <si>
    <t>Additional Inputs</t>
  </si>
  <si>
    <t xml:space="preserve">Total Cost in real terms of building each turbine </t>
  </si>
  <si>
    <t>Equivalent to the opportunity cost of capital</t>
  </si>
  <si>
    <t>Rate of inflation per year</t>
  </si>
  <si>
    <t>Average electricity price per megawatt hour</t>
  </si>
  <si>
    <t>The percentage of decommissioning costs incurred in the first year after the end of the turbines' useful life</t>
  </si>
  <si>
    <t>The percentage of decommissioning costs incurred in the second year after the end of the turbines' useful life</t>
  </si>
  <si>
    <t>The percentage of decommissioning costs incurred in the third year after the end of the turbines' useful life</t>
  </si>
  <si>
    <t>Decommissioning costs are tax deductible</t>
  </si>
  <si>
    <t>This is calculated by multiplying the capacity of each turbine by the number of turbines</t>
  </si>
  <si>
    <t>This is calculated by multiplying the capacity of each turbine by the total hours of potential operation per year</t>
  </si>
  <si>
    <t>This is calculated by multiplying the maximum possible output of one wind turbine by the number of turbines</t>
  </si>
  <si>
    <t>Capacity factor</t>
  </si>
  <si>
    <t>This is calculated by multiplying the maximum possible output of one wind turbine by the capacity factor</t>
  </si>
  <si>
    <t>This is calculated by multiplying the maximum possible output of all wind turbines by the capacity factor</t>
  </si>
  <si>
    <t>Levelised Cost of Electricity (£/MWh)</t>
  </si>
  <si>
    <t>Comments</t>
  </si>
  <si>
    <t>Annual expected power (MWh)</t>
  </si>
  <si>
    <t>INPUTS</t>
  </si>
  <si>
    <t>Percentage of capital costs in year zero</t>
  </si>
  <si>
    <t>Phasing of expenditure</t>
  </si>
  <si>
    <t>Decommissioning</t>
  </si>
  <si>
    <t>CALCULATIONS</t>
  </si>
  <si>
    <t>Validation</t>
  </si>
  <si>
    <t>Total expenditure (discounted)</t>
  </si>
  <si>
    <t>Total expenditure</t>
  </si>
  <si>
    <t>Decommissioning costs</t>
  </si>
  <si>
    <t>Total sales (discounted)</t>
  </si>
  <si>
    <t>Pre-tax net cash flow</t>
  </si>
  <si>
    <t>Taxable cash flow</t>
  </si>
  <si>
    <t>Tax paid</t>
  </si>
  <si>
    <t>Post-tax net cash flow</t>
  </si>
  <si>
    <t>Post tax net cash flow (discounted)</t>
  </si>
  <si>
    <t>Pre-tax net cash flow (discounted)</t>
  </si>
  <si>
    <t>Payback year</t>
  </si>
  <si>
    <t>Cumulative NCF (post-tax), positive indicator</t>
  </si>
  <si>
    <t>Cumulative NCF (post-tax), positive indicator, lagged</t>
  </si>
  <si>
    <t>Cumulative NCF (post-tax; discounted), positive indicator</t>
  </si>
  <si>
    <t>Cumulative NCF (post-tax; discounted), positive indicator, lagged</t>
  </si>
  <si>
    <t>Payback year (discounted)</t>
  </si>
  <si>
    <t>Summary</t>
  </si>
  <si>
    <t>Profitability Index (ROI)</t>
  </si>
  <si>
    <t>NPV (pre-tax; £M)</t>
  </si>
  <si>
    <t>NPV Capex (£M)</t>
  </si>
  <si>
    <t>Cumulative net cash flow (£M; undiscounted)</t>
  </si>
  <si>
    <t>Cumulative net cash flow (£M; discounted)</t>
  </si>
  <si>
    <t>Revenue (£M)</t>
  </si>
  <si>
    <t>Expenditure (£M)</t>
  </si>
  <si>
    <t>Net cash flows (£M)</t>
  </si>
  <si>
    <t>LCOE (£/MWh)</t>
  </si>
  <si>
    <t>NPV of total cost (£M)</t>
  </si>
  <si>
    <t>NPV of total energy (GWh)</t>
  </si>
  <si>
    <t>LCOE = NPV of total cost / NPV of total energy (£/MWh)</t>
  </si>
  <si>
    <t>± Base case</t>
  </si>
  <si>
    <t>Average electricity price (£/MWh)</t>
  </si>
  <si>
    <t>Post-tax NPV (£M)</t>
  </si>
  <si>
    <t>OpEx per turbine (£)</t>
  </si>
  <si>
    <t>Years before turbines operate</t>
  </si>
  <si>
    <t>Years</t>
  </si>
  <si>
    <t>No. of turbines</t>
  </si>
  <si>
    <t>Expected turbine lifetime (years)</t>
  </si>
  <si>
    <t>Cash flow analysis</t>
  </si>
  <si>
    <t>OpEx per turbine</t>
  </si>
  <si>
    <t>Turbine lifetime</t>
  </si>
  <si>
    <t>Average price</t>
  </si>
  <si>
    <t>Multi-factor sensitivity analysis</t>
  </si>
  <si>
    <t>Single-factor sensitivity analysis</t>
  </si>
  <si>
    <t>Number of years that turbines are expected to be able to produce electricity (exc. years when turbines are being built)</t>
  </si>
  <si>
    <t>% of the maximum total operating hours (actual output as a percentage of total potential output)</t>
  </si>
  <si>
    <t>Years before the wind turbines start to produce electricity. (Also first year in which opex and revenue are calculated)</t>
  </si>
  <si>
    <t>Percentage of total capital expenditure in year 1</t>
  </si>
  <si>
    <t>Percentage of total capital expenditure in year 0 (does not consider inflation, so actual costs vary slightly)</t>
  </si>
  <si>
    <t>Percentage of total capital expenditure in year 2</t>
  </si>
  <si>
    <t>Cost to connect wind farm to grid (independent of number of turbines)</t>
  </si>
  <si>
    <t>Other capital costs--e.g. site preparation (independent of number of turbines)</t>
  </si>
  <si>
    <t xml:space="preserve">Total cost of construction for all turbines plus grid connection costs and other capital costs </t>
  </si>
  <si>
    <t>Annual operation and maintenance cost of all turbines</t>
  </si>
  <si>
    <t xml:space="preserve">Annual cost of maintaining and operating each turbine (Opex) </t>
  </si>
  <si>
    <t>Represented as a percentage of total capital costs</t>
  </si>
  <si>
    <t>Years of decommissioning after the end of the turbines' useful life</t>
  </si>
  <si>
    <t>Avg. elec. price (£/MWh)</t>
  </si>
  <si>
    <t>Electricity price vs. Discount rate</t>
  </si>
  <si>
    <t>Years before turbines operate vs. Discount rate</t>
  </si>
  <si>
    <t xml:space="preserve">Years </t>
  </si>
  <si>
    <t>Electricity price vs. Capacity factor</t>
  </si>
  <si>
    <t>Years before turbines operate vs. Capacity factor</t>
  </si>
  <si>
    <t>Electricity price vs. Number of turbines</t>
  </si>
  <si>
    <t>Number of turbines vs. Capacity factor</t>
  </si>
  <si>
    <t>Electricity price vs. Years before turbines operate</t>
  </si>
  <si>
    <t>Average electricity price  (£/MWh)</t>
  </si>
  <si>
    <t>Expected useful life of turbines</t>
  </si>
  <si>
    <t>Years before turbines start operating</t>
  </si>
  <si>
    <t>Variable</t>
  </si>
  <si>
    <t>Min NPV (£M)</t>
  </si>
  <si>
    <t>Realistic bad (£M)</t>
  </si>
  <si>
    <t>Realistic good (£M)</t>
  </si>
  <si>
    <t>Max NPV (£M)</t>
  </si>
  <si>
    <t>∆ NPV (£M)</t>
  </si>
  <si>
    <t>OpEx costs (£) per turbine</t>
  </si>
  <si>
    <t>Tornado analysis</t>
  </si>
  <si>
    <t>Scenario analysis</t>
  </si>
  <si>
    <t>Base case</t>
  </si>
  <si>
    <t>IRR (%)</t>
  </si>
  <si>
    <t>Internal Rate of Return (IRR)</t>
  </si>
  <si>
    <t>Worse</t>
  </si>
  <si>
    <t>Better</t>
  </si>
  <si>
    <t>ROI (%)</t>
  </si>
  <si>
    <t>FURTHER ANALYSIS</t>
  </si>
  <si>
    <t>DASHBOARD</t>
  </si>
  <si>
    <t>Sensitivity analysis</t>
  </si>
  <si>
    <t>Turbine capacity (MW)</t>
  </si>
  <si>
    <t>Expected useful life of turbine (years)</t>
  </si>
  <si>
    <t>Total hours of potential operation (yearly)</t>
  </si>
  <si>
    <t xml:space="preserve">Capacity factor (% of potential time operated) </t>
  </si>
  <si>
    <t>Number of turbines</t>
  </si>
  <si>
    <t>Total cost of construction (£) per turbine</t>
  </si>
  <si>
    <t xml:space="preserve">Grid connnection costs </t>
  </si>
  <si>
    <t xml:space="preserve">Other capital costs </t>
  </si>
  <si>
    <t>Total capital costs (CapEx)</t>
  </si>
  <si>
    <t>Yearly operation and maintenance costs (£) per turbine</t>
  </si>
  <si>
    <t>Total yearly operating costs (OpEx)</t>
  </si>
  <si>
    <t>Decommissioning costs (%)</t>
  </si>
  <si>
    <t>Total decommissioning costs</t>
  </si>
  <si>
    <t>Cost of capital</t>
  </si>
  <si>
    <t>Electricity prices</t>
  </si>
  <si>
    <t>Average market price (£/MWh)</t>
  </si>
  <si>
    <t>Tax information</t>
  </si>
  <si>
    <t>Corporation tax rate</t>
  </si>
  <si>
    <t xml:space="preserve">Depreciation allowances (years) </t>
  </si>
  <si>
    <t>Total capacity of all turbines (MW)</t>
  </si>
  <si>
    <t>Maximum possible output of one wind turbine (MWh/yr)</t>
  </si>
  <si>
    <t>Maximum possible output of all wind turbines (MWh/yr)</t>
  </si>
  <si>
    <t>Actual (expected) output of one wind turbine (MWh/yr)</t>
  </si>
  <si>
    <t>Actual (expected) output of all wind turbines (MWh/yr)</t>
  </si>
  <si>
    <t>Worse case</t>
  </si>
  <si>
    <t>Better case</t>
  </si>
  <si>
    <t>NPV (post-tax; £M)</t>
  </si>
  <si>
    <t>Primary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</si>
</sst>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1" formatCode="_-* #,##0_-;\-* #,##0_-;_-* &quot;-&quot;_-;_-@_-"/>
    <numFmt numFmtId="44" formatCode="_-&quot;£&quot;* #,##0.00_-;\-&quot;£&quot;* #,##0.00_-;_-&quot;£&quot;* &quot;-&quot;??_-;_-@_-"/>
    <numFmt numFmtId="43" formatCode="_-* #,##0.00_-;\-* #,##0.00_-;_-* &quot;-&quot;??_-;_-@_-"/>
    <numFmt numFmtId="164" formatCode="0.0%"/>
    <numFmt numFmtId="165" formatCode="_-* #,##0_-;\-* #,##0_-;_-* &quot;-&quot;??_-;_-@_-"/>
    <numFmt numFmtId="166" formatCode="#,##0_ ;\-#,##0\ "/>
    <numFmt numFmtId="167" formatCode="#,##0;#,##0;0"/>
    <numFmt numFmtId="168" formatCode="_-* #,##0.0_-;\-* #,##0.0_-;_-* &quot;-&quot;??_-;_-@_-"/>
    <numFmt numFmtId="169" formatCode="#,##0.00,,\ "/>
    <numFmt numFmtId="170" formatCode="#,##0.0"/>
    <numFmt numFmtId="171" formatCode="0.0"/>
  </numFmts>
  <fonts count="27" x14ac:knownFonts="1">
    <font>
      <sz val="11"/>
      <color theme="1"/>
      <name val="Calibri"/>
      <family val="2"/>
      <scheme val="minor"/>
    </font>
    <font>
      <b/>
      <sz val="11"/>
      <color theme="1"/>
      <name val="Calibri"/>
      <family val="2"/>
      <scheme val="minor"/>
    </font>
    <font>
      <sz val="11"/>
      <color theme="1"/>
      <name val="Calibri"/>
      <family val="2"/>
      <scheme val="minor"/>
    </font>
    <font>
      <b/>
      <sz val="16"/>
      <color theme="1"/>
      <name val="Garamond"/>
      <family val="1"/>
    </font>
    <font>
      <sz val="11"/>
      <color theme="1"/>
      <name val="Garamond"/>
      <family val="1"/>
    </font>
    <font>
      <b/>
      <sz val="14"/>
      <color theme="1"/>
      <name val="Garamond"/>
      <family val="1"/>
    </font>
    <font>
      <sz val="14"/>
      <color theme="1"/>
      <name val="Garamond"/>
      <family val="1"/>
    </font>
    <font>
      <sz val="11"/>
      <name val="Garamond"/>
      <family val="1"/>
    </font>
    <font>
      <b/>
      <sz val="11"/>
      <color theme="1"/>
      <name val="Garamond"/>
      <family val="1"/>
    </font>
    <font>
      <sz val="11"/>
      <color rgb="FFFF0000"/>
      <name val="Garamond"/>
      <family val="1"/>
    </font>
    <font>
      <b/>
      <sz val="11"/>
      <name val="Garamond"/>
      <family val="1"/>
    </font>
    <font>
      <i/>
      <sz val="11"/>
      <color theme="1"/>
      <name val="Garamond"/>
      <family val="1"/>
    </font>
    <font>
      <b/>
      <sz val="20"/>
      <color theme="0"/>
      <name val="Sorts Mill Goudy"/>
    </font>
    <font>
      <b/>
      <sz val="24"/>
      <color theme="0"/>
      <name val="Sorts Mill Goudy"/>
    </font>
    <font>
      <b/>
      <sz val="11"/>
      <color theme="0"/>
      <name val="Garamond"/>
      <family val="1"/>
    </font>
    <font>
      <sz val="11"/>
      <color theme="0"/>
      <name val="Garamond"/>
      <family val="1"/>
    </font>
    <font>
      <b/>
      <sz val="12"/>
      <color theme="0"/>
      <name val="Garamond"/>
      <family val="1"/>
    </font>
    <font>
      <b/>
      <sz val="14"/>
      <color theme="3"/>
      <name val="Garamond"/>
      <family val="1"/>
    </font>
    <font>
      <sz val="11"/>
      <color theme="4"/>
      <name val="Garamond"/>
      <family val="1"/>
    </font>
    <font>
      <b/>
      <sz val="24"/>
      <color theme="0"/>
      <name val="Garamond"/>
      <family val="1"/>
    </font>
    <font>
      <b/>
      <sz val="20"/>
      <color theme="0"/>
      <name val="Garamond"/>
      <family val="1"/>
    </font>
    <font>
      <b/>
      <sz val="16"/>
      <color theme="0"/>
      <name val="Sorts Mill Goudy"/>
    </font>
    <font>
      <i/>
      <sz val="11"/>
      <color theme="1"/>
      <name val="Calibri"/>
      <family val="2"/>
      <scheme val="minor"/>
    </font>
    <font>
      <i/>
      <sz val="16"/>
      <color theme="1"/>
      <name val="Garamond"/>
      <family val="1"/>
    </font>
    <font>
      <sz val="16"/>
      <color theme="1"/>
      <name val="Calibri"/>
      <family val="2"/>
      <scheme val="minor"/>
    </font>
    <font>
      <sz val="16"/>
      <color theme="3"/>
      <name val="Garamond"/>
      <family val="1"/>
    </font>
    <font>
      <sz val="16"/>
      <color theme="1"/>
      <name val="Garamond"/>
      <family val="1"/>
    </font>
  </fonts>
  <fills count="1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3399FF"/>
        <bgColor indexed="64"/>
      </patternFill>
    </fill>
    <fill>
      <patternFill patternType="solid">
        <fgColor theme="6" tint="-0.249977111117893"/>
        <bgColor indexed="64"/>
      </patternFill>
    </fill>
    <fill>
      <patternFill patternType="solid">
        <fgColor theme="2"/>
        <bgColor indexed="64"/>
      </patternFill>
    </fill>
    <fill>
      <patternFill patternType="solid">
        <fgColor theme="4"/>
        <bgColor indexed="64"/>
      </patternFill>
    </fill>
    <fill>
      <patternFill patternType="solid">
        <fgColor rgb="FFC00000"/>
        <bgColor indexed="64"/>
      </patternFill>
    </fill>
    <fill>
      <patternFill patternType="solid">
        <fgColor theme="3" tint="-0.249977111117893"/>
        <bgColor indexed="64"/>
      </patternFill>
    </fill>
    <fill>
      <patternFill patternType="solid">
        <fgColor rgb="FF4F81BD"/>
        <bgColor indexed="64"/>
      </patternFill>
    </fill>
    <fill>
      <patternFill patternType="solid">
        <fgColor theme="3"/>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6" tint="0.39997558519241921"/>
        <bgColor indexed="64"/>
      </patternFill>
    </fill>
  </fills>
  <borders count="12">
    <border>
      <left/>
      <right/>
      <top/>
      <bottom/>
      <diagonal/>
    </border>
    <border>
      <left/>
      <right/>
      <top/>
      <bottom style="thick">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bottom/>
      <diagonal/>
    </border>
    <border>
      <left style="hair">
        <color indexed="64"/>
      </left>
      <right style="hair">
        <color indexed="64"/>
      </right>
      <top style="hair">
        <color indexed="64"/>
      </top>
      <bottom style="hair">
        <color indexed="64"/>
      </bottom>
      <diagonal/>
    </border>
    <border>
      <left/>
      <right/>
      <top style="thin">
        <color indexed="64"/>
      </top>
      <bottom/>
      <diagonal/>
    </border>
    <border>
      <left style="dotted">
        <color auto="1"/>
      </left>
      <right style="dotted">
        <color auto="1"/>
      </right>
      <top style="dotted">
        <color auto="1"/>
      </top>
      <bottom style="dotted">
        <color auto="1"/>
      </bottom>
      <diagonal/>
    </border>
    <border>
      <left style="dotted">
        <color auto="1"/>
      </left>
      <right/>
      <top style="dotted">
        <color auto="1"/>
      </top>
      <bottom style="dotted">
        <color auto="1"/>
      </bottom>
      <diagonal/>
    </border>
    <border>
      <left/>
      <right/>
      <top style="dotted">
        <color auto="1"/>
      </top>
      <bottom style="dotted">
        <color auto="1"/>
      </bottom>
      <diagonal/>
    </border>
    <border>
      <left/>
      <right style="dotted">
        <color auto="1"/>
      </right>
      <top style="dotted">
        <color auto="1"/>
      </top>
      <bottom style="dotted">
        <color auto="1"/>
      </bottom>
      <diagonal/>
    </border>
  </borders>
  <cellStyleXfs count="5">
    <xf numFmtId="0" fontId="0" fillId="0" borderId="0"/>
    <xf numFmtId="9" fontId="2" fillId="0" borderId="0" applyFont="0" applyFill="0" applyBorder="0" applyAlignment="0" applyProtection="0"/>
    <xf numFmtId="43" fontId="2" fillId="0" borderId="0" applyFont="0" applyFill="0" applyBorder="0" applyAlignment="0" applyProtection="0"/>
    <xf numFmtId="41" fontId="2" fillId="0" borderId="0" applyFont="0" applyFill="0" applyBorder="0" applyAlignment="0" applyProtection="0"/>
    <xf numFmtId="44" fontId="2" fillId="0" borderId="0" applyFont="0" applyFill="0" applyBorder="0" applyAlignment="0" applyProtection="0"/>
  </cellStyleXfs>
  <cellXfs count="160">
    <xf numFmtId="0" fontId="0" fillId="0" borderId="0" xfId="0"/>
    <xf numFmtId="0" fontId="1" fillId="0" borderId="0" xfId="0" applyFont="1"/>
    <xf numFmtId="0" fontId="0" fillId="0" borderId="0" xfId="0" quotePrefix="1"/>
    <xf numFmtId="0" fontId="4" fillId="2" borderId="0" xfId="0" applyFont="1" applyFill="1" applyAlignment="1">
      <alignment vertical="center"/>
    </xf>
    <xf numFmtId="0" fontId="9" fillId="2" borderId="0" xfId="0" applyFont="1" applyFill="1" applyAlignment="1">
      <alignment vertical="center"/>
    </xf>
    <xf numFmtId="3" fontId="4" fillId="2" borderId="0" xfId="0" applyNumberFormat="1" applyFont="1" applyFill="1" applyAlignment="1">
      <alignment vertical="center"/>
    </xf>
    <xf numFmtId="3" fontId="8" fillId="2" borderId="0" xfId="0" applyNumberFormat="1" applyFont="1" applyFill="1" applyAlignment="1">
      <alignment vertical="center"/>
    </xf>
    <xf numFmtId="0" fontId="4" fillId="2" borderId="0" xfId="0" applyFont="1" applyFill="1" applyAlignment="1">
      <alignment horizontal="center" vertical="center"/>
    </xf>
    <xf numFmtId="0" fontId="8" fillId="2" borderId="0" xfId="0" applyFont="1" applyFill="1" applyAlignment="1">
      <alignment vertical="center"/>
    </xf>
    <xf numFmtId="169" fontId="4" fillId="2" borderId="0" xfId="0" applyNumberFormat="1" applyFont="1" applyFill="1" applyAlignment="1">
      <alignment vertical="center"/>
    </xf>
    <xf numFmtId="0" fontId="16" fillId="7" borderId="0" xfId="0" applyFont="1" applyFill="1" applyAlignment="1">
      <alignment vertical="center"/>
    </xf>
    <xf numFmtId="0" fontId="4" fillId="7" borderId="0" xfId="0" applyFont="1" applyFill="1" applyAlignment="1">
      <alignment vertical="center"/>
    </xf>
    <xf numFmtId="0" fontId="15" fillId="7" borderId="0" xfId="0" applyFont="1" applyFill="1" applyAlignment="1">
      <alignment vertical="center"/>
    </xf>
    <xf numFmtId="0" fontId="6" fillId="2" borderId="0" xfId="0" applyFont="1" applyFill="1" applyAlignment="1">
      <alignment vertical="center"/>
    </xf>
    <xf numFmtId="168" fontId="4" fillId="2" borderId="0" xfId="2" applyNumberFormat="1" applyFont="1" applyFill="1" applyAlignment="1">
      <alignment vertical="center"/>
    </xf>
    <xf numFmtId="0" fontId="7" fillId="2" borderId="0" xfId="0" applyFont="1" applyFill="1" applyAlignment="1">
      <alignment vertical="center"/>
    </xf>
    <xf numFmtId="165" fontId="7" fillId="2" borderId="0" xfId="2" applyNumberFormat="1" applyFont="1" applyFill="1" applyAlignment="1">
      <alignment vertical="center"/>
    </xf>
    <xf numFmtId="165" fontId="4" fillId="2" borderId="0" xfId="2" applyNumberFormat="1" applyFont="1" applyFill="1" applyAlignment="1">
      <alignment vertical="center"/>
    </xf>
    <xf numFmtId="9" fontId="4" fillId="2" borderId="0" xfId="1" applyFont="1" applyFill="1" applyAlignment="1">
      <alignment vertical="center"/>
    </xf>
    <xf numFmtId="165" fontId="8" fillId="2" borderId="0" xfId="2" applyNumberFormat="1" applyFont="1" applyFill="1" applyAlignment="1">
      <alignment vertical="center"/>
    </xf>
    <xf numFmtId="0" fontId="4" fillId="3" borderId="0" xfId="0" applyFont="1" applyFill="1" applyAlignment="1">
      <alignment vertical="center"/>
    </xf>
    <xf numFmtId="1" fontId="7" fillId="2" borderId="0" xfId="1" applyNumberFormat="1" applyFont="1" applyFill="1" applyAlignment="1">
      <alignment vertical="center"/>
    </xf>
    <xf numFmtId="9" fontId="7" fillId="2" borderId="0" xfId="1" applyFont="1" applyFill="1" applyAlignment="1">
      <alignment vertical="center"/>
    </xf>
    <xf numFmtId="0" fontId="10" fillId="2" borderId="0" xfId="0" applyFont="1" applyFill="1" applyAlignment="1">
      <alignment vertical="center"/>
    </xf>
    <xf numFmtId="0" fontId="8" fillId="3" borderId="0" xfId="0" applyFont="1" applyFill="1" applyAlignment="1">
      <alignment vertical="center"/>
    </xf>
    <xf numFmtId="3" fontId="8" fillId="3" borderId="0" xfId="0" applyNumberFormat="1" applyFont="1" applyFill="1" applyAlignment="1">
      <alignment vertical="center"/>
    </xf>
    <xf numFmtId="0" fontId="7" fillId="3" borderId="0" xfId="0" applyFont="1" applyFill="1" applyAlignment="1">
      <alignment vertical="center"/>
    </xf>
    <xf numFmtId="9" fontId="7" fillId="2" borderId="0" xfId="0" applyNumberFormat="1" applyFont="1" applyFill="1" applyAlignment="1">
      <alignment vertical="center"/>
    </xf>
    <xf numFmtId="9" fontId="4" fillId="2" borderId="0" xfId="0" applyNumberFormat="1" applyFont="1" applyFill="1" applyAlignment="1">
      <alignment vertical="center"/>
    </xf>
    <xf numFmtId="2" fontId="4" fillId="3" borderId="0" xfId="0" applyNumberFormat="1" applyFont="1" applyFill="1" applyAlignment="1">
      <alignment vertical="center"/>
    </xf>
    <xf numFmtId="164" fontId="4" fillId="2" borderId="0" xfId="0" applyNumberFormat="1" applyFont="1" applyFill="1" applyAlignment="1">
      <alignment vertical="center"/>
    </xf>
    <xf numFmtId="2" fontId="4" fillId="2" borderId="0" xfId="1" applyNumberFormat="1" applyFont="1" applyFill="1" applyAlignment="1">
      <alignment vertical="center"/>
    </xf>
    <xf numFmtId="166" fontId="4" fillId="2" borderId="0" xfId="3" applyNumberFormat="1" applyFont="1" applyFill="1" applyAlignment="1">
      <alignment vertical="center"/>
    </xf>
    <xf numFmtId="3" fontId="10" fillId="2" borderId="0" xfId="2" applyNumberFormat="1" applyFont="1" applyFill="1" applyAlignment="1">
      <alignment vertical="center"/>
    </xf>
    <xf numFmtId="0" fontId="0" fillId="2" borderId="0" xfId="0" applyFill="1" applyAlignment="1">
      <alignment vertical="center"/>
    </xf>
    <xf numFmtId="3" fontId="4" fillId="2" borderId="0" xfId="2" applyNumberFormat="1" applyFont="1" applyFill="1" applyAlignment="1">
      <alignment vertical="center"/>
    </xf>
    <xf numFmtId="3" fontId="9" fillId="2" borderId="0" xfId="0" applyNumberFormat="1" applyFont="1" applyFill="1" applyAlignment="1">
      <alignment vertical="center"/>
    </xf>
    <xf numFmtId="0" fontId="5" fillId="2" borderId="0" xfId="0" applyFont="1" applyFill="1" applyAlignment="1">
      <alignment vertical="center"/>
    </xf>
    <xf numFmtId="0" fontId="4" fillId="2" borderId="0" xfId="0" applyFont="1" applyFill="1" applyAlignment="1">
      <alignment vertical="top"/>
    </xf>
    <xf numFmtId="0" fontId="9" fillId="2" borderId="0" xfId="0" applyFont="1" applyFill="1" applyAlignment="1">
      <alignment vertical="top"/>
    </xf>
    <xf numFmtId="0" fontId="9" fillId="2" borderId="0" xfId="0" applyFont="1" applyFill="1" applyAlignment="1">
      <alignment horizontal="center" vertical="top"/>
    </xf>
    <xf numFmtId="0" fontId="4" fillId="2" borderId="0" xfId="0" applyFont="1" applyFill="1" applyAlignment="1">
      <alignment horizontal="center" vertical="top"/>
    </xf>
    <xf numFmtId="0" fontId="14" fillId="4" borderId="0" xfId="0" applyFont="1" applyFill="1" applyAlignment="1">
      <alignment vertical="top"/>
    </xf>
    <xf numFmtId="0" fontId="14" fillId="4" borderId="0" xfId="0" applyFont="1" applyFill="1" applyAlignment="1">
      <alignment horizontal="center" vertical="top"/>
    </xf>
    <xf numFmtId="0" fontId="8" fillId="2" borderId="1" xfId="0" applyFont="1" applyFill="1" applyBorder="1" applyAlignment="1">
      <alignment vertical="top"/>
    </xf>
    <xf numFmtId="0" fontId="11" fillId="2" borderId="1" xfId="0" applyFont="1" applyFill="1" applyBorder="1" applyAlignment="1">
      <alignment horizontal="center" vertical="top"/>
    </xf>
    <xf numFmtId="0" fontId="4" fillId="2" borderId="1" xfId="0" applyFont="1" applyFill="1" applyBorder="1" applyAlignment="1">
      <alignment horizontal="center" vertical="top"/>
    </xf>
    <xf numFmtId="9" fontId="4" fillId="2" borderId="0" xfId="1" applyFont="1" applyFill="1" applyAlignment="1">
      <alignment horizontal="center" vertical="top"/>
    </xf>
    <xf numFmtId="0" fontId="8" fillId="2" borderId="1" xfId="0" applyFont="1" applyFill="1" applyBorder="1" applyAlignment="1">
      <alignment horizontal="center" vertical="top"/>
    </xf>
    <xf numFmtId="169" fontId="7" fillId="2" borderId="0" xfId="0" applyNumberFormat="1" applyFont="1" applyFill="1" applyAlignment="1">
      <alignment horizontal="center" vertical="top"/>
    </xf>
    <xf numFmtId="3" fontId="4" fillId="2" borderId="0" xfId="0" applyNumberFormat="1" applyFont="1" applyFill="1" applyAlignment="1">
      <alignment vertical="top"/>
    </xf>
    <xf numFmtId="3" fontId="4" fillId="2" borderId="0" xfId="0" applyNumberFormat="1" applyFont="1" applyFill="1" applyAlignment="1">
      <alignment horizontal="center" vertical="top"/>
    </xf>
    <xf numFmtId="3" fontId="7" fillId="2" borderId="0" xfId="0" applyNumberFormat="1" applyFont="1" applyFill="1" applyAlignment="1">
      <alignment vertical="top"/>
    </xf>
    <xf numFmtId="3" fontId="7" fillId="2" borderId="0" xfId="0" applyNumberFormat="1" applyFont="1" applyFill="1" applyAlignment="1">
      <alignment horizontal="center" vertical="top"/>
    </xf>
    <xf numFmtId="169" fontId="4" fillId="2" borderId="0" xfId="0" applyNumberFormat="1" applyFont="1" applyFill="1" applyAlignment="1">
      <alignment horizontal="center" vertical="top"/>
    </xf>
    <xf numFmtId="3" fontId="8" fillId="2" borderId="0" xfId="0" applyNumberFormat="1" applyFont="1" applyFill="1" applyAlignment="1">
      <alignment vertical="top"/>
    </xf>
    <xf numFmtId="3" fontId="8" fillId="2" borderId="0" xfId="0" applyNumberFormat="1" applyFont="1" applyFill="1" applyAlignment="1">
      <alignment horizontal="center" vertical="top"/>
    </xf>
    <xf numFmtId="169" fontId="8" fillId="2" borderId="0" xfId="0" applyNumberFormat="1" applyFont="1" applyFill="1" applyAlignment="1">
      <alignment horizontal="center" vertical="top"/>
    </xf>
    <xf numFmtId="169" fontId="4" fillId="2" borderId="1" xfId="0" applyNumberFormat="1" applyFont="1" applyFill="1" applyBorder="1" applyAlignment="1">
      <alignment horizontal="center" vertical="top"/>
    </xf>
    <xf numFmtId="0" fontId="8" fillId="2" borderId="0" xfId="0" applyFont="1" applyFill="1" applyAlignment="1">
      <alignment vertical="top"/>
    </xf>
    <xf numFmtId="0" fontId="8" fillId="2" borderId="0" xfId="0" applyFont="1" applyFill="1" applyAlignment="1">
      <alignment horizontal="center" vertical="top"/>
    </xf>
    <xf numFmtId="3" fontId="10" fillId="2" borderId="0" xfId="0" applyNumberFormat="1" applyFont="1" applyFill="1" applyAlignment="1">
      <alignment vertical="top"/>
    </xf>
    <xf numFmtId="3" fontId="10" fillId="2" borderId="0" xfId="0" applyNumberFormat="1" applyFont="1" applyFill="1" applyAlignment="1">
      <alignment horizontal="center" vertical="top"/>
    </xf>
    <xf numFmtId="3" fontId="8" fillId="2" borderId="1" xfId="0" applyNumberFormat="1" applyFont="1" applyFill="1" applyBorder="1" applyAlignment="1">
      <alignment vertical="top"/>
    </xf>
    <xf numFmtId="3" fontId="8" fillId="2" borderId="1" xfId="0" applyNumberFormat="1" applyFont="1" applyFill="1" applyBorder="1" applyAlignment="1">
      <alignment horizontal="center" vertical="top"/>
    </xf>
    <xf numFmtId="169" fontId="4" fillId="2" borderId="0" xfId="0" applyNumberFormat="1" applyFont="1" applyFill="1" applyAlignment="1">
      <alignment vertical="top"/>
    </xf>
    <xf numFmtId="2" fontId="4" fillId="2" borderId="0" xfId="0" applyNumberFormat="1" applyFont="1" applyFill="1" applyAlignment="1">
      <alignment horizontal="center" vertical="top"/>
    </xf>
    <xf numFmtId="169" fontId="4" fillId="6" borderId="0" xfId="0" applyNumberFormat="1" applyFont="1" applyFill="1" applyAlignment="1">
      <alignment horizontal="center" vertical="top"/>
    </xf>
    <xf numFmtId="0" fontId="3" fillId="2" borderId="1" xfId="0" applyFont="1" applyFill="1" applyBorder="1" applyAlignment="1">
      <alignment vertical="top"/>
    </xf>
    <xf numFmtId="0" fontId="3" fillId="2" borderId="1" xfId="0" applyFont="1" applyFill="1" applyBorder="1" applyAlignment="1">
      <alignment horizontal="center" vertical="top"/>
    </xf>
    <xf numFmtId="9" fontId="4" fillId="2" borderId="0" xfId="0" applyNumberFormat="1" applyFont="1" applyFill="1" applyAlignment="1">
      <alignment horizontal="center" vertical="top"/>
    </xf>
    <xf numFmtId="10" fontId="4" fillId="2" borderId="0" xfId="1" applyNumberFormat="1" applyFont="1" applyFill="1" applyAlignment="1">
      <alignment vertical="center"/>
    </xf>
    <xf numFmtId="1" fontId="4" fillId="2" borderId="0" xfId="0" applyNumberFormat="1" applyFont="1" applyFill="1" applyAlignment="1">
      <alignment vertical="center"/>
    </xf>
    <xf numFmtId="1" fontId="4" fillId="2" borderId="0" xfId="2" applyNumberFormat="1" applyFont="1" applyFill="1" applyAlignment="1">
      <alignment vertical="center"/>
    </xf>
    <xf numFmtId="0" fontId="17" fillId="2" borderId="0" xfId="0" applyFont="1" applyFill="1" applyAlignment="1">
      <alignment vertical="center"/>
    </xf>
    <xf numFmtId="0" fontId="8" fillId="2" borderId="0" xfId="0" applyFont="1" applyFill="1" applyAlignment="1">
      <alignment horizontal="center" vertical="center"/>
    </xf>
    <xf numFmtId="169" fontId="15" fillId="2" borderId="0" xfId="4" applyNumberFormat="1" applyFont="1" applyFill="1" applyBorder="1" applyAlignment="1">
      <alignment horizontal="center" vertical="center"/>
    </xf>
    <xf numFmtId="9" fontId="15" fillId="9" borderId="5" xfId="0" applyNumberFormat="1" applyFont="1" applyFill="1" applyBorder="1" applyAlignment="1">
      <alignment horizontal="center" vertical="center"/>
    </xf>
    <xf numFmtId="169" fontId="7" fillId="2" borderId="6" xfId="0" applyNumberFormat="1" applyFont="1" applyFill="1" applyBorder="1" applyAlignment="1">
      <alignment horizontal="center" vertical="center"/>
    </xf>
    <xf numFmtId="169" fontId="4" fillId="2" borderId="6" xfId="0" applyNumberFormat="1" applyFont="1" applyFill="1" applyBorder="1" applyAlignment="1">
      <alignment horizontal="center" vertical="center"/>
    </xf>
    <xf numFmtId="9" fontId="15" fillId="9" borderId="4" xfId="0" applyNumberFormat="1" applyFont="1" applyFill="1" applyBorder="1" applyAlignment="1">
      <alignment horizontal="center" vertical="center"/>
    </xf>
    <xf numFmtId="0" fontId="15" fillId="9" borderId="3" xfId="0" applyFont="1" applyFill="1" applyBorder="1" applyAlignment="1">
      <alignment horizontal="center" vertical="center"/>
    </xf>
    <xf numFmtId="0" fontId="15" fillId="9" borderId="2" xfId="0" applyFont="1" applyFill="1" applyBorder="1" applyAlignment="1">
      <alignment horizontal="center" vertical="center"/>
    </xf>
    <xf numFmtId="0" fontId="7" fillId="2" borderId="0" xfId="0" applyFont="1" applyFill="1" applyAlignment="1">
      <alignment horizontal="left" vertical="center"/>
    </xf>
    <xf numFmtId="0" fontId="4" fillId="2" borderId="0" xfId="0" applyFont="1" applyFill="1" applyAlignment="1">
      <alignment horizontal="left" vertical="center"/>
    </xf>
    <xf numFmtId="170" fontId="15" fillId="9" borderId="3" xfId="0" applyNumberFormat="1" applyFont="1" applyFill="1" applyBorder="1" applyAlignment="1">
      <alignment horizontal="center" vertical="center"/>
    </xf>
    <xf numFmtId="170" fontId="15" fillId="9" borderId="2" xfId="0" applyNumberFormat="1" applyFont="1" applyFill="1" applyBorder="1" applyAlignment="1">
      <alignment horizontal="center" vertical="center"/>
    </xf>
    <xf numFmtId="164" fontId="4" fillId="2" borderId="0" xfId="1" applyNumberFormat="1" applyFont="1" applyFill="1" applyAlignment="1">
      <alignment vertical="center"/>
    </xf>
    <xf numFmtId="164" fontId="15" fillId="9" borderId="4" xfId="1" applyNumberFormat="1" applyFont="1" applyFill="1" applyBorder="1" applyAlignment="1">
      <alignment horizontal="center" vertical="center"/>
    </xf>
    <xf numFmtId="164" fontId="15" fillId="9" borderId="5" xfId="0" applyNumberFormat="1" applyFont="1" applyFill="1" applyBorder="1" applyAlignment="1">
      <alignment horizontal="center" vertical="center"/>
    </xf>
    <xf numFmtId="164" fontId="15" fillId="9" borderId="5" xfId="1" applyNumberFormat="1" applyFont="1" applyFill="1" applyBorder="1" applyAlignment="1">
      <alignment horizontal="center" vertical="center"/>
    </xf>
    <xf numFmtId="169" fontId="15" fillId="2" borderId="0" xfId="0" applyNumberFormat="1" applyFont="1" applyFill="1" applyAlignment="1">
      <alignment vertical="center"/>
    </xf>
    <xf numFmtId="1" fontId="15" fillId="9" borderId="4" xfId="0" applyNumberFormat="1" applyFont="1" applyFill="1" applyBorder="1" applyAlignment="1">
      <alignment horizontal="center" vertical="center"/>
    </xf>
    <xf numFmtId="1" fontId="15" fillId="9" borderId="5" xfId="0" applyNumberFormat="1" applyFont="1" applyFill="1" applyBorder="1" applyAlignment="1">
      <alignment horizontal="center" vertical="center"/>
    </xf>
    <xf numFmtId="0" fontId="15" fillId="2" borderId="0" xfId="0" applyFont="1" applyFill="1" applyAlignment="1">
      <alignment vertical="center"/>
    </xf>
    <xf numFmtId="0" fontId="12" fillId="2" borderId="0" xfId="0" applyFont="1" applyFill="1" applyAlignment="1">
      <alignment vertical="center"/>
    </xf>
    <xf numFmtId="0" fontId="15" fillId="10" borderId="0" xfId="0" applyFont="1" applyFill="1" applyAlignment="1">
      <alignment vertical="center"/>
    </xf>
    <xf numFmtId="0" fontId="4" fillId="10" borderId="0" xfId="0" applyFont="1" applyFill="1" applyAlignment="1">
      <alignment vertical="center"/>
    </xf>
    <xf numFmtId="0" fontId="7" fillId="2" borderId="0" xfId="0" applyFont="1" applyFill="1" applyAlignment="1">
      <alignment horizontal="center" vertical="center"/>
    </xf>
    <xf numFmtId="169" fontId="7" fillId="2" borderId="0" xfId="0" applyNumberFormat="1" applyFont="1" applyFill="1" applyAlignment="1">
      <alignment horizontal="center" vertical="center"/>
    </xf>
    <xf numFmtId="9" fontId="18" fillId="2" borderId="0" xfId="1" applyFont="1" applyFill="1" applyAlignment="1">
      <alignment vertical="center"/>
    </xf>
    <xf numFmtId="0" fontId="14" fillId="11" borderId="0" xfId="0" applyFont="1" applyFill="1" applyAlignment="1">
      <alignment horizontal="left" vertical="center"/>
    </xf>
    <xf numFmtId="0" fontId="14" fillId="11" borderId="0" xfId="0" applyFont="1" applyFill="1" applyAlignment="1">
      <alignment horizontal="center" vertical="center"/>
    </xf>
    <xf numFmtId="1" fontId="7" fillId="2" borderId="0" xfId="0" applyNumberFormat="1" applyFont="1" applyFill="1" applyAlignment="1">
      <alignment horizontal="center" vertical="center"/>
    </xf>
    <xf numFmtId="171" fontId="7" fillId="2" borderId="0" xfId="0" applyNumberFormat="1" applyFont="1" applyFill="1" applyAlignment="1">
      <alignment horizontal="center" vertical="center"/>
    </xf>
    <xf numFmtId="164" fontId="7" fillId="2" borderId="0" xfId="1" applyNumberFormat="1" applyFont="1" applyFill="1" applyBorder="1" applyAlignment="1">
      <alignment horizontal="center" vertical="center"/>
    </xf>
    <xf numFmtId="9" fontId="7" fillId="2" borderId="0" xfId="1" applyFont="1" applyFill="1" applyBorder="1" applyAlignment="1">
      <alignment horizontal="center" vertical="center"/>
    </xf>
    <xf numFmtId="3" fontId="7" fillId="2" borderId="0" xfId="2" applyNumberFormat="1" applyFont="1" applyFill="1" applyBorder="1" applyAlignment="1">
      <alignment horizontal="center" vertical="center"/>
    </xf>
    <xf numFmtId="3" fontId="7" fillId="2" borderId="0" xfId="0" applyNumberFormat="1" applyFont="1" applyFill="1" applyAlignment="1">
      <alignment horizontal="center" vertical="center"/>
    </xf>
    <xf numFmtId="0" fontId="8" fillId="2" borderId="0" xfId="0" applyFont="1" applyFill="1" applyAlignment="1">
      <alignment vertical="center" wrapText="1"/>
    </xf>
    <xf numFmtId="167" fontId="4" fillId="2" borderId="0" xfId="0" applyNumberFormat="1" applyFont="1" applyFill="1" applyAlignment="1">
      <alignment vertical="center"/>
    </xf>
    <xf numFmtId="0" fontId="8" fillId="2" borderId="7" xfId="0" applyFont="1" applyFill="1" applyBorder="1" applyAlignment="1">
      <alignment vertical="center"/>
    </xf>
    <xf numFmtId="169" fontId="8" fillId="2" borderId="7" xfId="0" applyNumberFormat="1" applyFont="1" applyFill="1" applyBorder="1" applyAlignment="1">
      <alignment horizontal="center" vertical="center"/>
    </xf>
    <xf numFmtId="9" fontId="8" fillId="2" borderId="0" xfId="1" applyFont="1" applyFill="1" applyBorder="1" applyAlignment="1">
      <alignment horizontal="center" vertical="center"/>
    </xf>
    <xf numFmtId="169" fontId="8" fillId="2" borderId="0" xfId="0" applyNumberFormat="1" applyFont="1" applyFill="1" applyAlignment="1">
      <alignment horizontal="center" vertical="center"/>
    </xf>
    <xf numFmtId="9" fontId="8" fillId="2" borderId="0" xfId="0" applyNumberFormat="1" applyFont="1" applyFill="1" applyAlignment="1">
      <alignment horizontal="center" vertical="center"/>
    </xf>
    <xf numFmtId="0" fontId="10" fillId="3" borderId="0" xfId="0" applyFont="1" applyFill="1" applyAlignment="1">
      <alignment horizontal="left" vertical="center"/>
    </xf>
    <xf numFmtId="0" fontId="10" fillId="3" borderId="0" xfId="0" applyFont="1" applyFill="1" applyAlignment="1">
      <alignment horizontal="center" vertical="center"/>
    </xf>
    <xf numFmtId="0" fontId="20" fillId="2" borderId="0" xfId="0" applyFont="1" applyFill="1" applyAlignment="1">
      <alignment vertical="center"/>
    </xf>
    <xf numFmtId="0" fontId="19" fillId="2" borderId="0" xfId="0" applyFont="1" applyFill="1" applyAlignment="1">
      <alignment vertical="center"/>
    </xf>
    <xf numFmtId="0" fontId="20" fillId="2" borderId="0" xfId="0" applyFont="1" applyFill="1" applyAlignment="1">
      <alignment horizontal="center" vertical="center"/>
    </xf>
    <xf numFmtId="0" fontId="24" fillId="2" borderId="0" xfId="0" applyFont="1" applyFill="1" applyAlignment="1">
      <alignment vertical="center"/>
    </xf>
    <xf numFmtId="169" fontId="26" fillId="12" borderId="8" xfId="0" applyNumberFormat="1" applyFont="1" applyFill="1" applyBorder="1" applyAlignment="1">
      <alignment horizontal="center" vertical="center"/>
    </xf>
    <xf numFmtId="9" fontId="26" fillId="12" borderId="8" xfId="0" applyNumberFormat="1" applyFont="1" applyFill="1" applyBorder="1" applyAlignment="1">
      <alignment horizontal="center" vertical="center"/>
    </xf>
    <xf numFmtId="9" fontId="26" fillId="12" borderId="8" xfId="1" applyFont="1" applyFill="1" applyBorder="1" applyAlignment="1">
      <alignment horizontal="center" vertical="center"/>
    </xf>
    <xf numFmtId="169" fontId="26" fillId="13" borderId="8" xfId="0" applyNumberFormat="1" applyFont="1" applyFill="1" applyBorder="1" applyAlignment="1">
      <alignment horizontal="center" vertical="center"/>
    </xf>
    <xf numFmtId="9" fontId="26" fillId="13" borderId="8" xfId="1" applyFont="1" applyFill="1" applyBorder="1" applyAlignment="1">
      <alignment horizontal="center" vertical="center"/>
    </xf>
    <xf numFmtId="169" fontId="26" fillId="14" borderId="8" xfId="0" applyNumberFormat="1" applyFont="1" applyFill="1" applyBorder="1" applyAlignment="1">
      <alignment horizontal="center" vertical="center"/>
    </xf>
    <xf numFmtId="9" fontId="26" fillId="14" borderId="8" xfId="1" applyFont="1" applyFill="1" applyBorder="1" applyAlignment="1">
      <alignment horizontal="center" vertical="center"/>
    </xf>
    <xf numFmtId="169" fontId="26" fillId="14" borderId="8" xfId="0" applyNumberFormat="1" applyFont="1" applyFill="1" applyBorder="1" applyAlignment="1">
      <alignment horizontal="center" vertical="top"/>
    </xf>
    <xf numFmtId="9" fontId="26" fillId="14" borderId="8" xfId="0" applyNumberFormat="1" applyFont="1" applyFill="1" applyBorder="1" applyAlignment="1">
      <alignment horizontal="center" vertical="center"/>
    </xf>
    <xf numFmtId="0" fontId="25" fillId="6" borderId="8" xfId="0" applyFont="1" applyFill="1" applyBorder="1" applyAlignment="1">
      <alignment horizontal="center" vertical="center"/>
    </xf>
    <xf numFmtId="0" fontId="21" fillId="2" borderId="0" xfId="0" applyFont="1" applyFill="1" applyAlignment="1">
      <alignment vertical="center"/>
    </xf>
    <xf numFmtId="0" fontId="0" fillId="6" borderId="0" xfId="0" applyFill="1" applyAlignment="1">
      <alignment vertical="center"/>
    </xf>
    <xf numFmtId="0" fontId="22" fillId="6" borderId="0" xfId="0" applyFont="1" applyFill="1" applyAlignment="1">
      <alignment vertical="center"/>
    </xf>
    <xf numFmtId="0" fontId="13" fillId="6" borderId="0" xfId="0" applyFont="1" applyFill="1" applyAlignment="1">
      <alignment horizontal="center" vertical="center"/>
    </xf>
    <xf numFmtId="0" fontId="24" fillId="6" borderId="0" xfId="0" applyFont="1" applyFill="1" applyAlignment="1">
      <alignment vertical="center"/>
    </xf>
    <xf numFmtId="0" fontId="4" fillId="6" borderId="0" xfId="0" applyFont="1" applyFill="1" applyAlignment="1">
      <alignment vertical="center"/>
    </xf>
    <xf numFmtId="3" fontId="4" fillId="6" borderId="0" xfId="0" applyNumberFormat="1" applyFont="1" applyFill="1" applyAlignment="1">
      <alignment vertical="center"/>
    </xf>
    <xf numFmtId="2" fontId="4" fillId="6" borderId="0" xfId="0" applyNumberFormat="1" applyFont="1" applyFill="1" applyAlignment="1">
      <alignment vertical="center"/>
    </xf>
    <xf numFmtId="1" fontId="4" fillId="6" borderId="0" xfId="0" applyNumberFormat="1" applyFont="1" applyFill="1" applyAlignment="1">
      <alignment vertical="center"/>
    </xf>
    <xf numFmtId="0" fontId="12" fillId="6" borderId="0" xfId="0" applyFont="1" applyFill="1" applyAlignment="1">
      <alignment vertical="center"/>
    </xf>
    <xf numFmtId="0" fontId="0" fillId="6" borderId="0" xfId="0" applyFill="1"/>
    <xf numFmtId="0" fontId="13" fillId="9" borderId="0" xfId="0" applyFont="1" applyFill="1" applyAlignment="1">
      <alignment horizontal="center" vertical="center"/>
    </xf>
    <xf numFmtId="0" fontId="21" fillId="9" borderId="0" xfId="0" applyFont="1" applyFill="1" applyAlignment="1">
      <alignment horizontal="center" vertical="center"/>
    </xf>
    <xf numFmtId="0" fontId="0" fillId="9" borderId="0" xfId="0" applyFill="1" applyAlignment="1">
      <alignment horizontal="center" vertical="center"/>
    </xf>
    <xf numFmtId="0" fontId="23" fillId="6" borderId="0" xfId="0" applyFont="1" applyFill="1" applyAlignment="1">
      <alignment horizontal="center" vertical="center"/>
    </xf>
    <xf numFmtId="0" fontId="26" fillId="2" borderId="9" xfId="0" applyFont="1" applyFill="1" applyBorder="1" applyAlignment="1">
      <alignment horizontal="left" vertical="center"/>
    </xf>
    <xf numFmtId="0" fontId="26" fillId="2" borderId="10" xfId="0" applyFont="1" applyFill="1" applyBorder="1" applyAlignment="1">
      <alignment horizontal="left" vertical="center"/>
    </xf>
    <xf numFmtId="0" fontId="26" fillId="2" borderId="11" xfId="0" applyFont="1" applyFill="1" applyBorder="1" applyAlignment="1">
      <alignment horizontal="left" vertical="center"/>
    </xf>
    <xf numFmtId="0" fontId="25" fillId="6" borderId="9" xfId="0" applyFont="1" applyFill="1" applyBorder="1" applyAlignment="1">
      <alignment horizontal="left" vertical="center"/>
    </xf>
    <xf numFmtId="0" fontId="25" fillId="6" borderId="10" xfId="0" applyFont="1" applyFill="1" applyBorder="1" applyAlignment="1">
      <alignment horizontal="left" vertical="center"/>
    </xf>
    <xf numFmtId="0" fontId="25" fillId="6" borderId="11" xfId="0" applyFont="1" applyFill="1" applyBorder="1" applyAlignment="1">
      <alignment horizontal="left" vertical="center"/>
    </xf>
    <xf numFmtId="0" fontId="20" fillId="8" borderId="0" xfId="0" applyFont="1" applyFill="1" applyAlignment="1">
      <alignment horizontal="center" vertical="center"/>
    </xf>
    <xf numFmtId="0" fontId="19" fillId="5" borderId="0" xfId="0" applyFont="1" applyFill="1" applyAlignment="1">
      <alignment horizontal="center" vertical="center"/>
    </xf>
    <xf numFmtId="0" fontId="10" fillId="2" borderId="0" xfId="0" applyFont="1" applyFill="1" applyAlignment="1">
      <alignment horizontal="center" vertical="center"/>
    </xf>
    <xf numFmtId="0" fontId="8" fillId="2" borderId="0" xfId="0" applyFont="1" applyFill="1" applyAlignment="1">
      <alignment horizontal="center" vertical="center"/>
    </xf>
    <xf numFmtId="0" fontId="13" fillId="5" borderId="0" xfId="0" applyFont="1" applyFill="1" applyAlignment="1">
      <alignment horizontal="center" vertical="center"/>
    </xf>
    <xf numFmtId="0" fontId="12" fillId="8" borderId="0" xfId="0" applyFont="1" applyFill="1" applyAlignment="1">
      <alignment horizontal="center" vertical="center"/>
    </xf>
    <xf numFmtId="0" fontId="21" fillId="6" borderId="0" xfId="0" applyFont="1" applyFill="1" applyAlignment="1">
      <alignment horizontal="center" vertical="center"/>
    </xf>
  </cellXfs>
  <cellStyles count="5">
    <cellStyle name="Comma" xfId="2" builtinId="3"/>
    <cellStyle name="Comma [0]" xfId="3" builtinId="6"/>
    <cellStyle name="Currency" xfId="4" builtinId="4"/>
    <cellStyle name="Normal" xfId="0" builtinId="0"/>
    <cellStyle name="Per cent" xfId="1" builtinId="5"/>
  </cellStyles>
  <dxfs count="16">
    <dxf>
      <font>
        <color theme="0"/>
      </font>
      <fill>
        <patternFill>
          <bgColor rgb="FF002060"/>
        </patternFill>
      </fill>
    </dxf>
    <dxf>
      <font>
        <color theme="0"/>
      </font>
      <fill>
        <patternFill>
          <bgColor rgb="FF002060"/>
        </patternFill>
      </fill>
    </dxf>
    <dxf>
      <font>
        <color theme="0"/>
      </font>
    </dxf>
    <dxf>
      <fill>
        <patternFill>
          <bgColor theme="0"/>
        </patternFill>
      </fill>
    </dxf>
    <dxf>
      <fill>
        <patternFill>
          <bgColor theme="0"/>
        </patternFill>
      </fill>
    </dxf>
    <dxf>
      <fill>
        <patternFill>
          <bgColor theme="0"/>
        </patternFill>
      </fill>
    </dxf>
    <dxf>
      <fill>
        <patternFill>
          <bgColor theme="0"/>
        </patternFill>
      </fill>
    </dxf>
    <dxf>
      <font>
        <b val="0"/>
        <i val="0"/>
        <strike val="0"/>
        <condense val="0"/>
        <extend val="0"/>
        <outline val="0"/>
        <shadow val="0"/>
        <u val="none"/>
        <vertAlign val="baseline"/>
        <sz val="11"/>
        <color auto="1"/>
        <name val="Garamond"/>
        <family val="1"/>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Garamond"/>
        <family val="1"/>
        <scheme val="none"/>
      </font>
      <numFmt numFmtId="169" formatCode="#,##0.00,,\ "/>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Garamond"/>
        <family val="1"/>
        <scheme val="none"/>
      </font>
      <numFmt numFmtId="169" formatCode="#,##0.00,,\ "/>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Garamond"/>
        <family val="1"/>
        <scheme val="none"/>
      </font>
      <numFmt numFmtId="169" formatCode="#,##0.00,,\ "/>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Garamond"/>
        <family val="1"/>
        <scheme val="none"/>
      </font>
      <numFmt numFmtId="169" formatCode="#,##0.00,,\ "/>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Garamond"/>
        <family val="1"/>
        <scheme val="none"/>
      </font>
      <numFmt numFmtId="169" formatCode="#,##0.00,,\ "/>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Garamond"/>
        <family val="1"/>
        <scheme val="none"/>
      </font>
      <fill>
        <patternFill patternType="solid">
          <fgColor indexed="64"/>
          <bgColor theme="0"/>
        </patternFill>
      </fill>
      <alignment horizontal="left" vertical="center" textRotation="0" wrapText="0" indent="0" justifyLastLine="0" shrinkToFit="0" readingOrder="0"/>
    </dxf>
    <dxf>
      <font>
        <b val="0"/>
        <i val="0"/>
        <strike val="0"/>
        <condense val="0"/>
        <extend val="0"/>
        <outline val="0"/>
        <shadow val="0"/>
        <u val="none"/>
        <vertAlign val="baseline"/>
        <sz val="11"/>
        <color auto="1"/>
        <name val="Garamond"/>
        <family val="1"/>
        <scheme val="none"/>
      </font>
      <fill>
        <patternFill patternType="solid">
          <fgColor indexed="64"/>
          <bgColor theme="0"/>
        </patternFill>
      </fill>
      <alignment horizontal="center" vertical="center" textRotation="0" wrapText="0" indent="0" justifyLastLine="0" shrinkToFit="0" readingOrder="0"/>
    </dxf>
    <dxf>
      <font>
        <b/>
        <i val="0"/>
        <strike val="0"/>
        <condense val="0"/>
        <extend val="0"/>
        <outline val="0"/>
        <shadow val="0"/>
        <u val="none"/>
        <vertAlign val="baseline"/>
        <sz val="11"/>
        <color theme="0"/>
        <name val="Garamond"/>
        <family val="1"/>
        <scheme val="none"/>
      </font>
      <fill>
        <patternFill patternType="solid">
          <fgColor indexed="64"/>
          <bgColor theme="3"/>
        </patternFill>
      </fill>
      <alignment horizontal="center" vertical="center" textRotation="0" wrapText="0" indent="0" justifyLastLine="0" shrinkToFit="0" readingOrder="0"/>
    </dxf>
  </dxfs>
  <tableStyles count="0" defaultTableStyle="TableStyleMedium9" defaultPivotStyle="PivotStyleLight16"/>
  <colors>
    <mruColors>
      <color rgb="FF008000"/>
      <color rgb="FF33CC33"/>
      <color rgb="FFA1E7A1"/>
      <color rgb="FFFF5B5B"/>
      <color rgb="FF4F81BD"/>
      <color rgb="FFCC6600"/>
      <color rgb="FF00EE6C"/>
      <color rgb="FF3399FF"/>
      <color rgb="FF82A5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7.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8.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9.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0.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1.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Ex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2000" b="1" i="0" u="none" strike="noStrike" kern="1200" spc="0" baseline="0">
                <a:solidFill>
                  <a:schemeClr val="tx1">
                    <a:lumMod val="65000"/>
                    <a:lumOff val="35000"/>
                  </a:schemeClr>
                </a:solidFill>
                <a:latin typeface="Sorts Mill Goudy" panose="02000503000000000000" pitchFamily="2" charset="0"/>
                <a:ea typeface="+mn-ea"/>
                <a:cs typeface="+mn-cs"/>
              </a:defRPr>
            </a:pPr>
            <a:r>
              <a:rPr lang="en-GB" sz="2000" b="1">
                <a:latin typeface="Garamond" panose="02020404030301010803" pitchFamily="18" charset="0"/>
              </a:rPr>
              <a:t>NPV impact</a:t>
            </a:r>
            <a:r>
              <a:rPr lang="en-GB" sz="2000" b="1" baseline="0">
                <a:latin typeface="Garamond" panose="02020404030301010803" pitchFamily="18" charset="0"/>
              </a:rPr>
              <a:t> - Tornado analysis</a:t>
            </a:r>
          </a:p>
          <a:p>
            <a:pPr algn="ctr">
              <a:defRPr sz="2000" b="1"/>
            </a:pPr>
            <a:endParaRPr lang="en-GB" sz="500" b="1">
              <a:latin typeface="Garamond" panose="02020404030301010803" pitchFamily="18" charset="0"/>
            </a:endParaRPr>
          </a:p>
          <a:p>
            <a:pPr algn="ctr">
              <a:defRPr sz="2000" b="1"/>
            </a:pPr>
            <a:r>
              <a:rPr lang="en-GB" sz="1400" b="1">
                <a:latin typeface="Garamond" panose="02020404030301010803" pitchFamily="18" charset="0"/>
              </a:rPr>
              <a:t> </a:t>
            </a:r>
            <a:r>
              <a:rPr lang="en-GB" sz="1400" b="0">
                <a:solidFill>
                  <a:schemeClr val="accent2">
                    <a:lumMod val="60000"/>
                    <a:lumOff val="40000"/>
                  </a:schemeClr>
                </a:solidFill>
                <a:latin typeface="Garamond" panose="02020404030301010803" pitchFamily="18" charset="0"/>
              </a:rPr>
              <a:t>Min</a:t>
            </a:r>
            <a:r>
              <a:rPr lang="en-GB" sz="1400" b="0" baseline="0">
                <a:solidFill>
                  <a:schemeClr val="accent2">
                    <a:lumMod val="60000"/>
                    <a:lumOff val="40000"/>
                  </a:schemeClr>
                </a:solidFill>
                <a:latin typeface="Garamond" panose="02020404030301010803" pitchFamily="18" charset="0"/>
              </a:rPr>
              <a:t> NPV </a:t>
            </a:r>
            <a:r>
              <a:rPr lang="en-GB" sz="1400" b="0" baseline="0">
                <a:solidFill>
                  <a:srgbClr val="FFAD75"/>
                </a:solidFill>
                <a:latin typeface="Garamond" panose="02020404030301010803" pitchFamily="18" charset="0"/>
              </a:rPr>
              <a:t>(</a:t>
            </a:r>
            <a:r>
              <a:rPr lang="en-GB" sz="1400" b="0" baseline="0">
                <a:solidFill>
                  <a:srgbClr val="FF6565"/>
                </a:solidFill>
                <a:latin typeface="Garamond" panose="02020404030301010803" pitchFamily="18" charset="0"/>
              </a:rPr>
              <a:t>negative</a:t>
            </a:r>
            <a:r>
              <a:rPr lang="en-GB" sz="1400" b="0" baseline="0">
                <a:solidFill>
                  <a:srgbClr val="FFAD75"/>
                </a:solidFill>
                <a:latin typeface="Garamond" panose="02020404030301010803" pitchFamily="18" charset="0"/>
              </a:rPr>
              <a:t>) </a:t>
            </a:r>
            <a:r>
              <a:rPr lang="en-GB" sz="1400" b="0" baseline="0">
                <a:solidFill>
                  <a:sysClr val="windowText" lastClr="000000"/>
                </a:solidFill>
                <a:latin typeface="Garamond" panose="02020404030301010803" pitchFamily="18" charset="0"/>
              </a:rPr>
              <a:t>| </a:t>
            </a:r>
            <a:r>
              <a:rPr lang="en-GB" sz="1400" b="1" baseline="0">
                <a:solidFill>
                  <a:schemeClr val="accent2">
                    <a:lumMod val="75000"/>
                  </a:schemeClr>
                </a:solidFill>
                <a:latin typeface="Garamond" panose="02020404030301010803" pitchFamily="18" charset="0"/>
              </a:rPr>
              <a:t>Realistic bad </a:t>
            </a:r>
            <a:r>
              <a:rPr lang="en-GB" sz="1400" b="0" baseline="0">
                <a:solidFill>
                  <a:sysClr val="windowText" lastClr="000000"/>
                </a:solidFill>
                <a:latin typeface="Garamond" panose="02020404030301010803" pitchFamily="18" charset="0"/>
              </a:rPr>
              <a:t>|</a:t>
            </a:r>
            <a:r>
              <a:rPr lang="en-GB" sz="1400" b="0" baseline="0">
                <a:solidFill>
                  <a:srgbClr val="FF6464"/>
                </a:solidFill>
                <a:latin typeface="Garamond" panose="02020404030301010803" pitchFamily="18" charset="0"/>
              </a:rPr>
              <a:t> </a:t>
            </a:r>
            <a:r>
              <a:rPr lang="en-GB" sz="1400" b="1" baseline="0">
                <a:solidFill>
                  <a:srgbClr val="33CC33"/>
                </a:solidFill>
                <a:latin typeface="Garamond" panose="02020404030301010803" pitchFamily="18" charset="0"/>
              </a:rPr>
              <a:t>Realistic good </a:t>
            </a:r>
            <a:r>
              <a:rPr lang="en-GB" sz="1400" b="0" baseline="0">
                <a:solidFill>
                  <a:sysClr val="windowText" lastClr="000000"/>
                </a:solidFill>
                <a:latin typeface="Garamond" panose="02020404030301010803" pitchFamily="18" charset="0"/>
              </a:rPr>
              <a:t>|</a:t>
            </a:r>
            <a:r>
              <a:rPr lang="en-GB" sz="1400" b="0" baseline="0">
                <a:solidFill>
                  <a:srgbClr val="FF6464"/>
                </a:solidFill>
                <a:latin typeface="Garamond" panose="02020404030301010803" pitchFamily="18" charset="0"/>
              </a:rPr>
              <a:t> </a:t>
            </a:r>
            <a:r>
              <a:rPr lang="en-GB" sz="1400" b="0" baseline="0">
                <a:solidFill>
                  <a:srgbClr val="A1E7A1"/>
                </a:solidFill>
                <a:latin typeface="Garamond" panose="02020404030301010803" pitchFamily="18" charset="0"/>
              </a:rPr>
              <a:t>Max NPV</a:t>
            </a:r>
            <a:endParaRPr lang="en-GB" sz="1400" b="1">
              <a:solidFill>
                <a:srgbClr val="A1E7A1"/>
              </a:solidFill>
              <a:latin typeface="Garamond" panose="02020404030301010803" pitchFamily="18" charset="0"/>
            </a:endParaRPr>
          </a:p>
        </c:rich>
      </c:tx>
      <c:layout>
        <c:manualLayout>
          <c:xMode val="edge"/>
          <c:yMode val="edge"/>
          <c:x val="0.37176023915057438"/>
          <c:y val="1.5566062246927826E-2"/>
        </c:manualLayout>
      </c:layout>
      <c:overlay val="0"/>
      <c:spPr>
        <a:noFill/>
        <a:ln>
          <a:noFill/>
        </a:ln>
        <a:effectLst/>
      </c:spPr>
      <c:txPr>
        <a:bodyPr rot="0" spcFirstLastPara="1" vertOverflow="ellipsis" vert="horz" wrap="square" anchor="ctr" anchorCtr="1"/>
        <a:lstStyle/>
        <a:p>
          <a:pPr algn="ctr">
            <a:defRPr sz="2000" b="1" i="0" u="none" strike="noStrike" kern="1200" spc="0" baseline="0">
              <a:solidFill>
                <a:schemeClr val="tx1">
                  <a:lumMod val="65000"/>
                  <a:lumOff val="35000"/>
                </a:schemeClr>
              </a:solidFill>
              <a:latin typeface="Sorts Mill Goudy" panose="02000503000000000000" pitchFamily="2" charset="0"/>
              <a:ea typeface="+mn-ea"/>
              <a:cs typeface="+mn-cs"/>
            </a:defRPr>
          </a:pPr>
          <a:endParaRPr lang="en-US"/>
        </a:p>
      </c:txPr>
    </c:title>
    <c:autoTitleDeleted val="0"/>
    <c:plotArea>
      <c:layout>
        <c:manualLayout>
          <c:layoutTarget val="inner"/>
          <c:xMode val="edge"/>
          <c:yMode val="edge"/>
          <c:x val="0.22054296275904528"/>
          <c:y val="9.7101658789979131E-2"/>
          <c:w val="0.71696567304291836"/>
          <c:h val="0.78679248640934796"/>
        </c:manualLayout>
      </c:layout>
      <c:barChart>
        <c:barDir val="bar"/>
        <c:grouping val="clustered"/>
        <c:varyColors val="0"/>
        <c:ser>
          <c:idx val="0"/>
          <c:order val="0"/>
          <c:tx>
            <c:strRef>
              <c:f>'Further analysis'!$C$9</c:f>
              <c:strCache>
                <c:ptCount val="1"/>
                <c:pt idx="0">
                  <c:v>Min NPV (£M)</c:v>
                </c:pt>
              </c:strCache>
            </c:strRef>
          </c:tx>
          <c:spPr>
            <a:solidFill>
              <a:schemeClr val="accent2">
                <a:lumMod val="40000"/>
                <a:lumOff val="60000"/>
                <a:alpha val="60000"/>
              </a:schemeClr>
            </a:solidFill>
            <a:ln>
              <a:noFill/>
            </a:ln>
            <a:effectLst/>
          </c:spPr>
          <c:invertIfNegative val="0"/>
          <c:dPt>
            <c:idx val="0"/>
            <c:invertIfNegative val="0"/>
            <c:bubble3D val="0"/>
            <c:spPr>
              <a:solidFill>
                <a:srgbClr val="FF5B5B">
                  <a:alpha val="60000"/>
                </a:srgbClr>
              </a:solidFill>
              <a:ln w="31750">
                <a:noFill/>
              </a:ln>
              <a:effectLst/>
            </c:spPr>
            <c:extLst>
              <c:ext xmlns:c16="http://schemas.microsoft.com/office/drawing/2014/chart" uri="{C3380CC4-5D6E-409C-BE32-E72D297353CC}">
                <c16:uniqueId val="{00000001-603B-405B-A3A0-42C7BF198BEF}"/>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Garamond" panose="02020404030301010803"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'Further analysis'!$B$10:$B$16</c:f>
              <c:strCache>
                <c:ptCount val="7"/>
                <c:pt idx="0">
                  <c:v>Average electricity price  (£/MWh)</c:v>
                </c:pt>
                <c:pt idx="1">
                  <c:v>Discount rate</c:v>
                </c:pt>
                <c:pt idx="2">
                  <c:v>Capacity factor</c:v>
                </c:pt>
                <c:pt idx="3">
                  <c:v>OpEx costs (£) per turbine</c:v>
                </c:pt>
                <c:pt idx="4">
                  <c:v>Inflation</c:v>
                </c:pt>
                <c:pt idx="5">
                  <c:v>Years before turbines start operating</c:v>
                </c:pt>
                <c:pt idx="6">
                  <c:v>Expected useful life of turbines</c:v>
                </c:pt>
              </c:strCache>
            </c:strRef>
          </c:cat>
          <c:val>
            <c:numRef>
              <c:f>'Further analysis'!$C$10:$C$16</c:f>
              <c:numCache>
                <c:formatCode>#,##0.00,,\ </c:formatCode>
                <c:ptCount val="7"/>
                <c:pt idx="0">
                  <c:v>-6093924.1302413587</c:v>
                </c:pt>
                <c:pt idx="1">
                  <c:v>2706792.2544692885</c:v>
                </c:pt>
                <c:pt idx="2">
                  <c:v>664762.52223120467</c:v>
                </c:pt>
                <c:pt idx="3">
                  <c:v>5079454.6383609828</c:v>
                </c:pt>
                <c:pt idx="4">
                  <c:v>6111373.8349962477</c:v>
                </c:pt>
                <c:pt idx="5">
                  <c:v>3841257.6233464531</c:v>
                </c:pt>
                <c:pt idx="6">
                  <c:v>6611398.3206165982</c:v>
                </c:pt>
              </c:numCache>
            </c:numRef>
          </c:val>
          <c:extLst>
            <c:ext xmlns:c16="http://schemas.microsoft.com/office/drawing/2014/chart" uri="{C3380CC4-5D6E-409C-BE32-E72D297353CC}">
              <c16:uniqueId val="{00000002-603B-405B-A3A0-42C7BF198BEF}"/>
            </c:ext>
          </c:extLst>
        </c:ser>
        <c:ser>
          <c:idx val="1"/>
          <c:order val="1"/>
          <c:tx>
            <c:strRef>
              <c:f>'Further analysis'!$F$9</c:f>
              <c:strCache>
                <c:ptCount val="1"/>
                <c:pt idx="0">
                  <c:v>Max NPV (£M)</c:v>
                </c:pt>
              </c:strCache>
            </c:strRef>
          </c:tx>
          <c:spPr>
            <a:solidFill>
              <a:srgbClr val="33CC33">
                <a:alpha val="40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Garamond" panose="02020404030301010803"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'Further analysis'!$B$10:$B$16</c:f>
              <c:strCache>
                <c:ptCount val="7"/>
                <c:pt idx="0">
                  <c:v>Average electricity price  (£/MWh)</c:v>
                </c:pt>
                <c:pt idx="1">
                  <c:v>Discount rate</c:v>
                </c:pt>
                <c:pt idx="2">
                  <c:v>Capacity factor</c:v>
                </c:pt>
                <c:pt idx="3">
                  <c:v>OpEx costs (£) per turbine</c:v>
                </c:pt>
                <c:pt idx="4">
                  <c:v>Inflation</c:v>
                </c:pt>
                <c:pt idx="5">
                  <c:v>Years before turbines start operating</c:v>
                </c:pt>
                <c:pt idx="6">
                  <c:v>Expected useful life of turbines</c:v>
                </c:pt>
              </c:strCache>
            </c:strRef>
          </c:cat>
          <c:val>
            <c:numRef>
              <c:f>'Further analysis'!$F$10:$F$16</c:f>
              <c:numCache>
                <c:formatCode>#,##0.00,,\ </c:formatCode>
                <c:ptCount val="7"/>
                <c:pt idx="0">
                  <c:v>22826397.955039933</c:v>
                </c:pt>
                <c:pt idx="1">
                  <c:v>18941094.495753184</c:v>
                </c:pt>
                <c:pt idx="2">
                  <c:v>10360386.762392927</c:v>
                </c:pt>
                <c:pt idx="3">
                  <c:v>12424283.739935307</c:v>
                </c:pt>
                <c:pt idx="4">
                  <c:v>11912760.437884923</c:v>
                </c:pt>
                <c:pt idx="5">
                  <c:v>8751869.1891481467</c:v>
                </c:pt>
                <c:pt idx="6">
                  <c:v>10608603.355971891</c:v>
                </c:pt>
              </c:numCache>
            </c:numRef>
          </c:val>
          <c:extLst>
            <c:ext xmlns:c16="http://schemas.microsoft.com/office/drawing/2014/chart" uri="{C3380CC4-5D6E-409C-BE32-E72D297353CC}">
              <c16:uniqueId val="{00000003-603B-405B-A3A0-42C7BF198BEF}"/>
            </c:ext>
          </c:extLst>
        </c:ser>
        <c:ser>
          <c:idx val="2"/>
          <c:order val="2"/>
          <c:tx>
            <c:strRef>
              <c:f>'Further analysis'!$D$9</c:f>
              <c:strCache>
                <c:ptCount val="1"/>
                <c:pt idx="0">
                  <c:v>Realistic bad (£M)</c:v>
                </c:pt>
              </c:strCache>
            </c:strRef>
          </c:tx>
          <c:spPr>
            <a:solidFill>
              <a:schemeClr val="accent2">
                <a:lumMod val="75000"/>
              </a:schemeClr>
            </a:solidFill>
            <a:ln>
              <a:noFill/>
            </a:ln>
            <a:effectLst/>
          </c:spPr>
          <c:invertIfNegative val="0"/>
          <c:dLbls>
            <c:delete val="1"/>
          </c:dLbls>
          <c:cat>
            <c:strRef>
              <c:f>'Further analysis'!$B$10:$B$16</c:f>
              <c:strCache>
                <c:ptCount val="7"/>
                <c:pt idx="0">
                  <c:v>Average electricity price  (£/MWh)</c:v>
                </c:pt>
                <c:pt idx="1">
                  <c:v>Discount rate</c:v>
                </c:pt>
                <c:pt idx="2">
                  <c:v>Capacity factor</c:v>
                </c:pt>
                <c:pt idx="3">
                  <c:v>OpEx costs (£) per turbine</c:v>
                </c:pt>
                <c:pt idx="4">
                  <c:v>Inflation</c:v>
                </c:pt>
                <c:pt idx="5">
                  <c:v>Years before turbines start operating</c:v>
                </c:pt>
                <c:pt idx="6">
                  <c:v>Expected useful life of turbines</c:v>
                </c:pt>
              </c:strCache>
            </c:strRef>
          </c:cat>
          <c:val>
            <c:numRef>
              <c:f>'Further analysis'!$D$10:$D$16</c:f>
              <c:numCache>
                <c:formatCode>#,##0.00,,\ </c:formatCode>
                <c:ptCount val="7"/>
                <c:pt idx="0">
                  <c:v>5936963.4359697849</c:v>
                </c:pt>
                <c:pt idx="1">
                  <c:v>7287581.3579641944</c:v>
                </c:pt>
                <c:pt idx="2">
                  <c:v>7143351.6159033692</c:v>
                </c:pt>
                <c:pt idx="3">
                  <c:v>8017386.2789907083</c:v>
                </c:pt>
                <c:pt idx="4">
                  <c:v>8185150.8126628539</c:v>
                </c:pt>
                <c:pt idx="5">
                  <c:v>7706494.6435577394</c:v>
                </c:pt>
                <c:pt idx="6">
                  <c:v>8071920.2283357615</c:v>
                </c:pt>
              </c:numCache>
            </c:numRef>
          </c:val>
          <c:extLst>
            <c:ext xmlns:c16="http://schemas.microsoft.com/office/drawing/2014/chart" uri="{C3380CC4-5D6E-409C-BE32-E72D297353CC}">
              <c16:uniqueId val="{00000004-603B-405B-A3A0-42C7BF198BEF}"/>
            </c:ext>
          </c:extLst>
        </c:ser>
        <c:ser>
          <c:idx val="3"/>
          <c:order val="3"/>
          <c:tx>
            <c:strRef>
              <c:f>'Further analysis'!$E$9</c:f>
              <c:strCache>
                <c:ptCount val="1"/>
                <c:pt idx="0">
                  <c:v>Realistic good (£M)</c:v>
                </c:pt>
              </c:strCache>
            </c:strRef>
          </c:tx>
          <c:spPr>
            <a:solidFill>
              <a:srgbClr val="33CC33"/>
            </a:solidFill>
            <a:ln>
              <a:noFill/>
            </a:ln>
            <a:effectLst/>
          </c:spPr>
          <c:invertIfNegative val="0"/>
          <c:dLbls>
            <c:delete val="1"/>
          </c:dLbls>
          <c:cat>
            <c:strRef>
              <c:f>'Further analysis'!$B$10:$B$16</c:f>
              <c:strCache>
                <c:ptCount val="7"/>
                <c:pt idx="0">
                  <c:v>Average electricity price  (£/MWh)</c:v>
                </c:pt>
                <c:pt idx="1">
                  <c:v>Discount rate</c:v>
                </c:pt>
                <c:pt idx="2">
                  <c:v>Capacity factor</c:v>
                </c:pt>
                <c:pt idx="3">
                  <c:v>OpEx costs (£) per turbine</c:v>
                </c:pt>
                <c:pt idx="4">
                  <c:v>Inflation</c:v>
                </c:pt>
                <c:pt idx="5">
                  <c:v>Years before turbines start operating</c:v>
                </c:pt>
                <c:pt idx="6">
                  <c:v>Expected useful life of turbines</c:v>
                </c:pt>
              </c:strCache>
            </c:strRef>
          </c:cat>
          <c:val>
            <c:numRef>
              <c:f>'Further analysis'!$E$10:$E$16</c:f>
              <c:numCache>
                <c:formatCode>#,##0.00,,\ </c:formatCode>
                <c:ptCount val="7"/>
                <c:pt idx="0">
                  <c:v>11566774.942326505</c:v>
                </c:pt>
                <c:pt idx="1">
                  <c:v>10376731.560675589</c:v>
                </c:pt>
                <c:pt idx="2">
                  <c:v>10360386.762392927</c:v>
                </c:pt>
                <c:pt idx="3">
                  <c:v>9486352.0993055757</c:v>
                </c:pt>
                <c:pt idx="4">
                  <c:v>9339349.075178653</c:v>
                </c:pt>
                <c:pt idx="5">
                  <c:v>8751869.1891481467</c:v>
                </c:pt>
                <c:pt idx="6">
                  <c:v>9400339.0314044021</c:v>
                </c:pt>
              </c:numCache>
            </c:numRef>
          </c:val>
          <c:extLst>
            <c:ext xmlns:c16="http://schemas.microsoft.com/office/drawing/2014/chart" uri="{C3380CC4-5D6E-409C-BE32-E72D297353CC}">
              <c16:uniqueId val="{00000005-603B-405B-A3A0-42C7BF198BEF}"/>
            </c:ext>
          </c:extLst>
        </c:ser>
        <c:dLbls>
          <c:dLblPos val="outEnd"/>
          <c:showLegendKey val="0"/>
          <c:showVal val="1"/>
          <c:showCatName val="0"/>
          <c:showSerName val="0"/>
          <c:showPercent val="0"/>
          <c:showBubbleSize val="0"/>
        </c:dLbls>
        <c:gapWidth val="55"/>
        <c:overlap val="100"/>
        <c:axId val="1631931984"/>
        <c:axId val="1631939184"/>
      </c:barChart>
      <c:catAx>
        <c:axId val="1631931984"/>
        <c:scaling>
          <c:orientation val="maxMin"/>
        </c:scaling>
        <c:delete val="0"/>
        <c:axPos val="l"/>
        <c:numFmt formatCode="General" sourceLinked="1"/>
        <c:majorTickMark val="none"/>
        <c:minorTickMark val="none"/>
        <c:tickLblPos val="low"/>
        <c:spPr>
          <a:noFill/>
          <a:ln w="19050" cap="flat" cmpd="sng" algn="ctr">
            <a:solidFill>
              <a:schemeClr val="accent3">
                <a:lumMod val="40000"/>
                <a:lumOff val="60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1631939184"/>
        <c:crossesAt val="8751869.1889999993"/>
        <c:auto val="1"/>
        <c:lblAlgn val="ctr"/>
        <c:lblOffset val="100"/>
        <c:noMultiLvlLbl val="0"/>
      </c:catAx>
      <c:valAx>
        <c:axId val="1631939184"/>
        <c:scaling>
          <c:orientation val="minMax"/>
        </c:scaling>
        <c:delete val="0"/>
        <c:axPos val="t"/>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r>
                  <a:rPr lang="en-GB" sz="1400" b="1">
                    <a:latin typeface="Garamond" panose="02020404030301010803" pitchFamily="18" charset="0"/>
                  </a:rPr>
                  <a:t>NPV (£M)</a:t>
                </a:r>
              </a:p>
            </c:rich>
          </c:tx>
          <c:layout>
            <c:manualLayout>
              <c:xMode val="edge"/>
              <c:yMode val="edge"/>
              <c:x val="0.57029711483488721"/>
              <c:y val="0.94049438679333686"/>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title>
        <c:numFmt formatCode="#,##0,,\ " sourceLinked="0"/>
        <c:majorTickMark val="none"/>
        <c:minorTickMark val="none"/>
        <c:tickLblPos val="high"/>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1631931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Sorts Mill Goudy" panose="02000503000000000000" pitchFamily="2"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baseline="0">
                <a:solidFill>
                  <a:schemeClr val="tx1">
                    <a:lumMod val="65000"/>
                    <a:lumOff val="35000"/>
                  </a:schemeClr>
                </a:solidFill>
                <a:latin typeface="Garamond" panose="02020404030301010803" pitchFamily="18" charset="0"/>
                <a:ea typeface="+mn-ea"/>
                <a:cs typeface="+mn-cs"/>
              </a:defRPr>
            </a:pPr>
            <a:r>
              <a:rPr lang="en-GB" sz="1700" b="1"/>
              <a:t>Net cash flow (post-tax) - Cumulative (discounted)</a:t>
            </a:r>
          </a:p>
          <a:p>
            <a:pPr>
              <a:defRPr/>
            </a:pPr>
            <a:r>
              <a:rPr lang="en-GB" sz="1700"/>
              <a:t> </a:t>
            </a:r>
            <a:r>
              <a:rPr lang="en-GB" sz="1700">
                <a:solidFill>
                  <a:srgbClr val="008000"/>
                </a:solidFill>
              </a:rPr>
              <a:t>Increase</a:t>
            </a:r>
            <a:r>
              <a:rPr lang="en-GB" sz="1700"/>
              <a:t>| </a:t>
            </a:r>
            <a:r>
              <a:rPr lang="en-GB" sz="1700">
                <a:solidFill>
                  <a:srgbClr val="C00000"/>
                </a:solidFill>
              </a:rPr>
              <a:t>Decrease</a:t>
            </a:r>
          </a:p>
        </c:rich>
      </c:tx>
      <c:overlay val="0"/>
      <c:spPr>
        <a:noFill/>
        <a:ln>
          <a:noFill/>
        </a:ln>
        <a:effectLst/>
      </c:spPr>
      <c:txPr>
        <a:bodyPr rot="0" spcFirstLastPara="1" vertOverflow="ellipsis" vert="horz" wrap="square" anchor="ctr" anchorCtr="1"/>
        <a:lstStyle/>
        <a:p>
          <a:pPr>
            <a:defRPr sz="1680" b="0" i="0" u="none" strike="noStrike" baseline="0">
              <a:solidFill>
                <a:schemeClr val="tx1">
                  <a:lumMod val="65000"/>
                  <a:lumOff val="35000"/>
                </a:schemeClr>
              </a:solidFill>
              <a:latin typeface="Garamond" panose="02020404030301010803" pitchFamily="18" charset="0"/>
              <a:ea typeface="+mn-ea"/>
              <a:cs typeface="+mn-cs"/>
            </a:defRPr>
          </a:pPr>
          <a:endParaRPr lang="en-US"/>
        </a:p>
      </c:txPr>
    </c:title>
    <c:autoTitleDeleted val="0"/>
    <c:plotArea>
      <c:layout>
        <c:manualLayout>
          <c:layoutTarget val="inner"/>
          <c:xMode val="edge"/>
          <c:yMode val="edge"/>
          <c:x val="6.2200708842806478E-2"/>
          <c:y val="0.1392538436991658"/>
          <c:w val="0.92413708080949997"/>
          <c:h val="0.74152885352112774"/>
        </c:manualLayout>
      </c:layout>
      <c:barChart>
        <c:barDir val="col"/>
        <c:grouping val="clustered"/>
        <c:varyColors val="0"/>
        <c:ser>
          <c:idx val="0"/>
          <c:order val="0"/>
          <c:tx>
            <c:strRef>
              <c:f>Calculations!$B$36</c:f>
              <c:strCache>
                <c:ptCount val="1"/>
                <c:pt idx="0">
                  <c:v>Cumulative net cash flow (£M; discounted)</c:v>
                </c:pt>
              </c:strCache>
            </c:strRef>
          </c:tx>
          <c:spPr>
            <a:solidFill>
              <a:srgbClr val="008000"/>
            </a:solidFill>
            <a:ln>
              <a:noFill/>
            </a:ln>
            <a:effectLst/>
          </c:spPr>
          <c:invertIfNegative val="0"/>
          <c:dPt>
            <c:idx val="0"/>
            <c:invertIfNegative val="0"/>
            <c:bubble3D val="0"/>
            <c:spPr>
              <a:solidFill>
                <a:srgbClr val="C00000"/>
              </a:solidFill>
              <a:ln>
                <a:noFill/>
              </a:ln>
              <a:effectLst/>
            </c:spPr>
            <c:extLst>
              <c:ext xmlns:c16="http://schemas.microsoft.com/office/drawing/2014/chart" uri="{C3380CC4-5D6E-409C-BE32-E72D297353CC}">
                <c16:uniqueId val="{00000001-A9F4-4CB6-AB8C-C41BD4BE1B6D}"/>
              </c:ext>
            </c:extLst>
          </c:dPt>
          <c:dPt>
            <c:idx val="1"/>
            <c:invertIfNegative val="0"/>
            <c:bubble3D val="0"/>
            <c:spPr>
              <a:solidFill>
                <a:srgbClr val="C00000"/>
              </a:solidFill>
              <a:ln>
                <a:noFill/>
              </a:ln>
              <a:effectLst/>
            </c:spPr>
            <c:extLst>
              <c:ext xmlns:c16="http://schemas.microsoft.com/office/drawing/2014/chart" uri="{C3380CC4-5D6E-409C-BE32-E72D297353CC}">
                <c16:uniqueId val="{00000003-A9F4-4CB6-AB8C-C41BD4BE1B6D}"/>
              </c:ext>
            </c:extLst>
          </c:dPt>
          <c:dPt>
            <c:idx val="2"/>
            <c:invertIfNegative val="0"/>
            <c:bubble3D val="0"/>
            <c:spPr>
              <a:solidFill>
                <a:srgbClr val="C00000"/>
              </a:solidFill>
              <a:ln>
                <a:noFill/>
              </a:ln>
              <a:effectLst/>
            </c:spPr>
            <c:extLst>
              <c:ext xmlns:c16="http://schemas.microsoft.com/office/drawing/2014/chart" uri="{C3380CC4-5D6E-409C-BE32-E72D297353CC}">
                <c16:uniqueId val="{00000005-A9F4-4CB6-AB8C-C41BD4BE1B6D}"/>
              </c:ext>
            </c:extLst>
          </c:dPt>
          <c:dPt>
            <c:idx val="3"/>
            <c:invertIfNegative val="0"/>
            <c:bubble3D val="0"/>
            <c:spPr>
              <a:solidFill>
                <a:srgbClr val="C00000"/>
              </a:solidFill>
              <a:ln>
                <a:noFill/>
              </a:ln>
              <a:effectLst/>
            </c:spPr>
            <c:extLst>
              <c:ext xmlns:c16="http://schemas.microsoft.com/office/drawing/2014/chart" uri="{C3380CC4-5D6E-409C-BE32-E72D297353CC}">
                <c16:uniqueId val="{00000007-A9F4-4CB6-AB8C-C41BD4BE1B6D}"/>
              </c:ext>
            </c:extLst>
          </c:dPt>
          <c:dPt>
            <c:idx val="4"/>
            <c:invertIfNegative val="0"/>
            <c:bubble3D val="0"/>
            <c:spPr>
              <a:solidFill>
                <a:srgbClr val="C00000"/>
              </a:solidFill>
              <a:ln>
                <a:noFill/>
              </a:ln>
              <a:effectLst/>
            </c:spPr>
            <c:extLst>
              <c:ext xmlns:c16="http://schemas.microsoft.com/office/drawing/2014/chart" uri="{C3380CC4-5D6E-409C-BE32-E72D297353CC}">
                <c16:uniqueId val="{00000009-A9F4-4CB6-AB8C-C41BD4BE1B6D}"/>
              </c:ext>
            </c:extLst>
          </c:dPt>
          <c:dPt>
            <c:idx val="5"/>
            <c:invertIfNegative val="0"/>
            <c:bubble3D val="0"/>
            <c:spPr>
              <a:solidFill>
                <a:srgbClr val="C00000"/>
              </a:solidFill>
              <a:ln>
                <a:noFill/>
              </a:ln>
              <a:effectLst/>
            </c:spPr>
            <c:extLst>
              <c:ext xmlns:c16="http://schemas.microsoft.com/office/drawing/2014/chart" uri="{C3380CC4-5D6E-409C-BE32-E72D297353CC}">
                <c16:uniqueId val="{0000000B-A9F4-4CB6-AB8C-C41BD4BE1B6D}"/>
              </c:ext>
            </c:extLst>
          </c:dPt>
          <c:dPt>
            <c:idx val="6"/>
            <c:invertIfNegative val="0"/>
            <c:bubble3D val="0"/>
            <c:spPr>
              <a:solidFill>
                <a:srgbClr val="C00000"/>
              </a:solidFill>
              <a:ln>
                <a:noFill/>
              </a:ln>
              <a:effectLst/>
            </c:spPr>
            <c:extLst>
              <c:ext xmlns:c16="http://schemas.microsoft.com/office/drawing/2014/chart" uri="{C3380CC4-5D6E-409C-BE32-E72D297353CC}">
                <c16:uniqueId val="{0000000D-A9F4-4CB6-AB8C-C41BD4BE1B6D}"/>
              </c:ext>
            </c:extLst>
          </c:dPt>
          <c:dPt>
            <c:idx val="7"/>
            <c:invertIfNegative val="0"/>
            <c:bubble3D val="0"/>
            <c:spPr>
              <a:solidFill>
                <a:srgbClr val="C00000"/>
              </a:solidFill>
              <a:ln>
                <a:noFill/>
              </a:ln>
              <a:effectLst/>
            </c:spPr>
            <c:extLst>
              <c:ext xmlns:c16="http://schemas.microsoft.com/office/drawing/2014/chart" uri="{C3380CC4-5D6E-409C-BE32-E72D297353CC}">
                <c16:uniqueId val="{0000000F-A9F4-4CB6-AB8C-C41BD4BE1B6D}"/>
              </c:ext>
            </c:extLst>
          </c:dPt>
          <c:dPt>
            <c:idx val="8"/>
            <c:invertIfNegative val="0"/>
            <c:bubble3D val="0"/>
            <c:spPr>
              <a:solidFill>
                <a:srgbClr val="C00000"/>
              </a:solidFill>
              <a:ln>
                <a:noFill/>
              </a:ln>
              <a:effectLst/>
            </c:spPr>
            <c:extLst>
              <c:ext xmlns:c16="http://schemas.microsoft.com/office/drawing/2014/chart" uri="{C3380CC4-5D6E-409C-BE32-E72D297353CC}">
                <c16:uniqueId val="{00000011-A9F4-4CB6-AB8C-C41BD4BE1B6D}"/>
              </c:ext>
            </c:extLst>
          </c:dPt>
          <c:dPt>
            <c:idx val="9"/>
            <c:invertIfNegative val="0"/>
            <c:bubble3D val="0"/>
            <c:spPr>
              <a:solidFill>
                <a:srgbClr val="C00000"/>
              </a:solidFill>
              <a:ln>
                <a:noFill/>
              </a:ln>
              <a:effectLst/>
            </c:spPr>
            <c:extLst>
              <c:ext xmlns:c16="http://schemas.microsoft.com/office/drawing/2014/chart" uri="{C3380CC4-5D6E-409C-BE32-E72D297353CC}">
                <c16:uniqueId val="{00000013-A9F4-4CB6-AB8C-C41BD4BE1B6D}"/>
              </c:ext>
            </c:extLst>
          </c:dPt>
          <c:dPt>
            <c:idx val="10"/>
            <c:invertIfNegative val="0"/>
            <c:bubble3D val="0"/>
            <c:spPr>
              <a:solidFill>
                <a:srgbClr val="C00000"/>
              </a:solidFill>
              <a:ln>
                <a:noFill/>
              </a:ln>
              <a:effectLst/>
            </c:spPr>
            <c:extLst>
              <c:ext xmlns:c16="http://schemas.microsoft.com/office/drawing/2014/chart" uri="{C3380CC4-5D6E-409C-BE32-E72D297353CC}">
                <c16:uniqueId val="{00000015-A9F4-4CB6-AB8C-C41BD4BE1B6D}"/>
              </c:ext>
            </c:extLst>
          </c:dPt>
          <c:dLbls>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Garamond" panose="02020404030301010803" pitchFamily="18"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Calculations!$D$6:$AC$6</c:f>
              <c:numCache>
                <c:formatCode>General</c:formatCode>
                <c:ptCount val="2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numCache>
            </c:numRef>
          </c:cat>
          <c:val>
            <c:numRef>
              <c:f>Calculations!$D$36:$AC$36</c:f>
              <c:numCache>
                <c:formatCode>#,##0.00,,\ </c:formatCode>
                <c:ptCount val="26"/>
                <c:pt idx="0">
                  <c:v>-6650000</c:v>
                </c:pt>
                <c:pt idx="1">
                  <c:v>-9821064.8148148153</c:v>
                </c:pt>
                <c:pt idx="2">
                  <c:v>-12845321.073388204</c:v>
                </c:pt>
                <c:pt idx="3">
                  <c:v>-11008873.134811768</c:v>
                </c:pt>
                <c:pt idx="4">
                  <c:v>-9264777.8569140341</c:v>
                </c:pt>
                <c:pt idx="5">
                  <c:v>-7608216.5481612366</c:v>
                </c:pt>
                <c:pt idx="6">
                  <c:v>-6034633.8346195985</c:v>
                </c:pt>
                <c:pt idx="7">
                  <c:v>-4539722.4893235536</c:v>
                </c:pt>
                <c:pt idx="8">
                  <c:v>-3119409.1847289363</c:v>
                </c:pt>
                <c:pt idx="9">
                  <c:v>-1769841.10916454</c:v>
                </c:pt>
                <c:pt idx="10">
                  <c:v>-487373.39214213984</c:v>
                </c:pt>
                <c:pt idx="11">
                  <c:v>588839.16221088776</c:v>
                </c:pt>
                <c:pt idx="12">
                  <c:v>1615227.0612697932</c:v>
                </c:pt>
                <c:pt idx="13">
                  <c:v>2594097.0020389347</c:v>
                </c:pt>
                <c:pt idx="14">
                  <c:v>3527648.8899946902</c:v>
                </c:pt>
                <c:pt idx="15">
                  <c:v>4417980.7831376791</c:v>
                </c:pt>
                <c:pt idx="16">
                  <c:v>5267093.6071536774</c:v>
                </c:pt>
                <c:pt idx="17">
                  <c:v>6076895.6522800466</c:v>
                </c:pt>
                <c:pt idx="18">
                  <c:v>6849206.8619838981</c:v>
                </c:pt>
                <c:pt idx="19">
                  <c:v>7585762.9230903499</c:v>
                </c:pt>
                <c:pt idx="20">
                  <c:v>8288219.1665529842</c:v>
                </c:pt>
                <c:pt idx="21">
                  <c:v>8958154.2876330893</c:v>
                </c:pt>
                <c:pt idx="22">
                  <c:v>9597073.8938483745</c:v>
                </c:pt>
                <c:pt idx="23">
                  <c:v>9418251.6976643819</c:v>
                </c:pt>
                <c:pt idx="24">
                  <c:v>9077164.9160541762</c:v>
                </c:pt>
                <c:pt idx="25">
                  <c:v>8751869.1891481467</c:v>
                </c:pt>
              </c:numCache>
            </c:numRef>
          </c:val>
          <c:extLst>
            <c:ext xmlns:c16="http://schemas.microsoft.com/office/drawing/2014/chart" uri="{C3380CC4-5D6E-409C-BE32-E72D297353CC}">
              <c16:uniqueId val="{00000016-A9F4-4CB6-AB8C-C41BD4BE1B6D}"/>
            </c:ext>
          </c:extLst>
        </c:ser>
        <c:dLbls>
          <c:showLegendKey val="0"/>
          <c:showVal val="1"/>
          <c:showCatName val="0"/>
          <c:showSerName val="0"/>
          <c:showPercent val="0"/>
          <c:showBubbleSize val="0"/>
        </c:dLbls>
        <c:gapWidth val="50"/>
        <c:axId val="1377251183"/>
        <c:axId val="1377253103"/>
      </c:barChart>
      <c:catAx>
        <c:axId val="1377251183"/>
        <c:scaling>
          <c:orientation val="minMax"/>
        </c:scaling>
        <c:delete val="0"/>
        <c:axPos val="b"/>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Garamond" panose="02020404030301010803" pitchFamily="18" charset="0"/>
                    <a:ea typeface="+mn-ea"/>
                    <a:cs typeface="+mn-cs"/>
                  </a:defRPr>
                </a:pPr>
                <a:r>
                  <a:rPr lang="en-GB" b="1"/>
                  <a:t>Year</a:t>
                </a:r>
              </a:p>
            </c:rich>
          </c:tx>
          <c:layout>
            <c:manualLayout>
              <c:xMode val="edge"/>
              <c:yMode val="edge"/>
              <c:x val="0.50528192814948569"/>
              <c:y val="0.95550256948874068"/>
            </c:manualLayout>
          </c:layout>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Garamond" panose="02020404030301010803" pitchFamily="18" charset="0"/>
                  <a:ea typeface="+mn-ea"/>
                  <a:cs typeface="+mn-cs"/>
                </a:defRPr>
              </a:pPr>
              <a:endParaRPr lang="en-US"/>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baseline="0">
                <a:solidFill>
                  <a:schemeClr val="tx1">
                    <a:lumMod val="65000"/>
                    <a:lumOff val="35000"/>
                  </a:schemeClr>
                </a:solidFill>
                <a:latin typeface="Garamond" panose="02020404030301010803" pitchFamily="18" charset="0"/>
                <a:ea typeface="+mn-ea"/>
                <a:cs typeface="+mn-cs"/>
              </a:defRPr>
            </a:pPr>
            <a:endParaRPr lang="en-US"/>
          </a:p>
        </c:txPr>
        <c:crossAx val="1377253103"/>
        <c:crosses val="autoZero"/>
        <c:auto val="1"/>
        <c:lblAlgn val="ctr"/>
        <c:lblOffset val="100"/>
        <c:noMultiLvlLbl val="0"/>
      </c:catAx>
      <c:valAx>
        <c:axId val="1377253103"/>
        <c:scaling>
          <c:orientation val="minMax"/>
        </c:scaling>
        <c:delete val="0"/>
        <c:axPos val="l"/>
        <c:title>
          <c:tx>
            <c:rich>
              <a:bodyPr rot="-5400000" spcFirstLastPara="1" vertOverflow="ellipsis" vert="horz" wrap="square" anchor="ctr" anchorCtr="1"/>
              <a:lstStyle/>
              <a:p>
                <a:pPr>
                  <a:defRPr sz="1400" b="0" i="0" u="none" strike="noStrike" baseline="0">
                    <a:solidFill>
                      <a:schemeClr val="tx1">
                        <a:lumMod val="65000"/>
                        <a:lumOff val="35000"/>
                      </a:schemeClr>
                    </a:solidFill>
                    <a:latin typeface="Garamond" panose="02020404030301010803" pitchFamily="18" charset="0"/>
                    <a:ea typeface="+mn-ea"/>
                    <a:cs typeface="+mn-cs"/>
                  </a:defRPr>
                </a:pPr>
                <a:r>
                  <a:rPr lang="en-GB" b="1"/>
                  <a:t>NPV (£M)</a:t>
                </a:r>
              </a:p>
            </c:rich>
          </c:tx>
          <c:overlay val="0"/>
          <c:spPr>
            <a:noFill/>
            <a:ln>
              <a:noFill/>
            </a:ln>
            <a:effectLst/>
          </c:spPr>
          <c:txPr>
            <a:bodyPr rot="-5400000" spcFirstLastPara="1" vertOverflow="ellipsis" vert="horz" wrap="square" anchor="ctr" anchorCtr="1"/>
            <a:lstStyle/>
            <a:p>
              <a:pPr>
                <a:defRPr sz="1400" b="0" i="0" u="none" strike="noStrike" baseline="0">
                  <a:solidFill>
                    <a:schemeClr val="tx1">
                      <a:lumMod val="65000"/>
                      <a:lumOff val="35000"/>
                    </a:schemeClr>
                  </a:solidFill>
                  <a:latin typeface="Garamond" panose="02020404030301010803" pitchFamily="18" charset="0"/>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baseline="0">
                <a:solidFill>
                  <a:schemeClr val="tx1">
                    <a:lumMod val="65000"/>
                    <a:lumOff val="35000"/>
                  </a:schemeClr>
                </a:solidFill>
                <a:latin typeface="Garamond" panose="02020404030301010803" pitchFamily="18" charset="0"/>
                <a:ea typeface="+mn-ea"/>
                <a:cs typeface="+mn-cs"/>
              </a:defRPr>
            </a:pPr>
            <a:endParaRPr lang="en-US"/>
          </a:p>
        </c:txPr>
        <c:crossAx val="1377251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latin typeface="Garamond" panose="02020404030301010803" pitchFamily="18"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Garamond" panose="02020404030301010803" pitchFamily="18" charset="0"/>
                <a:ea typeface="+mn-ea"/>
                <a:cs typeface="+mn-cs"/>
              </a:defRPr>
            </a:pPr>
            <a:r>
              <a:rPr lang="en-GB" b="1">
                <a:solidFill>
                  <a:schemeClr val="tx2"/>
                </a:solidFill>
              </a:rPr>
              <a:t>Discount rate (Min -4% | Max +4%)</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Garamond" panose="02020404030301010803" pitchFamily="18" charset="0"/>
              <a:ea typeface="+mn-ea"/>
              <a:cs typeface="+mn-cs"/>
            </a:defRPr>
          </a:pPr>
          <a:endParaRPr lang="en-US"/>
        </a:p>
      </c:txPr>
    </c:title>
    <c:autoTitleDeleted val="0"/>
    <c:plotArea>
      <c:layout/>
      <c:scatterChart>
        <c:scatterStyle val="smoothMarker"/>
        <c:varyColors val="0"/>
        <c:ser>
          <c:idx val="0"/>
          <c:order val="0"/>
          <c:tx>
            <c:strRef>
              <c:f>'Input Data (+SSA)'!$C$114</c:f>
              <c:strCache>
                <c:ptCount val="1"/>
                <c:pt idx="0">
                  <c:v>Discount rate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Garamond" panose="02020404030301010803" pitchFamily="18"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'Input Data (+SSA)'!$C$116:$C$122</c:f>
              <c:numCache>
                <c:formatCode>0.0%</c:formatCode>
                <c:ptCount val="7"/>
                <c:pt idx="0">
                  <c:v>0.04</c:v>
                </c:pt>
                <c:pt idx="1">
                  <c:v>0.06</c:v>
                </c:pt>
                <c:pt idx="2">
                  <c:v>7.2000000000000008E-2</c:v>
                </c:pt>
                <c:pt idx="3">
                  <c:v>0.08</c:v>
                </c:pt>
                <c:pt idx="4">
                  <c:v>8.7999999999999995E-2</c:v>
                </c:pt>
                <c:pt idx="5">
                  <c:v>0.1</c:v>
                </c:pt>
                <c:pt idx="6">
                  <c:v>0.12</c:v>
                </c:pt>
              </c:numCache>
            </c:numRef>
          </c:xVal>
          <c:yVal>
            <c:numRef>
              <c:f>'Input Data (+SSA)'!$D$116:$D$122</c:f>
              <c:numCache>
                <c:formatCode>#,##0.00,,\ </c:formatCode>
                <c:ptCount val="7"/>
                <c:pt idx="0">
                  <c:v>18941094.495753184</c:v>
                </c:pt>
                <c:pt idx="1">
                  <c:v>13160978.297631457</c:v>
                </c:pt>
                <c:pt idx="2">
                  <c:v>10376731.560675589</c:v>
                </c:pt>
                <c:pt idx="3">
                  <c:v>8751869.1891481467</c:v>
                </c:pt>
                <c:pt idx="4">
                  <c:v>7287581.3579641944</c:v>
                </c:pt>
                <c:pt idx="5">
                  <c:v>5353357.2939132852</c:v>
                </c:pt>
                <c:pt idx="6">
                  <c:v>2706792.2544692885</c:v>
                </c:pt>
              </c:numCache>
            </c:numRef>
          </c:yVal>
          <c:smooth val="1"/>
          <c:extLst>
            <c:ext xmlns:c16="http://schemas.microsoft.com/office/drawing/2014/chart" uri="{C3380CC4-5D6E-409C-BE32-E72D297353CC}">
              <c16:uniqueId val="{00000000-F245-421D-B27A-A35A27B9064E}"/>
            </c:ext>
          </c:extLst>
        </c:ser>
        <c:dLbls>
          <c:dLblPos val="t"/>
          <c:showLegendKey val="0"/>
          <c:showVal val="1"/>
          <c:showCatName val="0"/>
          <c:showSerName val="0"/>
          <c:showPercent val="0"/>
          <c:showBubbleSize val="0"/>
        </c:dLbls>
        <c:axId val="705447696"/>
        <c:axId val="705445776"/>
      </c:scatterChart>
      <c:valAx>
        <c:axId val="705447696"/>
        <c:scaling>
          <c:orientation val="minMax"/>
          <c:min val="3.0000000000000006E-2"/>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r>
                  <a:rPr lang="en-GB" b="1"/>
                  <a:t>Discount rate</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endParaRPr lang="en-GB"/>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705445776"/>
        <c:crosses val="autoZero"/>
        <c:crossBetween val="midCat"/>
      </c:valAx>
      <c:valAx>
        <c:axId val="705445776"/>
        <c:scaling>
          <c:orientation val="minMax"/>
          <c:max val="25000000"/>
          <c:min val="-10000000"/>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r>
                  <a:rPr lang="en-GB" b="1"/>
                  <a:t>NPV (£M)</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title>
        <c:numFmt formatCode="#,##0.0,,\ "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705447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latin typeface="Garamond" panose="02020404030301010803" pitchFamily="18"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Garamond" panose="02020404030301010803" pitchFamily="18" charset="0"/>
                <a:ea typeface="+mn-ea"/>
                <a:cs typeface="+mn-cs"/>
              </a:defRPr>
            </a:pPr>
            <a:r>
              <a:rPr lang="en-GB" b="1">
                <a:solidFill>
                  <a:schemeClr val="tx2"/>
                </a:solidFill>
              </a:rPr>
              <a:t>Average electricity price (Min -£25/MWh | Max +£25/MWh)</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Garamond" panose="02020404030301010803" pitchFamily="18" charset="0"/>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Garamond" panose="02020404030301010803" pitchFamily="18"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'Input Data (+SSA)'!$C$62:$C$68</c:f>
              <c:numCache>
                <c:formatCode>General</c:formatCode>
                <c:ptCount val="7"/>
                <c:pt idx="0">
                  <c:v>25</c:v>
                </c:pt>
                <c:pt idx="1">
                  <c:v>37.5</c:v>
                </c:pt>
                <c:pt idx="2">
                  <c:v>45</c:v>
                </c:pt>
                <c:pt idx="3">
                  <c:v>50</c:v>
                </c:pt>
                <c:pt idx="4">
                  <c:v>55</c:v>
                </c:pt>
                <c:pt idx="5">
                  <c:v>62.5</c:v>
                </c:pt>
                <c:pt idx="6">
                  <c:v>75</c:v>
                </c:pt>
              </c:numCache>
            </c:numRef>
          </c:xVal>
          <c:yVal>
            <c:numRef>
              <c:f>'Input Data (+SSA)'!$D$62:$D$68</c:f>
              <c:numCache>
                <c:formatCode>#,##0.00,,\ </c:formatCode>
                <c:ptCount val="7"/>
                <c:pt idx="0">
                  <c:v>-6093924.1302413587</c:v>
                </c:pt>
                <c:pt idx="1">
                  <c:v>1710801.4188406933</c:v>
                </c:pt>
                <c:pt idx="2">
                  <c:v>5936963.4359697849</c:v>
                </c:pt>
                <c:pt idx="3">
                  <c:v>8751869.1891481467</c:v>
                </c:pt>
                <c:pt idx="4">
                  <c:v>11566774.942326505</c:v>
                </c:pt>
                <c:pt idx="5">
                  <c:v>15789133.572094042</c:v>
                </c:pt>
                <c:pt idx="6">
                  <c:v>22826397.955039933</c:v>
                </c:pt>
              </c:numCache>
            </c:numRef>
          </c:yVal>
          <c:smooth val="1"/>
          <c:extLst>
            <c:ext xmlns:c16="http://schemas.microsoft.com/office/drawing/2014/chart" uri="{C3380CC4-5D6E-409C-BE32-E72D297353CC}">
              <c16:uniqueId val="{00000000-0FB3-4C37-BE22-0BE08D633C30}"/>
            </c:ext>
          </c:extLst>
        </c:ser>
        <c:dLbls>
          <c:dLblPos val="ctr"/>
          <c:showLegendKey val="0"/>
          <c:showVal val="1"/>
          <c:showCatName val="0"/>
          <c:showSerName val="0"/>
          <c:showPercent val="0"/>
          <c:showBubbleSize val="0"/>
        </c:dLbls>
        <c:axId val="705447696"/>
        <c:axId val="705445776"/>
      </c:scatterChart>
      <c:valAx>
        <c:axId val="705447696"/>
        <c:scaling>
          <c:orientation val="minMax"/>
          <c:min val="20"/>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r>
                  <a:rPr lang="en-GB" b="1"/>
                  <a:t>Average electricity price (£/MWh)</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705445776"/>
        <c:crosses val="autoZero"/>
        <c:crossBetween val="midCat"/>
      </c:valAx>
      <c:valAx>
        <c:axId val="705445776"/>
        <c:scaling>
          <c:orientation val="minMax"/>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r>
                  <a:rPr lang="en-GB" b="1"/>
                  <a:t>NPV (£M)</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title>
        <c:numFmt formatCode="#,##0.0,,\ "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705447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latin typeface="Garamond" panose="02020404030301010803" pitchFamily="18"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Garamond" panose="02020404030301010803" pitchFamily="18" charset="0"/>
                <a:ea typeface="+mn-ea"/>
                <a:cs typeface="+mn-cs"/>
              </a:defRPr>
            </a:pPr>
            <a:r>
              <a:rPr lang="en-GB" b="1">
                <a:solidFill>
                  <a:schemeClr val="tx2"/>
                </a:solidFill>
              </a:rPr>
              <a:t>Capacity factor (Min -8 yrs | Max +4 yrs)</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Garamond" panose="02020404030301010803" pitchFamily="18" charset="0"/>
              <a:ea typeface="+mn-ea"/>
              <a:cs typeface="+mn-cs"/>
            </a:defRPr>
          </a:pPr>
          <a:endParaRPr lang="en-GB"/>
        </a:p>
      </c:txPr>
    </c:title>
    <c:autoTitleDeleted val="0"/>
    <c:plotArea>
      <c:layout/>
      <c:scatterChart>
        <c:scatterStyle val="smoothMarker"/>
        <c:varyColors val="0"/>
        <c:ser>
          <c:idx val="0"/>
          <c:order val="0"/>
          <c:tx>
            <c:strRef>
              <c:f>'Input Data (+SSA)'!$C$96</c:f>
              <c:strCache>
                <c:ptCount val="1"/>
                <c:pt idx="0">
                  <c:v>Capacity factor</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Garamond" panose="02020404030301010803" pitchFamily="18"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'Input Data (+SSA)'!$C$98:$C$104</c:f>
              <c:numCache>
                <c:formatCode>0%</c:formatCode>
                <c:ptCount val="7"/>
                <c:pt idx="0">
                  <c:v>0.25</c:v>
                </c:pt>
                <c:pt idx="1">
                  <c:v>0.27</c:v>
                </c:pt>
                <c:pt idx="2">
                  <c:v>0.28999999999999998</c:v>
                </c:pt>
                <c:pt idx="3">
                  <c:v>0.31</c:v>
                </c:pt>
                <c:pt idx="4">
                  <c:v>0.33</c:v>
                </c:pt>
                <c:pt idx="5">
                  <c:v>0.35</c:v>
                </c:pt>
                <c:pt idx="6">
                  <c:v>0.37</c:v>
                </c:pt>
              </c:numCache>
            </c:numRef>
          </c:xVal>
          <c:yVal>
            <c:numRef>
              <c:f>'Input Data (+SSA)'!$D$98:$D$104</c:f>
              <c:numCache>
                <c:formatCode>#,##0.00,,\ </c:formatCode>
                <c:ptCount val="7"/>
                <c:pt idx="0">
                  <c:v>664762.52223120467</c:v>
                </c:pt>
                <c:pt idx="1">
                  <c:v>2317798.8961690413</c:v>
                </c:pt>
                <c:pt idx="2">
                  <c:v>3926316.4694138179</c:v>
                </c:pt>
                <c:pt idx="3">
                  <c:v>5534834.0426585972</c:v>
                </c:pt>
                <c:pt idx="4">
                  <c:v>7143351.6159033692</c:v>
                </c:pt>
                <c:pt idx="5">
                  <c:v>8751869.1891481467</c:v>
                </c:pt>
                <c:pt idx="6">
                  <c:v>10360386.762392927</c:v>
                </c:pt>
              </c:numCache>
            </c:numRef>
          </c:yVal>
          <c:smooth val="1"/>
          <c:extLst>
            <c:ext xmlns:c16="http://schemas.microsoft.com/office/drawing/2014/chart" uri="{C3380CC4-5D6E-409C-BE32-E72D297353CC}">
              <c16:uniqueId val="{00000000-ED57-49DB-84EA-A67C4EB05AA5}"/>
            </c:ext>
          </c:extLst>
        </c:ser>
        <c:dLbls>
          <c:dLblPos val="ctr"/>
          <c:showLegendKey val="0"/>
          <c:showVal val="1"/>
          <c:showCatName val="0"/>
          <c:showSerName val="0"/>
          <c:showPercent val="0"/>
          <c:showBubbleSize val="0"/>
        </c:dLbls>
        <c:axId val="705447696"/>
        <c:axId val="705445776"/>
      </c:scatterChart>
      <c:valAx>
        <c:axId val="705447696"/>
        <c:scaling>
          <c:orientation val="minMax"/>
          <c:min val="0.24000000000000002"/>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r>
                  <a:rPr lang="en-GB" b="1"/>
                  <a:t>Capacity factor</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endParaRPr lang="en-GB"/>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705445776"/>
        <c:crosses val="autoZero"/>
        <c:crossBetween val="midCat"/>
      </c:valAx>
      <c:valAx>
        <c:axId val="705445776"/>
        <c:scaling>
          <c:orientation val="minMax"/>
          <c:max val="25000000"/>
          <c:min val="-10000000"/>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r>
                  <a:rPr lang="en-GB" b="1"/>
                  <a:t>NPV (£M)</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title>
        <c:numFmt formatCode="#,##0.0,,\ "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705447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latin typeface="Garamond" panose="02020404030301010803" pitchFamily="18"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Garamond" panose="02020404030301010803" pitchFamily="18" charset="0"/>
                <a:ea typeface="+mn-ea"/>
                <a:cs typeface="+mn-cs"/>
              </a:defRPr>
            </a:pPr>
            <a:r>
              <a:rPr lang="en-GB" b="1">
                <a:solidFill>
                  <a:schemeClr val="tx2"/>
                </a:solidFill>
              </a:rPr>
              <a:t>OpEx per turbine (Min -£50,000 | Max +£50,000)</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Garamond" panose="02020404030301010803" pitchFamily="18" charset="0"/>
              <a:ea typeface="+mn-ea"/>
              <a:cs typeface="+mn-cs"/>
            </a:defRPr>
          </a:pPr>
          <a:endParaRPr lang="en-GB"/>
        </a:p>
      </c:txPr>
    </c:title>
    <c:autoTitleDeleted val="0"/>
    <c:plotArea>
      <c:layout/>
      <c:scatterChart>
        <c:scatterStyle val="smoothMarker"/>
        <c:varyColors val="0"/>
        <c:ser>
          <c:idx val="0"/>
          <c:order val="0"/>
          <c:tx>
            <c:strRef>
              <c:f>'Input Data (+SSA)'!$C$132</c:f>
              <c:strCache>
                <c:ptCount val="1"/>
                <c:pt idx="0">
                  <c:v>OpEx per turbine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Garamond" panose="02020404030301010803" pitchFamily="18"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'Input Data (+SSA)'!$C$134:$C$140</c:f>
              <c:numCache>
                <c:formatCode>0</c:formatCode>
                <c:ptCount val="7"/>
                <c:pt idx="0">
                  <c:v>50000</c:v>
                </c:pt>
                <c:pt idx="1">
                  <c:v>75000</c:v>
                </c:pt>
                <c:pt idx="2">
                  <c:v>90000</c:v>
                </c:pt>
                <c:pt idx="3">
                  <c:v>100000</c:v>
                </c:pt>
                <c:pt idx="4">
                  <c:v>110000.00000000001</c:v>
                </c:pt>
                <c:pt idx="5">
                  <c:v>125000</c:v>
                </c:pt>
                <c:pt idx="6">
                  <c:v>150000</c:v>
                </c:pt>
              </c:numCache>
            </c:numRef>
          </c:xVal>
          <c:yVal>
            <c:numRef>
              <c:f>'Input Data (+SSA)'!$D$134:$D$140</c:f>
              <c:numCache>
                <c:formatCode>#,##0.00,,\ </c:formatCode>
                <c:ptCount val="7"/>
                <c:pt idx="0">
                  <c:v>12424283.739935307</c:v>
                </c:pt>
                <c:pt idx="1">
                  <c:v>10588076.464541724</c:v>
                </c:pt>
                <c:pt idx="2">
                  <c:v>9486352.0993055757</c:v>
                </c:pt>
                <c:pt idx="3">
                  <c:v>8751869.1891481467</c:v>
                </c:pt>
                <c:pt idx="4">
                  <c:v>8017386.2789907083</c:v>
                </c:pt>
                <c:pt idx="5">
                  <c:v>6915661.9137545638</c:v>
                </c:pt>
                <c:pt idx="6">
                  <c:v>5079454.6383609828</c:v>
                </c:pt>
              </c:numCache>
            </c:numRef>
          </c:yVal>
          <c:smooth val="1"/>
          <c:extLst>
            <c:ext xmlns:c16="http://schemas.microsoft.com/office/drawing/2014/chart" uri="{C3380CC4-5D6E-409C-BE32-E72D297353CC}">
              <c16:uniqueId val="{00000000-5652-4773-909D-EF81EC608EAD}"/>
            </c:ext>
          </c:extLst>
        </c:ser>
        <c:dLbls>
          <c:dLblPos val="t"/>
          <c:showLegendKey val="0"/>
          <c:showVal val="1"/>
          <c:showCatName val="0"/>
          <c:showSerName val="0"/>
          <c:showPercent val="0"/>
          <c:showBubbleSize val="0"/>
        </c:dLbls>
        <c:axId val="705447696"/>
        <c:axId val="705445776"/>
      </c:scatterChart>
      <c:valAx>
        <c:axId val="705447696"/>
        <c:scaling>
          <c:orientation val="minMax"/>
          <c:min val="40000"/>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r>
                  <a:rPr lang="en-GB" b="1"/>
                  <a:t>OpEx per turbine (£)</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endParaRPr lang="en-GB"/>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705445776"/>
        <c:crosses val="autoZero"/>
        <c:crossBetween val="midCat"/>
      </c:valAx>
      <c:valAx>
        <c:axId val="705445776"/>
        <c:scaling>
          <c:orientation val="minMax"/>
          <c:max val="25000000"/>
          <c:min val="-10000000"/>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r>
                  <a:rPr lang="en-GB" b="1"/>
                  <a:t>NPV (£M)</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title>
        <c:numFmt formatCode="#,##0.0,,\ "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705447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latin typeface="Garamond" panose="02020404030301010803" pitchFamily="18"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Garamond" panose="02020404030301010803" pitchFamily="18" charset="0"/>
                <a:ea typeface="+mn-ea"/>
                <a:cs typeface="+mn-cs"/>
              </a:defRPr>
            </a:pPr>
            <a:r>
              <a:rPr lang="en-GB" b="1">
                <a:solidFill>
                  <a:schemeClr val="tx2"/>
                </a:solidFill>
              </a:rPr>
              <a:t>Inflation (Min -1.5% | Max +1.5%)</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Garamond" panose="02020404030301010803" pitchFamily="18" charset="0"/>
              <a:ea typeface="+mn-ea"/>
              <a:cs typeface="+mn-cs"/>
            </a:defRPr>
          </a:pPr>
          <a:endParaRPr lang="en-US"/>
        </a:p>
      </c:txPr>
    </c:title>
    <c:autoTitleDeleted val="0"/>
    <c:plotArea>
      <c:layout/>
      <c:scatterChart>
        <c:scatterStyle val="smoothMarker"/>
        <c:varyColors val="0"/>
        <c:ser>
          <c:idx val="0"/>
          <c:order val="0"/>
          <c:tx>
            <c:strRef>
              <c:f>'Input Data (+SSA)'!$C$168</c:f>
              <c:strCache>
                <c:ptCount val="1"/>
                <c:pt idx="0">
                  <c:v>Inflation</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Garamond" panose="02020404030301010803" pitchFamily="18"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'Input Data (+SSA)'!$C$170:$C$176</c:f>
              <c:numCache>
                <c:formatCode>0.00%</c:formatCode>
                <c:ptCount val="7"/>
                <c:pt idx="0">
                  <c:v>1.4999999999999999E-2</c:v>
                </c:pt>
                <c:pt idx="1">
                  <c:v>2.2499999999999999E-2</c:v>
                </c:pt>
                <c:pt idx="2">
                  <c:v>2.7E-2</c:v>
                </c:pt>
                <c:pt idx="3">
                  <c:v>0.03</c:v>
                </c:pt>
                <c:pt idx="4">
                  <c:v>3.3000000000000002E-2</c:v>
                </c:pt>
                <c:pt idx="5">
                  <c:v>3.7499999999999999E-2</c:v>
                </c:pt>
                <c:pt idx="6">
                  <c:v>4.4999999999999998E-2</c:v>
                </c:pt>
              </c:numCache>
            </c:numRef>
          </c:xVal>
          <c:yVal>
            <c:numRef>
              <c:f>'Input Data (+SSA)'!$D$170:$D$176</c:f>
              <c:numCache>
                <c:formatCode>#,##0.00,,\ </c:formatCode>
                <c:ptCount val="7"/>
                <c:pt idx="0">
                  <c:v>6111373.8349962477</c:v>
                </c:pt>
                <c:pt idx="1">
                  <c:v>7372377.764809005</c:v>
                </c:pt>
                <c:pt idx="2">
                  <c:v>8185150.8126628539</c:v>
                </c:pt>
                <c:pt idx="3">
                  <c:v>8751869.1891481467</c:v>
                </c:pt>
                <c:pt idx="4">
                  <c:v>9339349.075178653</c:v>
                </c:pt>
                <c:pt idx="5">
                  <c:v>10261194.283568392</c:v>
                </c:pt>
                <c:pt idx="6">
                  <c:v>11912760.437884923</c:v>
                </c:pt>
              </c:numCache>
            </c:numRef>
          </c:yVal>
          <c:smooth val="1"/>
          <c:extLst>
            <c:ext xmlns:c16="http://schemas.microsoft.com/office/drawing/2014/chart" uri="{C3380CC4-5D6E-409C-BE32-E72D297353CC}">
              <c16:uniqueId val="{00000000-3D65-42BB-841D-E0AE34CB51B0}"/>
            </c:ext>
          </c:extLst>
        </c:ser>
        <c:dLbls>
          <c:dLblPos val="t"/>
          <c:showLegendKey val="0"/>
          <c:showVal val="1"/>
          <c:showCatName val="0"/>
          <c:showSerName val="0"/>
          <c:showPercent val="0"/>
          <c:showBubbleSize val="0"/>
        </c:dLbls>
        <c:axId val="705447696"/>
        <c:axId val="705445776"/>
      </c:scatterChart>
      <c:valAx>
        <c:axId val="705447696"/>
        <c:scaling>
          <c:orientation val="minMax"/>
          <c:min val="1.0000000000000002E-2"/>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r>
                  <a:rPr lang="en-GB" b="1"/>
                  <a:t>Inflation</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endParaRPr lang="en-GB"/>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705445776"/>
        <c:crosses val="autoZero"/>
        <c:crossBetween val="midCat"/>
      </c:valAx>
      <c:valAx>
        <c:axId val="705445776"/>
        <c:scaling>
          <c:orientation val="minMax"/>
          <c:max val="25000000"/>
          <c:min val="-10000000"/>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r>
                  <a:rPr lang="en-GB" b="1"/>
                  <a:t>NPV (£M)</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title>
        <c:numFmt formatCode="#,##0.0,,\ "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705447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latin typeface="Garamond" panose="02020404030301010803" pitchFamily="18"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Garamond" panose="02020404030301010803" pitchFamily="18" charset="0"/>
                <a:ea typeface="+mn-ea"/>
                <a:cs typeface="+mn-cs"/>
              </a:defRPr>
            </a:pPr>
            <a:r>
              <a:rPr lang="en-GB" b="1">
                <a:solidFill>
                  <a:schemeClr val="tx2"/>
                </a:solidFill>
              </a:rPr>
              <a:t>No. of turbines (Min -3 | Max +3)</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Garamond" panose="02020404030301010803" pitchFamily="18" charset="0"/>
              <a:ea typeface="+mn-ea"/>
              <a:cs typeface="+mn-cs"/>
            </a:defRPr>
          </a:pPr>
          <a:endParaRPr lang="en-GB"/>
        </a:p>
      </c:txPr>
    </c:title>
    <c:autoTitleDeleted val="0"/>
    <c:plotArea>
      <c:layout/>
      <c:scatterChart>
        <c:scatterStyle val="smoothMarker"/>
        <c:varyColors val="0"/>
        <c:ser>
          <c:idx val="0"/>
          <c:order val="0"/>
          <c:tx>
            <c:strRef>
              <c:f>'Input Data (+SSA)'!$C$150</c:f>
              <c:strCache>
                <c:ptCount val="1"/>
                <c:pt idx="0">
                  <c:v>No. of turbines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Garamond" panose="02020404030301010803" pitchFamily="18"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'Input Data (+SSA)'!$C$152:$C$158</c:f>
              <c:numCache>
                <c:formatCode>General</c:formatCode>
                <c:ptCount val="7"/>
                <c:pt idx="0">
                  <c:v>5</c:v>
                </c:pt>
                <c:pt idx="1">
                  <c:v>6</c:v>
                </c:pt>
                <c:pt idx="2">
                  <c:v>7</c:v>
                </c:pt>
                <c:pt idx="3">
                  <c:v>8</c:v>
                </c:pt>
                <c:pt idx="4">
                  <c:v>9</c:v>
                </c:pt>
                <c:pt idx="5">
                  <c:v>10</c:v>
                </c:pt>
                <c:pt idx="6">
                  <c:v>11</c:v>
                </c:pt>
              </c:numCache>
            </c:numRef>
          </c:xVal>
          <c:yVal>
            <c:numRef>
              <c:f>'Input Data (+SSA)'!$D$152:$D$158</c:f>
              <c:numCache>
                <c:formatCode>#,##0.00,,\ </c:formatCode>
                <c:ptCount val="7"/>
                <c:pt idx="0">
                  <c:v>4212576.2547234371</c:v>
                </c:pt>
                <c:pt idx="1">
                  <c:v>5725673.8995316774</c:v>
                </c:pt>
                <c:pt idx="2">
                  <c:v>7238771.544339912</c:v>
                </c:pt>
                <c:pt idx="3">
                  <c:v>8751869.1891481467</c:v>
                </c:pt>
                <c:pt idx="4">
                  <c:v>10264966.833956389</c:v>
                </c:pt>
                <c:pt idx="5">
                  <c:v>11778064.478764627</c:v>
                </c:pt>
                <c:pt idx="6">
                  <c:v>13291162.123572864</c:v>
                </c:pt>
              </c:numCache>
            </c:numRef>
          </c:yVal>
          <c:smooth val="1"/>
          <c:extLst>
            <c:ext xmlns:c16="http://schemas.microsoft.com/office/drawing/2014/chart" uri="{C3380CC4-5D6E-409C-BE32-E72D297353CC}">
              <c16:uniqueId val="{00000000-089A-4E15-A210-8F564FE2D225}"/>
            </c:ext>
          </c:extLst>
        </c:ser>
        <c:dLbls>
          <c:dLblPos val="ctr"/>
          <c:showLegendKey val="0"/>
          <c:showVal val="1"/>
          <c:showCatName val="0"/>
          <c:showSerName val="0"/>
          <c:showPercent val="0"/>
          <c:showBubbleSize val="0"/>
        </c:dLbls>
        <c:axId val="705447696"/>
        <c:axId val="705445776"/>
      </c:scatterChart>
      <c:valAx>
        <c:axId val="705447696"/>
        <c:scaling>
          <c:orientation val="minMax"/>
          <c:min val="4"/>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r>
                  <a:rPr lang="en-GB" b="1"/>
                  <a:t>No. of turbines</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705445776"/>
        <c:crosses val="autoZero"/>
        <c:crossBetween val="midCat"/>
      </c:valAx>
      <c:valAx>
        <c:axId val="705445776"/>
        <c:scaling>
          <c:orientation val="minMax"/>
          <c:max val="25000000"/>
          <c:min val="-10000000"/>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r>
                  <a:rPr lang="en-GB" b="1"/>
                  <a:t>NPV (£M)</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title>
        <c:numFmt formatCode="#,##0.0,,\ "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705447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latin typeface="Garamond" panose="02020404030301010803" pitchFamily="18"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Garamond" panose="02020404030301010803" pitchFamily="18" charset="0"/>
                <a:ea typeface="+mn-ea"/>
                <a:cs typeface="+mn-cs"/>
              </a:defRPr>
            </a:pPr>
            <a:r>
              <a:rPr lang="en-GB" b="1">
                <a:solidFill>
                  <a:schemeClr val="tx2"/>
                </a:solidFill>
              </a:rPr>
              <a:t>Turbine lifetime (Min -3 yrs | Max +3 yrs)</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Garamond" panose="02020404030301010803" pitchFamily="18" charset="0"/>
              <a:ea typeface="+mn-ea"/>
              <a:cs typeface="+mn-cs"/>
            </a:defRPr>
          </a:pPr>
          <a:endParaRPr lang="en-GB"/>
        </a:p>
      </c:txPr>
    </c:title>
    <c:autoTitleDeleted val="0"/>
    <c:plotArea>
      <c:layout/>
      <c:scatterChart>
        <c:scatterStyle val="smoothMarker"/>
        <c:varyColors val="0"/>
        <c:ser>
          <c:idx val="0"/>
          <c:order val="0"/>
          <c:tx>
            <c:strRef>
              <c:f>'Input Data (+SSA)'!$C$78</c:f>
              <c:strCache>
                <c:ptCount val="1"/>
                <c:pt idx="0">
                  <c:v>Turbine lifetime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Garamond" panose="02020404030301010803" pitchFamily="18"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'Input Data (+SSA)'!$C$80:$C$86</c:f>
              <c:numCache>
                <c:formatCode>General</c:formatCode>
                <c:ptCount val="7"/>
                <c:pt idx="0">
                  <c:v>17</c:v>
                </c:pt>
                <c:pt idx="1">
                  <c:v>18</c:v>
                </c:pt>
                <c:pt idx="2">
                  <c:v>19</c:v>
                </c:pt>
                <c:pt idx="3">
                  <c:v>20</c:v>
                </c:pt>
                <c:pt idx="4">
                  <c:v>21</c:v>
                </c:pt>
                <c:pt idx="5">
                  <c:v>22</c:v>
                </c:pt>
                <c:pt idx="6">
                  <c:v>23</c:v>
                </c:pt>
              </c:numCache>
            </c:numRef>
          </c:xVal>
          <c:yVal>
            <c:numRef>
              <c:f>'Input Data (+SSA)'!$D$80:$D$86</c:f>
              <c:numCache>
                <c:formatCode>#,##0.00,,\ </c:formatCode>
                <c:ptCount val="7"/>
                <c:pt idx="0">
                  <c:v>6611398.3206165982</c:v>
                </c:pt>
                <c:pt idx="1">
                  <c:v>7358964.0364159811</c:v>
                </c:pt>
                <c:pt idx="2">
                  <c:v>8071920.2283357615</c:v>
                </c:pt>
                <c:pt idx="3">
                  <c:v>8751869.1891481467</c:v>
                </c:pt>
                <c:pt idx="4">
                  <c:v>9400339.0314044021</c:v>
                </c:pt>
                <c:pt idx="5">
                  <c:v>10018787.121704347</c:v>
                </c:pt>
                <c:pt idx="6">
                  <c:v>10608603.355971891</c:v>
                </c:pt>
              </c:numCache>
            </c:numRef>
          </c:yVal>
          <c:smooth val="1"/>
          <c:extLst>
            <c:ext xmlns:c16="http://schemas.microsoft.com/office/drawing/2014/chart" uri="{C3380CC4-5D6E-409C-BE32-E72D297353CC}">
              <c16:uniqueId val="{00000000-871C-4166-89C5-EE256995A868}"/>
            </c:ext>
          </c:extLst>
        </c:ser>
        <c:dLbls>
          <c:dLblPos val="ctr"/>
          <c:showLegendKey val="0"/>
          <c:showVal val="1"/>
          <c:showCatName val="0"/>
          <c:showSerName val="0"/>
          <c:showPercent val="0"/>
          <c:showBubbleSize val="0"/>
        </c:dLbls>
        <c:axId val="705447696"/>
        <c:axId val="705445776"/>
      </c:scatterChart>
      <c:valAx>
        <c:axId val="705447696"/>
        <c:scaling>
          <c:orientation val="minMax"/>
          <c:max val="24"/>
          <c:min val="16"/>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r>
                  <a:rPr lang="en-GB" b="1"/>
                  <a:t>Turbine lifetime</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705445776"/>
        <c:crosses val="autoZero"/>
        <c:crossBetween val="midCat"/>
      </c:valAx>
      <c:valAx>
        <c:axId val="705445776"/>
        <c:scaling>
          <c:orientation val="minMax"/>
          <c:max val="25000000"/>
          <c:min val="-10000000"/>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r>
                  <a:rPr lang="en-GB" b="1"/>
                  <a:t>NPV (£M)</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title>
        <c:numFmt formatCode="#,##0.0,,\ "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705447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latin typeface="Garamond" panose="02020404030301010803" pitchFamily="18"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1" i="0" u="none" strike="noStrike" kern="1200" spc="0" baseline="0">
                <a:solidFill>
                  <a:schemeClr val="tx2"/>
                </a:solidFill>
                <a:latin typeface="Garamond" panose="02020404030301010803" pitchFamily="18" charset="0"/>
                <a:ea typeface="+mn-ea"/>
                <a:cs typeface="+mn-cs"/>
              </a:defRPr>
            </a:pPr>
            <a:r>
              <a:rPr lang="en-GB" b="1">
                <a:solidFill>
                  <a:schemeClr val="tx2"/>
                </a:solidFill>
              </a:rPr>
              <a:t>Years before turbines operate (Min -2 yrs | Max +5 yrs)</a:t>
            </a:r>
          </a:p>
        </c:rich>
      </c:tx>
      <c:overlay val="0"/>
      <c:spPr>
        <a:noFill/>
        <a:ln>
          <a:noFill/>
        </a:ln>
        <a:effectLst/>
      </c:spPr>
      <c:txPr>
        <a:bodyPr rot="0" spcFirstLastPara="1" vertOverflow="ellipsis" vert="horz" wrap="square" anchor="ctr" anchorCtr="1"/>
        <a:lstStyle/>
        <a:p>
          <a:pPr>
            <a:defRPr sz="1680" b="1" i="0" u="none" strike="noStrike" kern="1200" spc="0" baseline="0">
              <a:solidFill>
                <a:schemeClr val="tx2"/>
              </a:solidFill>
              <a:latin typeface="Garamond" panose="02020404030301010803" pitchFamily="18" charset="0"/>
              <a:ea typeface="+mn-ea"/>
              <a:cs typeface="+mn-cs"/>
            </a:defRPr>
          </a:pPr>
          <a:endParaRPr lang="en-GB"/>
        </a:p>
      </c:txPr>
    </c:title>
    <c:autoTitleDeleted val="0"/>
    <c:plotArea>
      <c:layout/>
      <c:scatterChart>
        <c:scatterStyle val="smoothMarker"/>
        <c:varyColors val="0"/>
        <c:ser>
          <c:idx val="0"/>
          <c:order val="0"/>
          <c:tx>
            <c:strRef>
              <c:f>'Input Data (+SSA)'!$C$186</c:f>
              <c:strCache>
                <c:ptCount val="1"/>
                <c:pt idx="0">
                  <c:v>Years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Garamond" panose="02020404030301010803" pitchFamily="18"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'Input Data (+SSA)'!$C$188:$C$194</c:f>
              <c:numCache>
                <c:formatCode>General</c:formatCode>
                <c:ptCount val="7"/>
                <c:pt idx="0">
                  <c:v>3</c:v>
                </c:pt>
                <c:pt idx="1">
                  <c:v>4</c:v>
                </c:pt>
                <c:pt idx="2">
                  <c:v>5</c:v>
                </c:pt>
                <c:pt idx="3">
                  <c:v>6</c:v>
                </c:pt>
                <c:pt idx="4">
                  <c:v>7</c:v>
                </c:pt>
                <c:pt idx="5">
                  <c:v>8</c:v>
                </c:pt>
                <c:pt idx="6">
                  <c:v>9</c:v>
                </c:pt>
              </c:numCache>
            </c:numRef>
          </c:xVal>
          <c:yVal>
            <c:numRef>
              <c:f>'Input Data (+SSA)'!$D$188:$D$194</c:f>
              <c:numCache>
                <c:formatCode>#,##0.00,,\ </c:formatCode>
                <c:ptCount val="7"/>
                <c:pt idx="0">
                  <c:v>8751869.1891481467</c:v>
                </c:pt>
                <c:pt idx="1">
                  <c:v>7706494.6435577394</c:v>
                </c:pt>
                <c:pt idx="2">
                  <c:v>6712887.7807097435</c:v>
                </c:pt>
                <c:pt idx="3">
                  <c:v>5768402.2661779998</c:v>
                </c:pt>
                <c:pt idx="4">
                  <c:v>5139644.2625854444</c:v>
                </c:pt>
                <c:pt idx="5">
                  <c:v>4542671.2065115813</c:v>
                </c:pt>
                <c:pt idx="6">
                  <c:v>3841257.6233464531</c:v>
                </c:pt>
              </c:numCache>
            </c:numRef>
          </c:yVal>
          <c:smooth val="1"/>
          <c:extLst>
            <c:ext xmlns:c16="http://schemas.microsoft.com/office/drawing/2014/chart" uri="{C3380CC4-5D6E-409C-BE32-E72D297353CC}">
              <c16:uniqueId val="{00000000-87C7-4C49-BB86-0C5756343528}"/>
            </c:ext>
          </c:extLst>
        </c:ser>
        <c:dLbls>
          <c:dLblPos val="t"/>
          <c:showLegendKey val="0"/>
          <c:showVal val="1"/>
          <c:showCatName val="0"/>
          <c:showSerName val="0"/>
          <c:showPercent val="0"/>
          <c:showBubbleSize val="0"/>
        </c:dLbls>
        <c:axId val="705447696"/>
        <c:axId val="705445776"/>
      </c:scatterChart>
      <c:valAx>
        <c:axId val="705447696"/>
        <c:scaling>
          <c:orientation val="minMax"/>
          <c:min val="2"/>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r>
                  <a:rPr lang="en-GB" b="1"/>
                  <a:t>Years</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705445776"/>
        <c:crosses val="autoZero"/>
        <c:crossBetween val="midCat"/>
      </c:valAx>
      <c:valAx>
        <c:axId val="705445776"/>
        <c:scaling>
          <c:orientation val="minMax"/>
          <c:max val="25000000"/>
          <c:min val="-10000000"/>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r>
                  <a:rPr lang="en-GB" b="1"/>
                  <a:t>NPV (£M)</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title>
        <c:numFmt formatCode="#,##0.0,,\ "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705447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latin typeface="Garamond" panose="02020404030301010803" pitchFamily="18" charset="0"/>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2000" b="1" i="0" u="none" strike="noStrike" kern="1200" spc="0" baseline="0">
                <a:solidFill>
                  <a:schemeClr val="tx1">
                    <a:lumMod val="65000"/>
                    <a:lumOff val="35000"/>
                  </a:schemeClr>
                </a:solidFill>
                <a:latin typeface="Sorts Mill Goudy" panose="02000503000000000000" pitchFamily="2" charset="0"/>
                <a:ea typeface="+mn-ea"/>
                <a:cs typeface="+mn-cs"/>
              </a:defRPr>
            </a:pPr>
            <a:r>
              <a:rPr lang="en-GB" sz="2000" b="1">
                <a:latin typeface="Garamond" panose="02020404030301010803" pitchFamily="18" charset="0"/>
              </a:rPr>
              <a:t>NPV impact</a:t>
            </a:r>
            <a:r>
              <a:rPr lang="en-GB" sz="2000" b="1" baseline="0">
                <a:latin typeface="Garamond" panose="02020404030301010803" pitchFamily="18" charset="0"/>
              </a:rPr>
              <a:t> - Tornado analysis</a:t>
            </a:r>
          </a:p>
          <a:p>
            <a:pPr algn="ctr">
              <a:defRPr sz="2000" b="1"/>
            </a:pPr>
            <a:endParaRPr lang="en-GB" sz="500" b="1">
              <a:latin typeface="Garamond" panose="02020404030301010803" pitchFamily="18" charset="0"/>
            </a:endParaRPr>
          </a:p>
          <a:p>
            <a:pPr algn="ctr">
              <a:defRPr sz="2000" b="1"/>
            </a:pPr>
            <a:r>
              <a:rPr lang="en-GB" sz="1400" b="1">
                <a:latin typeface="Garamond" panose="02020404030301010803" pitchFamily="18" charset="0"/>
              </a:rPr>
              <a:t> </a:t>
            </a:r>
            <a:r>
              <a:rPr lang="en-GB" sz="1400" b="0">
                <a:solidFill>
                  <a:schemeClr val="accent2">
                    <a:lumMod val="60000"/>
                    <a:lumOff val="40000"/>
                  </a:schemeClr>
                </a:solidFill>
                <a:latin typeface="Garamond" panose="02020404030301010803" pitchFamily="18" charset="0"/>
              </a:rPr>
              <a:t>Min</a:t>
            </a:r>
            <a:r>
              <a:rPr lang="en-GB" sz="1400" b="0" baseline="0">
                <a:solidFill>
                  <a:schemeClr val="accent2">
                    <a:lumMod val="60000"/>
                    <a:lumOff val="40000"/>
                  </a:schemeClr>
                </a:solidFill>
                <a:latin typeface="Garamond" panose="02020404030301010803" pitchFamily="18" charset="0"/>
              </a:rPr>
              <a:t> NPV </a:t>
            </a:r>
            <a:r>
              <a:rPr lang="en-GB" sz="1400" b="0" baseline="0">
                <a:solidFill>
                  <a:srgbClr val="FFAD75"/>
                </a:solidFill>
                <a:latin typeface="Garamond" panose="02020404030301010803" pitchFamily="18" charset="0"/>
              </a:rPr>
              <a:t>(</a:t>
            </a:r>
            <a:r>
              <a:rPr lang="en-GB" sz="1400" b="0" baseline="0">
                <a:solidFill>
                  <a:srgbClr val="FF6565"/>
                </a:solidFill>
                <a:latin typeface="Garamond" panose="02020404030301010803" pitchFamily="18" charset="0"/>
              </a:rPr>
              <a:t>negative</a:t>
            </a:r>
            <a:r>
              <a:rPr lang="en-GB" sz="1400" b="0" baseline="0">
                <a:solidFill>
                  <a:srgbClr val="FFAD75"/>
                </a:solidFill>
                <a:latin typeface="Garamond" panose="02020404030301010803" pitchFamily="18" charset="0"/>
              </a:rPr>
              <a:t>) </a:t>
            </a:r>
            <a:r>
              <a:rPr lang="en-GB" sz="1400" b="0" baseline="0">
                <a:solidFill>
                  <a:sysClr val="windowText" lastClr="000000"/>
                </a:solidFill>
                <a:latin typeface="Garamond" panose="02020404030301010803" pitchFamily="18" charset="0"/>
              </a:rPr>
              <a:t>| </a:t>
            </a:r>
            <a:r>
              <a:rPr lang="en-GB" sz="1400" b="1" baseline="0">
                <a:solidFill>
                  <a:schemeClr val="accent2">
                    <a:lumMod val="75000"/>
                  </a:schemeClr>
                </a:solidFill>
                <a:latin typeface="Garamond" panose="02020404030301010803" pitchFamily="18" charset="0"/>
              </a:rPr>
              <a:t>Realistic bad </a:t>
            </a:r>
            <a:r>
              <a:rPr lang="en-GB" sz="1400" b="0" baseline="0">
                <a:solidFill>
                  <a:sysClr val="windowText" lastClr="000000"/>
                </a:solidFill>
                <a:latin typeface="Garamond" panose="02020404030301010803" pitchFamily="18" charset="0"/>
              </a:rPr>
              <a:t>|</a:t>
            </a:r>
            <a:r>
              <a:rPr lang="en-GB" sz="1400" b="0" baseline="0">
                <a:solidFill>
                  <a:srgbClr val="FF6464"/>
                </a:solidFill>
                <a:latin typeface="Garamond" panose="02020404030301010803" pitchFamily="18" charset="0"/>
              </a:rPr>
              <a:t> </a:t>
            </a:r>
            <a:r>
              <a:rPr lang="en-GB" sz="1400" b="1" baseline="0">
                <a:solidFill>
                  <a:srgbClr val="33CC33"/>
                </a:solidFill>
                <a:latin typeface="Garamond" panose="02020404030301010803" pitchFamily="18" charset="0"/>
              </a:rPr>
              <a:t>Realistic good </a:t>
            </a:r>
            <a:r>
              <a:rPr lang="en-GB" sz="1400" b="0" baseline="0">
                <a:solidFill>
                  <a:sysClr val="windowText" lastClr="000000"/>
                </a:solidFill>
                <a:latin typeface="Garamond" panose="02020404030301010803" pitchFamily="18" charset="0"/>
              </a:rPr>
              <a:t>|</a:t>
            </a:r>
            <a:r>
              <a:rPr lang="en-GB" sz="1400" b="0" baseline="0">
                <a:solidFill>
                  <a:srgbClr val="FF6464"/>
                </a:solidFill>
                <a:latin typeface="Garamond" panose="02020404030301010803" pitchFamily="18" charset="0"/>
              </a:rPr>
              <a:t> </a:t>
            </a:r>
            <a:r>
              <a:rPr lang="en-GB" sz="1400" b="0" baseline="0">
                <a:solidFill>
                  <a:srgbClr val="A1E7A1"/>
                </a:solidFill>
                <a:latin typeface="Garamond" panose="02020404030301010803" pitchFamily="18" charset="0"/>
              </a:rPr>
              <a:t>Max NPV</a:t>
            </a:r>
            <a:endParaRPr lang="en-GB" sz="1400" b="1">
              <a:solidFill>
                <a:srgbClr val="A1E7A1"/>
              </a:solidFill>
              <a:latin typeface="Garamond" panose="02020404030301010803" pitchFamily="18" charset="0"/>
            </a:endParaRPr>
          </a:p>
        </c:rich>
      </c:tx>
      <c:layout>
        <c:manualLayout>
          <c:xMode val="edge"/>
          <c:yMode val="edge"/>
          <c:x val="0.3717602278227784"/>
          <c:y val="9.1712557995352273E-2"/>
        </c:manualLayout>
      </c:layout>
      <c:overlay val="0"/>
      <c:spPr>
        <a:noFill/>
        <a:ln>
          <a:noFill/>
        </a:ln>
        <a:effectLst/>
      </c:spPr>
      <c:txPr>
        <a:bodyPr rot="0" spcFirstLastPara="1" vertOverflow="ellipsis" vert="horz" wrap="square" anchor="ctr" anchorCtr="1"/>
        <a:lstStyle/>
        <a:p>
          <a:pPr algn="ctr">
            <a:defRPr sz="2000" b="1" i="0" u="none" strike="noStrike" kern="1200" spc="0" baseline="0">
              <a:solidFill>
                <a:schemeClr val="tx1">
                  <a:lumMod val="65000"/>
                  <a:lumOff val="35000"/>
                </a:schemeClr>
              </a:solidFill>
              <a:latin typeface="Sorts Mill Goudy" panose="02000503000000000000" pitchFamily="2" charset="0"/>
              <a:ea typeface="+mn-ea"/>
              <a:cs typeface="+mn-cs"/>
            </a:defRPr>
          </a:pPr>
          <a:endParaRPr lang="en-US"/>
        </a:p>
      </c:txPr>
    </c:title>
    <c:autoTitleDeleted val="0"/>
    <c:plotArea>
      <c:layout>
        <c:manualLayout>
          <c:layoutTarget val="inner"/>
          <c:xMode val="edge"/>
          <c:yMode val="edge"/>
          <c:x val="0.21652094903475835"/>
          <c:y val="0.19581013114199877"/>
          <c:w val="0.71696567304291836"/>
          <c:h val="0.63643303679668062"/>
        </c:manualLayout>
      </c:layout>
      <c:barChart>
        <c:barDir val="bar"/>
        <c:grouping val="clustered"/>
        <c:varyColors val="0"/>
        <c:ser>
          <c:idx val="0"/>
          <c:order val="0"/>
          <c:tx>
            <c:strRef>
              <c:f>'Further analysis'!$C$9</c:f>
              <c:strCache>
                <c:ptCount val="1"/>
                <c:pt idx="0">
                  <c:v>Min NPV (£M)</c:v>
                </c:pt>
              </c:strCache>
            </c:strRef>
          </c:tx>
          <c:spPr>
            <a:solidFill>
              <a:schemeClr val="accent2">
                <a:lumMod val="40000"/>
                <a:lumOff val="60000"/>
                <a:alpha val="60000"/>
              </a:schemeClr>
            </a:solidFill>
            <a:ln>
              <a:noFill/>
            </a:ln>
            <a:effectLst/>
          </c:spPr>
          <c:invertIfNegative val="0"/>
          <c:dPt>
            <c:idx val="0"/>
            <c:invertIfNegative val="0"/>
            <c:bubble3D val="0"/>
            <c:spPr>
              <a:solidFill>
                <a:srgbClr val="FF5B5B">
                  <a:alpha val="60000"/>
                </a:srgbClr>
              </a:solidFill>
              <a:ln w="31750">
                <a:noFill/>
              </a:ln>
              <a:effectLst/>
            </c:spPr>
            <c:extLst>
              <c:ext xmlns:c16="http://schemas.microsoft.com/office/drawing/2014/chart" uri="{C3380CC4-5D6E-409C-BE32-E72D297353CC}">
                <c16:uniqueId val="{00000001-A1EA-4360-A684-57EC1B78AC67}"/>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Garamond" panose="02020404030301010803"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'Further analysis'!$B$10:$B$16</c:f>
              <c:strCache>
                <c:ptCount val="7"/>
                <c:pt idx="0">
                  <c:v>Average electricity price  (£/MWh)</c:v>
                </c:pt>
                <c:pt idx="1">
                  <c:v>Discount rate</c:v>
                </c:pt>
                <c:pt idx="2">
                  <c:v>Capacity factor</c:v>
                </c:pt>
                <c:pt idx="3">
                  <c:v>OpEx costs (£) per turbine</c:v>
                </c:pt>
                <c:pt idx="4">
                  <c:v>Inflation</c:v>
                </c:pt>
                <c:pt idx="5">
                  <c:v>Years before turbines start operating</c:v>
                </c:pt>
                <c:pt idx="6">
                  <c:v>Expected useful life of turbines</c:v>
                </c:pt>
              </c:strCache>
            </c:strRef>
          </c:cat>
          <c:val>
            <c:numRef>
              <c:f>'Further analysis'!$C$10:$C$16</c:f>
              <c:numCache>
                <c:formatCode>#,##0.00,,\ </c:formatCode>
                <c:ptCount val="7"/>
                <c:pt idx="0">
                  <c:v>-6093924.1302413587</c:v>
                </c:pt>
                <c:pt idx="1">
                  <c:v>2706792.2544692885</c:v>
                </c:pt>
                <c:pt idx="2">
                  <c:v>664762.52223120467</c:v>
                </c:pt>
                <c:pt idx="3">
                  <c:v>5079454.6383609828</c:v>
                </c:pt>
                <c:pt idx="4">
                  <c:v>6111373.8349962477</c:v>
                </c:pt>
                <c:pt idx="5">
                  <c:v>3841257.6233464531</c:v>
                </c:pt>
                <c:pt idx="6">
                  <c:v>6611398.3206165982</c:v>
                </c:pt>
              </c:numCache>
            </c:numRef>
          </c:val>
          <c:extLst>
            <c:ext xmlns:c16="http://schemas.microsoft.com/office/drawing/2014/chart" uri="{C3380CC4-5D6E-409C-BE32-E72D297353CC}">
              <c16:uniqueId val="{00000002-A1EA-4360-A684-57EC1B78AC67}"/>
            </c:ext>
          </c:extLst>
        </c:ser>
        <c:ser>
          <c:idx val="1"/>
          <c:order val="1"/>
          <c:tx>
            <c:strRef>
              <c:f>'Further analysis'!$F$9</c:f>
              <c:strCache>
                <c:ptCount val="1"/>
                <c:pt idx="0">
                  <c:v>Max NPV (£M)</c:v>
                </c:pt>
              </c:strCache>
            </c:strRef>
          </c:tx>
          <c:spPr>
            <a:solidFill>
              <a:srgbClr val="33CC33">
                <a:alpha val="40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Garamond" panose="02020404030301010803"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'Further analysis'!$B$10:$B$16</c:f>
              <c:strCache>
                <c:ptCount val="7"/>
                <c:pt idx="0">
                  <c:v>Average electricity price  (£/MWh)</c:v>
                </c:pt>
                <c:pt idx="1">
                  <c:v>Discount rate</c:v>
                </c:pt>
                <c:pt idx="2">
                  <c:v>Capacity factor</c:v>
                </c:pt>
                <c:pt idx="3">
                  <c:v>OpEx costs (£) per turbine</c:v>
                </c:pt>
                <c:pt idx="4">
                  <c:v>Inflation</c:v>
                </c:pt>
                <c:pt idx="5">
                  <c:v>Years before turbines start operating</c:v>
                </c:pt>
                <c:pt idx="6">
                  <c:v>Expected useful life of turbines</c:v>
                </c:pt>
              </c:strCache>
            </c:strRef>
          </c:cat>
          <c:val>
            <c:numRef>
              <c:f>'Further analysis'!$F$10:$F$16</c:f>
              <c:numCache>
                <c:formatCode>#,##0.00,,\ </c:formatCode>
                <c:ptCount val="7"/>
                <c:pt idx="0">
                  <c:v>22826397.955039933</c:v>
                </c:pt>
                <c:pt idx="1">
                  <c:v>18941094.495753184</c:v>
                </c:pt>
                <c:pt idx="2">
                  <c:v>10360386.762392927</c:v>
                </c:pt>
                <c:pt idx="3">
                  <c:v>12424283.739935307</c:v>
                </c:pt>
                <c:pt idx="4">
                  <c:v>11912760.437884923</c:v>
                </c:pt>
                <c:pt idx="5">
                  <c:v>8751869.1891481467</c:v>
                </c:pt>
                <c:pt idx="6">
                  <c:v>10608603.355971891</c:v>
                </c:pt>
              </c:numCache>
            </c:numRef>
          </c:val>
          <c:extLst>
            <c:ext xmlns:c16="http://schemas.microsoft.com/office/drawing/2014/chart" uri="{C3380CC4-5D6E-409C-BE32-E72D297353CC}">
              <c16:uniqueId val="{00000003-A1EA-4360-A684-57EC1B78AC67}"/>
            </c:ext>
          </c:extLst>
        </c:ser>
        <c:ser>
          <c:idx val="2"/>
          <c:order val="2"/>
          <c:tx>
            <c:strRef>
              <c:f>'Further analysis'!$D$9</c:f>
              <c:strCache>
                <c:ptCount val="1"/>
                <c:pt idx="0">
                  <c:v>Realistic bad (£M)</c:v>
                </c:pt>
              </c:strCache>
            </c:strRef>
          </c:tx>
          <c:spPr>
            <a:solidFill>
              <a:schemeClr val="accent2">
                <a:lumMod val="75000"/>
              </a:schemeClr>
            </a:solidFill>
            <a:ln>
              <a:noFill/>
            </a:ln>
            <a:effectLst/>
          </c:spPr>
          <c:invertIfNegative val="0"/>
          <c:dLbls>
            <c:delete val="1"/>
          </c:dLbls>
          <c:cat>
            <c:strRef>
              <c:f>'Further analysis'!$B$10:$B$16</c:f>
              <c:strCache>
                <c:ptCount val="7"/>
                <c:pt idx="0">
                  <c:v>Average electricity price  (£/MWh)</c:v>
                </c:pt>
                <c:pt idx="1">
                  <c:v>Discount rate</c:v>
                </c:pt>
                <c:pt idx="2">
                  <c:v>Capacity factor</c:v>
                </c:pt>
                <c:pt idx="3">
                  <c:v>OpEx costs (£) per turbine</c:v>
                </c:pt>
                <c:pt idx="4">
                  <c:v>Inflation</c:v>
                </c:pt>
                <c:pt idx="5">
                  <c:v>Years before turbines start operating</c:v>
                </c:pt>
                <c:pt idx="6">
                  <c:v>Expected useful life of turbines</c:v>
                </c:pt>
              </c:strCache>
            </c:strRef>
          </c:cat>
          <c:val>
            <c:numRef>
              <c:f>'Further analysis'!$D$10:$D$16</c:f>
              <c:numCache>
                <c:formatCode>#,##0.00,,\ </c:formatCode>
                <c:ptCount val="7"/>
                <c:pt idx="0">
                  <c:v>5936963.4359697849</c:v>
                </c:pt>
                <c:pt idx="1">
                  <c:v>7287581.3579641944</c:v>
                </c:pt>
                <c:pt idx="2">
                  <c:v>7143351.6159033692</c:v>
                </c:pt>
                <c:pt idx="3">
                  <c:v>8017386.2789907083</c:v>
                </c:pt>
                <c:pt idx="4">
                  <c:v>8185150.8126628539</c:v>
                </c:pt>
                <c:pt idx="5">
                  <c:v>7706494.6435577394</c:v>
                </c:pt>
                <c:pt idx="6">
                  <c:v>8071920.2283357615</c:v>
                </c:pt>
              </c:numCache>
            </c:numRef>
          </c:val>
          <c:extLst>
            <c:ext xmlns:c16="http://schemas.microsoft.com/office/drawing/2014/chart" uri="{C3380CC4-5D6E-409C-BE32-E72D297353CC}">
              <c16:uniqueId val="{00000004-A1EA-4360-A684-57EC1B78AC67}"/>
            </c:ext>
          </c:extLst>
        </c:ser>
        <c:ser>
          <c:idx val="3"/>
          <c:order val="3"/>
          <c:tx>
            <c:strRef>
              <c:f>'Further analysis'!$E$9</c:f>
              <c:strCache>
                <c:ptCount val="1"/>
                <c:pt idx="0">
                  <c:v>Realistic good (£M)</c:v>
                </c:pt>
              </c:strCache>
            </c:strRef>
          </c:tx>
          <c:spPr>
            <a:solidFill>
              <a:srgbClr val="33CC33"/>
            </a:solidFill>
            <a:ln>
              <a:noFill/>
            </a:ln>
            <a:effectLst/>
          </c:spPr>
          <c:invertIfNegative val="0"/>
          <c:dLbls>
            <c:delete val="1"/>
          </c:dLbls>
          <c:cat>
            <c:strRef>
              <c:f>'Further analysis'!$B$10:$B$16</c:f>
              <c:strCache>
                <c:ptCount val="7"/>
                <c:pt idx="0">
                  <c:v>Average electricity price  (£/MWh)</c:v>
                </c:pt>
                <c:pt idx="1">
                  <c:v>Discount rate</c:v>
                </c:pt>
                <c:pt idx="2">
                  <c:v>Capacity factor</c:v>
                </c:pt>
                <c:pt idx="3">
                  <c:v>OpEx costs (£) per turbine</c:v>
                </c:pt>
                <c:pt idx="4">
                  <c:v>Inflation</c:v>
                </c:pt>
                <c:pt idx="5">
                  <c:v>Years before turbines start operating</c:v>
                </c:pt>
                <c:pt idx="6">
                  <c:v>Expected useful life of turbines</c:v>
                </c:pt>
              </c:strCache>
            </c:strRef>
          </c:cat>
          <c:val>
            <c:numRef>
              <c:f>'Further analysis'!$E$10:$E$16</c:f>
              <c:numCache>
                <c:formatCode>#,##0.00,,\ </c:formatCode>
                <c:ptCount val="7"/>
                <c:pt idx="0">
                  <c:v>11566774.942326505</c:v>
                </c:pt>
                <c:pt idx="1">
                  <c:v>10376731.560675589</c:v>
                </c:pt>
                <c:pt idx="2">
                  <c:v>10360386.762392927</c:v>
                </c:pt>
                <c:pt idx="3">
                  <c:v>9486352.0993055757</c:v>
                </c:pt>
                <c:pt idx="4">
                  <c:v>9339349.075178653</c:v>
                </c:pt>
                <c:pt idx="5">
                  <c:v>8751869.1891481467</c:v>
                </c:pt>
                <c:pt idx="6">
                  <c:v>9400339.0314044021</c:v>
                </c:pt>
              </c:numCache>
            </c:numRef>
          </c:val>
          <c:extLst>
            <c:ext xmlns:c16="http://schemas.microsoft.com/office/drawing/2014/chart" uri="{C3380CC4-5D6E-409C-BE32-E72D297353CC}">
              <c16:uniqueId val="{00000005-A1EA-4360-A684-57EC1B78AC67}"/>
            </c:ext>
          </c:extLst>
        </c:ser>
        <c:dLbls>
          <c:dLblPos val="outEnd"/>
          <c:showLegendKey val="0"/>
          <c:showVal val="1"/>
          <c:showCatName val="0"/>
          <c:showSerName val="0"/>
          <c:showPercent val="0"/>
          <c:showBubbleSize val="0"/>
        </c:dLbls>
        <c:gapWidth val="55"/>
        <c:overlap val="100"/>
        <c:axId val="1631931984"/>
        <c:axId val="1631939184"/>
      </c:barChart>
      <c:catAx>
        <c:axId val="1631931984"/>
        <c:scaling>
          <c:orientation val="maxMin"/>
        </c:scaling>
        <c:delete val="0"/>
        <c:axPos val="l"/>
        <c:numFmt formatCode="General" sourceLinked="1"/>
        <c:majorTickMark val="none"/>
        <c:minorTickMark val="none"/>
        <c:tickLblPos val="low"/>
        <c:spPr>
          <a:noFill/>
          <a:ln w="19050" cap="flat" cmpd="sng" algn="ctr">
            <a:solidFill>
              <a:schemeClr val="accent3">
                <a:lumMod val="40000"/>
                <a:lumOff val="60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1631939184"/>
        <c:crossesAt val="8751869.1889999993"/>
        <c:auto val="1"/>
        <c:lblAlgn val="ctr"/>
        <c:lblOffset val="100"/>
        <c:noMultiLvlLbl val="0"/>
      </c:catAx>
      <c:valAx>
        <c:axId val="1631939184"/>
        <c:scaling>
          <c:orientation val="minMax"/>
        </c:scaling>
        <c:delete val="0"/>
        <c:axPos val="t"/>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r>
                  <a:rPr lang="en-GB" sz="1400" b="1">
                    <a:latin typeface="Garamond" panose="02020404030301010803" pitchFamily="18" charset="0"/>
                  </a:rPr>
                  <a:t>NPV (£M)</a:t>
                </a:r>
              </a:p>
            </c:rich>
          </c:tx>
          <c:layout>
            <c:manualLayout>
              <c:xMode val="edge"/>
              <c:yMode val="edge"/>
              <c:x val="0.56124686068190766"/>
              <c:y val="0.90213767929298538"/>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title>
        <c:numFmt formatCode="#,##0,,\ " sourceLinked="0"/>
        <c:majorTickMark val="none"/>
        <c:minorTickMark val="none"/>
        <c:tickLblPos val="high"/>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1631931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Sorts Mill Goudy" panose="02000503000000000000" pitchFamily="2" charset="0"/>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Garamond" panose="02020404030301010803" pitchFamily="18" charset="0"/>
                <a:ea typeface="+mn-ea"/>
                <a:cs typeface="+mn-cs"/>
              </a:defRPr>
            </a:pPr>
            <a:r>
              <a:rPr lang="en-GB" sz="1400" b="1"/>
              <a:t>Average electricity price (Min -£25/MWh</a:t>
            </a:r>
            <a:r>
              <a:rPr lang="en-GB" sz="1400" b="1" baseline="0"/>
              <a:t> | </a:t>
            </a:r>
            <a:r>
              <a:rPr lang="en-GB" sz="1400" b="1"/>
              <a:t>Max +£25/MWh)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Garamond" panose="02020404030301010803" pitchFamily="18" charset="0"/>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Garamond" panose="02020404030301010803" pitchFamily="18"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'Input Data (+SSA)'!$C$62:$C$68</c:f>
              <c:numCache>
                <c:formatCode>General</c:formatCode>
                <c:ptCount val="7"/>
                <c:pt idx="0">
                  <c:v>25</c:v>
                </c:pt>
                <c:pt idx="1">
                  <c:v>37.5</c:v>
                </c:pt>
                <c:pt idx="2">
                  <c:v>45</c:v>
                </c:pt>
                <c:pt idx="3">
                  <c:v>50</c:v>
                </c:pt>
                <c:pt idx="4">
                  <c:v>55</c:v>
                </c:pt>
                <c:pt idx="5">
                  <c:v>62.5</c:v>
                </c:pt>
                <c:pt idx="6">
                  <c:v>75</c:v>
                </c:pt>
              </c:numCache>
            </c:numRef>
          </c:xVal>
          <c:yVal>
            <c:numRef>
              <c:f>'Input Data (+SSA)'!$D$62:$D$68</c:f>
              <c:numCache>
                <c:formatCode>#,##0.00,,\ </c:formatCode>
                <c:ptCount val="7"/>
                <c:pt idx="0">
                  <c:v>-6093924.1302413587</c:v>
                </c:pt>
                <c:pt idx="1">
                  <c:v>1710801.4188406933</c:v>
                </c:pt>
                <c:pt idx="2">
                  <c:v>5936963.4359697849</c:v>
                </c:pt>
                <c:pt idx="3">
                  <c:v>8751869.1891481467</c:v>
                </c:pt>
                <c:pt idx="4">
                  <c:v>11566774.942326505</c:v>
                </c:pt>
                <c:pt idx="5">
                  <c:v>15789133.572094042</c:v>
                </c:pt>
                <c:pt idx="6">
                  <c:v>22826397.955039933</c:v>
                </c:pt>
              </c:numCache>
            </c:numRef>
          </c:yVal>
          <c:smooth val="1"/>
          <c:extLst>
            <c:ext xmlns:c16="http://schemas.microsoft.com/office/drawing/2014/chart" uri="{C3380CC4-5D6E-409C-BE32-E72D297353CC}">
              <c16:uniqueId val="{00000000-89C8-40BE-AFF1-16ABC770536D}"/>
            </c:ext>
          </c:extLst>
        </c:ser>
        <c:dLbls>
          <c:dLblPos val="ctr"/>
          <c:showLegendKey val="0"/>
          <c:showVal val="1"/>
          <c:showCatName val="0"/>
          <c:showSerName val="0"/>
          <c:showPercent val="0"/>
          <c:showBubbleSize val="0"/>
        </c:dLbls>
        <c:axId val="705447696"/>
        <c:axId val="705445776"/>
      </c:scatterChart>
      <c:valAx>
        <c:axId val="705447696"/>
        <c:scaling>
          <c:orientation val="minMax"/>
          <c:min val="20"/>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Garamond" panose="02020404030301010803" pitchFamily="18" charset="0"/>
                    <a:ea typeface="+mn-ea"/>
                    <a:cs typeface="+mn-cs"/>
                  </a:defRPr>
                </a:pPr>
                <a:r>
                  <a:rPr lang="en-GB" b="1"/>
                  <a:t>Average electricity price (£/MWh)</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705445776"/>
        <c:crosses val="autoZero"/>
        <c:crossBetween val="midCat"/>
      </c:valAx>
      <c:valAx>
        <c:axId val="705445776"/>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Garamond" panose="02020404030301010803" pitchFamily="18" charset="0"/>
                    <a:ea typeface="+mn-ea"/>
                    <a:cs typeface="+mn-cs"/>
                  </a:defRPr>
                </a:pPr>
                <a:r>
                  <a:rPr lang="en-GB" b="1"/>
                  <a:t>NPV (£M)</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title>
        <c:numFmt formatCode="#,##0.0,,\ "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705447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Garamond" panose="02020404030301010803" pitchFamily="18" charset="0"/>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latin typeface="Garamond" panose="02020404030301010803" pitchFamily="18" charset="0"/>
              </a:rPr>
              <a:t>Turbine lifetime (Min -3</a:t>
            </a:r>
            <a:r>
              <a:rPr lang="en-GB" b="1" baseline="0">
                <a:latin typeface="Garamond" panose="02020404030301010803" pitchFamily="18" charset="0"/>
              </a:rPr>
              <a:t> yrs</a:t>
            </a:r>
            <a:r>
              <a:rPr lang="en-GB" b="1">
                <a:latin typeface="Garamond" panose="02020404030301010803" pitchFamily="18" charset="0"/>
              </a:rPr>
              <a:t> | Max +3</a:t>
            </a:r>
            <a:r>
              <a:rPr lang="en-GB" b="1" baseline="0">
                <a:latin typeface="Garamond" panose="02020404030301010803" pitchFamily="18" charset="0"/>
              </a:rPr>
              <a:t> yrs)</a:t>
            </a:r>
            <a:endParaRPr lang="en-GB" b="1">
              <a:latin typeface="Garamond" panose="02020404030301010803"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scatterChart>
        <c:scatterStyle val="smoothMarker"/>
        <c:varyColors val="0"/>
        <c:ser>
          <c:idx val="0"/>
          <c:order val="0"/>
          <c:tx>
            <c:strRef>
              <c:f>'Input Data (+SSA)'!$C$78</c:f>
              <c:strCache>
                <c:ptCount val="1"/>
                <c:pt idx="0">
                  <c:v>Turbine lifetime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'Input Data (+SSA)'!$C$80:$C$86</c:f>
              <c:numCache>
                <c:formatCode>General</c:formatCode>
                <c:ptCount val="7"/>
                <c:pt idx="0">
                  <c:v>17</c:v>
                </c:pt>
                <c:pt idx="1">
                  <c:v>18</c:v>
                </c:pt>
                <c:pt idx="2">
                  <c:v>19</c:v>
                </c:pt>
                <c:pt idx="3">
                  <c:v>20</c:v>
                </c:pt>
                <c:pt idx="4">
                  <c:v>21</c:v>
                </c:pt>
                <c:pt idx="5">
                  <c:v>22</c:v>
                </c:pt>
                <c:pt idx="6">
                  <c:v>23</c:v>
                </c:pt>
              </c:numCache>
            </c:numRef>
          </c:xVal>
          <c:yVal>
            <c:numRef>
              <c:f>'Input Data (+SSA)'!$D$80:$D$86</c:f>
              <c:numCache>
                <c:formatCode>#,##0.00,,\ </c:formatCode>
                <c:ptCount val="7"/>
                <c:pt idx="0">
                  <c:v>6611398.3206165982</c:v>
                </c:pt>
                <c:pt idx="1">
                  <c:v>7358964.0364159811</c:v>
                </c:pt>
                <c:pt idx="2">
                  <c:v>8071920.2283357615</c:v>
                </c:pt>
                <c:pt idx="3">
                  <c:v>8751869.1891481467</c:v>
                </c:pt>
                <c:pt idx="4">
                  <c:v>9400339.0314044021</c:v>
                </c:pt>
                <c:pt idx="5">
                  <c:v>10018787.121704347</c:v>
                </c:pt>
                <c:pt idx="6">
                  <c:v>10608603.355971891</c:v>
                </c:pt>
              </c:numCache>
            </c:numRef>
          </c:yVal>
          <c:smooth val="1"/>
          <c:extLst>
            <c:ext xmlns:c16="http://schemas.microsoft.com/office/drawing/2014/chart" uri="{C3380CC4-5D6E-409C-BE32-E72D297353CC}">
              <c16:uniqueId val="{00000000-FB9E-41B3-919C-CE98B5FDA187}"/>
            </c:ext>
          </c:extLst>
        </c:ser>
        <c:dLbls>
          <c:dLblPos val="ctr"/>
          <c:showLegendKey val="0"/>
          <c:showVal val="1"/>
          <c:showCatName val="0"/>
          <c:showSerName val="0"/>
          <c:showPercent val="0"/>
          <c:showBubbleSize val="0"/>
        </c:dLbls>
        <c:axId val="705447696"/>
        <c:axId val="705445776"/>
      </c:scatterChart>
      <c:valAx>
        <c:axId val="705447696"/>
        <c:scaling>
          <c:orientation val="minMax"/>
          <c:max val="24"/>
          <c:min val="16"/>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latin typeface="Garamond" panose="02020404030301010803" pitchFamily="18" charset="0"/>
                  </a:rPr>
                  <a:t>Turbine lifetime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445776"/>
        <c:crosses val="autoZero"/>
        <c:crossBetween val="midCat"/>
      </c:valAx>
      <c:valAx>
        <c:axId val="705445776"/>
        <c:scaling>
          <c:orientation val="minMax"/>
          <c:max val="25000000"/>
          <c:min val="-100000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latin typeface="Garamond" panose="02020404030301010803" pitchFamily="18" charset="0"/>
                  </a:rPr>
                  <a:t>NPV (£M)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447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baseline="0">
                <a:latin typeface="Garamond" panose="02020404030301010803" pitchFamily="18" charset="0"/>
              </a:rPr>
              <a:t>Capacity factor </a:t>
            </a:r>
            <a:r>
              <a:rPr lang="en-GB" b="1">
                <a:latin typeface="Garamond" panose="02020404030301010803" pitchFamily="18" charset="0"/>
              </a:rPr>
              <a:t>(Min -8</a:t>
            </a:r>
            <a:r>
              <a:rPr lang="en-GB" b="1" baseline="0">
                <a:latin typeface="Garamond" panose="02020404030301010803" pitchFamily="18" charset="0"/>
              </a:rPr>
              <a:t> yrs</a:t>
            </a:r>
            <a:r>
              <a:rPr lang="en-GB" b="1">
                <a:latin typeface="Garamond" panose="02020404030301010803" pitchFamily="18" charset="0"/>
              </a:rPr>
              <a:t> | Max +4 yrs</a:t>
            </a:r>
            <a:r>
              <a:rPr lang="en-GB" b="1" baseline="0">
                <a:latin typeface="Garamond" panose="02020404030301010803" pitchFamily="18" charset="0"/>
              </a:rPr>
              <a:t>)</a:t>
            </a:r>
            <a:endParaRPr lang="en-GB" b="1">
              <a:latin typeface="Garamond" panose="02020404030301010803"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scatterChart>
        <c:scatterStyle val="smoothMarker"/>
        <c:varyColors val="0"/>
        <c:ser>
          <c:idx val="0"/>
          <c:order val="0"/>
          <c:tx>
            <c:strRef>
              <c:f>'Input Data (+SSA)'!$C$96</c:f>
              <c:strCache>
                <c:ptCount val="1"/>
                <c:pt idx="0">
                  <c:v>Capacity factor</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'Input Data (+SSA)'!$C$98:$C$104</c:f>
              <c:numCache>
                <c:formatCode>0%</c:formatCode>
                <c:ptCount val="7"/>
                <c:pt idx="0">
                  <c:v>0.25</c:v>
                </c:pt>
                <c:pt idx="1">
                  <c:v>0.27</c:v>
                </c:pt>
                <c:pt idx="2">
                  <c:v>0.28999999999999998</c:v>
                </c:pt>
                <c:pt idx="3">
                  <c:v>0.31</c:v>
                </c:pt>
                <c:pt idx="4">
                  <c:v>0.33</c:v>
                </c:pt>
                <c:pt idx="5">
                  <c:v>0.35</c:v>
                </c:pt>
                <c:pt idx="6">
                  <c:v>0.37</c:v>
                </c:pt>
              </c:numCache>
            </c:numRef>
          </c:xVal>
          <c:yVal>
            <c:numRef>
              <c:f>'Input Data (+SSA)'!$D$98:$D$104</c:f>
              <c:numCache>
                <c:formatCode>#,##0.00,,\ </c:formatCode>
                <c:ptCount val="7"/>
                <c:pt idx="0">
                  <c:v>664762.52223120467</c:v>
                </c:pt>
                <c:pt idx="1">
                  <c:v>2317798.8961690413</c:v>
                </c:pt>
                <c:pt idx="2">
                  <c:v>3926316.4694138179</c:v>
                </c:pt>
                <c:pt idx="3">
                  <c:v>5534834.0426585972</c:v>
                </c:pt>
                <c:pt idx="4">
                  <c:v>7143351.6159033692</c:v>
                </c:pt>
                <c:pt idx="5">
                  <c:v>8751869.1891481467</c:v>
                </c:pt>
                <c:pt idx="6">
                  <c:v>10360386.762392927</c:v>
                </c:pt>
              </c:numCache>
            </c:numRef>
          </c:yVal>
          <c:smooth val="1"/>
          <c:extLst>
            <c:ext xmlns:c16="http://schemas.microsoft.com/office/drawing/2014/chart" uri="{C3380CC4-5D6E-409C-BE32-E72D297353CC}">
              <c16:uniqueId val="{00000000-98EB-48C2-AF89-1D553BCD569F}"/>
            </c:ext>
          </c:extLst>
        </c:ser>
        <c:dLbls>
          <c:dLblPos val="ctr"/>
          <c:showLegendKey val="0"/>
          <c:showVal val="1"/>
          <c:showCatName val="0"/>
          <c:showSerName val="0"/>
          <c:showPercent val="0"/>
          <c:showBubbleSize val="0"/>
        </c:dLbls>
        <c:axId val="705447696"/>
        <c:axId val="705445776"/>
      </c:scatterChart>
      <c:valAx>
        <c:axId val="705447696"/>
        <c:scaling>
          <c:orientation val="minMax"/>
          <c:min val="0.24000000000000002"/>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latin typeface="Garamond" panose="02020404030301010803" pitchFamily="18" charset="0"/>
                  </a:rPr>
                  <a:t>Capacity factor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445776"/>
        <c:crosses val="autoZero"/>
        <c:crossBetween val="midCat"/>
      </c:valAx>
      <c:valAx>
        <c:axId val="705445776"/>
        <c:scaling>
          <c:orientation val="minMax"/>
          <c:max val="25000000"/>
          <c:min val="-100000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latin typeface="Garamond" panose="02020404030301010803" pitchFamily="18" charset="0"/>
                  </a:rPr>
                  <a:t>NPV (£M)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447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latin typeface="Garamond" panose="02020404030301010803" pitchFamily="18" charset="0"/>
              </a:rPr>
              <a:t>Discount rate (Min -4% | Max +4%)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'Input Data (+SSA)'!$C$114</c:f>
              <c:strCache>
                <c:ptCount val="1"/>
                <c:pt idx="0">
                  <c:v>Discount rate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'Input Data (+SSA)'!$C$116:$C$122</c:f>
              <c:numCache>
                <c:formatCode>0.0%</c:formatCode>
                <c:ptCount val="7"/>
                <c:pt idx="0">
                  <c:v>0.04</c:v>
                </c:pt>
                <c:pt idx="1">
                  <c:v>0.06</c:v>
                </c:pt>
                <c:pt idx="2">
                  <c:v>7.2000000000000008E-2</c:v>
                </c:pt>
                <c:pt idx="3">
                  <c:v>0.08</c:v>
                </c:pt>
                <c:pt idx="4">
                  <c:v>8.7999999999999995E-2</c:v>
                </c:pt>
                <c:pt idx="5">
                  <c:v>0.1</c:v>
                </c:pt>
                <c:pt idx="6">
                  <c:v>0.12</c:v>
                </c:pt>
              </c:numCache>
            </c:numRef>
          </c:xVal>
          <c:yVal>
            <c:numRef>
              <c:f>'Input Data (+SSA)'!$D$116:$D$122</c:f>
              <c:numCache>
                <c:formatCode>#,##0.00,,\ </c:formatCode>
                <c:ptCount val="7"/>
                <c:pt idx="0">
                  <c:v>18941094.495753184</c:v>
                </c:pt>
                <c:pt idx="1">
                  <c:v>13160978.297631457</c:v>
                </c:pt>
                <c:pt idx="2">
                  <c:v>10376731.560675589</c:v>
                </c:pt>
                <c:pt idx="3">
                  <c:v>8751869.1891481467</c:v>
                </c:pt>
                <c:pt idx="4">
                  <c:v>7287581.3579641944</c:v>
                </c:pt>
                <c:pt idx="5">
                  <c:v>5353357.2939132852</c:v>
                </c:pt>
                <c:pt idx="6">
                  <c:v>2706792.2544692885</c:v>
                </c:pt>
              </c:numCache>
            </c:numRef>
          </c:yVal>
          <c:smooth val="1"/>
          <c:extLst>
            <c:ext xmlns:c16="http://schemas.microsoft.com/office/drawing/2014/chart" uri="{C3380CC4-5D6E-409C-BE32-E72D297353CC}">
              <c16:uniqueId val="{00000000-10DC-46DA-8106-CD1F523972A0}"/>
            </c:ext>
          </c:extLst>
        </c:ser>
        <c:dLbls>
          <c:dLblPos val="t"/>
          <c:showLegendKey val="0"/>
          <c:showVal val="1"/>
          <c:showCatName val="0"/>
          <c:showSerName val="0"/>
          <c:showPercent val="0"/>
          <c:showBubbleSize val="0"/>
        </c:dLbls>
        <c:axId val="705447696"/>
        <c:axId val="705445776"/>
      </c:scatterChart>
      <c:valAx>
        <c:axId val="705447696"/>
        <c:scaling>
          <c:orientation val="minMax"/>
          <c:min val="3.0000000000000006E-2"/>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Garamond" panose="02020404030301010803" pitchFamily="18" charset="0"/>
                    <a:ea typeface="+mn-ea"/>
                    <a:cs typeface="+mn-cs"/>
                  </a:defRPr>
                </a:pPr>
                <a:r>
                  <a:rPr lang="en-GB" b="1">
                    <a:latin typeface="Garamond" panose="02020404030301010803" pitchFamily="18" charset="0"/>
                  </a:rPr>
                  <a:t>Discount rate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Garamond" panose="02020404030301010803" pitchFamily="18" charset="0"/>
                  <a:ea typeface="+mn-ea"/>
                  <a:cs typeface="+mn-cs"/>
                </a:defRPr>
              </a:pPr>
              <a:endParaRPr lang="en-GB"/>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445776"/>
        <c:crosses val="autoZero"/>
        <c:crossBetween val="midCat"/>
      </c:valAx>
      <c:valAx>
        <c:axId val="705445776"/>
        <c:scaling>
          <c:orientation val="minMax"/>
          <c:max val="25000000"/>
          <c:min val="-100000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Garamond" panose="02020404030301010803" pitchFamily="18" charset="0"/>
                    <a:ea typeface="+mn-ea"/>
                    <a:cs typeface="+mn-cs"/>
                  </a:defRPr>
                </a:pPr>
                <a:r>
                  <a:rPr lang="en-GB" b="1">
                    <a:latin typeface="Garamond" panose="02020404030301010803" pitchFamily="18" charset="0"/>
                  </a:rPr>
                  <a:t>NPV (£M)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title>
        <c:numFmt formatCode="#,##0.0,,\ "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447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latin typeface="Garamond" panose="02020404030301010803" pitchFamily="18" charset="0"/>
              </a:rPr>
              <a:t>OpEx per turbine (Min -£50,000 | Max +£50,000</a:t>
            </a:r>
            <a:r>
              <a:rPr lang="en-GB" b="1" baseline="0">
                <a:latin typeface="Garamond" panose="02020404030301010803" pitchFamily="18" charset="0"/>
              </a:rPr>
              <a:t>)</a:t>
            </a:r>
            <a:endParaRPr lang="en-GB" b="1">
              <a:latin typeface="Garamond" panose="02020404030301010803"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scatterChart>
        <c:scatterStyle val="smoothMarker"/>
        <c:varyColors val="0"/>
        <c:ser>
          <c:idx val="0"/>
          <c:order val="0"/>
          <c:tx>
            <c:strRef>
              <c:f>'Input Data (+SSA)'!$C$132</c:f>
              <c:strCache>
                <c:ptCount val="1"/>
                <c:pt idx="0">
                  <c:v>OpEx per turbine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'Input Data (+SSA)'!$C$134:$C$140</c:f>
              <c:numCache>
                <c:formatCode>0</c:formatCode>
                <c:ptCount val="7"/>
                <c:pt idx="0">
                  <c:v>50000</c:v>
                </c:pt>
                <c:pt idx="1">
                  <c:v>75000</c:v>
                </c:pt>
                <c:pt idx="2">
                  <c:v>90000</c:v>
                </c:pt>
                <c:pt idx="3">
                  <c:v>100000</c:v>
                </c:pt>
                <c:pt idx="4">
                  <c:v>110000.00000000001</c:v>
                </c:pt>
                <c:pt idx="5">
                  <c:v>125000</c:v>
                </c:pt>
                <c:pt idx="6">
                  <c:v>150000</c:v>
                </c:pt>
              </c:numCache>
            </c:numRef>
          </c:xVal>
          <c:yVal>
            <c:numRef>
              <c:f>'Input Data (+SSA)'!$D$134:$D$140</c:f>
              <c:numCache>
                <c:formatCode>#,##0.00,,\ </c:formatCode>
                <c:ptCount val="7"/>
                <c:pt idx="0">
                  <c:v>12424283.739935307</c:v>
                </c:pt>
                <c:pt idx="1">
                  <c:v>10588076.464541724</c:v>
                </c:pt>
                <c:pt idx="2">
                  <c:v>9486352.0993055757</c:v>
                </c:pt>
                <c:pt idx="3">
                  <c:v>8751869.1891481467</c:v>
                </c:pt>
                <c:pt idx="4">
                  <c:v>8017386.2789907083</c:v>
                </c:pt>
                <c:pt idx="5">
                  <c:v>6915661.9137545638</c:v>
                </c:pt>
                <c:pt idx="6">
                  <c:v>5079454.6383609828</c:v>
                </c:pt>
              </c:numCache>
            </c:numRef>
          </c:yVal>
          <c:smooth val="1"/>
          <c:extLst>
            <c:ext xmlns:c16="http://schemas.microsoft.com/office/drawing/2014/chart" uri="{C3380CC4-5D6E-409C-BE32-E72D297353CC}">
              <c16:uniqueId val="{00000000-C4D0-4005-BB62-9FEDC684CF13}"/>
            </c:ext>
          </c:extLst>
        </c:ser>
        <c:dLbls>
          <c:dLblPos val="t"/>
          <c:showLegendKey val="0"/>
          <c:showVal val="1"/>
          <c:showCatName val="0"/>
          <c:showSerName val="0"/>
          <c:showPercent val="0"/>
          <c:showBubbleSize val="0"/>
        </c:dLbls>
        <c:axId val="705447696"/>
        <c:axId val="705445776"/>
      </c:scatterChart>
      <c:valAx>
        <c:axId val="705447696"/>
        <c:scaling>
          <c:orientation val="minMax"/>
          <c:min val="4000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latin typeface="Garamond" panose="02020404030301010803" pitchFamily="18" charset="0"/>
                  </a:rPr>
                  <a:t>OpEx per turbine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445776"/>
        <c:crosses val="autoZero"/>
        <c:crossBetween val="midCat"/>
      </c:valAx>
      <c:valAx>
        <c:axId val="705445776"/>
        <c:scaling>
          <c:orientation val="minMax"/>
          <c:max val="25000000"/>
          <c:min val="-100000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latin typeface="Garamond" panose="02020404030301010803" pitchFamily="18" charset="0"/>
                  </a:rPr>
                  <a:t>NPV (£M)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447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baseline="0">
                <a:latin typeface="Garamond" panose="02020404030301010803" pitchFamily="18" charset="0"/>
              </a:rPr>
              <a:t>No. of turbines </a:t>
            </a:r>
            <a:r>
              <a:rPr lang="en-GB" b="1">
                <a:latin typeface="Garamond" panose="02020404030301010803" pitchFamily="18" charset="0"/>
              </a:rPr>
              <a:t>(Min -3 | Max +3</a:t>
            </a:r>
            <a:r>
              <a:rPr lang="en-GB" b="1" baseline="0">
                <a:latin typeface="Garamond" panose="02020404030301010803" pitchFamily="18" charset="0"/>
              </a:rPr>
              <a:t>)</a:t>
            </a:r>
            <a:endParaRPr lang="en-GB" b="1">
              <a:latin typeface="Garamond" panose="02020404030301010803"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scatterChart>
        <c:scatterStyle val="smoothMarker"/>
        <c:varyColors val="0"/>
        <c:ser>
          <c:idx val="0"/>
          <c:order val="0"/>
          <c:tx>
            <c:strRef>
              <c:f>'Input Data (+SSA)'!$C$150</c:f>
              <c:strCache>
                <c:ptCount val="1"/>
                <c:pt idx="0">
                  <c:v>No. of turbines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'Input Data (+SSA)'!$C$152:$C$158</c:f>
              <c:numCache>
                <c:formatCode>General</c:formatCode>
                <c:ptCount val="7"/>
                <c:pt idx="0">
                  <c:v>5</c:v>
                </c:pt>
                <c:pt idx="1">
                  <c:v>6</c:v>
                </c:pt>
                <c:pt idx="2">
                  <c:v>7</c:v>
                </c:pt>
                <c:pt idx="3">
                  <c:v>8</c:v>
                </c:pt>
                <c:pt idx="4">
                  <c:v>9</c:v>
                </c:pt>
                <c:pt idx="5">
                  <c:v>10</c:v>
                </c:pt>
                <c:pt idx="6">
                  <c:v>11</c:v>
                </c:pt>
              </c:numCache>
            </c:numRef>
          </c:xVal>
          <c:yVal>
            <c:numRef>
              <c:f>'Input Data (+SSA)'!$D$152:$D$158</c:f>
              <c:numCache>
                <c:formatCode>#,##0.00,,\ </c:formatCode>
                <c:ptCount val="7"/>
                <c:pt idx="0">
                  <c:v>4212576.2547234371</c:v>
                </c:pt>
                <c:pt idx="1">
                  <c:v>5725673.8995316774</c:v>
                </c:pt>
                <c:pt idx="2">
                  <c:v>7238771.544339912</c:v>
                </c:pt>
                <c:pt idx="3">
                  <c:v>8751869.1891481467</c:v>
                </c:pt>
                <c:pt idx="4">
                  <c:v>10264966.833956389</c:v>
                </c:pt>
                <c:pt idx="5">
                  <c:v>11778064.478764627</c:v>
                </c:pt>
                <c:pt idx="6">
                  <c:v>13291162.123572864</c:v>
                </c:pt>
              </c:numCache>
            </c:numRef>
          </c:yVal>
          <c:smooth val="1"/>
          <c:extLst>
            <c:ext xmlns:c16="http://schemas.microsoft.com/office/drawing/2014/chart" uri="{C3380CC4-5D6E-409C-BE32-E72D297353CC}">
              <c16:uniqueId val="{00000000-A3AD-4590-9522-AD0AAD5537D5}"/>
            </c:ext>
          </c:extLst>
        </c:ser>
        <c:dLbls>
          <c:dLblPos val="ctr"/>
          <c:showLegendKey val="0"/>
          <c:showVal val="1"/>
          <c:showCatName val="0"/>
          <c:showSerName val="0"/>
          <c:showPercent val="0"/>
          <c:showBubbleSize val="0"/>
        </c:dLbls>
        <c:axId val="705447696"/>
        <c:axId val="705445776"/>
      </c:scatterChart>
      <c:valAx>
        <c:axId val="705447696"/>
        <c:scaling>
          <c:orientation val="minMax"/>
          <c:min val="4"/>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latin typeface="Garamond" panose="02020404030301010803" pitchFamily="18" charset="0"/>
                  </a:rPr>
                  <a:t>No. of turbines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445776"/>
        <c:crosses val="autoZero"/>
        <c:crossBetween val="midCat"/>
      </c:valAx>
      <c:valAx>
        <c:axId val="705445776"/>
        <c:scaling>
          <c:orientation val="minMax"/>
          <c:max val="25000000"/>
          <c:min val="-100000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latin typeface="Garamond" panose="02020404030301010803" pitchFamily="18" charset="0"/>
                  </a:rPr>
                  <a:t>NPV (£M)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447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latin typeface="Garamond" panose="02020404030301010803" pitchFamily="18" charset="0"/>
              </a:rPr>
              <a:t>Inflation (Min -1.5% | Max +1.5%)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'Input Data (+SSA)'!$C$168</c:f>
              <c:strCache>
                <c:ptCount val="1"/>
                <c:pt idx="0">
                  <c:v>Inflation</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'Input Data (+SSA)'!$C$170:$C$176</c:f>
              <c:numCache>
                <c:formatCode>0.00%</c:formatCode>
                <c:ptCount val="7"/>
                <c:pt idx="0">
                  <c:v>1.4999999999999999E-2</c:v>
                </c:pt>
                <c:pt idx="1">
                  <c:v>2.2499999999999999E-2</c:v>
                </c:pt>
                <c:pt idx="2">
                  <c:v>2.7E-2</c:v>
                </c:pt>
                <c:pt idx="3">
                  <c:v>0.03</c:v>
                </c:pt>
                <c:pt idx="4">
                  <c:v>3.3000000000000002E-2</c:v>
                </c:pt>
                <c:pt idx="5">
                  <c:v>3.7499999999999999E-2</c:v>
                </c:pt>
                <c:pt idx="6">
                  <c:v>4.4999999999999998E-2</c:v>
                </c:pt>
              </c:numCache>
            </c:numRef>
          </c:xVal>
          <c:yVal>
            <c:numRef>
              <c:f>'Input Data (+SSA)'!$D$170:$D$176</c:f>
              <c:numCache>
                <c:formatCode>#,##0.00,,\ </c:formatCode>
                <c:ptCount val="7"/>
                <c:pt idx="0">
                  <c:v>6111373.8349962477</c:v>
                </c:pt>
                <c:pt idx="1">
                  <c:v>7372377.764809005</c:v>
                </c:pt>
                <c:pt idx="2">
                  <c:v>8185150.8126628539</c:v>
                </c:pt>
                <c:pt idx="3">
                  <c:v>8751869.1891481467</c:v>
                </c:pt>
                <c:pt idx="4">
                  <c:v>9339349.075178653</c:v>
                </c:pt>
                <c:pt idx="5">
                  <c:v>10261194.283568392</c:v>
                </c:pt>
                <c:pt idx="6">
                  <c:v>11912760.437884923</c:v>
                </c:pt>
              </c:numCache>
            </c:numRef>
          </c:yVal>
          <c:smooth val="1"/>
          <c:extLst>
            <c:ext xmlns:c16="http://schemas.microsoft.com/office/drawing/2014/chart" uri="{C3380CC4-5D6E-409C-BE32-E72D297353CC}">
              <c16:uniqueId val="{00000000-9AE2-42CD-8500-F4D759FE1AB4}"/>
            </c:ext>
          </c:extLst>
        </c:ser>
        <c:dLbls>
          <c:dLblPos val="t"/>
          <c:showLegendKey val="0"/>
          <c:showVal val="1"/>
          <c:showCatName val="0"/>
          <c:showSerName val="0"/>
          <c:showPercent val="0"/>
          <c:showBubbleSize val="0"/>
        </c:dLbls>
        <c:axId val="705447696"/>
        <c:axId val="705445776"/>
      </c:scatterChart>
      <c:valAx>
        <c:axId val="705447696"/>
        <c:scaling>
          <c:orientation val="minMax"/>
          <c:min val="1.0000000000000002E-2"/>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Garamond" panose="02020404030301010803" pitchFamily="18" charset="0"/>
                    <a:ea typeface="+mn-ea"/>
                    <a:cs typeface="+mn-cs"/>
                  </a:defRPr>
                </a:pPr>
                <a:r>
                  <a:rPr lang="en-GB" b="1">
                    <a:latin typeface="Garamond" panose="02020404030301010803" pitchFamily="18" charset="0"/>
                  </a:rPr>
                  <a:t>Inflation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Garamond" panose="02020404030301010803" pitchFamily="18" charset="0"/>
                  <a:ea typeface="+mn-ea"/>
                  <a:cs typeface="+mn-cs"/>
                </a:defRPr>
              </a:pPr>
              <a:endParaRPr lang="en-GB"/>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445776"/>
        <c:crosses val="autoZero"/>
        <c:crossBetween val="midCat"/>
      </c:valAx>
      <c:valAx>
        <c:axId val="705445776"/>
        <c:scaling>
          <c:orientation val="minMax"/>
          <c:max val="25000000"/>
          <c:min val="-100000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latin typeface="Garamond" panose="02020404030301010803" pitchFamily="18" charset="0"/>
                  </a:rPr>
                  <a:t>NPV (£M)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447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latin typeface="Garamond" panose="02020404030301010803" pitchFamily="18" charset="0"/>
              </a:rPr>
              <a:t>Years before</a:t>
            </a:r>
            <a:r>
              <a:rPr lang="en-GB" b="1" baseline="0">
                <a:latin typeface="Garamond" panose="02020404030301010803" pitchFamily="18" charset="0"/>
              </a:rPr>
              <a:t> turbines operate </a:t>
            </a:r>
            <a:r>
              <a:rPr lang="en-GB" b="1">
                <a:latin typeface="Garamond" panose="02020404030301010803" pitchFamily="18" charset="0"/>
              </a:rPr>
              <a:t>(Min -2</a:t>
            </a:r>
            <a:r>
              <a:rPr lang="en-GB" b="1" baseline="0">
                <a:latin typeface="Garamond" panose="02020404030301010803" pitchFamily="18" charset="0"/>
              </a:rPr>
              <a:t> yrs</a:t>
            </a:r>
            <a:r>
              <a:rPr lang="en-GB" b="1">
                <a:latin typeface="Garamond" panose="02020404030301010803" pitchFamily="18" charset="0"/>
              </a:rPr>
              <a:t> | Max +5 yrs</a:t>
            </a:r>
            <a:r>
              <a:rPr lang="en-GB" b="1" baseline="0">
                <a:latin typeface="Garamond" panose="02020404030301010803" pitchFamily="18" charset="0"/>
              </a:rPr>
              <a:t>)</a:t>
            </a:r>
            <a:endParaRPr lang="en-GB" b="1">
              <a:latin typeface="Garamond" panose="02020404030301010803"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scatterChart>
        <c:scatterStyle val="smoothMarker"/>
        <c:varyColors val="0"/>
        <c:ser>
          <c:idx val="0"/>
          <c:order val="0"/>
          <c:tx>
            <c:strRef>
              <c:f>'Input Data (+SSA)'!$C$186</c:f>
              <c:strCache>
                <c:ptCount val="1"/>
                <c:pt idx="0">
                  <c:v>Years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'Input Data (+SSA)'!$C$188:$C$194</c:f>
              <c:numCache>
                <c:formatCode>General</c:formatCode>
                <c:ptCount val="7"/>
                <c:pt idx="0">
                  <c:v>3</c:v>
                </c:pt>
                <c:pt idx="1">
                  <c:v>4</c:v>
                </c:pt>
                <c:pt idx="2">
                  <c:v>5</c:v>
                </c:pt>
                <c:pt idx="3">
                  <c:v>6</c:v>
                </c:pt>
                <c:pt idx="4">
                  <c:v>7</c:v>
                </c:pt>
                <c:pt idx="5">
                  <c:v>8</c:v>
                </c:pt>
                <c:pt idx="6">
                  <c:v>9</c:v>
                </c:pt>
              </c:numCache>
            </c:numRef>
          </c:xVal>
          <c:yVal>
            <c:numRef>
              <c:f>'Input Data (+SSA)'!$D$188:$D$194</c:f>
              <c:numCache>
                <c:formatCode>#,##0.00,,\ </c:formatCode>
                <c:ptCount val="7"/>
                <c:pt idx="0">
                  <c:v>8751869.1891481467</c:v>
                </c:pt>
                <c:pt idx="1">
                  <c:v>7706494.6435577394</c:v>
                </c:pt>
                <c:pt idx="2">
                  <c:v>6712887.7807097435</c:v>
                </c:pt>
                <c:pt idx="3">
                  <c:v>5768402.2661779998</c:v>
                </c:pt>
                <c:pt idx="4">
                  <c:v>5139644.2625854444</c:v>
                </c:pt>
                <c:pt idx="5">
                  <c:v>4542671.2065115813</c:v>
                </c:pt>
                <c:pt idx="6">
                  <c:v>3841257.6233464531</c:v>
                </c:pt>
              </c:numCache>
            </c:numRef>
          </c:yVal>
          <c:smooth val="1"/>
          <c:extLst>
            <c:ext xmlns:c16="http://schemas.microsoft.com/office/drawing/2014/chart" uri="{C3380CC4-5D6E-409C-BE32-E72D297353CC}">
              <c16:uniqueId val="{00000000-DB00-4AF0-807B-1EC25E1828DA}"/>
            </c:ext>
          </c:extLst>
        </c:ser>
        <c:dLbls>
          <c:dLblPos val="t"/>
          <c:showLegendKey val="0"/>
          <c:showVal val="1"/>
          <c:showCatName val="0"/>
          <c:showSerName val="0"/>
          <c:showPercent val="0"/>
          <c:showBubbleSize val="0"/>
        </c:dLbls>
        <c:axId val="705447696"/>
        <c:axId val="705445776"/>
      </c:scatterChart>
      <c:valAx>
        <c:axId val="705447696"/>
        <c:scaling>
          <c:orientation val="minMax"/>
          <c:min val="2"/>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latin typeface="Garamond" panose="02020404030301010803" pitchFamily="18" charset="0"/>
                  </a:rPr>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445776"/>
        <c:crosses val="autoZero"/>
        <c:crossBetween val="midCat"/>
      </c:valAx>
      <c:valAx>
        <c:axId val="705445776"/>
        <c:scaling>
          <c:orientation val="minMax"/>
          <c:max val="25000000"/>
          <c:min val="-100000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latin typeface="Garamond" panose="02020404030301010803" pitchFamily="18" charset="0"/>
                  </a:rPr>
                  <a:t>NPV (£M)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447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Garamond" panose="02020404030301010803" pitchFamily="18" charset="0"/>
                <a:ea typeface="+mn-ea"/>
                <a:cs typeface="+mn-cs"/>
              </a:defRPr>
            </a:pPr>
            <a:r>
              <a:rPr lang="en-GB" sz="1400" b="1" i="0" u="none" strike="noStrike" baseline="0">
                <a:solidFill>
                  <a:sysClr val="windowText" lastClr="000000">
                    <a:lumMod val="65000"/>
                    <a:lumOff val="35000"/>
                  </a:sysClr>
                </a:solidFill>
                <a:latin typeface="Garamond" panose="02020404030301010803" pitchFamily="18" charset="0"/>
              </a:rPr>
              <a:t>Net cash flow (post-tax) - Cumulative</a:t>
            </a:r>
          </a:p>
          <a:p>
            <a:pPr>
              <a:defRPr/>
            </a:pPr>
            <a:r>
              <a:rPr lang="en-GB" sz="1400" b="0" i="0" u="none" strike="noStrike" baseline="0">
                <a:solidFill>
                  <a:sysClr val="windowText" lastClr="000000">
                    <a:lumMod val="65000"/>
                    <a:lumOff val="35000"/>
                  </a:sysClr>
                </a:solidFill>
                <a:latin typeface="Garamond" panose="02020404030301010803" pitchFamily="18" charset="0"/>
              </a:rPr>
              <a:t> </a:t>
            </a:r>
            <a:r>
              <a:rPr lang="en-GB" sz="1100" b="0" i="0" u="none" strike="noStrike" baseline="0">
                <a:solidFill>
                  <a:srgbClr val="008000"/>
                </a:solidFill>
                <a:latin typeface="Garamond" panose="02020404030301010803" pitchFamily="18" charset="0"/>
              </a:rPr>
              <a:t>Increase</a:t>
            </a:r>
            <a:r>
              <a:rPr lang="en-GB" sz="1100" b="0" i="0" u="none" strike="noStrike" baseline="0">
                <a:solidFill>
                  <a:sysClr val="windowText" lastClr="000000">
                    <a:lumMod val="65000"/>
                    <a:lumOff val="35000"/>
                  </a:sysClr>
                </a:solidFill>
                <a:latin typeface="Garamond" panose="02020404030301010803" pitchFamily="18" charset="0"/>
              </a:rPr>
              <a:t>| </a:t>
            </a:r>
            <a:r>
              <a:rPr lang="en-GB" sz="1100" b="0" i="0" u="none" strike="noStrike" baseline="0">
                <a:solidFill>
                  <a:srgbClr val="C00000"/>
                </a:solidFill>
                <a:latin typeface="Garamond" panose="02020404030301010803" pitchFamily="18" charset="0"/>
              </a:rPr>
              <a:t>Decrease</a:t>
            </a:r>
            <a:endParaRPr lang="en-GB" sz="1400" b="0" i="0" u="none" strike="noStrike" baseline="0">
              <a:solidFill>
                <a:srgbClr val="C00000"/>
              </a:solidFill>
              <a:latin typeface="Garamond" panose="02020404030301010803" pitchFamily="18" charset="0"/>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Garamond" panose="02020404030301010803" pitchFamily="18" charset="0"/>
              <a:ea typeface="+mn-ea"/>
              <a:cs typeface="+mn-cs"/>
            </a:defRPr>
          </a:pPr>
          <a:endParaRPr lang="en-US"/>
        </a:p>
      </c:txPr>
    </c:title>
    <c:autoTitleDeleted val="0"/>
    <c:plotArea>
      <c:layout/>
      <c:barChart>
        <c:barDir val="col"/>
        <c:grouping val="clustered"/>
        <c:varyColors val="0"/>
        <c:ser>
          <c:idx val="0"/>
          <c:order val="0"/>
          <c:tx>
            <c:strRef>
              <c:f>Calculations!$B$35</c:f>
              <c:strCache>
                <c:ptCount val="1"/>
                <c:pt idx="0">
                  <c:v>Cumulative net cash flow (£M; undiscounted)</c:v>
                </c:pt>
              </c:strCache>
            </c:strRef>
          </c:tx>
          <c:spPr>
            <a:solidFill>
              <a:srgbClr val="008000"/>
            </a:solidFill>
            <a:ln>
              <a:noFill/>
            </a:ln>
            <a:effectLst/>
          </c:spPr>
          <c:invertIfNegative val="0"/>
          <c:dPt>
            <c:idx val="0"/>
            <c:invertIfNegative val="0"/>
            <c:bubble3D val="0"/>
            <c:spPr>
              <a:solidFill>
                <a:srgbClr val="C00000"/>
              </a:solidFill>
              <a:ln>
                <a:noFill/>
              </a:ln>
              <a:effectLst/>
            </c:spPr>
            <c:extLst>
              <c:ext xmlns:c16="http://schemas.microsoft.com/office/drawing/2014/chart" uri="{C3380CC4-5D6E-409C-BE32-E72D297353CC}">
                <c16:uniqueId val="{00000002-D3F5-46C6-A9E6-5064C5750CD6}"/>
              </c:ext>
            </c:extLst>
          </c:dPt>
          <c:dPt>
            <c:idx val="1"/>
            <c:invertIfNegative val="0"/>
            <c:bubble3D val="0"/>
            <c:spPr>
              <a:solidFill>
                <a:srgbClr val="C00000"/>
              </a:solidFill>
              <a:ln>
                <a:noFill/>
              </a:ln>
              <a:effectLst/>
            </c:spPr>
            <c:extLst>
              <c:ext xmlns:c16="http://schemas.microsoft.com/office/drawing/2014/chart" uri="{C3380CC4-5D6E-409C-BE32-E72D297353CC}">
                <c16:uniqueId val="{00000003-D3F5-46C6-A9E6-5064C5750CD6}"/>
              </c:ext>
            </c:extLst>
          </c:dPt>
          <c:dPt>
            <c:idx val="2"/>
            <c:invertIfNegative val="0"/>
            <c:bubble3D val="0"/>
            <c:spPr>
              <a:solidFill>
                <a:srgbClr val="C00000"/>
              </a:solidFill>
              <a:ln>
                <a:noFill/>
              </a:ln>
              <a:effectLst/>
            </c:spPr>
            <c:extLst>
              <c:ext xmlns:c16="http://schemas.microsoft.com/office/drawing/2014/chart" uri="{C3380CC4-5D6E-409C-BE32-E72D297353CC}">
                <c16:uniqueId val="{00000004-D3F5-46C6-A9E6-5064C5750CD6}"/>
              </c:ext>
            </c:extLst>
          </c:dPt>
          <c:dPt>
            <c:idx val="3"/>
            <c:invertIfNegative val="0"/>
            <c:bubble3D val="0"/>
            <c:spPr>
              <a:solidFill>
                <a:srgbClr val="C00000"/>
              </a:solidFill>
              <a:ln>
                <a:noFill/>
              </a:ln>
              <a:effectLst/>
            </c:spPr>
            <c:extLst>
              <c:ext xmlns:c16="http://schemas.microsoft.com/office/drawing/2014/chart" uri="{C3380CC4-5D6E-409C-BE32-E72D297353CC}">
                <c16:uniqueId val="{00000005-D3F5-46C6-A9E6-5064C5750CD6}"/>
              </c:ext>
            </c:extLst>
          </c:dPt>
          <c:dPt>
            <c:idx val="4"/>
            <c:invertIfNegative val="0"/>
            <c:bubble3D val="0"/>
            <c:spPr>
              <a:solidFill>
                <a:srgbClr val="C00000"/>
              </a:solidFill>
              <a:ln>
                <a:noFill/>
              </a:ln>
              <a:effectLst/>
            </c:spPr>
            <c:extLst>
              <c:ext xmlns:c16="http://schemas.microsoft.com/office/drawing/2014/chart" uri="{C3380CC4-5D6E-409C-BE32-E72D297353CC}">
                <c16:uniqueId val="{00000006-D3F5-46C6-A9E6-5064C5750CD6}"/>
              </c:ext>
            </c:extLst>
          </c:dPt>
          <c:dPt>
            <c:idx val="5"/>
            <c:invertIfNegative val="0"/>
            <c:bubble3D val="0"/>
            <c:spPr>
              <a:solidFill>
                <a:srgbClr val="C00000"/>
              </a:solidFill>
              <a:ln>
                <a:noFill/>
              </a:ln>
              <a:effectLst/>
            </c:spPr>
            <c:extLst>
              <c:ext xmlns:c16="http://schemas.microsoft.com/office/drawing/2014/chart" uri="{C3380CC4-5D6E-409C-BE32-E72D297353CC}">
                <c16:uniqueId val="{00000007-D3F5-46C6-A9E6-5064C5750CD6}"/>
              </c:ext>
            </c:extLst>
          </c:dPt>
          <c:dPt>
            <c:idx val="6"/>
            <c:invertIfNegative val="0"/>
            <c:bubble3D val="0"/>
            <c:spPr>
              <a:solidFill>
                <a:srgbClr val="C00000"/>
              </a:solidFill>
              <a:ln>
                <a:noFill/>
              </a:ln>
              <a:effectLst/>
            </c:spPr>
            <c:extLst>
              <c:ext xmlns:c16="http://schemas.microsoft.com/office/drawing/2014/chart" uri="{C3380CC4-5D6E-409C-BE32-E72D297353CC}">
                <c16:uniqueId val="{00000008-D3F5-46C6-A9E6-5064C5750CD6}"/>
              </c:ext>
            </c:extLst>
          </c:dPt>
          <c:dPt>
            <c:idx val="7"/>
            <c:invertIfNegative val="0"/>
            <c:bubble3D val="0"/>
            <c:spPr>
              <a:solidFill>
                <a:srgbClr val="C00000"/>
              </a:solidFill>
              <a:ln>
                <a:noFill/>
              </a:ln>
              <a:effectLst/>
            </c:spPr>
            <c:extLst>
              <c:ext xmlns:c16="http://schemas.microsoft.com/office/drawing/2014/chart" uri="{C3380CC4-5D6E-409C-BE32-E72D297353CC}">
                <c16:uniqueId val="{00000009-D3F5-46C6-A9E6-5064C5750CD6}"/>
              </c:ext>
            </c:extLst>
          </c:dPt>
          <c:dLbls>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Garamond" panose="02020404030301010803" pitchFamily="18"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Calculations!$D$6:$AC$6</c:f>
              <c:numCache>
                <c:formatCode>General</c:formatCode>
                <c:ptCount val="2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numCache>
            </c:numRef>
          </c:cat>
          <c:val>
            <c:numRef>
              <c:f>Calculations!$D$35:$AC$35</c:f>
              <c:numCache>
                <c:formatCode>#,##0.00,,\ </c:formatCode>
                <c:ptCount val="26"/>
                <c:pt idx="0">
                  <c:v>-6650000</c:v>
                </c:pt>
                <c:pt idx="1">
                  <c:v>-10074750</c:v>
                </c:pt>
                <c:pt idx="2">
                  <c:v>-13602242.5</c:v>
                </c:pt>
                <c:pt idx="3">
                  <c:v>-11288846.9944</c:v>
                </c:pt>
                <c:pt idx="4">
                  <c:v>-8916024.6236320008</c:v>
                </c:pt>
                <c:pt idx="5">
                  <c:v>-6481992.5817409614</c:v>
                </c:pt>
                <c:pt idx="6">
                  <c:v>-3984914.5785931908</c:v>
                </c:pt>
                <c:pt idx="7">
                  <c:v>-1422899.2353509869</c:v>
                </c:pt>
                <c:pt idx="8">
                  <c:v>1206001.5681884829</c:v>
                </c:pt>
                <c:pt idx="9">
                  <c:v>3903794.3958341363</c:v>
                </c:pt>
                <c:pt idx="10">
                  <c:v>6672546.0083091594</c:v>
                </c:pt>
                <c:pt idx="11">
                  <c:v>9181885.1691584326</c:v>
                </c:pt>
                <c:pt idx="12">
                  <c:v>11766504.504833184</c:v>
                </c:pt>
                <c:pt idx="13">
                  <c:v>14428662.420578178</c:v>
                </c:pt>
                <c:pt idx="14">
                  <c:v>17170685.073795523</c:v>
                </c:pt>
                <c:pt idx="15">
                  <c:v>19994968.40660939</c:v>
                </c:pt>
                <c:pt idx="16">
                  <c:v>22903980.23940767</c:v>
                </c:pt>
                <c:pt idx="17">
                  <c:v>25900262.427189898</c:v>
                </c:pt>
                <c:pt idx="18">
                  <c:v>28986433.080605593</c:v>
                </c:pt>
                <c:pt idx="19">
                  <c:v>32165188.853623759</c:v>
                </c:pt>
                <c:pt idx="20">
                  <c:v>35439307.299832471</c:v>
                </c:pt>
                <c:pt idx="21">
                  <c:v>38811649.299427442</c:v>
                </c:pt>
                <c:pt idx="22">
                  <c:v>42285161.559010267</c:v>
                </c:pt>
                <c:pt idx="23">
                  <c:v>41235213.535090916</c:v>
                </c:pt>
                <c:pt idx="24">
                  <c:v>39072320.60581705</c:v>
                </c:pt>
                <c:pt idx="25">
                  <c:v>36844540.888664968</c:v>
                </c:pt>
              </c:numCache>
            </c:numRef>
          </c:val>
          <c:extLst>
            <c:ext xmlns:c16="http://schemas.microsoft.com/office/drawing/2014/chart" uri="{C3380CC4-5D6E-409C-BE32-E72D297353CC}">
              <c16:uniqueId val="{00000000-D3F5-46C6-A9E6-5064C5750CD6}"/>
            </c:ext>
          </c:extLst>
        </c:ser>
        <c:dLbls>
          <c:showLegendKey val="0"/>
          <c:showVal val="1"/>
          <c:showCatName val="0"/>
          <c:showSerName val="0"/>
          <c:showPercent val="0"/>
          <c:showBubbleSize val="0"/>
        </c:dLbls>
        <c:gapWidth val="50"/>
        <c:axId val="1377251183"/>
        <c:axId val="1377253103"/>
      </c:barChart>
      <c:catAx>
        <c:axId val="1377251183"/>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Garamond" panose="02020404030301010803" pitchFamily="18" charset="0"/>
                    <a:ea typeface="+mn-ea"/>
                    <a:cs typeface="+mn-cs"/>
                  </a:defRPr>
                </a:pPr>
                <a:r>
                  <a:rPr lang="en-GB" b="1"/>
                  <a:t>Year</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Garamond" panose="02020404030301010803" pitchFamily="18" charset="0"/>
                  <a:ea typeface="+mn-ea"/>
                  <a:cs typeface="+mn-cs"/>
                </a:defRPr>
              </a:pPr>
              <a:endParaRPr lang="en-US"/>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Garamond" panose="02020404030301010803" pitchFamily="18" charset="0"/>
                <a:ea typeface="+mn-ea"/>
                <a:cs typeface="+mn-cs"/>
              </a:defRPr>
            </a:pPr>
            <a:endParaRPr lang="en-US"/>
          </a:p>
        </c:txPr>
        <c:crossAx val="1377253103"/>
        <c:crosses val="autoZero"/>
        <c:auto val="1"/>
        <c:lblAlgn val="ctr"/>
        <c:lblOffset val="100"/>
        <c:noMultiLvlLbl val="0"/>
      </c:catAx>
      <c:valAx>
        <c:axId val="1377253103"/>
        <c:scaling>
          <c:orientation val="minMax"/>
        </c:scaling>
        <c:delete val="0"/>
        <c:axPos val="l"/>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Garamond" panose="02020404030301010803" pitchFamily="18" charset="0"/>
                    <a:ea typeface="+mn-ea"/>
                    <a:cs typeface="+mn-cs"/>
                  </a:defRPr>
                </a:pPr>
                <a:r>
                  <a:rPr lang="en-GB" b="1"/>
                  <a:t>NPV (£M)</a:t>
                </a:r>
              </a:p>
            </c:rich>
          </c:tx>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Garamond" panose="02020404030301010803" pitchFamily="18" charset="0"/>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Garamond" panose="02020404030301010803" pitchFamily="18" charset="0"/>
                <a:ea typeface="+mn-ea"/>
                <a:cs typeface="+mn-cs"/>
              </a:defRPr>
            </a:pPr>
            <a:endParaRPr lang="en-US"/>
          </a:p>
        </c:txPr>
        <c:crossAx val="1377251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Garamond" panose="02020404030301010803" pitchFamily="18" charset="0"/>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Garamond" panose="02020404030301010803" pitchFamily="18" charset="0"/>
                <a:ea typeface="+mn-ea"/>
                <a:cs typeface="+mn-cs"/>
              </a:defRPr>
            </a:pPr>
            <a:r>
              <a:rPr lang="en-GB" sz="1400" b="1" i="0" u="none" strike="noStrike" baseline="0">
                <a:solidFill>
                  <a:sysClr val="windowText" lastClr="000000">
                    <a:lumMod val="65000"/>
                    <a:lumOff val="35000"/>
                  </a:sysClr>
                </a:solidFill>
                <a:latin typeface="Garamond" panose="02020404030301010803" pitchFamily="18" charset="0"/>
              </a:rPr>
              <a:t>Net cash flow (post-tax) - Cumulative (discounted)</a:t>
            </a:r>
          </a:p>
          <a:p>
            <a:pPr>
              <a:defRPr/>
            </a:pPr>
            <a:r>
              <a:rPr lang="en-GB" sz="1400" b="0" i="0" u="none" strike="noStrike" baseline="0">
                <a:solidFill>
                  <a:sysClr val="windowText" lastClr="000000">
                    <a:lumMod val="65000"/>
                    <a:lumOff val="35000"/>
                  </a:sysClr>
                </a:solidFill>
                <a:latin typeface="Garamond" panose="02020404030301010803" pitchFamily="18" charset="0"/>
              </a:rPr>
              <a:t> </a:t>
            </a:r>
            <a:r>
              <a:rPr lang="en-GB" sz="1100" b="0" i="0" u="none" strike="noStrike" baseline="0">
                <a:solidFill>
                  <a:srgbClr val="008000"/>
                </a:solidFill>
                <a:latin typeface="Garamond" panose="02020404030301010803" pitchFamily="18" charset="0"/>
              </a:rPr>
              <a:t>Increase</a:t>
            </a:r>
            <a:r>
              <a:rPr lang="en-GB" sz="1100" b="0" i="0" u="none" strike="noStrike" baseline="0">
                <a:solidFill>
                  <a:sysClr val="windowText" lastClr="000000">
                    <a:lumMod val="65000"/>
                    <a:lumOff val="35000"/>
                  </a:sysClr>
                </a:solidFill>
                <a:latin typeface="Garamond" panose="02020404030301010803" pitchFamily="18" charset="0"/>
              </a:rPr>
              <a:t>| </a:t>
            </a:r>
            <a:r>
              <a:rPr lang="en-GB" sz="1100" b="0" i="0" u="none" strike="noStrike" baseline="0">
                <a:solidFill>
                  <a:srgbClr val="C00000"/>
                </a:solidFill>
                <a:latin typeface="Garamond" panose="02020404030301010803" pitchFamily="18" charset="0"/>
              </a:rPr>
              <a:t>Decrease</a:t>
            </a:r>
            <a:endParaRPr lang="en-GB" sz="1400" b="0" i="0" u="none" strike="noStrike" baseline="0">
              <a:solidFill>
                <a:srgbClr val="C00000"/>
              </a:solidFill>
              <a:latin typeface="Garamond" panose="02020404030301010803" pitchFamily="18" charset="0"/>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Garamond" panose="02020404030301010803" pitchFamily="18" charset="0"/>
              <a:ea typeface="+mn-ea"/>
              <a:cs typeface="+mn-cs"/>
            </a:defRPr>
          </a:pPr>
          <a:endParaRPr lang="en-US"/>
        </a:p>
      </c:txPr>
    </c:title>
    <c:autoTitleDeleted val="0"/>
    <c:plotArea>
      <c:layout/>
      <c:barChart>
        <c:barDir val="col"/>
        <c:grouping val="clustered"/>
        <c:varyColors val="0"/>
        <c:ser>
          <c:idx val="0"/>
          <c:order val="0"/>
          <c:tx>
            <c:strRef>
              <c:f>Calculations!$B$36</c:f>
              <c:strCache>
                <c:ptCount val="1"/>
                <c:pt idx="0">
                  <c:v>Cumulative net cash flow (£M; discounted)</c:v>
                </c:pt>
              </c:strCache>
            </c:strRef>
          </c:tx>
          <c:spPr>
            <a:solidFill>
              <a:srgbClr val="008000"/>
            </a:solidFill>
            <a:ln>
              <a:noFill/>
            </a:ln>
            <a:effectLst/>
          </c:spPr>
          <c:invertIfNegative val="0"/>
          <c:dPt>
            <c:idx val="0"/>
            <c:invertIfNegative val="0"/>
            <c:bubble3D val="0"/>
            <c:spPr>
              <a:solidFill>
                <a:srgbClr val="C00000"/>
              </a:solidFill>
              <a:ln>
                <a:noFill/>
              </a:ln>
              <a:effectLst/>
            </c:spPr>
            <c:extLst>
              <c:ext xmlns:c16="http://schemas.microsoft.com/office/drawing/2014/chart" uri="{C3380CC4-5D6E-409C-BE32-E72D297353CC}">
                <c16:uniqueId val="{00000001-9D86-4597-BAE8-F76B555A2D27}"/>
              </c:ext>
            </c:extLst>
          </c:dPt>
          <c:dPt>
            <c:idx val="1"/>
            <c:invertIfNegative val="0"/>
            <c:bubble3D val="0"/>
            <c:spPr>
              <a:solidFill>
                <a:srgbClr val="C00000"/>
              </a:solidFill>
              <a:ln>
                <a:noFill/>
              </a:ln>
              <a:effectLst/>
            </c:spPr>
            <c:extLst>
              <c:ext xmlns:c16="http://schemas.microsoft.com/office/drawing/2014/chart" uri="{C3380CC4-5D6E-409C-BE32-E72D297353CC}">
                <c16:uniqueId val="{00000003-9D86-4597-BAE8-F76B555A2D27}"/>
              </c:ext>
            </c:extLst>
          </c:dPt>
          <c:dPt>
            <c:idx val="2"/>
            <c:invertIfNegative val="0"/>
            <c:bubble3D val="0"/>
            <c:spPr>
              <a:solidFill>
                <a:srgbClr val="C00000"/>
              </a:solidFill>
              <a:ln>
                <a:noFill/>
              </a:ln>
              <a:effectLst/>
            </c:spPr>
            <c:extLst>
              <c:ext xmlns:c16="http://schemas.microsoft.com/office/drawing/2014/chart" uri="{C3380CC4-5D6E-409C-BE32-E72D297353CC}">
                <c16:uniqueId val="{00000005-9D86-4597-BAE8-F76B555A2D27}"/>
              </c:ext>
            </c:extLst>
          </c:dPt>
          <c:dPt>
            <c:idx val="3"/>
            <c:invertIfNegative val="0"/>
            <c:bubble3D val="0"/>
            <c:spPr>
              <a:solidFill>
                <a:srgbClr val="C00000"/>
              </a:solidFill>
              <a:ln>
                <a:noFill/>
              </a:ln>
              <a:effectLst/>
            </c:spPr>
            <c:extLst>
              <c:ext xmlns:c16="http://schemas.microsoft.com/office/drawing/2014/chart" uri="{C3380CC4-5D6E-409C-BE32-E72D297353CC}">
                <c16:uniqueId val="{00000007-9D86-4597-BAE8-F76B555A2D27}"/>
              </c:ext>
            </c:extLst>
          </c:dPt>
          <c:dPt>
            <c:idx val="4"/>
            <c:invertIfNegative val="0"/>
            <c:bubble3D val="0"/>
            <c:spPr>
              <a:solidFill>
                <a:srgbClr val="C00000"/>
              </a:solidFill>
              <a:ln>
                <a:noFill/>
              </a:ln>
              <a:effectLst/>
            </c:spPr>
            <c:extLst>
              <c:ext xmlns:c16="http://schemas.microsoft.com/office/drawing/2014/chart" uri="{C3380CC4-5D6E-409C-BE32-E72D297353CC}">
                <c16:uniqueId val="{00000009-9D86-4597-BAE8-F76B555A2D27}"/>
              </c:ext>
            </c:extLst>
          </c:dPt>
          <c:dPt>
            <c:idx val="5"/>
            <c:invertIfNegative val="0"/>
            <c:bubble3D val="0"/>
            <c:spPr>
              <a:solidFill>
                <a:srgbClr val="C00000"/>
              </a:solidFill>
              <a:ln>
                <a:noFill/>
              </a:ln>
              <a:effectLst/>
            </c:spPr>
            <c:extLst>
              <c:ext xmlns:c16="http://schemas.microsoft.com/office/drawing/2014/chart" uri="{C3380CC4-5D6E-409C-BE32-E72D297353CC}">
                <c16:uniqueId val="{0000000B-9D86-4597-BAE8-F76B555A2D27}"/>
              </c:ext>
            </c:extLst>
          </c:dPt>
          <c:dPt>
            <c:idx val="6"/>
            <c:invertIfNegative val="0"/>
            <c:bubble3D val="0"/>
            <c:spPr>
              <a:solidFill>
                <a:srgbClr val="C00000"/>
              </a:solidFill>
              <a:ln>
                <a:noFill/>
              </a:ln>
              <a:effectLst/>
            </c:spPr>
            <c:extLst>
              <c:ext xmlns:c16="http://schemas.microsoft.com/office/drawing/2014/chart" uri="{C3380CC4-5D6E-409C-BE32-E72D297353CC}">
                <c16:uniqueId val="{0000000D-9D86-4597-BAE8-F76B555A2D27}"/>
              </c:ext>
            </c:extLst>
          </c:dPt>
          <c:dPt>
            <c:idx val="7"/>
            <c:invertIfNegative val="0"/>
            <c:bubble3D val="0"/>
            <c:spPr>
              <a:solidFill>
                <a:srgbClr val="C00000"/>
              </a:solidFill>
              <a:ln>
                <a:noFill/>
              </a:ln>
              <a:effectLst/>
            </c:spPr>
            <c:extLst>
              <c:ext xmlns:c16="http://schemas.microsoft.com/office/drawing/2014/chart" uri="{C3380CC4-5D6E-409C-BE32-E72D297353CC}">
                <c16:uniqueId val="{0000000F-9D86-4597-BAE8-F76B555A2D27}"/>
              </c:ext>
            </c:extLst>
          </c:dPt>
          <c:dPt>
            <c:idx val="8"/>
            <c:invertIfNegative val="0"/>
            <c:bubble3D val="0"/>
            <c:spPr>
              <a:solidFill>
                <a:srgbClr val="C00000"/>
              </a:solidFill>
              <a:ln>
                <a:noFill/>
              </a:ln>
              <a:effectLst/>
            </c:spPr>
            <c:extLst>
              <c:ext xmlns:c16="http://schemas.microsoft.com/office/drawing/2014/chart" uri="{C3380CC4-5D6E-409C-BE32-E72D297353CC}">
                <c16:uniqueId val="{00000011-9D86-4597-BAE8-F76B555A2D27}"/>
              </c:ext>
            </c:extLst>
          </c:dPt>
          <c:dPt>
            <c:idx val="9"/>
            <c:invertIfNegative val="0"/>
            <c:bubble3D val="0"/>
            <c:spPr>
              <a:solidFill>
                <a:srgbClr val="C00000"/>
              </a:solidFill>
              <a:ln>
                <a:noFill/>
              </a:ln>
              <a:effectLst/>
            </c:spPr>
            <c:extLst>
              <c:ext xmlns:c16="http://schemas.microsoft.com/office/drawing/2014/chart" uri="{C3380CC4-5D6E-409C-BE32-E72D297353CC}">
                <c16:uniqueId val="{00000012-9D86-4597-BAE8-F76B555A2D27}"/>
              </c:ext>
            </c:extLst>
          </c:dPt>
          <c:dPt>
            <c:idx val="10"/>
            <c:invertIfNegative val="0"/>
            <c:bubble3D val="0"/>
            <c:spPr>
              <a:solidFill>
                <a:srgbClr val="C00000"/>
              </a:solidFill>
              <a:ln>
                <a:noFill/>
              </a:ln>
              <a:effectLst/>
            </c:spPr>
            <c:extLst>
              <c:ext xmlns:c16="http://schemas.microsoft.com/office/drawing/2014/chart" uri="{C3380CC4-5D6E-409C-BE32-E72D297353CC}">
                <c16:uniqueId val="{00000013-9D86-4597-BAE8-F76B555A2D27}"/>
              </c:ext>
            </c:extLst>
          </c:dPt>
          <c:dLbls>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Garamond" panose="02020404030301010803" pitchFamily="18"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Calculations!$D$6:$AC$6</c:f>
              <c:numCache>
                <c:formatCode>General</c:formatCode>
                <c:ptCount val="2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numCache>
            </c:numRef>
          </c:cat>
          <c:val>
            <c:numRef>
              <c:f>Calculations!$D$36:$AC$36</c:f>
              <c:numCache>
                <c:formatCode>#,##0.00,,\ </c:formatCode>
                <c:ptCount val="26"/>
                <c:pt idx="0">
                  <c:v>-6650000</c:v>
                </c:pt>
                <c:pt idx="1">
                  <c:v>-9821064.8148148153</c:v>
                </c:pt>
                <c:pt idx="2">
                  <c:v>-12845321.073388204</c:v>
                </c:pt>
                <c:pt idx="3">
                  <c:v>-11008873.134811768</c:v>
                </c:pt>
                <c:pt idx="4">
                  <c:v>-9264777.8569140341</c:v>
                </c:pt>
                <c:pt idx="5">
                  <c:v>-7608216.5481612366</c:v>
                </c:pt>
                <c:pt idx="6">
                  <c:v>-6034633.8346195985</c:v>
                </c:pt>
                <c:pt idx="7">
                  <c:v>-4539722.4893235536</c:v>
                </c:pt>
                <c:pt idx="8">
                  <c:v>-3119409.1847289363</c:v>
                </c:pt>
                <c:pt idx="9">
                  <c:v>-1769841.10916454</c:v>
                </c:pt>
                <c:pt idx="10">
                  <c:v>-487373.39214213984</c:v>
                </c:pt>
                <c:pt idx="11">
                  <c:v>588839.16221088776</c:v>
                </c:pt>
                <c:pt idx="12">
                  <c:v>1615227.0612697932</c:v>
                </c:pt>
                <c:pt idx="13">
                  <c:v>2594097.0020389347</c:v>
                </c:pt>
                <c:pt idx="14">
                  <c:v>3527648.8899946902</c:v>
                </c:pt>
                <c:pt idx="15">
                  <c:v>4417980.7831376791</c:v>
                </c:pt>
                <c:pt idx="16">
                  <c:v>5267093.6071536774</c:v>
                </c:pt>
                <c:pt idx="17">
                  <c:v>6076895.6522800466</c:v>
                </c:pt>
                <c:pt idx="18">
                  <c:v>6849206.8619838981</c:v>
                </c:pt>
                <c:pt idx="19">
                  <c:v>7585762.9230903499</c:v>
                </c:pt>
                <c:pt idx="20">
                  <c:v>8288219.1665529842</c:v>
                </c:pt>
                <c:pt idx="21">
                  <c:v>8958154.2876330893</c:v>
                </c:pt>
                <c:pt idx="22">
                  <c:v>9597073.8938483745</c:v>
                </c:pt>
                <c:pt idx="23">
                  <c:v>9418251.6976643819</c:v>
                </c:pt>
                <c:pt idx="24">
                  <c:v>9077164.9160541762</c:v>
                </c:pt>
                <c:pt idx="25">
                  <c:v>8751869.1891481467</c:v>
                </c:pt>
              </c:numCache>
            </c:numRef>
          </c:val>
          <c:extLst>
            <c:ext xmlns:c16="http://schemas.microsoft.com/office/drawing/2014/chart" uri="{C3380CC4-5D6E-409C-BE32-E72D297353CC}">
              <c16:uniqueId val="{00000010-9D86-4597-BAE8-F76B555A2D27}"/>
            </c:ext>
          </c:extLst>
        </c:ser>
        <c:dLbls>
          <c:showLegendKey val="0"/>
          <c:showVal val="1"/>
          <c:showCatName val="0"/>
          <c:showSerName val="0"/>
          <c:showPercent val="0"/>
          <c:showBubbleSize val="0"/>
        </c:dLbls>
        <c:gapWidth val="50"/>
        <c:axId val="1377251183"/>
        <c:axId val="1377253103"/>
      </c:barChart>
      <c:catAx>
        <c:axId val="1377251183"/>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Garamond" panose="02020404030301010803" pitchFamily="18" charset="0"/>
                    <a:ea typeface="+mn-ea"/>
                    <a:cs typeface="+mn-cs"/>
                  </a:defRPr>
                </a:pPr>
                <a:r>
                  <a:rPr lang="en-GB" b="1"/>
                  <a:t>Year</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Garamond" panose="02020404030301010803" pitchFamily="18" charset="0"/>
                  <a:ea typeface="+mn-ea"/>
                  <a:cs typeface="+mn-cs"/>
                </a:defRPr>
              </a:pPr>
              <a:endParaRPr lang="en-US"/>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Garamond" panose="02020404030301010803" pitchFamily="18" charset="0"/>
                <a:ea typeface="+mn-ea"/>
                <a:cs typeface="+mn-cs"/>
              </a:defRPr>
            </a:pPr>
            <a:endParaRPr lang="en-US"/>
          </a:p>
        </c:txPr>
        <c:crossAx val="1377253103"/>
        <c:crosses val="autoZero"/>
        <c:auto val="1"/>
        <c:lblAlgn val="ctr"/>
        <c:lblOffset val="100"/>
        <c:noMultiLvlLbl val="0"/>
      </c:catAx>
      <c:valAx>
        <c:axId val="1377253103"/>
        <c:scaling>
          <c:orientation val="minMax"/>
        </c:scaling>
        <c:delete val="0"/>
        <c:axPos val="l"/>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Garamond" panose="02020404030301010803" pitchFamily="18" charset="0"/>
                    <a:ea typeface="+mn-ea"/>
                    <a:cs typeface="+mn-cs"/>
                  </a:defRPr>
                </a:pPr>
                <a:r>
                  <a:rPr lang="en-GB" b="1"/>
                  <a:t>NPV (£M)</a:t>
                </a:r>
              </a:p>
            </c:rich>
          </c:tx>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Garamond" panose="02020404030301010803" pitchFamily="18" charset="0"/>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Garamond" panose="02020404030301010803" pitchFamily="18" charset="0"/>
                <a:ea typeface="+mn-ea"/>
                <a:cs typeface="+mn-cs"/>
              </a:defRPr>
            </a:pPr>
            <a:endParaRPr lang="en-US"/>
          </a:p>
        </c:txPr>
        <c:crossAx val="1377251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Garamond" panose="02020404030301010803" pitchFamily="18" charset="0"/>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_xlchart.v1.2</cx:f>
      </cx:strDim>
      <cx:numDim type="val">
        <cx:f dir="row">_xlchart.v1.1</cx:f>
      </cx:numDim>
    </cx:data>
  </cx:chartData>
  <cx:chart>
    <cx:title pos="t" align="ctr" overlay="0">
      <cx:tx>
        <cx:rich>
          <a:bodyPr spcFirstLastPara="1" vertOverflow="ellipsis" horzOverflow="overflow" wrap="square" lIns="0" tIns="0" rIns="0" bIns="0" anchor="ctr" anchorCtr="1"/>
          <a:lstStyle/>
          <a:p>
            <a:pPr algn="ctr" rtl="0">
              <a:defRPr sz="1400">
                <a:latin typeface="Garamond" panose="02020404030301010803" pitchFamily="18" charset="0"/>
                <a:ea typeface="Garamond" panose="02020404030301010803" pitchFamily="18" charset="0"/>
                <a:cs typeface="Garamond" panose="02020404030301010803" pitchFamily="18" charset="0"/>
              </a:defRPr>
            </a:pPr>
            <a:r>
              <a:rPr lang="en-GB" sz="1700" b="1" i="0" u="none" strike="noStrike" baseline="0">
                <a:solidFill>
                  <a:sysClr val="windowText" lastClr="000000">
                    <a:lumMod val="65000"/>
                    <a:lumOff val="35000"/>
                  </a:sysClr>
                </a:solidFill>
                <a:latin typeface="Garamond" panose="02020404030301010803" pitchFamily="18" charset="0"/>
              </a:rPr>
              <a:t>Net cash flow (post-tax) - Annual (discounted)</a:t>
            </a:r>
          </a:p>
          <a:p>
            <a:pPr algn="ctr" rtl="0">
              <a:defRPr sz="1400">
                <a:latin typeface="Garamond" panose="02020404030301010803" pitchFamily="18" charset="0"/>
                <a:ea typeface="Garamond" panose="02020404030301010803" pitchFamily="18" charset="0"/>
                <a:cs typeface="Garamond" panose="02020404030301010803" pitchFamily="18" charset="0"/>
              </a:defRPr>
            </a:pPr>
            <a:r>
              <a:rPr lang="en-GB" sz="1700" b="0" i="0" u="none" strike="noStrike" baseline="0">
                <a:solidFill>
                  <a:sysClr val="windowText" lastClr="000000">
                    <a:lumMod val="65000"/>
                    <a:lumOff val="35000"/>
                  </a:sysClr>
                </a:solidFill>
                <a:latin typeface="Garamond" panose="02020404030301010803" pitchFamily="18" charset="0"/>
              </a:rPr>
              <a:t> </a:t>
            </a:r>
            <a:r>
              <a:rPr lang="en-GB" sz="1700" b="0" i="0" u="none" strike="noStrike" baseline="0">
                <a:solidFill>
                  <a:srgbClr val="008000"/>
                </a:solidFill>
                <a:latin typeface="Garamond" panose="02020404030301010803" pitchFamily="18" charset="0"/>
              </a:rPr>
              <a:t>Increase</a:t>
            </a:r>
            <a:r>
              <a:rPr lang="en-GB" sz="1700" b="0" i="0" u="none" strike="noStrike" baseline="0">
                <a:solidFill>
                  <a:sysClr val="windowText" lastClr="000000">
                    <a:lumMod val="65000"/>
                    <a:lumOff val="35000"/>
                  </a:sysClr>
                </a:solidFill>
                <a:latin typeface="Garamond" panose="02020404030301010803" pitchFamily="18" charset="0"/>
              </a:rPr>
              <a:t>| </a:t>
            </a:r>
            <a:r>
              <a:rPr lang="en-GB" sz="1700" b="0" i="0" u="none" strike="noStrike" baseline="0">
                <a:solidFill>
                  <a:srgbClr val="C00000"/>
                </a:solidFill>
                <a:latin typeface="Garamond" panose="02020404030301010803" pitchFamily="18" charset="0"/>
              </a:rPr>
              <a:t>Decrease</a:t>
            </a:r>
          </a:p>
        </cx:rich>
      </cx:tx>
    </cx:title>
    <cx:plotArea>
      <cx:plotAreaRegion>
        <cx:plotSurface>
          <cx:spPr>
            <a:ln>
              <a:noFill/>
            </a:ln>
          </cx:spPr>
        </cx:plotSurface>
        <cx:series layoutId="waterfall" uniqueId="{8195D309-A2C6-4C52-B348-8F7AE96C32F6}">
          <cx:tx>
            <cx:txData>
              <cx:f>_xlchart.v1.0</cx:f>
              <cx:v>Post tax net cash flow (discounted)</cx:v>
            </cx:txData>
          </cx:tx>
          <cx:dataPt idx="0">
            <cx:spPr>
              <a:solidFill>
                <a:srgbClr val="C00000"/>
              </a:solidFill>
            </cx:spPr>
          </cx:dataPt>
          <cx:dataPt idx="1">
            <cx:spPr>
              <a:solidFill>
                <a:srgbClr val="C00000"/>
              </a:solidFill>
            </cx:spPr>
          </cx:dataPt>
          <cx:dataPt idx="2">
            <cx:spPr>
              <a:solidFill>
                <a:srgbClr val="C00000"/>
              </a:solidFill>
            </cx:spPr>
          </cx:dataPt>
          <cx:dataPt idx="3">
            <cx:spPr>
              <a:solidFill>
                <a:srgbClr val="008000"/>
              </a:solidFill>
            </cx:spPr>
          </cx:dataPt>
          <cx:dataPt idx="4">
            <cx:spPr>
              <a:solidFill>
                <a:srgbClr val="008000"/>
              </a:solidFill>
            </cx:spPr>
          </cx:dataPt>
          <cx:dataPt idx="5">
            <cx:spPr>
              <a:solidFill>
                <a:srgbClr val="008000"/>
              </a:solidFill>
            </cx:spPr>
          </cx:dataPt>
          <cx:dataPt idx="6">
            <cx:spPr>
              <a:solidFill>
                <a:srgbClr val="008000"/>
              </a:solidFill>
            </cx:spPr>
          </cx:dataPt>
          <cx:dataPt idx="7">
            <cx:spPr>
              <a:solidFill>
                <a:srgbClr val="008000"/>
              </a:solidFill>
            </cx:spPr>
          </cx:dataPt>
          <cx:dataPt idx="8">
            <cx:spPr>
              <a:solidFill>
                <a:srgbClr val="008000"/>
              </a:solidFill>
            </cx:spPr>
          </cx:dataPt>
          <cx:dataPt idx="9">
            <cx:spPr>
              <a:solidFill>
                <a:srgbClr val="008000"/>
              </a:solidFill>
            </cx:spPr>
          </cx:dataPt>
          <cx:dataPt idx="10">
            <cx:spPr>
              <a:solidFill>
                <a:srgbClr val="008000"/>
              </a:solidFill>
            </cx:spPr>
          </cx:dataPt>
          <cx:dataPt idx="11">
            <cx:spPr>
              <a:solidFill>
                <a:srgbClr val="008000"/>
              </a:solidFill>
            </cx:spPr>
          </cx:dataPt>
          <cx:dataPt idx="12">
            <cx:spPr>
              <a:solidFill>
                <a:srgbClr val="008000"/>
              </a:solidFill>
            </cx:spPr>
          </cx:dataPt>
          <cx:dataPt idx="13">
            <cx:spPr>
              <a:solidFill>
                <a:srgbClr val="008000"/>
              </a:solidFill>
            </cx:spPr>
          </cx:dataPt>
          <cx:dataPt idx="14">
            <cx:spPr>
              <a:solidFill>
                <a:srgbClr val="008000"/>
              </a:solidFill>
            </cx:spPr>
          </cx:dataPt>
          <cx:dataPt idx="15">
            <cx:spPr>
              <a:solidFill>
                <a:srgbClr val="008000"/>
              </a:solidFill>
            </cx:spPr>
          </cx:dataPt>
          <cx:dataPt idx="16">
            <cx:spPr>
              <a:solidFill>
                <a:srgbClr val="008000"/>
              </a:solidFill>
            </cx:spPr>
          </cx:dataPt>
          <cx:dataPt idx="17">
            <cx:spPr>
              <a:solidFill>
                <a:srgbClr val="008000"/>
              </a:solidFill>
            </cx:spPr>
          </cx:dataPt>
          <cx:dataPt idx="18">
            <cx:spPr>
              <a:solidFill>
                <a:srgbClr val="008000"/>
              </a:solidFill>
            </cx:spPr>
          </cx:dataPt>
          <cx:dataPt idx="19">
            <cx:spPr>
              <a:solidFill>
                <a:srgbClr val="008000"/>
              </a:solidFill>
            </cx:spPr>
          </cx:dataPt>
          <cx:dataPt idx="20">
            <cx:spPr>
              <a:solidFill>
                <a:srgbClr val="008000"/>
              </a:solidFill>
            </cx:spPr>
          </cx:dataPt>
          <cx:dataPt idx="21">
            <cx:spPr>
              <a:solidFill>
                <a:srgbClr val="008000"/>
              </a:solidFill>
            </cx:spPr>
          </cx:dataPt>
          <cx:dataPt idx="22">
            <cx:spPr>
              <a:solidFill>
                <a:srgbClr val="008000"/>
              </a:solidFill>
            </cx:spPr>
          </cx:dataPt>
          <cx:dataPt idx="23">
            <cx:spPr>
              <a:solidFill>
                <a:srgbClr val="C00000"/>
              </a:solidFill>
            </cx:spPr>
          </cx:dataPt>
          <cx:dataPt idx="24">
            <cx:spPr>
              <a:solidFill>
                <a:srgbClr val="C00000"/>
              </a:solidFill>
            </cx:spPr>
          </cx:dataPt>
          <cx:dataPt idx="25">
            <cx:spPr>
              <a:solidFill>
                <a:srgbClr val="C00000"/>
              </a:solidFill>
            </cx:spPr>
          </cx:dataPt>
          <cx:dataLabels pos="outEnd">
            <cx:txPr>
              <a:bodyPr vertOverflow="overflow" horzOverflow="overflow" wrap="square" lIns="0" tIns="0" rIns="0" bIns="0"/>
              <a:lstStyle/>
              <a:p>
                <a:pPr algn="ctr" rtl="0">
                  <a:defRPr sz="1400" b="0" i="0">
                    <a:solidFill>
                      <a:srgbClr val="595959"/>
                    </a:solidFill>
                    <a:latin typeface="Garamond" panose="02020404030301010803" pitchFamily="18" charset="0"/>
                    <a:ea typeface="Garamond" panose="02020404030301010803" pitchFamily="18" charset="0"/>
                    <a:cs typeface="Garamond" panose="02020404030301010803" pitchFamily="18" charset="0"/>
                  </a:defRPr>
                </a:pPr>
                <a:endParaRPr lang="en-GB" sz="1400">
                  <a:latin typeface="Garamond" panose="02020404030301010803" pitchFamily="18" charset="0"/>
                </a:endParaRPr>
              </a:p>
            </cx:txPr>
            <cx:visibility seriesName="0" categoryName="0" value="1"/>
          </cx:dataLabels>
          <cx:dataId val="0"/>
          <cx:layoutPr>
            <cx:visibility connectorLines="0"/>
            <cx:subtotals/>
          </cx:layoutPr>
        </cx:series>
      </cx:plotAreaRegion>
      <cx:axis id="0">
        <cx:catScaling gapWidth="0"/>
        <cx:title>
          <cx:tx>
            <cx:txData>
              <cx:v>Year</cx:v>
            </cx:txData>
          </cx:tx>
          <cx:txPr>
            <a:bodyPr spcFirstLastPara="1" vertOverflow="ellipsis" horzOverflow="overflow" wrap="square" lIns="0" tIns="0" rIns="0" bIns="0" anchor="ctr" anchorCtr="1"/>
            <a:lstStyle/>
            <a:p>
              <a:pPr algn="ctr" rtl="0">
                <a:defRPr sz="1400"/>
              </a:pPr>
              <a:r>
                <a:rPr lang="en-GB" sz="1400" b="1" i="0" u="none" strike="noStrike" baseline="0">
                  <a:solidFill>
                    <a:sysClr val="windowText" lastClr="000000">
                      <a:lumMod val="65000"/>
                      <a:lumOff val="35000"/>
                    </a:sysClr>
                  </a:solidFill>
                  <a:latin typeface="Garamond" panose="02020404030301010803" pitchFamily="18" charset="0"/>
                </a:rPr>
                <a:t>Year</a:t>
              </a:r>
            </a:p>
          </cx:txPr>
        </cx:title>
        <cx:tickLabels/>
        <cx:txPr>
          <a:bodyPr vertOverflow="overflow" horzOverflow="overflow" wrap="square" lIns="0" tIns="0" rIns="0" bIns="0"/>
          <a:lstStyle/>
          <a:p>
            <a:pPr algn="ctr" rtl="0">
              <a:defRPr sz="1400" b="0" i="0">
                <a:solidFill>
                  <a:srgbClr val="595959"/>
                </a:solidFill>
                <a:latin typeface="Garamond" panose="02020404030301010803" pitchFamily="18" charset="0"/>
                <a:ea typeface="Garamond" panose="02020404030301010803" pitchFamily="18" charset="0"/>
                <a:cs typeface="Garamond" panose="02020404030301010803" pitchFamily="18" charset="0"/>
              </a:defRPr>
            </a:pPr>
            <a:endParaRPr lang="en-GB" sz="1400">
              <a:latin typeface="Garamond" panose="02020404030301010803" pitchFamily="18" charset="0"/>
            </a:endParaRPr>
          </a:p>
        </cx:txPr>
      </cx:axis>
      <cx:axis id="1">
        <cx:valScaling max="15000000" min="-20000000"/>
        <cx:title>
          <cx:tx>
            <cx:txData>
              <cx:v>NPV (£M)</cx:v>
            </cx:txData>
          </cx:tx>
          <cx:txPr>
            <a:bodyPr spcFirstLastPara="1" vertOverflow="ellipsis" horzOverflow="overflow" wrap="square" lIns="0" tIns="0" rIns="0" bIns="0" anchor="ctr" anchorCtr="1"/>
            <a:lstStyle/>
            <a:p>
              <a:pPr algn="ctr" rtl="0">
                <a:defRPr sz="1400"/>
              </a:pPr>
              <a:r>
                <a:rPr lang="en-GB" sz="1400" b="1" i="0" u="none" strike="noStrike" baseline="0">
                  <a:solidFill>
                    <a:sysClr val="windowText" lastClr="000000">
                      <a:lumMod val="65000"/>
                      <a:lumOff val="35000"/>
                    </a:sysClr>
                  </a:solidFill>
                  <a:latin typeface="Garamond" panose="02020404030301010803" pitchFamily="18" charset="0"/>
                </a:rPr>
                <a:t>NPV (£M)</a:t>
              </a:r>
            </a:p>
          </cx:txPr>
        </cx:title>
        <cx:tickLabels/>
        <cx:numFmt formatCode="#,##0,, " sourceLinked="0"/>
        <cx:txPr>
          <a:bodyPr vertOverflow="overflow" horzOverflow="overflow" wrap="square" lIns="0" tIns="0" rIns="0" bIns="0"/>
          <a:lstStyle/>
          <a:p>
            <a:pPr algn="ctr" rtl="0">
              <a:defRPr sz="1400" b="0" i="0">
                <a:solidFill>
                  <a:srgbClr val="595959"/>
                </a:solidFill>
                <a:latin typeface="Garamond" panose="02020404030301010803" pitchFamily="18" charset="0"/>
                <a:ea typeface="Garamond" panose="02020404030301010803" pitchFamily="18" charset="0"/>
                <a:cs typeface="Garamond" panose="02020404030301010803" pitchFamily="18" charset="0"/>
              </a:defRPr>
            </a:pPr>
            <a:endParaRPr lang="en-GB" sz="1400">
              <a:latin typeface="Garamond" panose="02020404030301010803" pitchFamily="18" charset="0"/>
            </a:endParaRPr>
          </a:p>
        </cx:txPr>
      </cx:axis>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 dir="row">_xlchart.v1.7</cx:f>
      </cx:strDim>
      <cx:numDim type="val">
        <cx:f dir="row">_xlchart.v1.6</cx:f>
      </cx:numDim>
    </cx:data>
  </cx:chartData>
  <cx:chart>
    <cx:title pos="t" align="ctr" overlay="0">
      <cx:tx>
        <cx:rich>
          <a:bodyPr spcFirstLastPara="1" vertOverflow="ellipsis" horzOverflow="overflow" wrap="square" lIns="0" tIns="0" rIns="0" bIns="0" anchor="ctr" anchorCtr="1"/>
          <a:lstStyle/>
          <a:p>
            <a:pPr algn="ctr" rtl="0">
              <a:defRPr>
                <a:latin typeface="Garamond" panose="02020404030301010803" pitchFamily="18" charset="0"/>
                <a:ea typeface="Garamond" panose="02020404030301010803" pitchFamily="18" charset="0"/>
                <a:cs typeface="Garamond" panose="02020404030301010803" pitchFamily="18" charset="0"/>
              </a:defRPr>
            </a:pPr>
            <a:r>
              <a:rPr lang="en-GB" sz="1400" b="1" i="0" u="none" strike="noStrike" baseline="0">
                <a:solidFill>
                  <a:sysClr val="windowText" lastClr="000000">
                    <a:lumMod val="65000"/>
                    <a:lumOff val="35000"/>
                  </a:sysClr>
                </a:solidFill>
                <a:latin typeface="Garamond" panose="02020404030301010803" pitchFamily="18" charset="0"/>
              </a:rPr>
              <a:t>Net cash flow (post-tax) - Annual</a:t>
            </a:r>
          </a:p>
          <a:p>
            <a:pPr algn="ctr" rtl="0">
              <a:defRPr>
                <a:latin typeface="Garamond" panose="02020404030301010803" pitchFamily="18" charset="0"/>
                <a:ea typeface="Garamond" panose="02020404030301010803" pitchFamily="18" charset="0"/>
                <a:cs typeface="Garamond" panose="02020404030301010803" pitchFamily="18" charset="0"/>
              </a:defRPr>
            </a:pPr>
            <a:r>
              <a:rPr lang="en-GB" sz="1400" b="0" i="0" u="none" strike="noStrike" baseline="0">
                <a:solidFill>
                  <a:sysClr val="windowText" lastClr="000000">
                    <a:lumMod val="65000"/>
                    <a:lumOff val="35000"/>
                  </a:sysClr>
                </a:solidFill>
                <a:latin typeface="Garamond" panose="02020404030301010803" pitchFamily="18" charset="0"/>
              </a:rPr>
              <a:t> </a:t>
            </a:r>
            <a:r>
              <a:rPr lang="en-GB" sz="1100" b="0" i="0" u="none" strike="noStrike" baseline="0">
                <a:solidFill>
                  <a:srgbClr val="008000"/>
                </a:solidFill>
                <a:latin typeface="Garamond" panose="02020404030301010803" pitchFamily="18" charset="0"/>
              </a:rPr>
              <a:t>Increase</a:t>
            </a:r>
            <a:r>
              <a:rPr lang="en-GB" sz="1100" b="0" i="0" u="none" strike="noStrike" baseline="0">
                <a:solidFill>
                  <a:sysClr val="windowText" lastClr="000000">
                    <a:lumMod val="65000"/>
                    <a:lumOff val="35000"/>
                  </a:sysClr>
                </a:solidFill>
                <a:latin typeface="Garamond" panose="02020404030301010803" pitchFamily="18" charset="0"/>
              </a:rPr>
              <a:t>| </a:t>
            </a:r>
            <a:r>
              <a:rPr lang="en-GB" sz="1100" b="0" i="0" u="none" strike="noStrike" baseline="0">
                <a:solidFill>
                  <a:srgbClr val="C00000"/>
                </a:solidFill>
                <a:latin typeface="Garamond" panose="02020404030301010803" pitchFamily="18" charset="0"/>
              </a:rPr>
              <a:t>Decrease</a:t>
            </a:r>
            <a:endParaRPr lang="en-GB" sz="1400" b="0" i="0" u="none" strike="noStrike" baseline="0">
              <a:solidFill>
                <a:srgbClr val="C00000"/>
              </a:solidFill>
              <a:latin typeface="Garamond" panose="02020404030301010803" pitchFamily="18" charset="0"/>
            </a:endParaRPr>
          </a:p>
        </cx:rich>
      </cx:tx>
    </cx:title>
    <cx:plotArea>
      <cx:plotAreaRegion>
        <cx:plotSurface>
          <cx:spPr>
            <a:ln>
              <a:noFill/>
            </a:ln>
          </cx:spPr>
        </cx:plotSurface>
        <cx:series layoutId="waterfall" uniqueId="{8195D309-A2C6-4C52-B348-8F7AE96C32F6}">
          <cx:dataPt idx="0">
            <cx:spPr>
              <a:solidFill>
                <a:srgbClr val="C00000"/>
              </a:solidFill>
            </cx:spPr>
          </cx:dataPt>
          <cx:dataPt idx="1">
            <cx:spPr>
              <a:solidFill>
                <a:srgbClr val="C00000"/>
              </a:solidFill>
            </cx:spPr>
          </cx:dataPt>
          <cx:dataPt idx="2">
            <cx:spPr>
              <a:solidFill>
                <a:srgbClr val="C00000"/>
              </a:solidFill>
            </cx:spPr>
          </cx:dataPt>
          <cx:dataPt idx="3">
            <cx:spPr>
              <a:solidFill>
                <a:srgbClr val="008000"/>
              </a:solidFill>
            </cx:spPr>
          </cx:dataPt>
          <cx:dataPt idx="4">
            <cx:spPr>
              <a:solidFill>
                <a:srgbClr val="008000"/>
              </a:solidFill>
            </cx:spPr>
          </cx:dataPt>
          <cx:dataPt idx="5">
            <cx:spPr>
              <a:solidFill>
                <a:srgbClr val="008000"/>
              </a:solidFill>
            </cx:spPr>
          </cx:dataPt>
          <cx:dataPt idx="6">
            <cx:spPr>
              <a:solidFill>
                <a:srgbClr val="008000"/>
              </a:solidFill>
            </cx:spPr>
          </cx:dataPt>
          <cx:dataPt idx="7">
            <cx:spPr>
              <a:solidFill>
                <a:srgbClr val="008000"/>
              </a:solidFill>
            </cx:spPr>
          </cx:dataPt>
          <cx:dataPt idx="8">
            <cx:spPr>
              <a:solidFill>
                <a:srgbClr val="008000"/>
              </a:solidFill>
            </cx:spPr>
          </cx:dataPt>
          <cx:dataPt idx="9">
            <cx:spPr>
              <a:solidFill>
                <a:srgbClr val="008000"/>
              </a:solidFill>
            </cx:spPr>
          </cx:dataPt>
          <cx:dataPt idx="10">
            <cx:spPr>
              <a:solidFill>
                <a:srgbClr val="008000"/>
              </a:solidFill>
            </cx:spPr>
          </cx:dataPt>
          <cx:dataPt idx="11">
            <cx:spPr>
              <a:solidFill>
                <a:srgbClr val="008000"/>
              </a:solidFill>
            </cx:spPr>
          </cx:dataPt>
          <cx:dataPt idx="12">
            <cx:spPr>
              <a:solidFill>
                <a:srgbClr val="008000"/>
              </a:solidFill>
            </cx:spPr>
          </cx:dataPt>
          <cx:dataPt idx="13">
            <cx:spPr>
              <a:solidFill>
                <a:srgbClr val="008000"/>
              </a:solidFill>
            </cx:spPr>
          </cx:dataPt>
          <cx:dataPt idx="14">
            <cx:spPr>
              <a:solidFill>
                <a:srgbClr val="008000"/>
              </a:solidFill>
            </cx:spPr>
          </cx:dataPt>
          <cx:dataPt idx="15">
            <cx:spPr>
              <a:solidFill>
                <a:srgbClr val="008000"/>
              </a:solidFill>
            </cx:spPr>
          </cx:dataPt>
          <cx:dataPt idx="16">
            <cx:spPr>
              <a:solidFill>
                <a:srgbClr val="008000"/>
              </a:solidFill>
            </cx:spPr>
          </cx:dataPt>
          <cx:dataPt idx="17">
            <cx:spPr>
              <a:solidFill>
                <a:srgbClr val="008000"/>
              </a:solidFill>
            </cx:spPr>
          </cx:dataPt>
          <cx:dataPt idx="18">
            <cx:spPr>
              <a:solidFill>
                <a:srgbClr val="008000"/>
              </a:solidFill>
            </cx:spPr>
          </cx:dataPt>
          <cx:dataPt idx="19">
            <cx:spPr>
              <a:solidFill>
                <a:srgbClr val="008000"/>
              </a:solidFill>
            </cx:spPr>
          </cx:dataPt>
          <cx:dataPt idx="20">
            <cx:spPr>
              <a:solidFill>
                <a:srgbClr val="008000"/>
              </a:solidFill>
            </cx:spPr>
          </cx:dataPt>
          <cx:dataPt idx="21">
            <cx:spPr>
              <a:solidFill>
                <a:srgbClr val="008000"/>
              </a:solidFill>
            </cx:spPr>
          </cx:dataPt>
          <cx:dataPt idx="22">
            <cx:spPr>
              <a:solidFill>
                <a:srgbClr val="008000"/>
              </a:solidFill>
            </cx:spPr>
          </cx:dataPt>
          <cx:dataPt idx="23">
            <cx:spPr>
              <a:solidFill>
                <a:srgbClr val="C00000"/>
              </a:solidFill>
            </cx:spPr>
          </cx:dataPt>
          <cx:dataPt idx="24">
            <cx:spPr>
              <a:solidFill>
                <a:srgbClr val="C00000"/>
              </a:solidFill>
            </cx:spPr>
          </cx:dataPt>
          <cx:dataPt idx="25">
            <cx:spPr>
              <a:solidFill>
                <a:srgbClr val="C00000"/>
              </a:solidFill>
            </cx:spPr>
          </cx:dataPt>
          <cx:dataLabels pos="outEnd">
            <cx:txPr>
              <a:bodyPr vertOverflow="overflow" horzOverflow="overflow" wrap="square" lIns="0" tIns="0" rIns="0" bIns="0"/>
              <a:lstStyle/>
              <a:p>
                <a:pPr algn="ctr" rtl="0">
                  <a:defRPr sz="900" b="0" i="0">
                    <a:solidFill>
                      <a:srgbClr val="595959"/>
                    </a:solidFill>
                    <a:latin typeface="Garamond" panose="02020404030301010803" pitchFamily="18" charset="0"/>
                    <a:ea typeface="Garamond" panose="02020404030301010803" pitchFamily="18" charset="0"/>
                    <a:cs typeface="Garamond" panose="02020404030301010803" pitchFamily="18" charset="0"/>
                  </a:defRPr>
                </a:pPr>
                <a:endParaRPr lang="en-GB">
                  <a:latin typeface="Garamond" panose="02020404030301010803" pitchFamily="18" charset="0"/>
                </a:endParaRPr>
              </a:p>
            </cx:txPr>
            <cx:visibility seriesName="0" categoryName="0" value="1"/>
          </cx:dataLabels>
          <cx:dataId val="0"/>
          <cx:layoutPr>
            <cx:visibility connectorLines="0"/>
            <cx:subtotals/>
          </cx:layoutPr>
        </cx:series>
      </cx:plotAreaRegion>
      <cx:axis id="0">
        <cx:catScaling gapWidth="0"/>
        <cx:title>
          <cx:tx>
            <cx:txData>
              <cx:v>Year</cx:v>
            </cx:txData>
          </cx:tx>
          <cx:txPr>
            <a:bodyPr spcFirstLastPara="1" vertOverflow="ellipsis" horzOverflow="overflow" wrap="square" lIns="0" tIns="0" rIns="0" bIns="0" anchor="ctr" anchorCtr="1"/>
            <a:lstStyle/>
            <a:p>
              <a:pPr algn="ctr" rtl="0">
                <a:defRPr/>
              </a:pPr>
              <a:r>
                <a:rPr lang="en-GB" sz="900" b="1" i="0" u="none" strike="noStrike" baseline="0">
                  <a:solidFill>
                    <a:sysClr val="windowText" lastClr="000000">
                      <a:lumMod val="65000"/>
                      <a:lumOff val="35000"/>
                    </a:sysClr>
                  </a:solidFill>
                  <a:latin typeface="Garamond" panose="02020404030301010803" pitchFamily="18" charset="0"/>
                </a:rPr>
                <a:t>Year</a:t>
              </a:r>
            </a:p>
          </cx:txPr>
        </cx:title>
        <cx:tickLabels/>
        <cx:txPr>
          <a:bodyPr vertOverflow="overflow" horzOverflow="overflow" wrap="square" lIns="0" tIns="0" rIns="0" bIns="0"/>
          <a:lstStyle/>
          <a:p>
            <a:pPr algn="ctr" rtl="0">
              <a:defRPr sz="900" b="0" i="0">
                <a:solidFill>
                  <a:srgbClr val="595959"/>
                </a:solidFill>
                <a:latin typeface="Garamond" panose="02020404030301010803" pitchFamily="18" charset="0"/>
                <a:ea typeface="Garamond" panose="02020404030301010803" pitchFamily="18" charset="0"/>
                <a:cs typeface="Garamond" panose="02020404030301010803" pitchFamily="18" charset="0"/>
              </a:defRPr>
            </a:pPr>
            <a:endParaRPr lang="en-GB">
              <a:latin typeface="Garamond" panose="02020404030301010803" pitchFamily="18" charset="0"/>
            </a:endParaRPr>
          </a:p>
        </cx:txPr>
      </cx:axis>
      <cx:axis id="1">
        <cx:valScaling/>
        <cx:title>
          <cx:tx>
            <cx:txData>
              <cx:v>NPV (£M)</cx:v>
            </cx:txData>
          </cx:tx>
          <cx:txPr>
            <a:bodyPr spcFirstLastPara="1" vertOverflow="ellipsis" horzOverflow="overflow" wrap="square" lIns="0" tIns="0" rIns="0" bIns="0" anchor="ctr" anchorCtr="1"/>
            <a:lstStyle/>
            <a:p>
              <a:pPr algn="ctr" rtl="0">
                <a:defRPr/>
              </a:pPr>
              <a:r>
                <a:rPr lang="en-GB" sz="900" b="1" i="0" u="none" strike="noStrike" baseline="0">
                  <a:solidFill>
                    <a:sysClr val="windowText" lastClr="000000">
                      <a:lumMod val="65000"/>
                      <a:lumOff val="35000"/>
                    </a:sysClr>
                  </a:solidFill>
                  <a:latin typeface="Garamond" panose="02020404030301010803" pitchFamily="18" charset="0"/>
                </a:rPr>
                <a:t>NPV (£M)</a:t>
              </a:r>
            </a:p>
          </cx:txPr>
        </cx:title>
        <cx:tickLabels/>
        <cx:numFmt formatCode="#,##0,, " sourceLinked="0"/>
        <cx:txPr>
          <a:bodyPr vertOverflow="overflow" horzOverflow="overflow" wrap="square" lIns="0" tIns="0" rIns="0" bIns="0"/>
          <a:lstStyle/>
          <a:p>
            <a:pPr algn="ctr" rtl="0">
              <a:defRPr sz="900" b="0" i="0">
                <a:solidFill>
                  <a:srgbClr val="595959"/>
                </a:solidFill>
                <a:latin typeface="Garamond" panose="02020404030301010803" pitchFamily="18" charset="0"/>
                <a:ea typeface="Garamond" panose="02020404030301010803" pitchFamily="18" charset="0"/>
                <a:cs typeface="Garamond" panose="02020404030301010803" pitchFamily="18" charset="0"/>
              </a:defRPr>
            </a:pPr>
            <a:endParaRPr lang="en-GB">
              <a:latin typeface="Garamond" panose="02020404030301010803" pitchFamily="18" charset="0"/>
            </a:endParaRPr>
          </a:p>
        </cx:txPr>
      </cx:axis>
    </cx:plotArea>
  </cx:chart>
  <cx:spPr>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 dir="row">_xlchart.v1.5</cx:f>
      </cx:strDim>
      <cx:numDim type="val">
        <cx:f dir="row">_xlchart.v1.4</cx:f>
      </cx:numDim>
    </cx:data>
  </cx:chartData>
  <cx:chart>
    <cx:title pos="t" align="ctr" overlay="0">
      <cx:tx>
        <cx:rich>
          <a:bodyPr spcFirstLastPara="1" vertOverflow="ellipsis" horzOverflow="overflow" wrap="square" lIns="0" tIns="0" rIns="0" bIns="0" anchor="ctr" anchorCtr="1"/>
          <a:lstStyle/>
          <a:p>
            <a:pPr algn="ctr" rtl="0">
              <a:defRPr>
                <a:latin typeface="Garamond" panose="02020404030301010803" pitchFamily="18" charset="0"/>
                <a:ea typeface="Garamond" panose="02020404030301010803" pitchFamily="18" charset="0"/>
                <a:cs typeface="Garamond" panose="02020404030301010803" pitchFamily="18" charset="0"/>
              </a:defRPr>
            </a:pPr>
            <a:r>
              <a:rPr lang="en-GB" sz="1400" b="1" i="0" u="none" strike="noStrike" baseline="0">
                <a:solidFill>
                  <a:sysClr val="windowText" lastClr="000000">
                    <a:lumMod val="65000"/>
                    <a:lumOff val="35000"/>
                  </a:sysClr>
                </a:solidFill>
                <a:latin typeface="Garamond" panose="02020404030301010803" pitchFamily="18" charset="0"/>
              </a:rPr>
              <a:t>Net cash flow (post-tax) - Annual (discounted)</a:t>
            </a:r>
          </a:p>
          <a:p>
            <a:pPr algn="ctr" rtl="0">
              <a:defRPr>
                <a:latin typeface="Garamond" panose="02020404030301010803" pitchFamily="18" charset="0"/>
                <a:ea typeface="Garamond" panose="02020404030301010803" pitchFamily="18" charset="0"/>
                <a:cs typeface="Garamond" panose="02020404030301010803" pitchFamily="18" charset="0"/>
              </a:defRPr>
            </a:pPr>
            <a:r>
              <a:rPr lang="en-GB" sz="1400" b="0" i="0" u="none" strike="noStrike" baseline="0">
                <a:solidFill>
                  <a:sysClr val="windowText" lastClr="000000">
                    <a:lumMod val="65000"/>
                    <a:lumOff val="35000"/>
                  </a:sysClr>
                </a:solidFill>
                <a:latin typeface="Garamond" panose="02020404030301010803" pitchFamily="18" charset="0"/>
              </a:rPr>
              <a:t> </a:t>
            </a:r>
            <a:r>
              <a:rPr lang="en-GB" sz="1100" b="0" i="0" u="none" strike="noStrike" baseline="0">
                <a:solidFill>
                  <a:srgbClr val="008000"/>
                </a:solidFill>
                <a:latin typeface="Garamond" panose="02020404030301010803" pitchFamily="18" charset="0"/>
              </a:rPr>
              <a:t>Increase</a:t>
            </a:r>
            <a:r>
              <a:rPr lang="en-GB" sz="1100" b="0" i="0" u="none" strike="noStrike" baseline="0">
                <a:solidFill>
                  <a:sysClr val="windowText" lastClr="000000">
                    <a:lumMod val="65000"/>
                    <a:lumOff val="35000"/>
                  </a:sysClr>
                </a:solidFill>
                <a:latin typeface="Garamond" panose="02020404030301010803" pitchFamily="18" charset="0"/>
              </a:rPr>
              <a:t>| </a:t>
            </a:r>
            <a:r>
              <a:rPr lang="en-GB" sz="1100" b="0" i="0" u="none" strike="noStrike" baseline="0">
                <a:solidFill>
                  <a:srgbClr val="C00000"/>
                </a:solidFill>
                <a:latin typeface="Garamond" panose="02020404030301010803" pitchFamily="18" charset="0"/>
              </a:rPr>
              <a:t>Decrease</a:t>
            </a:r>
            <a:endParaRPr lang="en-GB" sz="1400" b="0" i="0" u="none" strike="noStrike" baseline="0">
              <a:solidFill>
                <a:srgbClr val="C00000"/>
              </a:solidFill>
              <a:latin typeface="Garamond" panose="02020404030301010803" pitchFamily="18" charset="0"/>
            </a:endParaRPr>
          </a:p>
        </cx:rich>
      </cx:tx>
    </cx:title>
    <cx:plotArea>
      <cx:plotAreaRegion>
        <cx:plotSurface>
          <cx:spPr>
            <a:ln>
              <a:noFill/>
            </a:ln>
          </cx:spPr>
        </cx:plotSurface>
        <cx:series layoutId="waterfall" uniqueId="{8195D309-A2C6-4C52-B348-8F7AE96C32F6}">
          <cx:tx>
            <cx:txData>
              <cx:f>_xlchart.v1.3</cx:f>
              <cx:v>Post tax net cash flow (discounted)</cx:v>
            </cx:txData>
          </cx:tx>
          <cx:dataPt idx="0">
            <cx:spPr>
              <a:solidFill>
                <a:srgbClr val="C00000"/>
              </a:solidFill>
            </cx:spPr>
          </cx:dataPt>
          <cx:dataPt idx="1">
            <cx:spPr>
              <a:solidFill>
                <a:srgbClr val="C00000"/>
              </a:solidFill>
            </cx:spPr>
          </cx:dataPt>
          <cx:dataPt idx="2">
            <cx:spPr>
              <a:solidFill>
                <a:srgbClr val="C00000"/>
              </a:solidFill>
            </cx:spPr>
          </cx:dataPt>
          <cx:dataPt idx="3">
            <cx:spPr>
              <a:solidFill>
                <a:srgbClr val="008000"/>
              </a:solidFill>
            </cx:spPr>
          </cx:dataPt>
          <cx:dataPt idx="4">
            <cx:spPr>
              <a:solidFill>
                <a:srgbClr val="008000"/>
              </a:solidFill>
            </cx:spPr>
          </cx:dataPt>
          <cx:dataPt idx="5">
            <cx:spPr>
              <a:solidFill>
                <a:srgbClr val="008000"/>
              </a:solidFill>
            </cx:spPr>
          </cx:dataPt>
          <cx:dataPt idx="6">
            <cx:spPr>
              <a:solidFill>
                <a:srgbClr val="008000"/>
              </a:solidFill>
            </cx:spPr>
          </cx:dataPt>
          <cx:dataPt idx="7">
            <cx:spPr>
              <a:solidFill>
                <a:srgbClr val="008000"/>
              </a:solidFill>
            </cx:spPr>
          </cx:dataPt>
          <cx:dataPt idx="8">
            <cx:spPr>
              <a:solidFill>
                <a:srgbClr val="008000"/>
              </a:solidFill>
            </cx:spPr>
          </cx:dataPt>
          <cx:dataPt idx="9">
            <cx:spPr>
              <a:solidFill>
                <a:srgbClr val="008000"/>
              </a:solidFill>
            </cx:spPr>
          </cx:dataPt>
          <cx:dataPt idx="10">
            <cx:spPr>
              <a:solidFill>
                <a:srgbClr val="008000"/>
              </a:solidFill>
            </cx:spPr>
          </cx:dataPt>
          <cx:dataPt idx="11">
            <cx:spPr>
              <a:solidFill>
                <a:srgbClr val="008000"/>
              </a:solidFill>
            </cx:spPr>
          </cx:dataPt>
          <cx:dataPt idx="12">
            <cx:spPr>
              <a:solidFill>
                <a:srgbClr val="008000"/>
              </a:solidFill>
            </cx:spPr>
          </cx:dataPt>
          <cx:dataPt idx="13">
            <cx:spPr>
              <a:solidFill>
                <a:srgbClr val="008000"/>
              </a:solidFill>
            </cx:spPr>
          </cx:dataPt>
          <cx:dataPt idx="14">
            <cx:spPr>
              <a:solidFill>
                <a:srgbClr val="008000"/>
              </a:solidFill>
            </cx:spPr>
          </cx:dataPt>
          <cx:dataPt idx="15">
            <cx:spPr>
              <a:solidFill>
                <a:srgbClr val="008000"/>
              </a:solidFill>
            </cx:spPr>
          </cx:dataPt>
          <cx:dataPt idx="16">
            <cx:spPr>
              <a:solidFill>
                <a:srgbClr val="008000"/>
              </a:solidFill>
            </cx:spPr>
          </cx:dataPt>
          <cx:dataPt idx="17">
            <cx:spPr>
              <a:solidFill>
                <a:srgbClr val="008000"/>
              </a:solidFill>
            </cx:spPr>
          </cx:dataPt>
          <cx:dataPt idx="18">
            <cx:spPr>
              <a:solidFill>
                <a:srgbClr val="008000"/>
              </a:solidFill>
            </cx:spPr>
          </cx:dataPt>
          <cx:dataPt idx="19">
            <cx:spPr>
              <a:solidFill>
                <a:srgbClr val="008000"/>
              </a:solidFill>
            </cx:spPr>
          </cx:dataPt>
          <cx:dataPt idx="20">
            <cx:spPr>
              <a:solidFill>
                <a:srgbClr val="008000"/>
              </a:solidFill>
            </cx:spPr>
          </cx:dataPt>
          <cx:dataPt idx="21">
            <cx:spPr>
              <a:solidFill>
                <a:srgbClr val="008000"/>
              </a:solidFill>
            </cx:spPr>
          </cx:dataPt>
          <cx:dataPt idx="22">
            <cx:spPr>
              <a:solidFill>
                <a:srgbClr val="008000"/>
              </a:solidFill>
            </cx:spPr>
          </cx:dataPt>
          <cx:dataPt idx="23">
            <cx:spPr>
              <a:solidFill>
                <a:srgbClr val="C00000"/>
              </a:solidFill>
            </cx:spPr>
          </cx:dataPt>
          <cx:dataPt idx="24">
            <cx:spPr>
              <a:solidFill>
                <a:srgbClr val="C00000"/>
              </a:solidFill>
            </cx:spPr>
          </cx:dataPt>
          <cx:dataPt idx="25">
            <cx:spPr>
              <a:solidFill>
                <a:srgbClr val="C00000"/>
              </a:solidFill>
            </cx:spPr>
          </cx:dataPt>
          <cx:dataLabels pos="outEnd">
            <cx:txPr>
              <a:bodyPr vertOverflow="overflow" horzOverflow="overflow" wrap="square" lIns="0" tIns="0" rIns="0" bIns="0"/>
              <a:lstStyle/>
              <a:p>
                <a:pPr algn="ctr" rtl="0">
                  <a:defRPr sz="900" b="0" i="0">
                    <a:solidFill>
                      <a:srgbClr val="595959"/>
                    </a:solidFill>
                    <a:latin typeface="Garamond" panose="02020404030301010803" pitchFamily="18" charset="0"/>
                    <a:ea typeface="Garamond" panose="02020404030301010803" pitchFamily="18" charset="0"/>
                    <a:cs typeface="Garamond" panose="02020404030301010803" pitchFamily="18" charset="0"/>
                  </a:defRPr>
                </a:pPr>
                <a:endParaRPr lang="en-GB">
                  <a:latin typeface="Garamond" panose="02020404030301010803" pitchFamily="18" charset="0"/>
                </a:endParaRPr>
              </a:p>
            </cx:txPr>
            <cx:visibility seriesName="0" categoryName="0" value="1"/>
          </cx:dataLabels>
          <cx:dataId val="0"/>
          <cx:layoutPr>
            <cx:visibility connectorLines="0"/>
            <cx:subtotals/>
          </cx:layoutPr>
        </cx:series>
      </cx:plotAreaRegion>
      <cx:axis id="0">
        <cx:catScaling gapWidth="0"/>
        <cx:title>
          <cx:tx>
            <cx:txData>
              <cx:v>Year</cx:v>
            </cx:txData>
          </cx:tx>
          <cx:txPr>
            <a:bodyPr spcFirstLastPara="1" vertOverflow="ellipsis" horzOverflow="overflow" wrap="square" lIns="0" tIns="0" rIns="0" bIns="0" anchor="ctr" anchorCtr="1"/>
            <a:lstStyle/>
            <a:p>
              <a:pPr algn="ctr" rtl="0">
                <a:defRPr/>
              </a:pPr>
              <a:r>
                <a:rPr lang="en-GB" sz="900" b="1" i="0" u="none" strike="noStrike" baseline="0">
                  <a:solidFill>
                    <a:sysClr val="windowText" lastClr="000000">
                      <a:lumMod val="65000"/>
                      <a:lumOff val="35000"/>
                    </a:sysClr>
                  </a:solidFill>
                  <a:latin typeface="Garamond" panose="02020404030301010803" pitchFamily="18" charset="0"/>
                </a:rPr>
                <a:t>Year</a:t>
              </a:r>
            </a:p>
          </cx:txPr>
        </cx:title>
        <cx:tickLabels/>
        <cx:txPr>
          <a:bodyPr vertOverflow="overflow" horzOverflow="overflow" wrap="square" lIns="0" tIns="0" rIns="0" bIns="0"/>
          <a:lstStyle/>
          <a:p>
            <a:pPr algn="ctr" rtl="0">
              <a:defRPr sz="900" b="0" i="0">
                <a:solidFill>
                  <a:srgbClr val="595959"/>
                </a:solidFill>
                <a:latin typeface="Garamond" panose="02020404030301010803" pitchFamily="18" charset="0"/>
                <a:ea typeface="Garamond" panose="02020404030301010803" pitchFamily="18" charset="0"/>
                <a:cs typeface="Garamond" panose="02020404030301010803" pitchFamily="18" charset="0"/>
              </a:defRPr>
            </a:pPr>
            <a:endParaRPr lang="en-GB">
              <a:latin typeface="Garamond" panose="02020404030301010803" pitchFamily="18" charset="0"/>
            </a:endParaRPr>
          </a:p>
        </cx:txPr>
      </cx:axis>
      <cx:axis id="1">
        <cx:valScaling max="15000000" min="-20000000"/>
        <cx:title>
          <cx:tx>
            <cx:txData>
              <cx:v>NPV (£M)</cx:v>
            </cx:txData>
          </cx:tx>
          <cx:txPr>
            <a:bodyPr spcFirstLastPara="1" vertOverflow="ellipsis" horzOverflow="overflow" wrap="square" lIns="0" tIns="0" rIns="0" bIns="0" anchor="ctr" anchorCtr="1"/>
            <a:lstStyle/>
            <a:p>
              <a:pPr algn="ctr" rtl="0">
                <a:defRPr/>
              </a:pPr>
              <a:r>
                <a:rPr lang="en-GB" sz="900" b="1" i="0" u="none" strike="noStrike" baseline="0">
                  <a:solidFill>
                    <a:sysClr val="windowText" lastClr="000000">
                      <a:lumMod val="65000"/>
                      <a:lumOff val="35000"/>
                    </a:sysClr>
                  </a:solidFill>
                  <a:latin typeface="Garamond" panose="02020404030301010803" pitchFamily="18" charset="0"/>
                </a:rPr>
                <a:t>NPV (£M)</a:t>
              </a:r>
            </a:p>
          </cx:txPr>
        </cx:title>
        <cx:tickLabels/>
        <cx:numFmt formatCode="#,##0,, " sourceLinked="0"/>
        <cx:txPr>
          <a:bodyPr vertOverflow="overflow" horzOverflow="overflow" wrap="square" lIns="0" tIns="0" rIns="0" bIns="0"/>
          <a:lstStyle/>
          <a:p>
            <a:pPr algn="ctr" rtl="0">
              <a:defRPr sz="900" b="0" i="0">
                <a:solidFill>
                  <a:srgbClr val="595959"/>
                </a:solidFill>
                <a:latin typeface="Garamond" panose="02020404030301010803" pitchFamily="18" charset="0"/>
                <a:ea typeface="Garamond" panose="02020404030301010803" pitchFamily="18" charset="0"/>
                <a:cs typeface="Garamond" panose="02020404030301010803" pitchFamily="18" charset="0"/>
              </a:defRPr>
            </a:pPr>
            <a:endParaRPr lang="en-GB">
              <a:latin typeface="Garamond" panose="02020404030301010803" pitchFamily="18" charset="0"/>
            </a:endParaRPr>
          </a:p>
        </cx:txPr>
      </cx:axis>
    </cx:plotArea>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3.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4.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2.emf"/><Relationship Id="rId3" Type="http://schemas.openxmlformats.org/officeDocument/2006/relationships/chart" Target="../charts/chart2.xml"/><Relationship Id="rId7" Type="http://schemas.openxmlformats.org/officeDocument/2006/relationships/chart" Target="../charts/chart6.xml"/><Relationship Id="rId12" Type="http://schemas.openxmlformats.org/officeDocument/2006/relationships/image" Target="../media/image1.emf"/><Relationship Id="rId2" Type="http://schemas.microsoft.com/office/2014/relationships/chartEx" Target="../charts/chartEx1.xml"/><Relationship Id="rId1" Type="http://schemas.openxmlformats.org/officeDocument/2006/relationships/chart" Target="../charts/chart1.xml"/><Relationship Id="rId6" Type="http://schemas.openxmlformats.org/officeDocument/2006/relationships/chart" Target="../charts/chart5.xml"/><Relationship Id="rId11" Type="http://schemas.openxmlformats.org/officeDocument/2006/relationships/chart" Target="../charts/chart10.xml"/><Relationship Id="rId5" Type="http://schemas.openxmlformats.org/officeDocument/2006/relationships/chart" Target="../charts/chart4.xml"/><Relationship Id="rId10" Type="http://schemas.openxmlformats.org/officeDocument/2006/relationships/chart" Target="../charts/chart9.xml"/><Relationship Id="rId4" Type="http://schemas.openxmlformats.org/officeDocument/2006/relationships/chart" Target="../charts/chart3.xml"/><Relationship Id="rId9" Type="http://schemas.openxmlformats.org/officeDocument/2006/relationships/chart" Target="../charts/chart8.xml"/><Relationship Id="rId14" Type="http://schemas.openxmlformats.org/officeDocument/2006/relationships/image" Target="../media/image3.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9.xml"/><Relationship Id="rId3" Type="http://schemas.openxmlformats.org/officeDocument/2006/relationships/chart" Target="../charts/chart14.xml"/><Relationship Id="rId7" Type="http://schemas.openxmlformats.org/officeDocument/2006/relationships/chart" Target="../charts/chart18.xml"/><Relationship Id="rId2" Type="http://schemas.openxmlformats.org/officeDocument/2006/relationships/chart" Target="../charts/chart13.xml"/><Relationship Id="rId1" Type="http://schemas.openxmlformats.org/officeDocument/2006/relationships/chart" Target="../charts/chart12.xml"/><Relationship Id="rId6" Type="http://schemas.openxmlformats.org/officeDocument/2006/relationships/chart" Target="../charts/chart17.xml"/><Relationship Id="rId5" Type="http://schemas.openxmlformats.org/officeDocument/2006/relationships/chart" Target="../charts/chart16.xml"/><Relationship Id="rId4" Type="http://schemas.openxmlformats.org/officeDocument/2006/relationships/chart" Target="../charts/chart15.xml"/></Relationships>
</file>

<file path=xl/drawings/_rels/drawing4.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openxmlformats.org/officeDocument/2006/relationships/chart" Target="../charts/chart20.xml"/><Relationship Id="rId4"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2</xdr:col>
      <xdr:colOff>77606</xdr:colOff>
      <xdr:row>49</xdr:row>
      <xdr:rowOff>104197</xdr:rowOff>
    </xdr:from>
    <xdr:to>
      <xdr:col>13</xdr:col>
      <xdr:colOff>838326</xdr:colOff>
      <xdr:row>82</xdr:row>
      <xdr:rowOff>157801</xdr:rowOff>
    </xdr:to>
    <xdr:graphicFrame macro="">
      <xdr:nvGraphicFramePr>
        <xdr:cNvPr id="83" name="Chart 82">
          <a:extLst>
            <a:ext uri="{FF2B5EF4-FFF2-40B4-BE49-F238E27FC236}">
              <a16:creationId xmlns:a16="http://schemas.microsoft.com/office/drawing/2014/main" id="{0AC2A8BB-0CA4-5EEB-03E7-2F40E87BC6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388248</xdr:colOff>
      <xdr:row>48</xdr:row>
      <xdr:rowOff>1218</xdr:rowOff>
    </xdr:from>
    <xdr:to>
      <xdr:col>23</xdr:col>
      <xdr:colOff>796990</xdr:colOff>
      <xdr:row>84</xdr:row>
      <xdr:rowOff>172909</xdr:rowOff>
    </xdr:to>
    <xdr:sp macro="" textlink="">
      <xdr:nvSpPr>
        <xdr:cNvPr id="84" name="TextBox 83">
          <a:extLst>
            <a:ext uri="{FF2B5EF4-FFF2-40B4-BE49-F238E27FC236}">
              <a16:creationId xmlns:a16="http://schemas.microsoft.com/office/drawing/2014/main" id="{153C6A85-BA21-6D40-2D55-9BD253FF4542}"/>
            </a:ext>
          </a:extLst>
        </xdr:cNvPr>
        <xdr:cNvSpPr txBox="1"/>
      </xdr:nvSpPr>
      <xdr:spPr>
        <a:xfrm>
          <a:off x="14034268" y="10789738"/>
          <a:ext cx="8281446" cy="7169651"/>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solidFill>
                <a:schemeClr val="tx2"/>
              </a:solidFill>
              <a:latin typeface="Garamond" panose="02020404030301010803" pitchFamily="18" charset="0"/>
            </a:rPr>
            <a:t>Tornado</a:t>
          </a:r>
          <a:r>
            <a:rPr lang="en-GB" sz="1600" b="1" baseline="0">
              <a:solidFill>
                <a:schemeClr val="tx2"/>
              </a:solidFill>
              <a:latin typeface="Garamond" panose="02020404030301010803" pitchFamily="18" charset="0"/>
            </a:rPr>
            <a:t> </a:t>
          </a:r>
          <a:r>
            <a:rPr lang="en-GB" sz="1600" b="1">
              <a:solidFill>
                <a:schemeClr val="tx2"/>
              </a:solidFill>
              <a:latin typeface="Garamond" panose="02020404030301010803" pitchFamily="18" charset="0"/>
            </a:rPr>
            <a:t>analysis</a:t>
          </a:r>
        </a:p>
        <a:p>
          <a:endParaRPr lang="en-GB" sz="600" b="1">
            <a:latin typeface="Garamond" panose="02020404030301010803" pitchFamily="18" charset="0"/>
          </a:endParaRPr>
        </a:p>
        <a:p>
          <a:r>
            <a:rPr lang="en-GB" sz="1600">
              <a:latin typeface="Garamond" panose="02020404030301010803" pitchFamily="18" charset="0"/>
            </a:rPr>
            <a:t>This tornado chart illustrates the sensitivity of the net present value (NPV) to key project variables. The bars represent how much each factor influences the NPV, with the left side indicating a negative impact (worse-case scenario) and the right side showing a positive impact (better-case scenario). The colours differentiate between extreme and realistic variations:</a:t>
          </a:r>
        </a:p>
        <a:p>
          <a:endParaRPr lang="en-GB" sz="1600">
            <a:latin typeface="Garamond" panose="02020404030301010803" pitchFamily="18" charset="0"/>
          </a:endParaRPr>
        </a:p>
        <a:p>
          <a:pPr lvl="1"/>
          <a:r>
            <a:rPr lang="en-GB" sz="1600" b="1" i="0">
              <a:latin typeface="Garamond" panose="02020404030301010803" pitchFamily="18" charset="0"/>
            </a:rPr>
            <a:t>Min NPV (negative, red)</a:t>
          </a:r>
          <a:r>
            <a:rPr lang="en-GB" sz="1600" b="0" i="0">
              <a:latin typeface="Garamond" panose="02020404030301010803" pitchFamily="18" charset="0"/>
            </a:rPr>
            <a:t>.</a:t>
          </a:r>
          <a:r>
            <a:rPr lang="en-GB" sz="1600" b="1" i="0">
              <a:latin typeface="Garamond" panose="02020404030301010803" pitchFamily="18" charset="0"/>
            </a:rPr>
            <a:t> </a:t>
          </a:r>
          <a:r>
            <a:rPr lang="en-GB" sz="1600">
              <a:latin typeface="Garamond" panose="02020404030301010803" pitchFamily="18" charset="0"/>
            </a:rPr>
            <a:t>The worst-case scenario where the variable moves to its least favourable value.</a:t>
          </a:r>
        </a:p>
        <a:p>
          <a:pPr lvl="1"/>
          <a:endParaRPr lang="en-GB" sz="500" b="1">
            <a:latin typeface="Garamond" panose="02020404030301010803" pitchFamily="18" charset="0"/>
          </a:endParaRPr>
        </a:p>
        <a:p>
          <a:pPr lvl="1"/>
          <a:r>
            <a:rPr lang="en-GB" sz="1600" b="1">
              <a:latin typeface="Garamond" panose="02020404030301010803" pitchFamily="18" charset="0"/>
            </a:rPr>
            <a:t>Realistic bad (dark red)</a:t>
          </a:r>
          <a:r>
            <a:rPr lang="en-GB" sz="1600" b="0">
              <a:latin typeface="Garamond" panose="02020404030301010803" pitchFamily="18" charset="0"/>
            </a:rPr>
            <a:t>.</a:t>
          </a:r>
          <a:r>
            <a:rPr lang="en-GB" sz="1600">
              <a:latin typeface="Garamond" panose="02020404030301010803" pitchFamily="18" charset="0"/>
            </a:rPr>
            <a:t> A more probable downside within a ±10% range</a:t>
          </a:r>
          <a:r>
            <a:rPr lang="en-GB" sz="1600" baseline="0">
              <a:latin typeface="Garamond" panose="02020404030301010803" pitchFamily="18" charset="0"/>
            </a:rPr>
            <a:t> where possible</a:t>
          </a:r>
          <a:r>
            <a:rPr lang="en-GB" sz="1600">
              <a:latin typeface="Garamond" panose="02020404030301010803" pitchFamily="18" charset="0"/>
            </a:rPr>
            <a:t>. (Capacity</a:t>
          </a:r>
          <a:r>
            <a:rPr lang="en-GB" sz="1600" baseline="0">
              <a:latin typeface="Garamond" panose="02020404030301010803" pitchFamily="18" charset="0"/>
            </a:rPr>
            <a:t> factor = -11%; No. of turbines = -13%; Years before turbines start operating = +33%)</a:t>
          </a:r>
        </a:p>
        <a:p>
          <a:pPr lvl="1"/>
          <a:endParaRPr lang="en-GB" sz="500" b="1">
            <a:latin typeface="Garamond" panose="02020404030301010803" pitchFamily="18" charset="0"/>
          </a:endParaRPr>
        </a:p>
        <a:p>
          <a:pPr lvl="1"/>
          <a:r>
            <a:rPr lang="en-GB" sz="1600" b="1">
              <a:latin typeface="Garamond" panose="02020404030301010803" pitchFamily="18" charset="0"/>
            </a:rPr>
            <a:t>Realistic good (green)</a:t>
          </a:r>
          <a:r>
            <a:rPr lang="en-GB" sz="1600" b="0">
              <a:latin typeface="Garamond" panose="02020404030301010803" pitchFamily="18" charset="0"/>
            </a:rPr>
            <a:t>.</a:t>
          </a:r>
          <a:r>
            <a:rPr lang="en-GB" sz="1600">
              <a:latin typeface="Garamond" panose="02020404030301010803" pitchFamily="18" charset="0"/>
            </a:rPr>
            <a:t> The likely positive impact within a ±10% range where</a:t>
          </a:r>
          <a:r>
            <a:rPr lang="en-GB" sz="1600" baseline="0">
              <a:latin typeface="Garamond" panose="02020404030301010803" pitchFamily="18" charset="0"/>
            </a:rPr>
            <a:t> possible</a:t>
          </a:r>
          <a:r>
            <a:rPr lang="en-GB" sz="1600">
              <a:latin typeface="Garamond" panose="02020404030301010803" pitchFamily="18" charset="0"/>
            </a:rPr>
            <a:t>.</a:t>
          </a:r>
          <a:r>
            <a:rPr lang="en-GB" sz="1600" baseline="0">
              <a:latin typeface="Garamond" panose="02020404030301010803" pitchFamily="18" charset="0"/>
            </a:rPr>
            <a:t> </a:t>
          </a:r>
          <a:r>
            <a:rPr lang="en-GB" sz="1600" b="0">
              <a:latin typeface="Garamond" panose="02020404030301010803" pitchFamily="18" charset="0"/>
            </a:rPr>
            <a:t>(Capacity factor = +6%; No. of turbines = +13%; Years before turbines start operating = +0%)</a:t>
          </a:r>
        </a:p>
        <a:p>
          <a:pPr lvl="1"/>
          <a:endParaRPr lang="en-GB" sz="500" b="1">
            <a:latin typeface="Garamond" panose="02020404030301010803" pitchFamily="18" charset="0"/>
          </a:endParaRPr>
        </a:p>
        <a:p>
          <a:pPr lvl="1"/>
          <a:r>
            <a:rPr lang="en-GB" sz="1600" b="1">
              <a:latin typeface="Garamond" panose="02020404030301010803" pitchFamily="18" charset="0"/>
            </a:rPr>
            <a:t>Max NPV (light green)</a:t>
          </a:r>
          <a:r>
            <a:rPr lang="en-GB" sz="1600" b="0">
              <a:latin typeface="Garamond" panose="02020404030301010803" pitchFamily="18" charset="0"/>
            </a:rPr>
            <a:t>.</a:t>
          </a:r>
          <a:r>
            <a:rPr lang="en-GB" sz="1600" b="0" baseline="0">
              <a:latin typeface="Garamond" panose="02020404030301010803" pitchFamily="18" charset="0"/>
            </a:rPr>
            <a:t> </a:t>
          </a:r>
          <a:r>
            <a:rPr lang="en-GB" sz="1600">
              <a:latin typeface="Garamond" panose="02020404030301010803" pitchFamily="18" charset="0"/>
            </a:rPr>
            <a:t>The best possible outcome if the variable moves to its most favourable value.</a:t>
          </a:r>
        </a:p>
        <a:p>
          <a:endParaRPr lang="en-GB" sz="1600" b="1">
            <a:latin typeface="Garamond" panose="02020404030301010803"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600" b="1" i="0" u="none" strike="noStrike" kern="0" cap="none" spc="0" normalizeH="0" baseline="0" noProof="0">
              <a:ln>
                <a:noFill/>
              </a:ln>
              <a:solidFill>
                <a:schemeClr val="tx2"/>
              </a:solidFill>
              <a:effectLst/>
              <a:uLnTx/>
              <a:uFillTx/>
              <a:latin typeface="Garamond" panose="02020404030301010803" pitchFamily="18" charset="0"/>
              <a:ea typeface="+mn-ea"/>
              <a:cs typeface="+mn-cs"/>
            </a:rPr>
            <a:t>Key findings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600" b="0" i="0" u="none" strike="noStrike" kern="0" cap="none" spc="0" normalizeH="0" baseline="0" noProof="0">
            <a:ln>
              <a:noFill/>
            </a:ln>
            <a:solidFill>
              <a:schemeClr val="tx2"/>
            </a:solidFill>
            <a:effectLst/>
            <a:uLnTx/>
            <a:uFillTx/>
            <a:latin typeface="Garamond" panose="02020404030301010803" pitchFamily="18"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600" b="1" i="0" u="none" strike="noStrike" kern="0" cap="none" spc="0" normalizeH="0" baseline="0" noProof="0">
              <a:ln>
                <a:noFill/>
              </a:ln>
              <a:solidFill>
                <a:prstClr val="black"/>
              </a:solidFill>
              <a:effectLst/>
              <a:uLnTx/>
              <a:uFillTx/>
              <a:latin typeface="Garamond" panose="02020404030301010803" pitchFamily="18" charset="0"/>
              <a:ea typeface="+mn-ea"/>
              <a:cs typeface="+mn-cs"/>
            </a:rPr>
            <a:t>Average electricity price (£/MWh) is the most influential factor</a:t>
          </a:r>
          <a:r>
            <a:rPr kumimoji="0" lang="en-GB" sz="1600" b="0" i="0" u="none" strike="noStrike" kern="0" cap="none" spc="0" normalizeH="0" baseline="0" noProof="0">
              <a:ln>
                <a:noFill/>
              </a:ln>
              <a:solidFill>
                <a:prstClr val="black"/>
              </a:solidFill>
              <a:effectLst/>
              <a:uLnTx/>
              <a:uFillTx/>
              <a:latin typeface="Garamond" panose="02020404030301010803" pitchFamily="18" charset="0"/>
              <a:ea typeface="+mn-ea"/>
              <a:cs typeface="+mn-cs"/>
            </a:rPr>
            <a:t>. A significant drop in electricity price leads to a large negative NPV, while an increase boosts profitability substantially.</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500" b="0" i="0" u="none" strike="noStrike" kern="0" cap="none" spc="0" normalizeH="0" baseline="0" noProof="0">
            <a:ln>
              <a:noFill/>
            </a:ln>
            <a:solidFill>
              <a:prstClr val="black"/>
            </a:solidFill>
            <a:effectLst/>
            <a:uLnTx/>
            <a:uFillTx/>
            <a:latin typeface="Garamond" panose="02020404030301010803" pitchFamily="18"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600" b="1" i="0" u="none" strike="noStrike" kern="0" cap="none" spc="0" normalizeH="0" baseline="0" noProof="0">
              <a:ln>
                <a:noFill/>
              </a:ln>
              <a:solidFill>
                <a:prstClr val="black"/>
              </a:solidFill>
              <a:effectLst/>
              <a:uLnTx/>
              <a:uFillTx/>
              <a:latin typeface="Garamond" panose="02020404030301010803" pitchFamily="18" charset="0"/>
              <a:ea typeface="+mn-ea"/>
              <a:cs typeface="+mn-cs"/>
            </a:rPr>
            <a:t>Capacity factor has the second-largest negative impact</a:t>
          </a:r>
          <a:r>
            <a:rPr kumimoji="0" lang="en-GB" sz="1600" b="0" i="0" u="none" strike="noStrike" kern="0" cap="none" spc="0" normalizeH="0" baseline="0" noProof="0">
              <a:ln>
                <a:noFill/>
              </a:ln>
              <a:solidFill>
                <a:prstClr val="black"/>
              </a:solidFill>
              <a:effectLst/>
              <a:uLnTx/>
              <a:uFillTx/>
              <a:latin typeface="Garamond" panose="02020404030301010803" pitchFamily="18" charset="0"/>
              <a:ea typeface="+mn-ea"/>
              <a:cs typeface="+mn-cs"/>
            </a:rPr>
            <a:t>. Lower efficiency significantly erodes profitability, while higher turbine efficiency increases NPV.</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500" b="0" i="0" u="none" strike="noStrike" kern="0" cap="none" spc="0" normalizeH="0" baseline="0" noProof="0">
            <a:ln>
              <a:noFill/>
            </a:ln>
            <a:solidFill>
              <a:prstClr val="black"/>
            </a:solidFill>
            <a:effectLst/>
            <a:uLnTx/>
            <a:uFillTx/>
            <a:latin typeface="Garamond" panose="02020404030301010803" pitchFamily="18"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600" b="1" i="0" u="none" strike="noStrike" kern="0" cap="none" spc="0" normalizeH="0" baseline="0" noProof="0">
              <a:ln>
                <a:noFill/>
              </a:ln>
              <a:solidFill>
                <a:prstClr val="black"/>
              </a:solidFill>
              <a:effectLst/>
              <a:uLnTx/>
              <a:uFillTx/>
              <a:latin typeface="Garamond" panose="02020404030301010803" pitchFamily="18" charset="0"/>
              <a:ea typeface="+mn-ea"/>
              <a:cs typeface="+mn-cs"/>
            </a:rPr>
            <a:t>Discount rate has a major impact</a:t>
          </a:r>
          <a:r>
            <a:rPr kumimoji="0" lang="en-GB" sz="1600" b="0" i="0" u="none" strike="noStrike" kern="0" cap="none" spc="0" normalizeH="0" baseline="0" noProof="0">
              <a:ln>
                <a:noFill/>
              </a:ln>
              <a:solidFill>
                <a:prstClr val="black"/>
              </a:solidFill>
              <a:effectLst/>
              <a:uLnTx/>
              <a:uFillTx/>
              <a:latin typeface="Garamond" panose="02020404030301010803" pitchFamily="18" charset="0"/>
              <a:ea typeface="+mn-ea"/>
              <a:cs typeface="+mn-cs"/>
            </a:rPr>
            <a:t>. Higher discount rates reduce NPV considerably, emphasising the importance of securing low-cost financing.</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500" b="0" i="0" u="none" strike="noStrike" kern="0" cap="none" spc="0" normalizeH="0" baseline="0" noProof="0">
            <a:ln>
              <a:noFill/>
            </a:ln>
            <a:solidFill>
              <a:prstClr val="black"/>
            </a:solidFill>
            <a:effectLst/>
            <a:uLnTx/>
            <a:uFillTx/>
            <a:latin typeface="Garamond" panose="02020404030301010803" pitchFamily="18"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600" b="1" i="0" u="none" strike="noStrike" kern="0" cap="none" spc="0" normalizeH="0" baseline="0" noProof="0">
              <a:ln>
                <a:noFill/>
              </a:ln>
              <a:solidFill>
                <a:prstClr val="black"/>
              </a:solidFill>
              <a:effectLst/>
              <a:uLnTx/>
              <a:uFillTx/>
              <a:latin typeface="Garamond" panose="02020404030301010803" pitchFamily="18" charset="0"/>
              <a:ea typeface="+mn-ea"/>
              <a:cs typeface="+mn-cs"/>
            </a:rPr>
            <a:t>Operational expenditure (OpEx) and inflation moderately affect NPV</a:t>
          </a:r>
          <a:r>
            <a:rPr kumimoji="0" lang="en-GB" sz="1600" b="0" i="0" u="none" strike="noStrike" kern="0" cap="none" spc="0" normalizeH="0" baseline="0" noProof="0">
              <a:ln>
                <a:noFill/>
              </a:ln>
              <a:solidFill>
                <a:prstClr val="black"/>
              </a:solidFill>
              <a:effectLst/>
              <a:uLnTx/>
              <a:uFillTx/>
              <a:latin typeface="Garamond" panose="02020404030301010803" pitchFamily="18" charset="0"/>
              <a:ea typeface="+mn-ea"/>
              <a:cs typeface="+mn-cs"/>
            </a:rPr>
            <a:t>. While reducing costs improves financial viability, their overall influence is lower than electricity prices or discount rates.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500" b="0" i="0" u="none" strike="noStrike" kern="0" cap="none" spc="0" normalizeH="0" baseline="0" noProof="0">
            <a:ln>
              <a:noFill/>
            </a:ln>
            <a:solidFill>
              <a:prstClr val="black"/>
            </a:solidFill>
            <a:effectLst/>
            <a:uLnTx/>
            <a:uFillTx/>
            <a:latin typeface="Garamond" panose="02020404030301010803" pitchFamily="18"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600" b="1" i="0" u="none" strike="noStrike" kern="0" cap="none" spc="0" normalizeH="0" baseline="0" noProof="0">
              <a:ln>
                <a:noFill/>
              </a:ln>
              <a:solidFill>
                <a:prstClr val="black"/>
              </a:solidFill>
              <a:effectLst/>
              <a:uLnTx/>
              <a:uFillTx/>
              <a:latin typeface="Garamond" panose="02020404030301010803" pitchFamily="18" charset="0"/>
              <a:ea typeface="+mn-ea"/>
              <a:cs typeface="+mn-cs"/>
            </a:rPr>
            <a:t>Project delays and turbine lifetime have a smaller effect</a:t>
          </a:r>
          <a:r>
            <a:rPr kumimoji="0" lang="en-GB" sz="1600" b="0" i="0" u="none" strike="noStrike" kern="0" cap="none" spc="0" normalizeH="0" baseline="0" noProof="0">
              <a:ln>
                <a:noFill/>
              </a:ln>
              <a:solidFill>
                <a:prstClr val="black"/>
              </a:solidFill>
              <a:effectLst/>
              <a:uLnTx/>
              <a:uFillTx/>
              <a:latin typeface="Garamond" panose="02020404030301010803" pitchFamily="18" charset="0"/>
              <a:ea typeface="+mn-ea"/>
              <a:cs typeface="+mn-cs"/>
            </a:rPr>
            <a:t>. Although delays and turbine lifespan impact returns, their effect is generally less pronounced compared to other variables.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600" b="0" i="0" u="none" strike="noStrike" kern="0" cap="none" spc="0" normalizeH="0" baseline="0" noProof="0">
            <a:ln>
              <a:noFill/>
            </a:ln>
            <a:solidFill>
              <a:prstClr val="black"/>
            </a:solidFill>
            <a:effectLst/>
            <a:uLnTx/>
            <a:uFillTx/>
            <a:latin typeface="Garamond" panose="02020404030301010803" pitchFamily="18" charset="0"/>
            <a:ea typeface="+mn-ea"/>
            <a:cs typeface="+mn-cs"/>
          </a:endParaRPr>
        </a:p>
        <a:p>
          <a:endParaRPr lang="en-GB" sz="1600" b="1">
            <a:latin typeface="Garamond" panose="02020404030301010803" pitchFamily="18" charset="0"/>
          </a:endParaRPr>
        </a:p>
      </xdr:txBody>
    </xdr:sp>
    <xdr:clientData/>
  </xdr:twoCellAnchor>
  <xdr:twoCellAnchor>
    <xdr:from>
      <xdr:col>1</xdr:col>
      <xdr:colOff>131337</xdr:colOff>
      <xdr:row>13</xdr:row>
      <xdr:rowOff>178588</xdr:rowOff>
    </xdr:from>
    <xdr:to>
      <xdr:col>11</xdr:col>
      <xdr:colOff>326164</xdr:colOff>
      <xdr:row>43</xdr:row>
      <xdr:rowOff>177123</xdr:rowOff>
    </xdr:to>
    <mc:AlternateContent xmlns:mc="http://schemas.openxmlformats.org/markup-compatibility/2006">
      <mc:Choice xmlns:cx1="http://schemas.microsoft.com/office/drawing/2015/9/8/chartex" Requires="cx1">
        <xdr:graphicFrame macro="">
          <xdr:nvGraphicFramePr>
            <xdr:cNvPr id="85" name="Chart 84">
              <a:extLst>
                <a:ext uri="{FF2B5EF4-FFF2-40B4-BE49-F238E27FC236}">
                  <a16:creationId xmlns:a16="http://schemas.microsoft.com/office/drawing/2014/main" id="{E6944A87-7859-DAFD-6966-50189E62C35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31710" y="3446147"/>
              <a:ext cx="10501200" cy="58104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709151</xdr:colOff>
      <xdr:row>13</xdr:row>
      <xdr:rowOff>179279</xdr:rowOff>
    </xdr:from>
    <xdr:to>
      <xdr:col>23</xdr:col>
      <xdr:colOff>671651</xdr:colOff>
      <xdr:row>43</xdr:row>
      <xdr:rowOff>176432</xdr:rowOff>
    </xdr:to>
    <xdr:graphicFrame macro="">
      <xdr:nvGraphicFramePr>
        <xdr:cNvPr id="86" name="Chart 85">
          <a:extLst>
            <a:ext uri="{FF2B5EF4-FFF2-40B4-BE49-F238E27FC236}">
              <a16:creationId xmlns:a16="http://schemas.microsoft.com/office/drawing/2014/main" id="{C25B0142-BD18-5B13-AD17-7FAE5B56CB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17</xdr:col>
      <xdr:colOff>0</xdr:colOff>
      <xdr:row>5</xdr:row>
      <xdr:rowOff>0</xdr:rowOff>
    </xdr:from>
    <xdr:ext cx="5544000" cy="2243358"/>
    <xdr:sp macro="" textlink="">
      <xdr:nvSpPr>
        <xdr:cNvPr id="88" name="TextBox 87">
          <a:extLst>
            <a:ext uri="{FF2B5EF4-FFF2-40B4-BE49-F238E27FC236}">
              <a16:creationId xmlns:a16="http://schemas.microsoft.com/office/drawing/2014/main" id="{77C41457-E7B7-4A88-9083-71773E959353}"/>
            </a:ext>
          </a:extLst>
        </xdr:cNvPr>
        <xdr:cNvSpPr txBox="1"/>
      </xdr:nvSpPr>
      <xdr:spPr>
        <a:xfrm>
          <a:off x="16192500" y="931793"/>
          <a:ext cx="5544000" cy="2243358"/>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600" b="1">
              <a:solidFill>
                <a:schemeClr val="tx2"/>
              </a:solidFill>
              <a:effectLst/>
              <a:latin typeface="Garamond" panose="02020404030301010803" pitchFamily="18" charset="0"/>
              <a:ea typeface="+mn-ea"/>
              <a:cs typeface="+mn-cs"/>
            </a:rPr>
            <a:t>Key findings from sensitivity</a:t>
          </a:r>
          <a:r>
            <a:rPr lang="en-GB" sz="1600" b="1" baseline="0">
              <a:solidFill>
                <a:schemeClr val="tx2"/>
              </a:solidFill>
              <a:effectLst/>
              <a:latin typeface="Garamond" panose="02020404030301010803" pitchFamily="18" charset="0"/>
              <a:ea typeface="+mn-ea"/>
              <a:cs typeface="+mn-cs"/>
            </a:rPr>
            <a:t> analysis</a:t>
          </a:r>
          <a:endParaRPr lang="en-GB" sz="1600" b="1">
            <a:solidFill>
              <a:schemeClr val="tx2"/>
            </a:solidFill>
            <a:effectLst/>
            <a:latin typeface="Garamond" panose="02020404030301010803" pitchFamily="18" charset="0"/>
            <a:ea typeface="+mn-ea"/>
            <a:cs typeface="+mn-cs"/>
          </a:endParaRPr>
        </a:p>
        <a:p>
          <a:endParaRPr lang="en-GB" sz="600">
            <a:solidFill>
              <a:schemeClr val="tx2"/>
            </a:solidFill>
            <a:effectLst/>
            <a:latin typeface="Garamond" panose="02020404030301010803" pitchFamily="18" charset="0"/>
          </a:endParaRPr>
        </a:p>
        <a:p>
          <a:r>
            <a:rPr lang="en-GB" sz="1600" b="0">
              <a:solidFill>
                <a:schemeClr val="tx1"/>
              </a:solidFill>
              <a:effectLst/>
              <a:latin typeface="Garamond" panose="02020404030301010803" pitchFamily="18" charset="0"/>
              <a:ea typeface="+mn-ea"/>
              <a:cs typeface="+mn-cs"/>
            </a:rPr>
            <a:t>- Average electricity price (£/MWh) is the most influential factor.</a:t>
          </a:r>
        </a:p>
        <a:p>
          <a:endParaRPr lang="en-GB" sz="500" b="0">
            <a:effectLst/>
            <a:latin typeface="Garamond" panose="02020404030301010803" pitchFamily="18" charset="0"/>
          </a:endParaRPr>
        </a:p>
        <a:p>
          <a:r>
            <a:rPr lang="en-GB" sz="1600" b="0">
              <a:solidFill>
                <a:schemeClr val="tx1"/>
              </a:solidFill>
              <a:effectLst/>
              <a:latin typeface="Garamond" panose="02020404030301010803" pitchFamily="18" charset="0"/>
              <a:ea typeface="+mn-ea"/>
              <a:cs typeface="+mn-cs"/>
            </a:rPr>
            <a:t>- Capacity factor has the second-largest negative impact. Discount rate has</a:t>
          </a:r>
          <a:r>
            <a:rPr lang="en-GB" sz="1600" b="0" baseline="0">
              <a:solidFill>
                <a:schemeClr val="tx1"/>
              </a:solidFill>
              <a:effectLst/>
              <a:latin typeface="Garamond" panose="02020404030301010803" pitchFamily="18" charset="0"/>
              <a:ea typeface="+mn-ea"/>
              <a:cs typeface="+mn-cs"/>
            </a:rPr>
            <a:t> a major impact.</a:t>
          </a:r>
        </a:p>
        <a:p>
          <a:endParaRPr lang="en-GB" sz="500" b="0" baseline="0">
            <a:solidFill>
              <a:schemeClr val="tx1"/>
            </a:solidFill>
            <a:effectLst/>
            <a:latin typeface="Garamond" panose="02020404030301010803" pitchFamily="18" charset="0"/>
            <a:ea typeface="+mn-ea"/>
            <a:cs typeface="+mn-cs"/>
          </a:endParaRPr>
        </a:p>
        <a:p>
          <a:r>
            <a:rPr lang="en-GB" sz="1600" b="0">
              <a:solidFill>
                <a:schemeClr val="tx1"/>
              </a:solidFill>
              <a:effectLst/>
              <a:latin typeface="Garamond" panose="02020404030301010803" pitchFamily="18" charset="0"/>
              <a:ea typeface="+mn-ea"/>
              <a:cs typeface="+mn-cs"/>
            </a:rPr>
            <a:t>- Operational expenditure (OpEx) and inflation moderately affect NPV.</a:t>
          </a:r>
          <a:r>
            <a:rPr lang="en-GB" sz="1600" b="0" baseline="0">
              <a:solidFill>
                <a:schemeClr val="tx1"/>
              </a:solidFill>
              <a:effectLst/>
              <a:latin typeface="Garamond" panose="02020404030301010803" pitchFamily="18" charset="0"/>
              <a:ea typeface="+mn-ea"/>
              <a:cs typeface="+mn-cs"/>
            </a:rPr>
            <a:t> </a:t>
          </a:r>
        </a:p>
        <a:p>
          <a:endParaRPr lang="en-GB" sz="500" b="0">
            <a:solidFill>
              <a:schemeClr val="tx1"/>
            </a:solidFill>
            <a:effectLst/>
            <a:latin typeface="Garamond" panose="02020404030301010803" pitchFamily="18" charset="0"/>
            <a:ea typeface="+mn-ea"/>
            <a:cs typeface="+mn-cs"/>
          </a:endParaRPr>
        </a:p>
        <a:p>
          <a:r>
            <a:rPr lang="en-GB" sz="1600" b="0">
              <a:solidFill>
                <a:schemeClr val="tx1"/>
              </a:solidFill>
              <a:effectLst/>
              <a:latin typeface="Garamond" panose="02020404030301010803" pitchFamily="18" charset="0"/>
              <a:ea typeface="+mn-ea"/>
              <a:cs typeface="+mn-cs"/>
            </a:rPr>
            <a:t>- Project delays and turbine lifetime have a smaller effect.</a:t>
          </a:r>
          <a:endParaRPr lang="en-GB" sz="1600" b="0" baseline="0">
            <a:solidFill>
              <a:schemeClr val="tx1"/>
            </a:solidFill>
            <a:effectLst/>
            <a:latin typeface="Garamond" panose="02020404030301010803" pitchFamily="18" charset="0"/>
            <a:ea typeface="+mn-ea"/>
            <a:cs typeface="+mn-cs"/>
          </a:endParaRPr>
        </a:p>
        <a:p>
          <a:endParaRPr lang="en-GB" sz="500" b="0"/>
        </a:p>
      </xdr:txBody>
    </xdr:sp>
    <xdr:clientData/>
  </xdr:oneCellAnchor>
  <xdr:twoCellAnchor>
    <xdr:from>
      <xdr:col>10</xdr:col>
      <xdr:colOff>0</xdr:colOff>
      <xdr:row>5</xdr:row>
      <xdr:rowOff>0</xdr:rowOff>
    </xdr:from>
    <xdr:to>
      <xdr:col>16</xdr:col>
      <xdr:colOff>323684</xdr:colOff>
      <xdr:row>12</xdr:row>
      <xdr:rowOff>118240</xdr:rowOff>
    </xdr:to>
    <xdr:sp macro="" textlink="">
      <xdr:nvSpPr>
        <xdr:cNvPr id="89" name="TextBox 88">
          <a:extLst>
            <a:ext uri="{FF2B5EF4-FFF2-40B4-BE49-F238E27FC236}">
              <a16:creationId xmlns:a16="http://schemas.microsoft.com/office/drawing/2014/main" id="{D6CF8384-0558-4903-94B5-6C8EF32DC03F}"/>
            </a:ext>
          </a:extLst>
        </xdr:cNvPr>
        <xdr:cNvSpPr txBox="1"/>
      </xdr:nvSpPr>
      <xdr:spPr>
        <a:xfrm>
          <a:off x="9827172" y="985345"/>
          <a:ext cx="5605133" cy="2259723"/>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solidFill>
                <a:schemeClr val="tx2"/>
              </a:solidFill>
              <a:latin typeface="Garamond" panose="02020404030301010803" pitchFamily="18" charset="0"/>
            </a:rPr>
            <a:t>Summary of results</a:t>
          </a:r>
        </a:p>
        <a:p>
          <a:endParaRPr lang="en-GB" sz="600" b="0">
            <a:latin typeface="Garamond" panose="02020404030301010803" pitchFamily="18" charset="0"/>
          </a:endParaRPr>
        </a:p>
        <a:p>
          <a:r>
            <a:rPr lang="en-GB" sz="1600" b="0">
              <a:latin typeface="Garamond" panose="02020404030301010803" pitchFamily="18" charset="0"/>
            </a:rPr>
            <a:t>- The project achieves an NPV of £8.75M and an IRR of 15% in the base case, with a worse-case NPV of £5.92M (IRR 11%) and a better-case NPV of £9.80M (IRR 16%). </a:t>
          </a:r>
        </a:p>
        <a:p>
          <a:endParaRPr lang="en-GB" sz="500" b="0">
            <a:latin typeface="Garamond" panose="02020404030301010803" pitchFamily="18" charset="0"/>
          </a:endParaRPr>
        </a:p>
        <a:p>
          <a:r>
            <a:rPr lang="en-GB" sz="1600" b="0">
              <a:latin typeface="Garamond" panose="02020404030301010803" pitchFamily="18" charset="0"/>
            </a:rPr>
            <a:t>- Profitability occurs around year 11, with early losses but strong long-term cash flow growth. </a:t>
          </a:r>
        </a:p>
        <a:p>
          <a:endParaRPr lang="en-GB" sz="500" b="0">
            <a:latin typeface="Garamond" panose="02020404030301010803" pitchFamily="18" charset="0"/>
          </a:endParaRPr>
        </a:p>
        <a:p>
          <a:r>
            <a:rPr lang="en-GB" sz="1600" b="0">
              <a:latin typeface="Garamond" panose="02020404030301010803" pitchFamily="18" charset="0"/>
            </a:rPr>
            <a:t>- LCOE remains stable (£43.69–£44.31/MWh), and ROI ranges from 46% to 77%, confirming profitability across scenarios.</a:t>
          </a:r>
          <a:endParaRPr lang="en-GB" sz="1600" b="0" baseline="0">
            <a:latin typeface="Garamond" panose="02020404030301010803" pitchFamily="18" charset="0"/>
          </a:endParaRPr>
        </a:p>
      </xdr:txBody>
    </xdr:sp>
    <xdr:clientData/>
  </xdr:twoCellAnchor>
  <xdr:twoCellAnchor>
    <xdr:from>
      <xdr:col>12</xdr:col>
      <xdr:colOff>240127</xdr:colOff>
      <xdr:row>131</xdr:row>
      <xdr:rowOff>0</xdr:rowOff>
    </xdr:from>
    <xdr:to>
      <xdr:col>22</xdr:col>
      <xdr:colOff>861935</xdr:colOff>
      <xdr:row>152</xdr:row>
      <xdr:rowOff>116304</xdr:rowOff>
    </xdr:to>
    <xdr:graphicFrame macro="">
      <xdr:nvGraphicFramePr>
        <xdr:cNvPr id="93" name="Chart 92">
          <a:extLst>
            <a:ext uri="{FF2B5EF4-FFF2-40B4-BE49-F238E27FC236}">
              <a16:creationId xmlns:a16="http://schemas.microsoft.com/office/drawing/2014/main" id="{76BF79F4-2B1C-420B-BFA9-C1DB5CFF51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688005</xdr:colOff>
      <xdr:row>131</xdr:row>
      <xdr:rowOff>0</xdr:rowOff>
    </xdr:from>
    <xdr:to>
      <xdr:col>10</xdr:col>
      <xdr:colOff>856965</xdr:colOff>
      <xdr:row>152</xdr:row>
      <xdr:rowOff>133502</xdr:rowOff>
    </xdr:to>
    <xdr:graphicFrame macro="">
      <xdr:nvGraphicFramePr>
        <xdr:cNvPr id="94" name="Chart 93">
          <a:extLst>
            <a:ext uri="{FF2B5EF4-FFF2-40B4-BE49-F238E27FC236}">
              <a16:creationId xmlns:a16="http://schemas.microsoft.com/office/drawing/2014/main" id="{98F4E603-8815-4A93-8BF6-45D7F7B250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695544</xdr:colOff>
      <xdr:row>155</xdr:row>
      <xdr:rowOff>189254</xdr:rowOff>
    </xdr:from>
    <xdr:to>
      <xdr:col>10</xdr:col>
      <xdr:colOff>828576</xdr:colOff>
      <xdr:row>177</xdr:row>
      <xdr:rowOff>135384</xdr:rowOff>
    </xdr:to>
    <xdr:graphicFrame macro="">
      <xdr:nvGraphicFramePr>
        <xdr:cNvPr id="95" name="Chart 94">
          <a:extLst>
            <a:ext uri="{FF2B5EF4-FFF2-40B4-BE49-F238E27FC236}">
              <a16:creationId xmlns:a16="http://schemas.microsoft.com/office/drawing/2014/main" id="{C95C886E-4492-4D19-9F51-F9C0848D5E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234083</xdr:colOff>
      <xdr:row>155</xdr:row>
      <xdr:rowOff>189254</xdr:rowOff>
    </xdr:from>
    <xdr:to>
      <xdr:col>22</xdr:col>
      <xdr:colOff>865189</xdr:colOff>
      <xdr:row>177</xdr:row>
      <xdr:rowOff>134529</xdr:rowOff>
    </xdr:to>
    <xdr:graphicFrame macro="">
      <xdr:nvGraphicFramePr>
        <xdr:cNvPr id="96" name="Chart 95">
          <a:extLst>
            <a:ext uri="{FF2B5EF4-FFF2-40B4-BE49-F238E27FC236}">
              <a16:creationId xmlns:a16="http://schemas.microsoft.com/office/drawing/2014/main" id="{1E13FB2B-A6B1-4A0C-982C-CD6EE2F456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691896</xdr:colOff>
      <xdr:row>181</xdr:row>
      <xdr:rowOff>0</xdr:rowOff>
    </xdr:from>
    <xdr:to>
      <xdr:col>11</xdr:col>
      <xdr:colOff>13097</xdr:colOff>
      <xdr:row>202</xdr:row>
      <xdr:rowOff>155181</xdr:rowOff>
    </xdr:to>
    <xdr:graphicFrame macro="">
      <xdr:nvGraphicFramePr>
        <xdr:cNvPr id="97" name="Chart 96">
          <a:extLst>
            <a:ext uri="{FF2B5EF4-FFF2-40B4-BE49-F238E27FC236}">
              <a16:creationId xmlns:a16="http://schemas.microsoft.com/office/drawing/2014/main" id="{DC1B4264-4C15-4843-AD01-7153CA9573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304626</xdr:colOff>
      <xdr:row>181</xdr:row>
      <xdr:rowOff>0</xdr:rowOff>
    </xdr:from>
    <xdr:to>
      <xdr:col>22</xdr:col>
      <xdr:colOff>858827</xdr:colOff>
      <xdr:row>202</xdr:row>
      <xdr:rowOff>140403</xdr:rowOff>
    </xdr:to>
    <xdr:graphicFrame macro="">
      <xdr:nvGraphicFramePr>
        <xdr:cNvPr id="98" name="Chart 97">
          <a:extLst>
            <a:ext uri="{FF2B5EF4-FFF2-40B4-BE49-F238E27FC236}">
              <a16:creationId xmlns:a16="http://schemas.microsoft.com/office/drawing/2014/main" id="{475E15C4-BFB8-42E1-BC7C-067D332B48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691896</xdr:colOff>
      <xdr:row>206</xdr:row>
      <xdr:rowOff>0</xdr:rowOff>
    </xdr:from>
    <xdr:to>
      <xdr:col>11</xdr:col>
      <xdr:colOff>17774</xdr:colOff>
      <xdr:row>227</xdr:row>
      <xdr:rowOff>137493</xdr:rowOff>
    </xdr:to>
    <xdr:graphicFrame macro="">
      <xdr:nvGraphicFramePr>
        <xdr:cNvPr id="99" name="Chart 98">
          <a:extLst>
            <a:ext uri="{FF2B5EF4-FFF2-40B4-BE49-F238E27FC236}">
              <a16:creationId xmlns:a16="http://schemas.microsoft.com/office/drawing/2014/main" id="{838058BF-76CE-49CD-9BCD-553DB5FA47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oneCellAnchor>
    <xdr:from>
      <xdr:col>2</xdr:col>
      <xdr:colOff>1770945</xdr:colOff>
      <xdr:row>134</xdr:row>
      <xdr:rowOff>10200</xdr:rowOff>
    </xdr:from>
    <xdr:ext cx="3409720" cy="1648149"/>
    <xdr:sp macro="" textlink="">
      <xdr:nvSpPr>
        <xdr:cNvPr id="101" name="TextBox 100">
          <a:extLst>
            <a:ext uri="{FF2B5EF4-FFF2-40B4-BE49-F238E27FC236}">
              <a16:creationId xmlns:a16="http://schemas.microsoft.com/office/drawing/2014/main" id="{9CB17A66-65FF-4176-9D18-60AB060D91AA}"/>
            </a:ext>
          </a:extLst>
        </xdr:cNvPr>
        <xdr:cNvSpPr txBox="1"/>
      </xdr:nvSpPr>
      <xdr:spPr>
        <a:xfrm>
          <a:off x="2357827" y="18037889"/>
          <a:ext cx="3409720" cy="1648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200">
              <a:solidFill>
                <a:schemeClr val="accent5">
                  <a:lumMod val="75000"/>
                </a:schemeClr>
              </a:solidFill>
              <a:latin typeface="Garamond" panose="02020404030301010803" pitchFamily="18" charset="0"/>
            </a:rPr>
            <a:t>NPV is highly sensitive to electricity prices. A drop of 50% in electricity price leads to a negative NPV, making the project unviable. Conversely, a 50% increase significantly boosts profitability.</a:t>
          </a:r>
        </a:p>
        <a:p>
          <a:endParaRPr lang="en-GB" sz="1200">
            <a:solidFill>
              <a:schemeClr val="accent5">
                <a:lumMod val="75000"/>
              </a:schemeClr>
            </a:solidFill>
            <a:latin typeface="Garamond" panose="02020404030301010803"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chemeClr val="accent5">
                  <a:lumMod val="75000"/>
                </a:schemeClr>
              </a:solidFill>
              <a:effectLst/>
              <a:uLnTx/>
              <a:uFillTx/>
              <a:latin typeface="Garamond" panose="02020404030301010803" pitchFamily="18" charset="0"/>
              <a:ea typeface="+mn-ea"/>
              <a:cs typeface="+mn-cs"/>
            </a:rPr>
            <a:t>Recommendation:</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0" i="0" u="none" strike="noStrike" kern="0" cap="none" spc="0" normalizeH="0" baseline="0" noProof="0">
              <a:ln>
                <a:noFill/>
              </a:ln>
              <a:solidFill>
                <a:schemeClr val="accent5">
                  <a:lumMod val="75000"/>
                </a:schemeClr>
              </a:solidFill>
              <a:effectLst/>
              <a:uLnTx/>
              <a:uFillTx/>
              <a:latin typeface="Garamond" panose="02020404030301010803" pitchFamily="18" charset="0"/>
              <a:ea typeface="+mn-ea"/>
              <a:cs typeface="+mn-cs"/>
            </a:rPr>
            <a:t>Risk mitigation should consider long-term price contracts or subsidies.</a:t>
          </a:r>
        </a:p>
        <a:p>
          <a:endParaRPr lang="en-GB" sz="1200">
            <a:solidFill>
              <a:schemeClr val="accent5">
                <a:lumMod val="75000"/>
              </a:schemeClr>
            </a:solidFill>
            <a:latin typeface="Garamond" panose="02020404030301010803" pitchFamily="18" charset="0"/>
          </a:endParaRPr>
        </a:p>
      </xdr:txBody>
    </xdr:sp>
    <xdr:clientData/>
  </xdr:oneCellAnchor>
  <xdr:oneCellAnchor>
    <xdr:from>
      <xdr:col>19</xdr:col>
      <xdr:colOff>168505</xdr:colOff>
      <xdr:row>133</xdr:row>
      <xdr:rowOff>79674</xdr:rowOff>
    </xdr:from>
    <xdr:ext cx="3256765" cy="1427132"/>
    <xdr:sp macro="" textlink="">
      <xdr:nvSpPr>
        <xdr:cNvPr id="102" name="TextBox 101">
          <a:extLst>
            <a:ext uri="{FF2B5EF4-FFF2-40B4-BE49-F238E27FC236}">
              <a16:creationId xmlns:a16="http://schemas.microsoft.com/office/drawing/2014/main" id="{655E68CD-92A6-41CA-A837-3E9B5C05FF14}"/>
            </a:ext>
          </a:extLst>
        </xdr:cNvPr>
        <xdr:cNvSpPr txBox="1"/>
      </xdr:nvSpPr>
      <xdr:spPr>
        <a:xfrm>
          <a:off x="17914140" y="18210792"/>
          <a:ext cx="3256765" cy="14271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200" b="0">
              <a:solidFill>
                <a:schemeClr val="accent5">
                  <a:lumMod val="75000"/>
                </a:schemeClr>
              </a:solidFill>
              <a:latin typeface="Garamond" panose="02020404030301010803" pitchFamily="18" charset="0"/>
            </a:rPr>
            <a:t>NPV declines significantly as the discount rate increases, indicating the project is highly sensitive to the project's cost of capital.</a:t>
          </a:r>
        </a:p>
        <a:p>
          <a:endParaRPr lang="en-GB" sz="1200" b="0">
            <a:solidFill>
              <a:schemeClr val="accent5">
                <a:lumMod val="75000"/>
              </a:schemeClr>
            </a:solidFill>
            <a:latin typeface="Garamond" panose="02020404030301010803" pitchFamily="18" charset="0"/>
          </a:endParaRPr>
        </a:p>
        <a:p>
          <a:r>
            <a:rPr lang="en-GB" sz="1200" b="1">
              <a:solidFill>
                <a:schemeClr val="accent5">
                  <a:lumMod val="75000"/>
                </a:schemeClr>
              </a:solidFill>
              <a:latin typeface="Garamond" panose="02020404030301010803" pitchFamily="18" charset="0"/>
            </a:rPr>
            <a:t>Recommendation: </a:t>
          </a:r>
        </a:p>
        <a:p>
          <a:r>
            <a:rPr lang="en-GB" sz="1200" b="0">
              <a:solidFill>
                <a:schemeClr val="accent5">
                  <a:lumMod val="75000"/>
                </a:schemeClr>
              </a:solidFill>
              <a:latin typeface="Garamond" panose="02020404030301010803" pitchFamily="18" charset="0"/>
            </a:rPr>
            <a:t>Secure low-cost financing or government incentives to</a:t>
          </a:r>
          <a:r>
            <a:rPr lang="en-GB" sz="1200" b="0" baseline="0">
              <a:solidFill>
                <a:schemeClr val="accent5">
                  <a:lumMod val="75000"/>
                </a:schemeClr>
              </a:solidFill>
              <a:latin typeface="Garamond" panose="02020404030301010803" pitchFamily="18" charset="0"/>
            </a:rPr>
            <a:t> maximise profitability</a:t>
          </a:r>
          <a:r>
            <a:rPr lang="en-GB" sz="1200" b="0">
              <a:solidFill>
                <a:schemeClr val="accent5">
                  <a:lumMod val="75000"/>
                </a:schemeClr>
              </a:solidFill>
              <a:latin typeface="Garamond" panose="02020404030301010803" pitchFamily="18" charset="0"/>
            </a:rPr>
            <a:t>.</a:t>
          </a:r>
        </a:p>
      </xdr:txBody>
    </xdr:sp>
    <xdr:clientData/>
  </xdr:oneCellAnchor>
  <xdr:oneCellAnchor>
    <xdr:from>
      <xdr:col>2</xdr:col>
      <xdr:colOff>1779052</xdr:colOff>
      <xdr:row>158</xdr:row>
      <xdr:rowOff>184348</xdr:rowOff>
    </xdr:from>
    <xdr:ext cx="2838075" cy="1427132"/>
    <xdr:sp macro="" textlink="">
      <xdr:nvSpPr>
        <xdr:cNvPr id="103" name="TextBox 102">
          <a:extLst>
            <a:ext uri="{FF2B5EF4-FFF2-40B4-BE49-F238E27FC236}">
              <a16:creationId xmlns:a16="http://schemas.microsoft.com/office/drawing/2014/main" id="{C821578C-B118-4D28-82DA-4DB5A475B969}"/>
            </a:ext>
          </a:extLst>
        </xdr:cNvPr>
        <xdr:cNvSpPr txBox="1"/>
      </xdr:nvSpPr>
      <xdr:spPr>
        <a:xfrm>
          <a:off x="2366738" y="22755485"/>
          <a:ext cx="2838075" cy="14271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200" b="0">
              <a:solidFill>
                <a:schemeClr val="accent5">
                  <a:lumMod val="75000"/>
                </a:schemeClr>
              </a:solidFill>
              <a:latin typeface="Garamond" panose="02020404030301010803" pitchFamily="18" charset="0"/>
            </a:rPr>
            <a:t>Higher capacity factors improve NPV, showing a clear benefit from efficiency improvements or favorable wind conditions.</a:t>
          </a:r>
        </a:p>
        <a:p>
          <a:endParaRPr lang="en-GB" sz="1200" b="0">
            <a:solidFill>
              <a:schemeClr val="accent5">
                <a:lumMod val="75000"/>
              </a:schemeClr>
            </a:solidFill>
            <a:latin typeface="Garamond" panose="02020404030301010803" pitchFamily="18" charset="0"/>
          </a:endParaRPr>
        </a:p>
        <a:p>
          <a:r>
            <a:rPr lang="en-GB" sz="1200" b="1">
              <a:solidFill>
                <a:schemeClr val="accent5">
                  <a:lumMod val="75000"/>
                </a:schemeClr>
              </a:solidFill>
              <a:latin typeface="Garamond" panose="02020404030301010803" pitchFamily="18" charset="0"/>
            </a:rPr>
            <a:t>Recommendation: </a:t>
          </a:r>
        </a:p>
        <a:p>
          <a:r>
            <a:rPr lang="en-GB" sz="1200" b="0">
              <a:solidFill>
                <a:schemeClr val="accent5">
                  <a:lumMod val="75000"/>
                </a:schemeClr>
              </a:solidFill>
              <a:latin typeface="Garamond" panose="02020404030301010803" pitchFamily="18" charset="0"/>
            </a:rPr>
            <a:t>Maximise turbine efficiency through placement and technology improvements.</a:t>
          </a:r>
        </a:p>
      </xdr:txBody>
    </xdr:sp>
    <xdr:clientData/>
  </xdr:oneCellAnchor>
  <xdr:oneCellAnchor>
    <xdr:from>
      <xdr:col>2</xdr:col>
      <xdr:colOff>1777111</xdr:colOff>
      <xdr:row>208</xdr:row>
      <xdr:rowOff>109220</xdr:rowOff>
    </xdr:from>
    <xdr:ext cx="5601970" cy="1648149"/>
    <xdr:sp macro="" textlink="">
      <xdr:nvSpPr>
        <xdr:cNvPr id="106" name="TextBox 105">
          <a:extLst>
            <a:ext uri="{FF2B5EF4-FFF2-40B4-BE49-F238E27FC236}">
              <a16:creationId xmlns:a16="http://schemas.microsoft.com/office/drawing/2014/main" id="{C2C3BA41-E4DB-483D-A890-DC924C768A2F}"/>
            </a:ext>
          </a:extLst>
        </xdr:cNvPr>
        <xdr:cNvSpPr txBox="1"/>
      </xdr:nvSpPr>
      <xdr:spPr>
        <a:xfrm>
          <a:off x="2365176" y="32345133"/>
          <a:ext cx="5601970" cy="1648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200" b="0">
              <a:solidFill>
                <a:schemeClr val="accent5">
                  <a:lumMod val="75000"/>
                </a:schemeClr>
              </a:solidFill>
              <a:latin typeface="Garamond" panose="02020404030301010803" pitchFamily="18" charset="0"/>
            </a:rPr>
            <a:t>A longer turbine lifespan slightly increases NPV, but the effect is not as strong as electricity prices.</a:t>
          </a:r>
        </a:p>
        <a:p>
          <a:endParaRPr lang="en-GB" sz="1200" b="0">
            <a:solidFill>
              <a:schemeClr val="accent5">
                <a:lumMod val="75000"/>
              </a:schemeClr>
            </a:solidFill>
            <a:latin typeface="Garamond" panose="02020404030301010803" pitchFamily="18" charset="0"/>
          </a:endParaRPr>
        </a:p>
        <a:p>
          <a:r>
            <a:rPr lang="en-GB" sz="1200" b="1">
              <a:solidFill>
                <a:schemeClr val="accent5">
                  <a:lumMod val="75000"/>
                </a:schemeClr>
              </a:solidFill>
              <a:latin typeface="Garamond" panose="02020404030301010803" pitchFamily="18" charset="0"/>
            </a:rPr>
            <a:t>Recommendation: </a:t>
          </a:r>
        </a:p>
        <a:p>
          <a:r>
            <a:rPr lang="en-GB" sz="1200" b="0">
              <a:solidFill>
                <a:schemeClr val="accent5">
                  <a:lumMod val="75000"/>
                </a:schemeClr>
              </a:solidFill>
              <a:latin typeface="Garamond" panose="02020404030301010803" pitchFamily="18" charset="0"/>
            </a:rPr>
            <a:t>Extend</a:t>
          </a:r>
          <a:r>
            <a:rPr lang="en-GB" sz="1200" b="0" baseline="0">
              <a:solidFill>
                <a:schemeClr val="accent5">
                  <a:lumMod val="75000"/>
                </a:schemeClr>
              </a:solidFill>
              <a:latin typeface="Garamond" panose="02020404030301010803" pitchFamily="18" charset="0"/>
            </a:rPr>
            <a:t> </a:t>
          </a:r>
          <a:r>
            <a:rPr lang="en-GB" sz="1200" b="0">
              <a:solidFill>
                <a:schemeClr val="accent5">
                  <a:lumMod val="75000"/>
                </a:schemeClr>
              </a:solidFill>
              <a:latin typeface="Garamond" panose="02020404030301010803" pitchFamily="18" charset="0"/>
            </a:rPr>
            <a:t>operational life via maintenance and warranties to provide additional value, but this</a:t>
          </a:r>
          <a:r>
            <a:rPr lang="en-GB" sz="1200" b="0" baseline="0">
              <a:solidFill>
                <a:schemeClr val="accent5">
                  <a:lumMod val="75000"/>
                </a:schemeClr>
              </a:solidFill>
              <a:latin typeface="Garamond" panose="02020404030301010803" pitchFamily="18" charset="0"/>
            </a:rPr>
            <a:t> </a:t>
          </a:r>
          <a:r>
            <a:rPr lang="en-GB" sz="1200" b="0">
              <a:solidFill>
                <a:schemeClr val="accent5">
                  <a:lumMod val="75000"/>
                </a:schemeClr>
              </a:solidFill>
              <a:latin typeface="Garamond" panose="02020404030301010803" pitchFamily="18" charset="0"/>
            </a:rPr>
            <a:t>is not the main driver of profitability.</a:t>
          </a:r>
        </a:p>
      </xdr:txBody>
    </xdr:sp>
    <xdr:clientData/>
  </xdr:oneCellAnchor>
  <xdr:oneCellAnchor>
    <xdr:from>
      <xdr:col>2</xdr:col>
      <xdr:colOff>1779016</xdr:colOff>
      <xdr:row>184</xdr:row>
      <xdr:rowOff>836</xdr:rowOff>
    </xdr:from>
    <xdr:ext cx="4072255" cy="1427132"/>
    <xdr:sp macro="" textlink="">
      <xdr:nvSpPr>
        <xdr:cNvPr id="107" name="TextBox 106">
          <a:extLst>
            <a:ext uri="{FF2B5EF4-FFF2-40B4-BE49-F238E27FC236}">
              <a16:creationId xmlns:a16="http://schemas.microsoft.com/office/drawing/2014/main" id="{BEEBF0BE-A0A3-4C81-B6AD-9300900A9596}"/>
            </a:ext>
          </a:extLst>
        </xdr:cNvPr>
        <xdr:cNvSpPr txBox="1"/>
      </xdr:nvSpPr>
      <xdr:spPr>
        <a:xfrm>
          <a:off x="2367081" y="27664749"/>
          <a:ext cx="4072255" cy="14271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200" b="0">
              <a:solidFill>
                <a:schemeClr val="accent5">
                  <a:lumMod val="75000"/>
                </a:schemeClr>
              </a:solidFill>
              <a:latin typeface="Garamond" panose="02020404030301010803" pitchFamily="18" charset="0"/>
            </a:rPr>
            <a:t>Moderate sensitivity to inflation—higher inflation slightly increases NPV due to potential price adjustments.</a:t>
          </a:r>
        </a:p>
        <a:p>
          <a:endParaRPr lang="en-GB" sz="1200" b="0">
            <a:solidFill>
              <a:schemeClr val="accent5">
                <a:lumMod val="75000"/>
              </a:schemeClr>
            </a:solidFill>
            <a:latin typeface="Garamond" panose="02020404030301010803" pitchFamily="18" charset="0"/>
          </a:endParaRPr>
        </a:p>
        <a:p>
          <a:r>
            <a:rPr lang="en-GB" sz="1200" b="1">
              <a:solidFill>
                <a:schemeClr val="accent5">
                  <a:lumMod val="75000"/>
                </a:schemeClr>
              </a:solidFill>
              <a:latin typeface="Garamond" panose="02020404030301010803" pitchFamily="18" charset="0"/>
            </a:rPr>
            <a:t>Recommendation: </a:t>
          </a:r>
        </a:p>
        <a:p>
          <a:r>
            <a:rPr lang="en-GB" sz="1200" b="0">
              <a:solidFill>
                <a:schemeClr val="accent5">
                  <a:lumMod val="75000"/>
                </a:schemeClr>
              </a:solidFill>
              <a:latin typeface="Garamond" panose="02020404030301010803" pitchFamily="18" charset="0"/>
            </a:rPr>
            <a:t>Long-term contracts that allow price adjustments may provide financial stability.</a:t>
          </a:r>
        </a:p>
      </xdr:txBody>
    </xdr:sp>
    <xdr:clientData/>
  </xdr:oneCellAnchor>
  <xdr:oneCellAnchor>
    <xdr:from>
      <xdr:col>18</xdr:col>
      <xdr:colOff>787168</xdr:colOff>
      <xdr:row>158</xdr:row>
      <xdr:rowOff>75565</xdr:rowOff>
    </xdr:from>
    <xdr:ext cx="3472349" cy="1648149"/>
    <xdr:sp macro="" textlink="">
      <xdr:nvSpPr>
        <xdr:cNvPr id="108" name="TextBox 107">
          <a:extLst>
            <a:ext uri="{FF2B5EF4-FFF2-40B4-BE49-F238E27FC236}">
              <a16:creationId xmlns:a16="http://schemas.microsoft.com/office/drawing/2014/main" id="{3B80966F-2275-4073-9995-A7EBB409E6B0}"/>
            </a:ext>
          </a:extLst>
        </xdr:cNvPr>
        <xdr:cNvSpPr txBox="1"/>
      </xdr:nvSpPr>
      <xdr:spPr>
        <a:xfrm>
          <a:off x="17625874" y="22646702"/>
          <a:ext cx="3472349" cy="1648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200" b="0">
              <a:solidFill>
                <a:schemeClr val="accent5">
                  <a:lumMod val="75000"/>
                </a:schemeClr>
              </a:solidFill>
              <a:latin typeface="Garamond" panose="02020404030301010803" pitchFamily="18" charset="0"/>
            </a:rPr>
            <a:t>Lowering OpEx improves NPV, but the sensitivity is moderate compared to electricity price or discount rate.</a:t>
          </a:r>
        </a:p>
        <a:p>
          <a:endParaRPr lang="en-GB" sz="1200" b="0">
            <a:solidFill>
              <a:schemeClr val="accent5">
                <a:lumMod val="75000"/>
              </a:schemeClr>
            </a:solidFill>
            <a:latin typeface="Garamond" panose="02020404030301010803" pitchFamily="18" charset="0"/>
          </a:endParaRPr>
        </a:p>
        <a:p>
          <a:r>
            <a:rPr lang="en-GB" sz="1200" b="1">
              <a:solidFill>
                <a:schemeClr val="accent5">
                  <a:lumMod val="75000"/>
                </a:schemeClr>
              </a:solidFill>
              <a:latin typeface="Garamond" panose="02020404030301010803" pitchFamily="18" charset="0"/>
            </a:rPr>
            <a:t>Recommendation: </a:t>
          </a:r>
        </a:p>
        <a:p>
          <a:r>
            <a:rPr lang="en-GB" sz="1200" b="0">
              <a:solidFill>
                <a:schemeClr val="accent5">
                  <a:lumMod val="75000"/>
                </a:schemeClr>
              </a:solidFill>
              <a:latin typeface="Garamond" panose="02020404030301010803" pitchFamily="18" charset="0"/>
            </a:rPr>
            <a:t>While cost control is important, it should not come at the expense of performance and reliability..</a:t>
          </a:r>
        </a:p>
      </xdr:txBody>
    </xdr:sp>
    <xdr:clientData/>
  </xdr:oneCellAnchor>
  <xdr:oneCellAnchor>
    <xdr:from>
      <xdr:col>13</xdr:col>
      <xdr:colOff>397971</xdr:colOff>
      <xdr:row>183</xdr:row>
      <xdr:rowOff>75565</xdr:rowOff>
    </xdr:from>
    <xdr:ext cx="3542031" cy="1648149"/>
    <xdr:sp macro="" textlink="">
      <xdr:nvSpPr>
        <xdr:cNvPr id="110" name="TextBox 109">
          <a:extLst>
            <a:ext uri="{FF2B5EF4-FFF2-40B4-BE49-F238E27FC236}">
              <a16:creationId xmlns:a16="http://schemas.microsoft.com/office/drawing/2014/main" id="{F71BAB73-17B3-4F9E-B381-3CF8119830E0}"/>
            </a:ext>
          </a:extLst>
        </xdr:cNvPr>
        <xdr:cNvSpPr txBox="1"/>
      </xdr:nvSpPr>
      <xdr:spPr>
        <a:xfrm>
          <a:off x="12854618" y="27676391"/>
          <a:ext cx="3542031" cy="1648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200" b="0">
              <a:solidFill>
                <a:schemeClr val="accent5">
                  <a:lumMod val="75000"/>
                </a:schemeClr>
              </a:solidFill>
              <a:latin typeface="Garamond" panose="02020404030301010803" pitchFamily="18" charset="0"/>
            </a:rPr>
            <a:t>Increasing the number of turbines leads to a proportional increase in NPV, indicating a direct relationship between scale and profitability.</a:t>
          </a:r>
        </a:p>
        <a:p>
          <a:endParaRPr lang="en-GB" sz="1200" b="0">
            <a:solidFill>
              <a:schemeClr val="accent5">
                <a:lumMod val="75000"/>
              </a:schemeClr>
            </a:solidFill>
            <a:latin typeface="Garamond" panose="02020404030301010803" pitchFamily="18" charset="0"/>
          </a:endParaRPr>
        </a:p>
        <a:p>
          <a:r>
            <a:rPr lang="en-GB" sz="1200" b="1">
              <a:solidFill>
                <a:schemeClr val="accent5">
                  <a:lumMod val="75000"/>
                </a:schemeClr>
              </a:solidFill>
              <a:latin typeface="Garamond" panose="02020404030301010803" pitchFamily="18" charset="0"/>
            </a:rPr>
            <a:t>Recommendation: </a:t>
          </a:r>
        </a:p>
        <a:p>
          <a:r>
            <a:rPr lang="en-GB" sz="1200" b="0">
              <a:solidFill>
                <a:schemeClr val="accent5">
                  <a:lumMod val="75000"/>
                </a:schemeClr>
              </a:solidFill>
              <a:latin typeface="Garamond" panose="02020404030301010803" pitchFamily="18" charset="0"/>
            </a:rPr>
            <a:t>Expand the wind farm by adding more turbines to improve financial returns,</a:t>
          </a:r>
          <a:r>
            <a:rPr lang="en-GB" sz="1200" b="0" baseline="0">
              <a:solidFill>
                <a:schemeClr val="accent5">
                  <a:lumMod val="75000"/>
                </a:schemeClr>
              </a:solidFill>
              <a:latin typeface="Garamond" panose="02020404030301010803" pitchFamily="18" charset="0"/>
            </a:rPr>
            <a:t> if </a:t>
          </a:r>
          <a:r>
            <a:rPr lang="en-GB" sz="1200" b="0">
              <a:solidFill>
                <a:schemeClr val="accent5">
                  <a:lumMod val="75000"/>
                </a:schemeClr>
              </a:solidFill>
              <a:latin typeface="Garamond" panose="02020404030301010803" pitchFamily="18" charset="0"/>
            </a:rPr>
            <a:t>capital investment and site constraints allow for expansion.</a:t>
          </a:r>
        </a:p>
      </xdr:txBody>
    </xdr:sp>
    <xdr:clientData/>
  </xdr:oneCellAnchor>
  <xdr:twoCellAnchor>
    <xdr:from>
      <xdr:col>12</xdr:col>
      <xdr:colOff>304626</xdr:colOff>
      <xdr:row>206</xdr:row>
      <xdr:rowOff>0</xdr:rowOff>
    </xdr:from>
    <xdr:to>
      <xdr:col>22</xdr:col>
      <xdr:colOff>872546</xdr:colOff>
      <xdr:row>227</xdr:row>
      <xdr:rowOff>115816</xdr:rowOff>
    </xdr:to>
    <xdr:graphicFrame macro="">
      <xdr:nvGraphicFramePr>
        <xdr:cNvPr id="111" name="Chart 110">
          <a:extLst>
            <a:ext uri="{FF2B5EF4-FFF2-40B4-BE49-F238E27FC236}">
              <a16:creationId xmlns:a16="http://schemas.microsoft.com/office/drawing/2014/main" id="{88323726-2F3D-4557-B26A-43B773F06D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oneCellAnchor>
    <xdr:from>
      <xdr:col>18</xdr:col>
      <xdr:colOff>854628</xdr:colOff>
      <xdr:row>208</xdr:row>
      <xdr:rowOff>124777</xdr:rowOff>
    </xdr:from>
    <xdr:ext cx="3328034" cy="1427132"/>
    <xdr:sp macro="" textlink="">
      <xdr:nvSpPr>
        <xdr:cNvPr id="112" name="TextBox 111">
          <a:extLst>
            <a:ext uri="{FF2B5EF4-FFF2-40B4-BE49-F238E27FC236}">
              <a16:creationId xmlns:a16="http://schemas.microsoft.com/office/drawing/2014/main" id="{DE48565A-F844-49F6-BDB8-13986A7CF9AE}"/>
            </a:ext>
          </a:extLst>
        </xdr:cNvPr>
        <xdr:cNvSpPr txBox="1"/>
      </xdr:nvSpPr>
      <xdr:spPr>
        <a:xfrm>
          <a:off x="17691634" y="32516621"/>
          <a:ext cx="3328034" cy="14271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200" b="0">
              <a:solidFill>
                <a:schemeClr val="accent5">
                  <a:lumMod val="75000"/>
                </a:schemeClr>
              </a:solidFill>
              <a:latin typeface="Garamond" panose="02020404030301010803" pitchFamily="18" charset="0"/>
            </a:rPr>
            <a:t>Delays in turbine operation reduce NPV, with long delays significantly impacting financial viability.</a:t>
          </a:r>
        </a:p>
        <a:p>
          <a:endParaRPr lang="en-GB" sz="1200" b="0">
            <a:solidFill>
              <a:schemeClr val="accent5">
                <a:lumMod val="75000"/>
              </a:schemeClr>
            </a:solidFill>
            <a:latin typeface="Garamond" panose="02020404030301010803" pitchFamily="18" charset="0"/>
          </a:endParaRPr>
        </a:p>
        <a:p>
          <a:r>
            <a:rPr lang="en-GB" sz="1200" b="1">
              <a:solidFill>
                <a:schemeClr val="accent5">
                  <a:lumMod val="75000"/>
                </a:schemeClr>
              </a:solidFill>
              <a:latin typeface="Garamond" panose="02020404030301010803" pitchFamily="18" charset="0"/>
            </a:rPr>
            <a:t>Recommendation: </a:t>
          </a:r>
        </a:p>
        <a:p>
          <a:r>
            <a:rPr lang="en-GB" sz="1200" b="0">
              <a:solidFill>
                <a:schemeClr val="accent5">
                  <a:lumMod val="75000"/>
                </a:schemeClr>
              </a:solidFill>
              <a:latin typeface="Garamond" panose="02020404030301010803" pitchFamily="18" charset="0"/>
            </a:rPr>
            <a:t>Streamline permitting, supply chain, and construction processes to maximise returns.</a:t>
          </a:r>
        </a:p>
      </xdr:txBody>
    </xdr:sp>
    <xdr:clientData/>
  </xdr:oneCellAnchor>
  <xdr:twoCellAnchor editAs="oneCell">
    <xdr:from>
      <xdr:col>2</xdr:col>
      <xdr:colOff>0</xdr:colOff>
      <xdr:row>88</xdr:row>
      <xdr:rowOff>0</xdr:rowOff>
    </xdr:from>
    <xdr:to>
      <xdr:col>12</xdr:col>
      <xdr:colOff>792480</xdr:colOff>
      <xdr:row>99</xdr:row>
      <xdr:rowOff>38100</xdr:rowOff>
    </xdr:to>
    <xdr:pic>
      <xdr:nvPicPr>
        <xdr:cNvPr id="3" name="Picture 2">
          <a:extLst>
            <a:ext uri="{FF2B5EF4-FFF2-40B4-BE49-F238E27FC236}">
              <a16:creationId xmlns:a16="http://schemas.microsoft.com/office/drawing/2014/main" id="{DE1BCD27-98FC-4C0C-9E25-4E43B7090D8C}"/>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587115" y="17301148"/>
          <a:ext cx="11785267" cy="20992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101</xdr:row>
      <xdr:rowOff>0</xdr:rowOff>
    </xdr:from>
    <xdr:to>
      <xdr:col>12</xdr:col>
      <xdr:colOff>774492</xdr:colOff>
      <xdr:row>112</xdr:row>
      <xdr:rowOff>38099</xdr:rowOff>
    </xdr:to>
    <xdr:pic>
      <xdr:nvPicPr>
        <xdr:cNvPr id="5" name="Picture 4">
          <a:extLst>
            <a:ext uri="{FF2B5EF4-FFF2-40B4-BE49-F238E27FC236}">
              <a16:creationId xmlns:a16="http://schemas.microsoft.com/office/drawing/2014/main" id="{0EC7F216-6A3A-4092-8FF6-05EA2319C181}"/>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587115" y="19737049"/>
          <a:ext cx="11767279" cy="20992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12</xdr:col>
      <xdr:colOff>874425</xdr:colOff>
      <xdr:row>102</xdr:row>
      <xdr:rowOff>0</xdr:rowOff>
    </xdr:from>
    <xdr:ext cx="9604800" cy="1469361"/>
    <xdr:sp macro="" textlink="">
      <xdr:nvSpPr>
        <xdr:cNvPr id="6" name="TextBox 5">
          <a:extLst>
            <a:ext uri="{FF2B5EF4-FFF2-40B4-BE49-F238E27FC236}">
              <a16:creationId xmlns:a16="http://schemas.microsoft.com/office/drawing/2014/main" id="{678F26C0-26BA-45CD-9688-14435884BFCA}"/>
            </a:ext>
          </a:extLst>
        </xdr:cNvPr>
        <xdr:cNvSpPr txBox="1"/>
      </xdr:nvSpPr>
      <xdr:spPr>
        <a:xfrm>
          <a:off x="12454327" y="19924426"/>
          <a:ext cx="9604800" cy="1469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600" b="1" i="0" u="none" strike="noStrike" kern="0" cap="none" spc="0" normalizeH="0" baseline="0" noProof="0">
              <a:ln>
                <a:noFill/>
              </a:ln>
              <a:solidFill>
                <a:srgbClr val="1F497D"/>
              </a:solidFill>
              <a:effectLst/>
              <a:uLnTx/>
              <a:uFillTx/>
              <a:latin typeface="Garamond" panose="02020404030301010803" pitchFamily="18" charset="0"/>
              <a:ea typeface="+mn-ea"/>
              <a:cs typeface="+mn-cs"/>
            </a:rPr>
            <a:t>Average electricity price vs. Capacity factor</a:t>
          </a:r>
        </a:p>
        <a:p>
          <a:endParaRPr lang="en-GB" sz="500" b="1">
            <a:latin typeface="Garamond" panose="02020404030301010803" pitchFamily="18" charset="0"/>
          </a:endParaRPr>
        </a:p>
        <a:p>
          <a:r>
            <a:rPr lang="en-GB" sz="1600" b="0">
              <a:latin typeface="Garamond" panose="02020404030301010803" pitchFamily="18" charset="0"/>
            </a:rPr>
            <a:t>At £45/MWh or higher, the project remains viable as long as the capacity factor is at least 27%.</a:t>
          </a:r>
          <a:r>
            <a:rPr lang="en-GB" sz="1600" b="0" baseline="0">
              <a:latin typeface="Garamond" panose="02020404030301010803" pitchFamily="18" charset="0"/>
            </a:rPr>
            <a:t> </a:t>
          </a:r>
          <a:r>
            <a:rPr lang="en-GB" sz="1600" b="0">
              <a:latin typeface="Garamond" panose="02020404030301010803" pitchFamily="18" charset="0"/>
            </a:rPr>
            <a:t>With an electricity price of £37.5/MWh, profitability requires a capacity factor of 33% or greater.</a:t>
          </a:r>
          <a:r>
            <a:rPr lang="en-GB" sz="1600" b="0" baseline="0">
              <a:latin typeface="Garamond" panose="02020404030301010803" pitchFamily="18" charset="0"/>
            </a:rPr>
            <a:t> </a:t>
          </a:r>
          <a:r>
            <a:rPr lang="en-GB" sz="1600" b="0">
              <a:latin typeface="Garamond" panose="02020404030301010803" pitchFamily="18" charset="0"/>
            </a:rPr>
            <a:t>At £25/MWh, the project is unviable regardless of efficiency levels.</a:t>
          </a:r>
        </a:p>
      </xdr:txBody>
    </xdr:sp>
    <xdr:clientData/>
  </xdr:oneCellAnchor>
  <xdr:twoCellAnchor editAs="oneCell">
    <xdr:from>
      <xdr:col>2</xdr:col>
      <xdr:colOff>0</xdr:colOff>
      <xdr:row>114</xdr:row>
      <xdr:rowOff>0</xdr:rowOff>
    </xdr:from>
    <xdr:to>
      <xdr:col>12</xdr:col>
      <xdr:colOff>792480</xdr:colOff>
      <xdr:row>125</xdr:row>
      <xdr:rowOff>38100</xdr:rowOff>
    </xdr:to>
    <xdr:pic>
      <xdr:nvPicPr>
        <xdr:cNvPr id="7" name="Picture 6">
          <a:extLst>
            <a:ext uri="{FF2B5EF4-FFF2-40B4-BE49-F238E27FC236}">
              <a16:creationId xmlns:a16="http://schemas.microsoft.com/office/drawing/2014/main" id="{4AB800AF-0843-8CC3-396F-F2583DF53C6D}"/>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586740" y="22509480"/>
          <a:ext cx="11788140" cy="2133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13</xdr:col>
      <xdr:colOff>1589</xdr:colOff>
      <xdr:row>115</xdr:row>
      <xdr:rowOff>0</xdr:rowOff>
    </xdr:from>
    <xdr:ext cx="9604800" cy="1620982"/>
    <xdr:sp macro="" textlink="">
      <xdr:nvSpPr>
        <xdr:cNvPr id="10" name="TextBox 9">
          <a:extLst>
            <a:ext uri="{FF2B5EF4-FFF2-40B4-BE49-F238E27FC236}">
              <a16:creationId xmlns:a16="http://schemas.microsoft.com/office/drawing/2014/main" id="{B6772896-538C-43E6-8BBA-F2D2BA54B016}"/>
            </a:ext>
          </a:extLst>
        </xdr:cNvPr>
        <xdr:cNvSpPr txBox="1"/>
      </xdr:nvSpPr>
      <xdr:spPr>
        <a:xfrm>
          <a:off x="12456825" y="23109382"/>
          <a:ext cx="9604800" cy="16209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600" b="1" i="0" u="none" strike="noStrike" kern="0" cap="none" spc="0" normalizeH="0" baseline="0" noProof="0">
              <a:ln>
                <a:noFill/>
              </a:ln>
              <a:solidFill>
                <a:srgbClr val="1F497D"/>
              </a:solidFill>
              <a:effectLst/>
              <a:uLnTx/>
              <a:uFillTx/>
              <a:latin typeface="Garamond" panose="02020404030301010803" pitchFamily="18" charset="0"/>
              <a:ea typeface="+mn-ea"/>
              <a:cs typeface="+mn-cs"/>
            </a:rPr>
            <a:t>Average electricity price vs. Years before turbines operate</a:t>
          </a:r>
        </a:p>
        <a:p>
          <a:endParaRPr lang="en-GB" sz="500" b="1">
            <a:latin typeface="Garamond" panose="02020404030301010803" pitchFamily="18" charset="0"/>
          </a:endParaRPr>
        </a:p>
        <a:p>
          <a:r>
            <a:rPr lang="en-GB" sz="1600" b="0">
              <a:latin typeface="Garamond" panose="02020404030301010803" pitchFamily="18" charset="0"/>
            </a:rPr>
            <a:t>At £45/MWh, the project remains viable even with delays of up to 9 years. If electricity prices are £37.5/MWh, turbines must start operating within 5 years to stay profitable. At £25/MWh, the project is unviable regardless of the timeline.</a:t>
          </a:r>
        </a:p>
      </xdr:txBody>
    </xdr:sp>
    <xdr:clientData/>
  </xdr:oneCellAnchor>
  <xdr:oneCellAnchor>
    <xdr:from>
      <xdr:col>13</xdr:col>
      <xdr:colOff>0</xdr:colOff>
      <xdr:row>89</xdr:row>
      <xdr:rowOff>0</xdr:rowOff>
    </xdr:from>
    <xdr:ext cx="9606197" cy="1569653"/>
    <xdr:sp macro="" textlink="">
      <xdr:nvSpPr>
        <xdr:cNvPr id="12" name="TextBox 11">
          <a:extLst>
            <a:ext uri="{FF2B5EF4-FFF2-40B4-BE49-F238E27FC236}">
              <a16:creationId xmlns:a16="http://schemas.microsoft.com/office/drawing/2014/main" id="{C58E210D-0C7D-48FA-B2A5-54C99C33363E}"/>
            </a:ext>
          </a:extLst>
        </xdr:cNvPr>
        <xdr:cNvSpPr txBox="1"/>
      </xdr:nvSpPr>
      <xdr:spPr>
        <a:xfrm>
          <a:off x="12455236" y="18066327"/>
          <a:ext cx="9606197" cy="15696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600" b="1" i="0" u="none" strike="noStrike" kern="0" cap="none" spc="0" normalizeH="0" baseline="0" noProof="0">
              <a:ln>
                <a:noFill/>
              </a:ln>
              <a:solidFill>
                <a:srgbClr val="1F497D"/>
              </a:solidFill>
              <a:effectLst/>
              <a:uLnTx/>
              <a:uFillTx/>
              <a:latin typeface="Garamond" panose="02020404030301010803" pitchFamily="18" charset="0"/>
              <a:ea typeface="+mn-ea"/>
              <a:cs typeface="+mn-cs"/>
            </a:rPr>
            <a:t>Average electricity price vs. Discount rate</a:t>
          </a:r>
        </a:p>
        <a:p>
          <a:endParaRPr lang="en-GB" sz="500" b="1">
            <a:latin typeface="Garamond" panose="02020404030301010803" pitchFamily="18" charset="0"/>
          </a:endParaRPr>
        </a:p>
        <a:p>
          <a:r>
            <a:rPr lang="en-GB" sz="1600" b="0">
              <a:latin typeface="Garamond" panose="02020404030301010803" pitchFamily="18" charset="0"/>
            </a:rPr>
            <a:t>At an electricity price of £45/MWh, the project is viable at all discount rates in the table (4% to 12%).</a:t>
          </a:r>
          <a:r>
            <a:rPr lang="en-GB" sz="1600" b="0" baseline="0">
              <a:latin typeface="Garamond" panose="02020404030301010803" pitchFamily="18" charset="0"/>
            </a:rPr>
            <a:t> </a:t>
          </a:r>
          <a:r>
            <a:rPr lang="en-GB" sz="1600" b="0">
              <a:latin typeface="Garamond" panose="02020404030301010803" pitchFamily="18" charset="0"/>
            </a:rPr>
            <a:t>If discount rates exceed 10%, the project requires electricity prices of at least £45/MWh to remain viable.</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16144</xdr:colOff>
      <xdr:row>16</xdr:row>
      <xdr:rowOff>78124</xdr:rowOff>
    </xdr:from>
    <xdr:to>
      <xdr:col>7</xdr:col>
      <xdr:colOff>1009456</xdr:colOff>
      <xdr:row>65</xdr:row>
      <xdr:rowOff>41955</xdr:rowOff>
    </xdr:to>
    <xdr:graphicFrame macro="">
      <xdr:nvGraphicFramePr>
        <xdr:cNvPr id="3" name="Chart 2">
          <a:extLst>
            <a:ext uri="{FF2B5EF4-FFF2-40B4-BE49-F238E27FC236}">
              <a16:creationId xmlns:a16="http://schemas.microsoft.com/office/drawing/2014/main" id="{D596EA8C-B437-407A-B68A-150914DCAD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112057</xdr:colOff>
      <xdr:row>64</xdr:row>
      <xdr:rowOff>112060</xdr:rowOff>
    </xdr:from>
    <xdr:to>
      <xdr:col>7</xdr:col>
      <xdr:colOff>704177</xdr:colOff>
      <xdr:row>92</xdr:row>
      <xdr:rowOff>74707</xdr:rowOff>
    </xdr:to>
    <xdr:sp macro="" textlink="">
      <xdr:nvSpPr>
        <xdr:cNvPr id="2" name="TextBox 1">
          <a:extLst>
            <a:ext uri="{FF2B5EF4-FFF2-40B4-BE49-F238E27FC236}">
              <a16:creationId xmlns:a16="http://schemas.microsoft.com/office/drawing/2014/main" id="{924A8657-7715-4F3E-B15B-5F2F9AE193ED}"/>
            </a:ext>
          </a:extLst>
        </xdr:cNvPr>
        <xdr:cNvSpPr txBox="1"/>
      </xdr:nvSpPr>
      <xdr:spPr>
        <a:xfrm>
          <a:off x="719042" y="11467354"/>
          <a:ext cx="12274253" cy="49305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latin typeface="Garamond" panose="02020404030301010803" pitchFamily="18" charset="0"/>
            </a:rPr>
            <a:t>NPV impact – tornado analysis</a:t>
          </a:r>
        </a:p>
        <a:p>
          <a:endParaRPr lang="en-GB" sz="1400" b="1">
            <a:latin typeface="Garamond" panose="02020404030301010803" pitchFamily="18" charset="0"/>
          </a:endParaRPr>
        </a:p>
        <a:p>
          <a:r>
            <a:rPr lang="en-GB" sz="1400">
              <a:latin typeface="Garamond" panose="02020404030301010803" pitchFamily="18" charset="0"/>
            </a:rPr>
            <a:t>This tornado chart illustrates the sensitivity of the net present value (NPV) to key project variables. The bars represent how much each factor influences the NPV, with the left side indicating a negative impact (worse-case scenario) and the right side showing a positive impact (better-case scenario). The colours differentiate between extreme and realistic variations:</a:t>
          </a:r>
        </a:p>
        <a:p>
          <a:endParaRPr lang="en-GB" sz="1400">
            <a:latin typeface="Garamond" panose="02020404030301010803" pitchFamily="18" charset="0"/>
          </a:endParaRPr>
        </a:p>
        <a:p>
          <a:pPr lvl="1"/>
          <a:r>
            <a:rPr lang="en-GB" sz="1400" b="1" i="0">
              <a:latin typeface="Garamond" panose="02020404030301010803" pitchFamily="18" charset="0"/>
            </a:rPr>
            <a:t>Min NPV (negative, red)</a:t>
          </a:r>
          <a:r>
            <a:rPr lang="en-GB" sz="1400" b="0" i="0">
              <a:latin typeface="Garamond" panose="02020404030301010803" pitchFamily="18" charset="0"/>
            </a:rPr>
            <a:t>.</a:t>
          </a:r>
          <a:r>
            <a:rPr lang="en-GB" sz="1400" b="1" i="0">
              <a:latin typeface="Garamond" panose="02020404030301010803" pitchFamily="18" charset="0"/>
            </a:rPr>
            <a:t> </a:t>
          </a:r>
          <a:r>
            <a:rPr lang="en-GB" sz="1400">
              <a:latin typeface="Garamond" panose="02020404030301010803" pitchFamily="18" charset="0"/>
            </a:rPr>
            <a:t>The worst-case scenario where the variable moves to its least favourable value.</a:t>
          </a:r>
          <a:endParaRPr lang="en-GB" sz="1400" b="1">
            <a:latin typeface="Garamond" panose="02020404030301010803" pitchFamily="18" charset="0"/>
          </a:endParaRPr>
        </a:p>
        <a:p>
          <a:pPr lvl="1"/>
          <a:r>
            <a:rPr lang="en-GB" sz="1400" b="1">
              <a:latin typeface="Garamond" panose="02020404030301010803" pitchFamily="18" charset="0"/>
            </a:rPr>
            <a:t>Realistic bad (dark red)</a:t>
          </a:r>
          <a:r>
            <a:rPr lang="en-GB" sz="1400" b="0">
              <a:latin typeface="Garamond" panose="02020404030301010803" pitchFamily="18" charset="0"/>
            </a:rPr>
            <a:t>.</a:t>
          </a:r>
          <a:r>
            <a:rPr lang="en-GB" sz="1400">
              <a:latin typeface="Garamond" panose="02020404030301010803" pitchFamily="18" charset="0"/>
            </a:rPr>
            <a:t> A more probable downside within a ±10% range</a:t>
          </a:r>
          <a:r>
            <a:rPr lang="en-GB" sz="1400" baseline="0">
              <a:latin typeface="Garamond" panose="02020404030301010803" pitchFamily="18" charset="0"/>
            </a:rPr>
            <a:t> where possible</a:t>
          </a:r>
          <a:r>
            <a:rPr lang="en-GB" sz="1400">
              <a:latin typeface="Garamond" panose="02020404030301010803" pitchFamily="18" charset="0"/>
            </a:rPr>
            <a:t>. (Capacity</a:t>
          </a:r>
          <a:r>
            <a:rPr lang="en-GB" sz="1400" baseline="0">
              <a:latin typeface="Garamond" panose="02020404030301010803" pitchFamily="18" charset="0"/>
            </a:rPr>
            <a:t> factor = -11%; No. of turbines = -13%; Years before turbines start operating = +33%)</a:t>
          </a:r>
          <a:endParaRPr lang="en-GB" sz="1400" b="1">
            <a:latin typeface="Garamond" panose="02020404030301010803" pitchFamily="18" charset="0"/>
          </a:endParaRPr>
        </a:p>
        <a:p>
          <a:pPr lvl="1"/>
          <a:r>
            <a:rPr lang="en-GB" sz="1400" b="1">
              <a:latin typeface="Garamond" panose="02020404030301010803" pitchFamily="18" charset="0"/>
            </a:rPr>
            <a:t>Realistic good (green)</a:t>
          </a:r>
          <a:r>
            <a:rPr lang="en-GB" sz="1400" b="0">
              <a:latin typeface="Garamond" panose="02020404030301010803" pitchFamily="18" charset="0"/>
            </a:rPr>
            <a:t>.</a:t>
          </a:r>
          <a:r>
            <a:rPr lang="en-GB" sz="1400">
              <a:latin typeface="Garamond" panose="02020404030301010803" pitchFamily="18" charset="0"/>
            </a:rPr>
            <a:t> The likely positive impact within a ±10% range where</a:t>
          </a:r>
          <a:r>
            <a:rPr lang="en-GB" sz="1400" baseline="0">
              <a:latin typeface="Garamond" panose="02020404030301010803" pitchFamily="18" charset="0"/>
            </a:rPr>
            <a:t> possible</a:t>
          </a:r>
          <a:r>
            <a:rPr lang="en-GB" sz="1400">
              <a:latin typeface="Garamond" panose="02020404030301010803" pitchFamily="18" charset="0"/>
            </a:rPr>
            <a:t>.</a:t>
          </a:r>
          <a:r>
            <a:rPr lang="en-GB" sz="1400" baseline="0">
              <a:latin typeface="Garamond" panose="02020404030301010803" pitchFamily="18" charset="0"/>
            </a:rPr>
            <a:t> </a:t>
          </a:r>
          <a:r>
            <a:rPr lang="en-GB" sz="1400" b="0">
              <a:latin typeface="Garamond" panose="02020404030301010803" pitchFamily="18" charset="0"/>
            </a:rPr>
            <a:t>(Capacity factor = +6%; No. of turbines = +13%; Years before turbines start operating = +0%)</a:t>
          </a:r>
          <a:endParaRPr lang="en-GB" sz="1400" b="1">
            <a:latin typeface="Garamond" panose="02020404030301010803" pitchFamily="18" charset="0"/>
          </a:endParaRPr>
        </a:p>
        <a:p>
          <a:pPr lvl="1"/>
          <a:r>
            <a:rPr lang="en-GB" sz="1400" b="1">
              <a:latin typeface="Garamond" panose="02020404030301010803" pitchFamily="18" charset="0"/>
            </a:rPr>
            <a:t>Max NPV (light green)</a:t>
          </a:r>
          <a:r>
            <a:rPr lang="en-GB" sz="1400" b="0">
              <a:latin typeface="Garamond" panose="02020404030301010803" pitchFamily="18" charset="0"/>
            </a:rPr>
            <a:t>.</a:t>
          </a:r>
          <a:r>
            <a:rPr lang="en-GB" sz="1400" b="0" baseline="0">
              <a:latin typeface="Garamond" panose="02020404030301010803" pitchFamily="18" charset="0"/>
            </a:rPr>
            <a:t> </a:t>
          </a:r>
          <a:r>
            <a:rPr lang="en-GB" sz="1400">
              <a:latin typeface="Garamond" panose="02020404030301010803" pitchFamily="18" charset="0"/>
            </a:rPr>
            <a:t>The best possible outcome if the variable moves to its most favourable value.</a:t>
          </a:r>
        </a:p>
        <a:p>
          <a:endParaRPr lang="en-GB" sz="1400" b="1">
            <a:latin typeface="Garamond" panose="02020404030301010803" pitchFamily="18" charset="0"/>
          </a:endParaRPr>
        </a:p>
        <a:p>
          <a:r>
            <a:rPr lang="en-GB" sz="1400" b="1">
              <a:solidFill>
                <a:schemeClr val="tx2"/>
              </a:solidFill>
              <a:latin typeface="Garamond" panose="02020404030301010803" pitchFamily="18" charset="0"/>
            </a:rPr>
            <a:t>Key findings:</a:t>
          </a:r>
        </a:p>
        <a:p>
          <a:r>
            <a:rPr lang="en-GB" sz="1400" b="1">
              <a:latin typeface="Garamond" panose="02020404030301010803" pitchFamily="18" charset="0"/>
            </a:rPr>
            <a:t>Average electricity price (£/MWh) is the most influential factor</a:t>
          </a:r>
          <a:r>
            <a:rPr lang="en-GB" sz="1400" b="0">
              <a:latin typeface="Garamond" panose="02020404030301010803" pitchFamily="18" charset="0"/>
            </a:rPr>
            <a:t>.</a:t>
          </a:r>
          <a:r>
            <a:rPr lang="en-GB" sz="1400" b="0" baseline="0">
              <a:latin typeface="Garamond" panose="02020404030301010803" pitchFamily="18" charset="0"/>
            </a:rPr>
            <a:t> </a:t>
          </a:r>
          <a:r>
            <a:rPr lang="en-GB" sz="1400">
              <a:latin typeface="Garamond" panose="02020404030301010803" pitchFamily="18" charset="0"/>
            </a:rPr>
            <a:t>A significant drop in electricity price leads to a large negative NPV, while an increase boosts profitability substantially.</a:t>
          </a:r>
        </a:p>
        <a:p>
          <a:r>
            <a:rPr lang="en-GB" sz="1400" b="1">
              <a:latin typeface="Garamond" panose="02020404030301010803" pitchFamily="18" charset="0"/>
            </a:rPr>
            <a:t>Capacity factor has the second-largest negative impact</a:t>
          </a:r>
          <a:r>
            <a:rPr lang="en-GB" sz="1400" b="0">
              <a:latin typeface="Garamond" panose="02020404030301010803" pitchFamily="18" charset="0"/>
            </a:rPr>
            <a:t>.</a:t>
          </a:r>
          <a:r>
            <a:rPr lang="en-GB" sz="1400">
              <a:latin typeface="Garamond" panose="02020404030301010803" pitchFamily="18" charset="0"/>
            </a:rPr>
            <a:t> Lower efficiency significantly erodes profitability,</a:t>
          </a:r>
          <a:r>
            <a:rPr lang="en-GB" sz="1400" baseline="0">
              <a:latin typeface="Garamond" panose="02020404030301010803" pitchFamily="18" charset="0"/>
            </a:rPr>
            <a:t> while h</a:t>
          </a:r>
          <a:r>
            <a:rPr lang="en-GB" sz="1400">
              <a:latin typeface="Garamond" panose="02020404030301010803" pitchFamily="18" charset="0"/>
            </a:rPr>
            <a:t>igher turbine efficiency increases NPV.</a:t>
          </a:r>
        </a:p>
        <a:p>
          <a:r>
            <a:rPr lang="en-GB" sz="1400" b="1">
              <a:latin typeface="Garamond" panose="02020404030301010803" pitchFamily="18" charset="0"/>
            </a:rPr>
            <a:t>Discount rate has</a:t>
          </a:r>
          <a:r>
            <a:rPr lang="en-GB" sz="1400" b="1" baseline="0">
              <a:latin typeface="Garamond" panose="02020404030301010803" pitchFamily="18" charset="0"/>
            </a:rPr>
            <a:t> a major impact</a:t>
          </a:r>
          <a:r>
            <a:rPr lang="en-GB" sz="1400" b="0" baseline="0">
              <a:latin typeface="Garamond" panose="02020404030301010803" pitchFamily="18" charset="0"/>
            </a:rPr>
            <a:t>. </a:t>
          </a:r>
          <a:r>
            <a:rPr lang="en-GB" sz="1400">
              <a:latin typeface="Garamond" panose="02020404030301010803" pitchFamily="18" charset="0"/>
            </a:rPr>
            <a:t>Higher discount rates reduce NPV considerably, emphasising the importance of securing low-cost financing.</a:t>
          </a:r>
        </a:p>
        <a:p>
          <a:r>
            <a:rPr lang="en-GB" sz="1400" b="1">
              <a:latin typeface="Garamond" panose="02020404030301010803" pitchFamily="18" charset="0"/>
            </a:rPr>
            <a:t>Operational expenditure (OpEx) and inflation moderately affect NPV</a:t>
          </a:r>
          <a:r>
            <a:rPr lang="en-GB" sz="1400" b="0">
              <a:latin typeface="Garamond" panose="02020404030301010803" pitchFamily="18" charset="0"/>
            </a:rPr>
            <a:t>.</a:t>
          </a:r>
          <a:r>
            <a:rPr lang="en-GB" sz="1400" b="0" baseline="0">
              <a:latin typeface="Garamond" panose="02020404030301010803" pitchFamily="18" charset="0"/>
            </a:rPr>
            <a:t> </a:t>
          </a:r>
          <a:r>
            <a:rPr lang="en-GB" sz="1400">
              <a:latin typeface="Garamond" panose="02020404030301010803" pitchFamily="18" charset="0"/>
            </a:rPr>
            <a:t>While reducing costs improves financial viability, their overall influence is lower than electricity prices or discount rates.</a:t>
          </a:r>
        </a:p>
        <a:p>
          <a:r>
            <a:rPr lang="en-GB" sz="1400" b="1">
              <a:latin typeface="Garamond" panose="02020404030301010803" pitchFamily="18" charset="0"/>
            </a:rPr>
            <a:t>Project delays and turbine lifetime have a smaller effect</a:t>
          </a:r>
          <a:r>
            <a:rPr lang="en-GB" sz="1400" b="0">
              <a:latin typeface="Garamond" panose="02020404030301010803" pitchFamily="18" charset="0"/>
            </a:rPr>
            <a:t>.</a:t>
          </a:r>
          <a:r>
            <a:rPr lang="en-GB" sz="1400" b="0" baseline="0">
              <a:latin typeface="Garamond" panose="02020404030301010803" pitchFamily="18" charset="0"/>
            </a:rPr>
            <a:t> </a:t>
          </a:r>
          <a:r>
            <a:rPr lang="en-GB" sz="1400">
              <a:latin typeface="Garamond" panose="02020404030301010803" pitchFamily="18" charset="0"/>
            </a:rPr>
            <a:t>Although delays and turbine lifespan impact returns, their effect is generally less pronounced compared to other variables.</a:t>
          </a:r>
        </a:p>
      </xdr:txBody>
    </xdr:sp>
    <xdr:clientData/>
  </xdr:twoCellAnchor>
  <xdr:twoCellAnchor>
    <xdr:from>
      <xdr:col>9</xdr:col>
      <xdr:colOff>1</xdr:colOff>
      <xdr:row>23</xdr:row>
      <xdr:rowOff>0</xdr:rowOff>
    </xdr:from>
    <xdr:to>
      <xdr:col>13</xdr:col>
      <xdr:colOff>1</xdr:colOff>
      <xdr:row>66</xdr:row>
      <xdr:rowOff>21255</xdr:rowOff>
    </xdr:to>
    <xdr:sp macro="" textlink="">
      <xdr:nvSpPr>
        <xdr:cNvPr id="5" name="TextBox 4">
          <a:extLst>
            <a:ext uri="{FF2B5EF4-FFF2-40B4-BE49-F238E27FC236}">
              <a16:creationId xmlns:a16="http://schemas.microsoft.com/office/drawing/2014/main" id="{EA739871-A758-442B-969E-2E1D6B5C705C}"/>
            </a:ext>
          </a:extLst>
        </xdr:cNvPr>
        <xdr:cNvSpPr txBox="1"/>
      </xdr:nvSpPr>
      <xdr:spPr>
        <a:xfrm>
          <a:off x="14594238" y="4084449"/>
          <a:ext cx="6183178" cy="76573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ysClr val="windowText" lastClr="000000"/>
              </a:solidFill>
              <a:latin typeface="Garamond" panose="02020404030301010803" pitchFamily="18" charset="0"/>
            </a:rPr>
            <a:t>Impact</a:t>
          </a:r>
          <a:r>
            <a:rPr lang="en-GB" sz="1400" b="1" baseline="0">
              <a:solidFill>
                <a:sysClr val="windowText" lastClr="000000"/>
              </a:solidFill>
              <a:latin typeface="Garamond" panose="02020404030301010803" pitchFamily="18" charset="0"/>
            </a:rPr>
            <a:t> - Scenario analysis</a:t>
          </a:r>
        </a:p>
        <a:p>
          <a:endParaRPr lang="en-GB" sz="1400" b="0" baseline="0">
            <a:solidFill>
              <a:sysClr val="windowText" lastClr="000000"/>
            </a:solidFill>
            <a:latin typeface="Garamond" panose="02020404030301010803" pitchFamily="18" charset="0"/>
          </a:endParaRPr>
        </a:p>
        <a:p>
          <a:r>
            <a:rPr lang="en-GB" sz="1400" b="0">
              <a:solidFill>
                <a:sysClr val="windowText" lastClr="000000"/>
              </a:solidFill>
              <a:latin typeface="Garamond" panose="02020404030301010803" pitchFamily="18" charset="0"/>
            </a:rPr>
            <a:t>The table above presents a scenario analysis comparing the financial performance of a wind energy project under worse, base case, and better conditions. The analysis evaluates key financial indicators such as post-tax NPV, IRR, LCOE, and ROI across different assumptions for electricity price, discount rate, capacity factor, operating costs, inflation, and project delays.</a:t>
          </a:r>
        </a:p>
        <a:p>
          <a:endParaRPr lang="en-GB" sz="1400" b="0">
            <a:solidFill>
              <a:sysClr val="windowText" lastClr="000000"/>
            </a:solidFill>
            <a:latin typeface="Garamond" panose="02020404030301010803" pitchFamily="18" charset="0"/>
          </a:endParaRPr>
        </a:p>
        <a:p>
          <a:r>
            <a:rPr lang="en-GB" sz="1400" b="1" i="0">
              <a:solidFill>
                <a:schemeClr val="tx2"/>
              </a:solidFill>
              <a:latin typeface="Garamond" panose="02020404030301010803" pitchFamily="18" charset="0"/>
            </a:rPr>
            <a:t>Worse-case</a:t>
          </a:r>
          <a:r>
            <a:rPr lang="en-GB" sz="1400" b="1" i="0" baseline="0">
              <a:solidFill>
                <a:schemeClr val="tx2"/>
              </a:solidFill>
              <a:latin typeface="Garamond" panose="02020404030301010803" pitchFamily="18" charset="0"/>
            </a:rPr>
            <a:t> scenario</a:t>
          </a:r>
          <a:endParaRPr lang="en-GB" sz="1400" b="1" i="0">
            <a:solidFill>
              <a:schemeClr val="tx2"/>
            </a:solidFill>
            <a:latin typeface="Garamond" panose="02020404030301010803" pitchFamily="18" charset="0"/>
          </a:endParaRPr>
        </a:p>
        <a:p>
          <a:r>
            <a:rPr lang="en-GB" sz="1400" b="0">
              <a:solidFill>
                <a:sysClr val="windowText" lastClr="000000"/>
              </a:solidFill>
              <a:latin typeface="Garamond" panose="02020404030301010803" pitchFamily="18" charset="0"/>
            </a:rPr>
            <a:t>This scenario assumes a 10% decrease in the average electricity price (£/MWh), reflecting lower energy demand in a weaker economic environment. Additionally, the discount rate is reduced by 10%, based on the expectation that borrowing costs would decline during an economic downturn as central banks lower interest rates. Inflation is also assumed to decrease by 10%, as price growth tends to slow in struggling economies.</a:t>
          </a:r>
        </a:p>
        <a:p>
          <a:endParaRPr lang="en-GB" sz="1400" b="0">
            <a:solidFill>
              <a:sysClr val="windowText" lastClr="000000"/>
            </a:solidFill>
            <a:latin typeface="Garamond" panose="02020404030301010803" pitchFamily="18" charset="0"/>
          </a:endParaRPr>
        </a:p>
        <a:p>
          <a:r>
            <a:rPr lang="en-GB" sz="1400" b="0">
              <a:solidFill>
                <a:sysClr val="windowText" lastClr="000000"/>
              </a:solidFill>
              <a:latin typeface="Garamond" panose="02020404030301010803" pitchFamily="18" charset="0"/>
            </a:rPr>
            <a:t>Key technical parameters, including the capacity factor and expected useful life of turbines, are held constant. However, a one-year delay in the project start date is assumed, reflecting the potential for investment slowdowns and supply chain disruptions in a downturn.</a:t>
          </a:r>
        </a:p>
        <a:p>
          <a:endParaRPr lang="en-GB" sz="1400" b="0">
            <a:solidFill>
              <a:sysClr val="windowText" lastClr="000000"/>
            </a:solidFill>
            <a:latin typeface="Garamond" panose="02020404030301010803" pitchFamily="18" charset="0"/>
          </a:endParaRPr>
        </a:p>
        <a:p>
          <a:r>
            <a:rPr lang="en-GB" sz="1400" b="1" i="0">
              <a:solidFill>
                <a:schemeClr val="tx2"/>
              </a:solidFill>
              <a:latin typeface="Garamond" panose="02020404030301010803" pitchFamily="18" charset="0"/>
            </a:rPr>
            <a:t>Better-case</a:t>
          </a:r>
          <a:r>
            <a:rPr lang="en-GB" sz="1400" b="1" i="0" baseline="0">
              <a:solidFill>
                <a:schemeClr val="tx2"/>
              </a:solidFill>
              <a:latin typeface="Garamond" panose="02020404030301010803" pitchFamily="18" charset="0"/>
            </a:rPr>
            <a:t> scenario</a:t>
          </a:r>
          <a:endParaRPr lang="en-GB" sz="1400" b="1" i="0">
            <a:solidFill>
              <a:schemeClr val="tx2"/>
            </a:solidFill>
            <a:latin typeface="Garamond" panose="02020404030301010803" pitchFamily="18" charset="0"/>
          </a:endParaRPr>
        </a:p>
        <a:p>
          <a:r>
            <a:rPr lang="en-GB" sz="1400" b="0">
              <a:solidFill>
                <a:sysClr val="windowText" lastClr="000000"/>
              </a:solidFill>
              <a:latin typeface="Garamond" panose="02020404030301010803" pitchFamily="18" charset="0"/>
            </a:rPr>
            <a:t>In contrast, the better-case scenario assumes a 10% increase in the average electricity price, driven by stronger demand in a booming economy. The discount rate is also raised by 10%, reflecting higher borrowing costs associated with increased economic activity and tighter monetary policy. Similarly, inflation is expected to rise by 10%, as price pressures typically intensify during periods of economic growth.</a:t>
          </a:r>
        </a:p>
        <a:p>
          <a:endParaRPr lang="en-GB" sz="1400" b="0">
            <a:solidFill>
              <a:sysClr val="windowText" lastClr="000000"/>
            </a:solidFill>
            <a:latin typeface="Garamond" panose="02020404030301010803" pitchFamily="18" charset="0"/>
          </a:endParaRPr>
        </a:p>
        <a:p>
          <a:r>
            <a:rPr lang="en-GB" sz="1400" b="0">
              <a:solidFill>
                <a:sysClr val="windowText" lastClr="000000"/>
              </a:solidFill>
              <a:latin typeface="Garamond" panose="02020404030301010803" pitchFamily="18" charset="0"/>
            </a:rPr>
            <a:t>The capacity factor, expected useful life of turbines, and years before turbines start operating remain unchanged in this scenario, assuming that technical performance and project execution are unaffected by macroeconomic conditions.</a:t>
          </a:r>
        </a:p>
        <a:p>
          <a:endParaRPr lang="en-GB" sz="1400" b="0">
            <a:solidFill>
              <a:sysClr val="windowText" lastClr="000000"/>
            </a:solidFill>
            <a:latin typeface="Garamond" panose="02020404030301010803"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3469</xdr:colOff>
      <xdr:row>58</xdr:row>
      <xdr:rowOff>0</xdr:rowOff>
    </xdr:from>
    <xdr:to>
      <xdr:col>11</xdr:col>
      <xdr:colOff>605819</xdr:colOff>
      <xdr:row>74</xdr:row>
      <xdr:rowOff>77752</xdr:rowOff>
    </xdr:to>
    <xdr:graphicFrame macro="">
      <xdr:nvGraphicFramePr>
        <xdr:cNvPr id="5" name="Chart 4">
          <a:extLst>
            <a:ext uri="{FF2B5EF4-FFF2-40B4-BE49-F238E27FC236}">
              <a16:creationId xmlns:a16="http://schemas.microsoft.com/office/drawing/2014/main" id="{E164FBE8-79C3-43DC-9DFA-4F7D40EFAA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3469</xdr:colOff>
      <xdr:row>76</xdr:row>
      <xdr:rowOff>0</xdr:rowOff>
    </xdr:from>
    <xdr:to>
      <xdr:col>11</xdr:col>
      <xdr:colOff>603735</xdr:colOff>
      <xdr:row>92</xdr:row>
      <xdr:rowOff>56797</xdr:rowOff>
    </xdr:to>
    <xdr:graphicFrame macro="">
      <xdr:nvGraphicFramePr>
        <xdr:cNvPr id="7" name="Chart 6">
          <a:extLst>
            <a:ext uri="{FF2B5EF4-FFF2-40B4-BE49-F238E27FC236}">
              <a16:creationId xmlns:a16="http://schemas.microsoft.com/office/drawing/2014/main" id="{A9437282-4E89-4058-ADA9-DEA0A55115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3469</xdr:colOff>
      <xdr:row>94</xdr:row>
      <xdr:rowOff>0</xdr:rowOff>
    </xdr:from>
    <xdr:to>
      <xdr:col>11</xdr:col>
      <xdr:colOff>605763</xdr:colOff>
      <xdr:row>110</xdr:row>
      <xdr:rowOff>77754</xdr:rowOff>
    </xdr:to>
    <xdr:graphicFrame macro="">
      <xdr:nvGraphicFramePr>
        <xdr:cNvPr id="17" name="Chart 16">
          <a:extLst>
            <a:ext uri="{FF2B5EF4-FFF2-40B4-BE49-F238E27FC236}">
              <a16:creationId xmlns:a16="http://schemas.microsoft.com/office/drawing/2014/main" id="{F7345174-44A8-4EEF-AF88-FAC6A8AD87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3469</xdr:colOff>
      <xdr:row>112</xdr:row>
      <xdr:rowOff>0</xdr:rowOff>
    </xdr:from>
    <xdr:to>
      <xdr:col>11</xdr:col>
      <xdr:colOff>607943</xdr:colOff>
      <xdr:row>128</xdr:row>
      <xdr:rowOff>77753</xdr:rowOff>
    </xdr:to>
    <xdr:graphicFrame macro="">
      <xdr:nvGraphicFramePr>
        <xdr:cNvPr id="18" name="Chart 17">
          <a:extLst>
            <a:ext uri="{FF2B5EF4-FFF2-40B4-BE49-F238E27FC236}">
              <a16:creationId xmlns:a16="http://schemas.microsoft.com/office/drawing/2014/main" id="{36A770EE-FF04-49C2-96C9-6AA902C8A5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3469</xdr:colOff>
      <xdr:row>130</xdr:row>
      <xdr:rowOff>0</xdr:rowOff>
    </xdr:from>
    <xdr:to>
      <xdr:col>11</xdr:col>
      <xdr:colOff>604414</xdr:colOff>
      <xdr:row>146</xdr:row>
      <xdr:rowOff>77753</xdr:rowOff>
    </xdr:to>
    <xdr:graphicFrame macro="">
      <xdr:nvGraphicFramePr>
        <xdr:cNvPr id="21" name="Chart 20">
          <a:extLst>
            <a:ext uri="{FF2B5EF4-FFF2-40B4-BE49-F238E27FC236}">
              <a16:creationId xmlns:a16="http://schemas.microsoft.com/office/drawing/2014/main" id="{C1940DEC-126C-40BA-8D93-1B641ECEE6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3469</xdr:colOff>
      <xdr:row>148</xdr:row>
      <xdr:rowOff>0</xdr:rowOff>
    </xdr:from>
    <xdr:to>
      <xdr:col>11</xdr:col>
      <xdr:colOff>591079</xdr:colOff>
      <xdr:row>164</xdr:row>
      <xdr:rowOff>77753</xdr:rowOff>
    </xdr:to>
    <xdr:graphicFrame macro="">
      <xdr:nvGraphicFramePr>
        <xdr:cNvPr id="22" name="Chart 21">
          <a:extLst>
            <a:ext uri="{FF2B5EF4-FFF2-40B4-BE49-F238E27FC236}">
              <a16:creationId xmlns:a16="http://schemas.microsoft.com/office/drawing/2014/main" id="{282F7605-F13C-4532-A4BC-1CB1DF196C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3469</xdr:colOff>
      <xdr:row>166</xdr:row>
      <xdr:rowOff>0</xdr:rowOff>
    </xdr:from>
    <xdr:to>
      <xdr:col>11</xdr:col>
      <xdr:colOff>583603</xdr:colOff>
      <xdr:row>182</xdr:row>
      <xdr:rowOff>73943</xdr:rowOff>
    </xdr:to>
    <xdr:graphicFrame macro="">
      <xdr:nvGraphicFramePr>
        <xdr:cNvPr id="24" name="Chart 23">
          <a:extLst>
            <a:ext uri="{FF2B5EF4-FFF2-40B4-BE49-F238E27FC236}">
              <a16:creationId xmlns:a16="http://schemas.microsoft.com/office/drawing/2014/main" id="{3A5F9F3D-41D1-4AB5-B17D-35C902AB1C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3469</xdr:colOff>
      <xdr:row>184</xdr:row>
      <xdr:rowOff>0</xdr:rowOff>
    </xdr:from>
    <xdr:to>
      <xdr:col>11</xdr:col>
      <xdr:colOff>606304</xdr:colOff>
      <xdr:row>200</xdr:row>
      <xdr:rowOff>75848</xdr:rowOff>
    </xdr:to>
    <xdr:graphicFrame macro="">
      <xdr:nvGraphicFramePr>
        <xdr:cNvPr id="25" name="Chart 24">
          <a:extLst>
            <a:ext uri="{FF2B5EF4-FFF2-40B4-BE49-F238E27FC236}">
              <a16:creationId xmlns:a16="http://schemas.microsoft.com/office/drawing/2014/main" id="{5F54F4C5-2837-471B-A9AD-A350BC9C6F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11</xdr:col>
      <xdr:colOff>1036151</xdr:colOff>
      <xdr:row>58</xdr:row>
      <xdr:rowOff>130924</xdr:rowOff>
    </xdr:from>
    <xdr:ext cx="6583850" cy="1648149"/>
    <xdr:sp macro="" textlink="">
      <xdr:nvSpPr>
        <xdr:cNvPr id="2" name="TextBox 1">
          <a:extLst>
            <a:ext uri="{FF2B5EF4-FFF2-40B4-BE49-F238E27FC236}">
              <a16:creationId xmlns:a16="http://schemas.microsoft.com/office/drawing/2014/main" id="{7C1812EB-1A7E-5165-B3E8-D137F0322E8A}"/>
            </a:ext>
          </a:extLst>
        </xdr:cNvPr>
        <xdr:cNvSpPr txBox="1"/>
      </xdr:nvSpPr>
      <xdr:spPr>
        <a:xfrm>
          <a:off x="13687305" y="14296309"/>
          <a:ext cx="6583850" cy="1648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400" b="1">
              <a:latin typeface="Garamond" panose="02020404030301010803" pitchFamily="18" charset="0"/>
            </a:rPr>
            <a:t>Interpretation:</a:t>
          </a:r>
          <a:r>
            <a:rPr lang="en-GB" sz="1400">
              <a:latin typeface="Garamond" panose="02020404030301010803" pitchFamily="18" charset="0"/>
            </a:rPr>
            <a:t> </a:t>
          </a:r>
        </a:p>
        <a:p>
          <a:r>
            <a:rPr lang="en-GB" sz="1400">
              <a:latin typeface="Garamond" panose="02020404030301010803" pitchFamily="18" charset="0"/>
            </a:rPr>
            <a:t>NPV is highly sensitive to electricity prices. A drop of 50% in electricity price leads to a negative NPV, making the project unviable. Conversely, a 50% increase significantly boosts profitability.</a:t>
          </a:r>
        </a:p>
        <a:p>
          <a:endParaRPr lang="en-GB" sz="1400">
            <a:latin typeface="Garamond" panose="02020404030301010803" pitchFamily="18" charset="0"/>
          </a:endParaRPr>
        </a:p>
        <a:p>
          <a:r>
            <a:rPr lang="en-GB" sz="1400" b="1">
              <a:latin typeface="Garamond" panose="02020404030301010803" pitchFamily="18" charset="0"/>
            </a:rPr>
            <a:t>Recommendation:</a:t>
          </a:r>
        </a:p>
        <a:p>
          <a:r>
            <a:rPr lang="en-GB" sz="1400">
              <a:latin typeface="Garamond" panose="02020404030301010803" pitchFamily="18" charset="0"/>
            </a:rPr>
            <a:t>Risk mitigation should consider long-term price contracts or subsidies.</a:t>
          </a:r>
        </a:p>
      </xdr:txBody>
    </xdr:sp>
    <xdr:clientData/>
  </xdr:oneCellAnchor>
  <xdr:oneCellAnchor>
    <xdr:from>
      <xdr:col>11</xdr:col>
      <xdr:colOff>955969</xdr:colOff>
      <xdr:row>75</xdr:row>
      <xdr:rowOff>234704</xdr:rowOff>
    </xdr:from>
    <xdr:ext cx="6583850" cy="1648149"/>
    <xdr:sp macro="" textlink="">
      <xdr:nvSpPr>
        <xdr:cNvPr id="3" name="TextBox 2">
          <a:extLst>
            <a:ext uri="{FF2B5EF4-FFF2-40B4-BE49-F238E27FC236}">
              <a16:creationId xmlns:a16="http://schemas.microsoft.com/office/drawing/2014/main" id="{A2BB1DDB-A697-4064-8877-CAE44A63398D}"/>
            </a:ext>
          </a:extLst>
        </xdr:cNvPr>
        <xdr:cNvSpPr txBox="1"/>
      </xdr:nvSpPr>
      <xdr:spPr>
        <a:xfrm>
          <a:off x="13607123" y="18552012"/>
          <a:ext cx="6583850" cy="1648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400" b="1">
              <a:latin typeface="Garamond" panose="02020404030301010803" pitchFamily="18" charset="0"/>
            </a:rPr>
            <a:t>Interpretation</a:t>
          </a:r>
          <a:r>
            <a:rPr lang="en-GB" sz="1400" b="0">
              <a:latin typeface="Garamond" panose="02020404030301010803" pitchFamily="18" charset="0"/>
            </a:rPr>
            <a:t>: </a:t>
          </a:r>
        </a:p>
        <a:p>
          <a:r>
            <a:rPr lang="en-GB" sz="1400" b="0">
              <a:latin typeface="Garamond" panose="02020404030301010803" pitchFamily="18" charset="0"/>
            </a:rPr>
            <a:t>A longer turbine lifespan slightly increases NPV, but the effect is not as strong as electricity prices.</a:t>
          </a:r>
        </a:p>
        <a:p>
          <a:endParaRPr lang="en-GB" sz="1400" b="0">
            <a:latin typeface="Garamond" panose="02020404030301010803" pitchFamily="18" charset="0"/>
          </a:endParaRPr>
        </a:p>
        <a:p>
          <a:r>
            <a:rPr lang="en-GB" sz="1400" b="1">
              <a:latin typeface="Garamond" panose="02020404030301010803" pitchFamily="18" charset="0"/>
            </a:rPr>
            <a:t>Recommendation: </a:t>
          </a:r>
        </a:p>
        <a:p>
          <a:r>
            <a:rPr lang="en-GB" sz="1400" b="0">
              <a:latin typeface="Garamond" panose="02020404030301010803" pitchFamily="18" charset="0"/>
            </a:rPr>
            <a:t>Extend</a:t>
          </a:r>
          <a:r>
            <a:rPr lang="en-GB" sz="1400" b="0" baseline="0">
              <a:latin typeface="Garamond" panose="02020404030301010803" pitchFamily="18" charset="0"/>
            </a:rPr>
            <a:t> </a:t>
          </a:r>
          <a:r>
            <a:rPr lang="en-GB" sz="1400" b="0">
              <a:latin typeface="Garamond" panose="02020404030301010803" pitchFamily="18" charset="0"/>
            </a:rPr>
            <a:t>operational life via maintenance and warranties to provide additional value, but this</a:t>
          </a:r>
          <a:r>
            <a:rPr lang="en-GB" sz="1400" b="0" baseline="0">
              <a:latin typeface="Garamond" panose="02020404030301010803" pitchFamily="18" charset="0"/>
            </a:rPr>
            <a:t> </a:t>
          </a:r>
          <a:r>
            <a:rPr lang="en-GB" sz="1400" b="0">
              <a:latin typeface="Garamond" panose="02020404030301010803" pitchFamily="18" charset="0"/>
            </a:rPr>
            <a:t>is not the main driver of profitability.</a:t>
          </a:r>
        </a:p>
      </xdr:txBody>
    </xdr:sp>
    <xdr:clientData/>
  </xdr:oneCellAnchor>
  <xdr:oneCellAnchor>
    <xdr:from>
      <xdr:col>11</xdr:col>
      <xdr:colOff>955969</xdr:colOff>
      <xdr:row>95</xdr:row>
      <xdr:rowOff>0</xdr:rowOff>
    </xdr:from>
    <xdr:ext cx="6583850" cy="1427132"/>
    <xdr:sp macro="" textlink="">
      <xdr:nvSpPr>
        <xdr:cNvPr id="4" name="TextBox 3">
          <a:extLst>
            <a:ext uri="{FF2B5EF4-FFF2-40B4-BE49-F238E27FC236}">
              <a16:creationId xmlns:a16="http://schemas.microsoft.com/office/drawing/2014/main" id="{2DE666D6-DE24-40AD-881C-5565CC9FF3B8}"/>
            </a:ext>
          </a:extLst>
        </xdr:cNvPr>
        <xdr:cNvSpPr txBox="1"/>
      </xdr:nvSpPr>
      <xdr:spPr>
        <a:xfrm>
          <a:off x="13607123" y="23201923"/>
          <a:ext cx="6583850" cy="14271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400" b="1">
              <a:latin typeface="Garamond" panose="02020404030301010803" pitchFamily="18" charset="0"/>
            </a:rPr>
            <a:t>Interpretation</a:t>
          </a:r>
          <a:r>
            <a:rPr lang="en-GB" sz="1400" b="0">
              <a:latin typeface="Garamond" panose="02020404030301010803" pitchFamily="18" charset="0"/>
            </a:rPr>
            <a:t>: </a:t>
          </a:r>
        </a:p>
        <a:p>
          <a:r>
            <a:rPr lang="en-GB" sz="1400" b="0">
              <a:latin typeface="Garamond" panose="02020404030301010803" pitchFamily="18" charset="0"/>
            </a:rPr>
            <a:t>Higher capacity factors improve NPV, showing a clear benefit from efficiency improvements or favorable wind conditions.</a:t>
          </a:r>
        </a:p>
        <a:p>
          <a:endParaRPr lang="en-GB" sz="1400" b="0">
            <a:latin typeface="Garamond" panose="02020404030301010803" pitchFamily="18" charset="0"/>
          </a:endParaRPr>
        </a:p>
        <a:p>
          <a:r>
            <a:rPr lang="en-GB" sz="1400" b="1">
              <a:latin typeface="Garamond" panose="02020404030301010803" pitchFamily="18" charset="0"/>
            </a:rPr>
            <a:t>Recommendation: </a:t>
          </a:r>
        </a:p>
        <a:p>
          <a:r>
            <a:rPr lang="en-GB" sz="1400" b="0">
              <a:latin typeface="Garamond" panose="02020404030301010803" pitchFamily="18" charset="0"/>
            </a:rPr>
            <a:t>Maximise turbine efficiency through placement and technology improvements.</a:t>
          </a:r>
        </a:p>
      </xdr:txBody>
    </xdr:sp>
    <xdr:clientData/>
  </xdr:oneCellAnchor>
  <xdr:oneCellAnchor>
    <xdr:from>
      <xdr:col>11</xdr:col>
      <xdr:colOff>955969</xdr:colOff>
      <xdr:row>112</xdr:row>
      <xdr:rowOff>0</xdr:rowOff>
    </xdr:from>
    <xdr:ext cx="6583850" cy="1427132"/>
    <xdr:sp macro="" textlink="">
      <xdr:nvSpPr>
        <xdr:cNvPr id="6" name="TextBox 5">
          <a:extLst>
            <a:ext uri="{FF2B5EF4-FFF2-40B4-BE49-F238E27FC236}">
              <a16:creationId xmlns:a16="http://schemas.microsoft.com/office/drawing/2014/main" id="{D35CDC12-9ACC-482D-A7C3-B5E9B7E45E3F}"/>
            </a:ext>
          </a:extLst>
        </xdr:cNvPr>
        <xdr:cNvSpPr txBox="1"/>
      </xdr:nvSpPr>
      <xdr:spPr>
        <a:xfrm>
          <a:off x="13607123" y="27353846"/>
          <a:ext cx="6583850" cy="14271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400" b="1">
              <a:latin typeface="Garamond" panose="02020404030301010803" pitchFamily="18" charset="0"/>
            </a:rPr>
            <a:t>Interpretation</a:t>
          </a:r>
          <a:r>
            <a:rPr lang="en-GB" sz="1400" b="0">
              <a:latin typeface="Garamond" panose="02020404030301010803" pitchFamily="18" charset="0"/>
            </a:rPr>
            <a:t>: </a:t>
          </a:r>
        </a:p>
        <a:p>
          <a:r>
            <a:rPr lang="en-GB" sz="1400" b="0">
              <a:latin typeface="Garamond" panose="02020404030301010803" pitchFamily="18" charset="0"/>
            </a:rPr>
            <a:t>NPV declines significantly as the discount rate increases, indicating the project is highly sensitive to the project's cost of capital.</a:t>
          </a:r>
        </a:p>
        <a:p>
          <a:endParaRPr lang="en-GB" sz="1400" b="0">
            <a:latin typeface="Garamond" panose="02020404030301010803" pitchFamily="18" charset="0"/>
          </a:endParaRPr>
        </a:p>
        <a:p>
          <a:r>
            <a:rPr lang="en-GB" sz="1400" b="1">
              <a:latin typeface="Garamond" panose="02020404030301010803" pitchFamily="18" charset="0"/>
            </a:rPr>
            <a:t>Recommendation: </a:t>
          </a:r>
        </a:p>
        <a:p>
          <a:r>
            <a:rPr lang="en-GB" sz="1400" b="0">
              <a:latin typeface="Garamond" panose="02020404030301010803" pitchFamily="18" charset="0"/>
            </a:rPr>
            <a:t>Secure low-cost financing or government incentives to</a:t>
          </a:r>
          <a:r>
            <a:rPr lang="en-GB" sz="1400" b="0" baseline="0">
              <a:latin typeface="Garamond" panose="02020404030301010803" pitchFamily="18" charset="0"/>
            </a:rPr>
            <a:t> maximise profitability</a:t>
          </a:r>
          <a:r>
            <a:rPr lang="en-GB" sz="1400" b="0">
              <a:latin typeface="Garamond" panose="02020404030301010803" pitchFamily="18" charset="0"/>
            </a:rPr>
            <a:t>.</a:t>
          </a:r>
        </a:p>
      </xdr:txBody>
    </xdr:sp>
    <xdr:clientData/>
  </xdr:oneCellAnchor>
  <xdr:oneCellAnchor>
    <xdr:from>
      <xdr:col>11</xdr:col>
      <xdr:colOff>955969</xdr:colOff>
      <xdr:row>130</xdr:row>
      <xdr:rowOff>-1</xdr:rowOff>
    </xdr:from>
    <xdr:ext cx="6583850" cy="1648149"/>
    <xdr:sp macro="" textlink="">
      <xdr:nvSpPr>
        <xdr:cNvPr id="8" name="TextBox 7">
          <a:extLst>
            <a:ext uri="{FF2B5EF4-FFF2-40B4-BE49-F238E27FC236}">
              <a16:creationId xmlns:a16="http://schemas.microsoft.com/office/drawing/2014/main" id="{0A3894D6-15F6-4D45-8AE2-AF0B7987C2E9}"/>
            </a:ext>
          </a:extLst>
        </xdr:cNvPr>
        <xdr:cNvSpPr txBox="1"/>
      </xdr:nvSpPr>
      <xdr:spPr>
        <a:xfrm>
          <a:off x="13607123" y="31749999"/>
          <a:ext cx="6583850" cy="1648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400" b="1">
              <a:latin typeface="Garamond" panose="02020404030301010803" pitchFamily="18" charset="0"/>
            </a:rPr>
            <a:t>Interpretation</a:t>
          </a:r>
          <a:r>
            <a:rPr lang="en-GB" sz="1400" b="0">
              <a:latin typeface="Garamond" panose="02020404030301010803" pitchFamily="18" charset="0"/>
            </a:rPr>
            <a:t>: </a:t>
          </a:r>
        </a:p>
        <a:p>
          <a:r>
            <a:rPr lang="en-GB" sz="1400" b="0">
              <a:latin typeface="Garamond" panose="02020404030301010803" pitchFamily="18" charset="0"/>
            </a:rPr>
            <a:t>Lowering OpEx improves NPV, but the sensitivity is moderate compared to electricity price or discount rate.</a:t>
          </a:r>
        </a:p>
        <a:p>
          <a:endParaRPr lang="en-GB" sz="1400" b="0">
            <a:latin typeface="Garamond" panose="02020404030301010803" pitchFamily="18" charset="0"/>
          </a:endParaRPr>
        </a:p>
        <a:p>
          <a:r>
            <a:rPr lang="en-GB" sz="1400" b="1">
              <a:latin typeface="Garamond" panose="02020404030301010803" pitchFamily="18" charset="0"/>
            </a:rPr>
            <a:t>Recommendation: </a:t>
          </a:r>
        </a:p>
        <a:p>
          <a:r>
            <a:rPr lang="en-GB" sz="1400" b="0">
              <a:latin typeface="Garamond" panose="02020404030301010803" pitchFamily="18" charset="0"/>
            </a:rPr>
            <a:t>While cost control is important, it should not come at the expense of performance and reliability..</a:t>
          </a:r>
        </a:p>
      </xdr:txBody>
    </xdr:sp>
    <xdr:clientData/>
  </xdr:oneCellAnchor>
  <xdr:oneCellAnchor>
    <xdr:from>
      <xdr:col>11</xdr:col>
      <xdr:colOff>955969</xdr:colOff>
      <xdr:row>166</xdr:row>
      <xdr:rowOff>0</xdr:rowOff>
    </xdr:from>
    <xdr:ext cx="6583850" cy="1427132"/>
    <xdr:sp macro="" textlink="">
      <xdr:nvSpPr>
        <xdr:cNvPr id="10" name="TextBox 9">
          <a:extLst>
            <a:ext uri="{FF2B5EF4-FFF2-40B4-BE49-F238E27FC236}">
              <a16:creationId xmlns:a16="http://schemas.microsoft.com/office/drawing/2014/main" id="{8B8E6AFE-04D0-49D6-AA4E-705A33F97CD9}"/>
            </a:ext>
          </a:extLst>
        </xdr:cNvPr>
        <xdr:cNvSpPr txBox="1"/>
      </xdr:nvSpPr>
      <xdr:spPr>
        <a:xfrm>
          <a:off x="13607123" y="40542308"/>
          <a:ext cx="6583850" cy="14271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400" b="1">
              <a:latin typeface="Garamond" panose="02020404030301010803" pitchFamily="18" charset="0"/>
            </a:rPr>
            <a:t>Interpretation</a:t>
          </a:r>
          <a:r>
            <a:rPr lang="en-GB" sz="1400" b="0">
              <a:latin typeface="Garamond" panose="02020404030301010803" pitchFamily="18" charset="0"/>
            </a:rPr>
            <a:t>: </a:t>
          </a:r>
        </a:p>
        <a:p>
          <a:r>
            <a:rPr lang="en-GB" sz="1400" b="0">
              <a:latin typeface="Garamond" panose="02020404030301010803" pitchFamily="18" charset="0"/>
            </a:rPr>
            <a:t>Moderate sensitivity to inflation—higher inflation slightly increases NPV due to potential price adjustments.</a:t>
          </a:r>
        </a:p>
        <a:p>
          <a:endParaRPr lang="en-GB" sz="1400" b="0">
            <a:latin typeface="Garamond" panose="02020404030301010803" pitchFamily="18" charset="0"/>
          </a:endParaRPr>
        </a:p>
        <a:p>
          <a:r>
            <a:rPr lang="en-GB" sz="1400" b="1">
              <a:latin typeface="Garamond" panose="02020404030301010803" pitchFamily="18" charset="0"/>
            </a:rPr>
            <a:t>Recommendation: </a:t>
          </a:r>
        </a:p>
        <a:p>
          <a:r>
            <a:rPr lang="en-GB" sz="1400" b="0">
              <a:latin typeface="Garamond" panose="02020404030301010803" pitchFamily="18" charset="0"/>
            </a:rPr>
            <a:t>Long-term contracts that allow price adjustments may provide financial stability.</a:t>
          </a:r>
        </a:p>
      </xdr:txBody>
    </xdr:sp>
    <xdr:clientData/>
  </xdr:oneCellAnchor>
  <xdr:oneCellAnchor>
    <xdr:from>
      <xdr:col>11</xdr:col>
      <xdr:colOff>955969</xdr:colOff>
      <xdr:row>184</xdr:row>
      <xdr:rowOff>0</xdr:rowOff>
    </xdr:from>
    <xdr:ext cx="6583850" cy="1427132"/>
    <xdr:sp macro="" textlink="">
      <xdr:nvSpPr>
        <xdr:cNvPr id="11" name="TextBox 10">
          <a:extLst>
            <a:ext uri="{FF2B5EF4-FFF2-40B4-BE49-F238E27FC236}">
              <a16:creationId xmlns:a16="http://schemas.microsoft.com/office/drawing/2014/main" id="{0D26D773-B7C9-4D77-9D1A-707E6E292572}"/>
            </a:ext>
          </a:extLst>
        </xdr:cNvPr>
        <xdr:cNvSpPr txBox="1"/>
      </xdr:nvSpPr>
      <xdr:spPr>
        <a:xfrm>
          <a:off x="13607123" y="44938462"/>
          <a:ext cx="6583850" cy="14271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400" b="1">
              <a:latin typeface="Garamond" panose="02020404030301010803" pitchFamily="18" charset="0"/>
            </a:rPr>
            <a:t>Interpretation</a:t>
          </a:r>
          <a:r>
            <a:rPr lang="en-GB" sz="1400" b="0">
              <a:latin typeface="Garamond" panose="02020404030301010803" pitchFamily="18" charset="0"/>
            </a:rPr>
            <a:t>: </a:t>
          </a:r>
        </a:p>
        <a:p>
          <a:r>
            <a:rPr lang="en-GB" sz="1400" b="0">
              <a:latin typeface="Garamond" panose="02020404030301010803" pitchFamily="18" charset="0"/>
            </a:rPr>
            <a:t>Delays in turbine operation reduce NPV, with long delays significantly impacting financial viability.</a:t>
          </a:r>
        </a:p>
        <a:p>
          <a:endParaRPr lang="en-GB" sz="1400" b="0">
            <a:latin typeface="Garamond" panose="02020404030301010803" pitchFamily="18" charset="0"/>
          </a:endParaRPr>
        </a:p>
        <a:p>
          <a:r>
            <a:rPr lang="en-GB" sz="1400" b="1">
              <a:latin typeface="Garamond" panose="02020404030301010803" pitchFamily="18" charset="0"/>
            </a:rPr>
            <a:t>Recommendation: </a:t>
          </a:r>
        </a:p>
        <a:p>
          <a:r>
            <a:rPr lang="en-GB" sz="1400" b="0">
              <a:latin typeface="Garamond" panose="02020404030301010803" pitchFamily="18" charset="0"/>
            </a:rPr>
            <a:t>Streamline permitting, supply chain, and construction processes to maximise returns..</a:t>
          </a:r>
        </a:p>
      </xdr:txBody>
    </xdr:sp>
    <xdr:clientData/>
  </xdr:oneCellAnchor>
  <xdr:oneCellAnchor>
    <xdr:from>
      <xdr:col>11</xdr:col>
      <xdr:colOff>955969</xdr:colOff>
      <xdr:row>148</xdr:row>
      <xdr:rowOff>-1</xdr:rowOff>
    </xdr:from>
    <xdr:ext cx="6583850" cy="1648149"/>
    <xdr:sp macro="" textlink="">
      <xdr:nvSpPr>
        <xdr:cNvPr id="12" name="TextBox 11">
          <a:extLst>
            <a:ext uri="{FF2B5EF4-FFF2-40B4-BE49-F238E27FC236}">
              <a16:creationId xmlns:a16="http://schemas.microsoft.com/office/drawing/2014/main" id="{A269967A-EE05-4CF3-AFA0-303860A73A76}"/>
            </a:ext>
          </a:extLst>
        </xdr:cNvPr>
        <xdr:cNvSpPr txBox="1"/>
      </xdr:nvSpPr>
      <xdr:spPr>
        <a:xfrm>
          <a:off x="13607123" y="36146153"/>
          <a:ext cx="6583850" cy="1648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400" b="1">
              <a:latin typeface="Garamond" panose="02020404030301010803" pitchFamily="18" charset="0"/>
            </a:rPr>
            <a:t>Interpretation</a:t>
          </a:r>
          <a:r>
            <a:rPr lang="en-GB" sz="1400" b="0">
              <a:latin typeface="Garamond" panose="02020404030301010803" pitchFamily="18" charset="0"/>
            </a:rPr>
            <a:t>: </a:t>
          </a:r>
        </a:p>
        <a:p>
          <a:r>
            <a:rPr lang="en-GB" sz="1400" b="0">
              <a:latin typeface="Garamond" panose="02020404030301010803" pitchFamily="18" charset="0"/>
            </a:rPr>
            <a:t>Increasing the number of turbines leads to a proportional increase in NPV, indicating a direct relationship between scale and profitability.</a:t>
          </a:r>
        </a:p>
        <a:p>
          <a:endParaRPr lang="en-GB" sz="1400" b="0">
            <a:latin typeface="Garamond" panose="02020404030301010803" pitchFamily="18" charset="0"/>
          </a:endParaRPr>
        </a:p>
        <a:p>
          <a:r>
            <a:rPr lang="en-GB" sz="1400" b="1">
              <a:latin typeface="Garamond" panose="02020404030301010803" pitchFamily="18" charset="0"/>
            </a:rPr>
            <a:t>Recommendation: </a:t>
          </a:r>
        </a:p>
        <a:p>
          <a:r>
            <a:rPr lang="en-GB" sz="1400" b="0">
              <a:latin typeface="Garamond" panose="02020404030301010803" pitchFamily="18" charset="0"/>
            </a:rPr>
            <a:t>Expand the wind farm by adding more turbines to improve financial returns,</a:t>
          </a:r>
          <a:r>
            <a:rPr lang="en-GB" sz="1400" b="0" baseline="0">
              <a:latin typeface="Garamond" panose="02020404030301010803" pitchFamily="18" charset="0"/>
            </a:rPr>
            <a:t> if </a:t>
          </a:r>
          <a:r>
            <a:rPr lang="en-GB" sz="1400" b="0">
              <a:latin typeface="Garamond" panose="02020404030301010803" pitchFamily="18" charset="0"/>
            </a:rPr>
            <a:t>capital investment and site constraints allow for expansion.</a:t>
          </a:r>
        </a:p>
      </xdr:txBody>
    </xdr:sp>
    <xdr:clientData/>
  </xdr:oneCellAnchor>
  <xdr:oneCellAnchor>
    <xdr:from>
      <xdr:col>2</xdr:col>
      <xdr:colOff>0</xdr:colOff>
      <xdr:row>209</xdr:row>
      <xdr:rowOff>0</xdr:rowOff>
    </xdr:from>
    <xdr:ext cx="8115287" cy="1219686"/>
    <xdr:sp macro="" textlink="">
      <xdr:nvSpPr>
        <xdr:cNvPr id="9" name="TextBox 8">
          <a:extLst>
            <a:ext uri="{FF2B5EF4-FFF2-40B4-BE49-F238E27FC236}">
              <a16:creationId xmlns:a16="http://schemas.microsoft.com/office/drawing/2014/main" id="{FF72C195-4330-4AD5-B40F-C1BA22233449}"/>
            </a:ext>
          </a:extLst>
        </xdr:cNvPr>
        <xdr:cNvSpPr txBox="1"/>
      </xdr:nvSpPr>
      <xdr:spPr>
        <a:xfrm>
          <a:off x="1384102" y="49530000"/>
          <a:ext cx="8115287" cy="12196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400" b="1">
              <a:latin typeface="Garamond" panose="02020404030301010803" pitchFamily="18" charset="0"/>
            </a:rPr>
            <a:t>Interpretation</a:t>
          </a:r>
          <a:r>
            <a:rPr lang="en-GB" sz="1400" b="0">
              <a:latin typeface="Garamond" panose="02020404030301010803" pitchFamily="18" charset="0"/>
            </a:rPr>
            <a:t>: </a:t>
          </a:r>
        </a:p>
        <a:p>
          <a:r>
            <a:rPr lang="en-GB" sz="1400" b="0">
              <a:latin typeface="Garamond" panose="02020404030301010803" pitchFamily="18" charset="0"/>
            </a:rPr>
            <a:t>At an electricity price of £45/MWh, the project is viable at all discount rates in the table (4% to 12%).</a:t>
          </a:r>
        </a:p>
        <a:p>
          <a:endParaRPr lang="en-GB" sz="1400" b="0">
            <a:latin typeface="Garamond" panose="02020404030301010803" pitchFamily="18" charset="0"/>
          </a:endParaRPr>
        </a:p>
        <a:p>
          <a:r>
            <a:rPr lang="en-GB" sz="1400" b="0">
              <a:latin typeface="Garamond" panose="02020404030301010803" pitchFamily="18" charset="0"/>
            </a:rPr>
            <a:t>If discount rates exceed 10%, the project requires electricity prices of at least £45/MWh to remain viable.</a:t>
          </a:r>
        </a:p>
      </xdr:txBody>
    </xdr:sp>
    <xdr:clientData/>
  </xdr:oneCellAnchor>
  <xdr:oneCellAnchor>
    <xdr:from>
      <xdr:col>2</xdr:col>
      <xdr:colOff>0</xdr:colOff>
      <xdr:row>220</xdr:row>
      <xdr:rowOff>0</xdr:rowOff>
    </xdr:from>
    <xdr:ext cx="8115287" cy="1219686"/>
    <xdr:sp macro="" textlink="">
      <xdr:nvSpPr>
        <xdr:cNvPr id="14" name="TextBox 13">
          <a:extLst>
            <a:ext uri="{FF2B5EF4-FFF2-40B4-BE49-F238E27FC236}">
              <a16:creationId xmlns:a16="http://schemas.microsoft.com/office/drawing/2014/main" id="{2DA5E601-A7BB-4653-84FF-B7FE15B8B818}"/>
            </a:ext>
          </a:extLst>
        </xdr:cNvPr>
        <xdr:cNvSpPr txBox="1"/>
      </xdr:nvSpPr>
      <xdr:spPr>
        <a:xfrm>
          <a:off x="1384102" y="52149375"/>
          <a:ext cx="8115287" cy="12196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400" b="1">
              <a:latin typeface="Garamond" panose="02020404030301010803" pitchFamily="18" charset="0"/>
            </a:rPr>
            <a:t>Interpretation</a:t>
          </a:r>
          <a:r>
            <a:rPr lang="en-GB" sz="1400" b="0">
              <a:latin typeface="Garamond" panose="02020404030301010803" pitchFamily="18" charset="0"/>
            </a:rPr>
            <a:t>: </a:t>
          </a:r>
        </a:p>
        <a:p>
          <a:r>
            <a:rPr lang="en-GB" sz="1400" b="0">
              <a:latin typeface="Garamond" panose="02020404030301010803" pitchFamily="18" charset="0"/>
            </a:rPr>
            <a:t>If the project starts within 8 years, it remains viable at discount rates of 10% or lower.</a:t>
          </a:r>
        </a:p>
        <a:p>
          <a:endParaRPr lang="en-GB" sz="1400" b="0">
            <a:latin typeface="Garamond" panose="02020404030301010803" pitchFamily="18" charset="0"/>
          </a:endParaRPr>
        </a:p>
        <a:p>
          <a:r>
            <a:rPr lang="en-GB" sz="1400" b="0">
              <a:latin typeface="Garamond" panose="02020404030301010803" pitchFamily="18" charset="0"/>
            </a:rPr>
            <a:t>If delays extend to 9 years, it remains viable only at discount rates of 8.8% or lower.</a:t>
          </a:r>
        </a:p>
      </xdr:txBody>
    </xdr:sp>
    <xdr:clientData/>
  </xdr:oneCellAnchor>
  <xdr:oneCellAnchor>
    <xdr:from>
      <xdr:col>2</xdr:col>
      <xdr:colOff>0</xdr:colOff>
      <xdr:row>230</xdr:row>
      <xdr:rowOff>236278</xdr:rowOff>
    </xdr:from>
    <xdr:ext cx="8115287" cy="1469361"/>
    <xdr:sp macro="" textlink="">
      <xdr:nvSpPr>
        <xdr:cNvPr id="15" name="TextBox 14">
          <a:extLst>
            <a:ext uri="{FF2B5EF4-FFF2-40B4-BE49-F238E27FC236}">
              <a16:creationId xmlns:a16="http://schemas.microsoft.com/office/drawing/2014/main" id="{DDE9EC20-4742-4DEC-916C-13BBAFEB3C6E}"/>
            </a:ext>
          </a:extLst>
        </xdr:cNvPr>
        <xdr:cNvSpPr txBox="1"/>
      </xdr:nvSpPr>
      <xdr:spPr>
        <a:xfrm>
          <a:off x="1380756" y="54344185"/>
          <a:ext cx="8115287" cy="1469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400" b="1">
              <a:latin typeface="Garamond" panose="02020404030301010803" pitchFamily="18" charset="0"/>
            </a:rPr>
            <a:t>Interpretation</a:t>
          </a:r>
          <a:r>
            <a:rPr lang="en-GB" sz="1400" b="0">
              <a:latin typeface="Garamond" panose="02020404030301010803" pitchFamily="18" charset="0"/>
            </a:rPr>
            <a:t>: </a:t>
          </a:r>
        </a:p>
        <a:p>
          <a:r>
            <a:rPr lang="en-GB" sz="1400" b="0">
              <a:latin typeface="Garamond" panose="02020404030301010803" pitchFamily="18" charset="0"/>
            </a:rPr>
            <a:t>At £45/MWh or higher, the project remains viable as long as the capacity factor is at least 27%.</a:t>
          </a:r>
          <a:r>
            <a:rPr lang="en-GB" sz="1400" b="0" baseline="0">
              <a:latin typeface="Garamond" panose="02020404030301010803" pitchFamily="18" charset="0"/>
            </a:rPr>
            <a:t> </a:t>
          </a:r>
          <a:r>
            <a:rPr lang="en-GB" sz="1400" b="0">
              <a:latin typeface="Garamond" panose="02020404030301010803" pitchFamily="18" charset="0"/>
            </a:rPr>
            <a:t>With an electricity price of £37.5/MWh, profitability requires a capacity factor of 33% or greater.</a:t>
          </a:r>
        </a:p>
        <a:p>
          <a:endParaRPr lang="en-GB" sz="1400" b="0">
            <a:latin typeface="Garamond" panose="02020404030301010803" pitchFamily="18" charset="0"/>
          </a:endParaRPr>
        </a:p>
        <a:p>
          <a:r>
            <a:rPr lang="en-GB" sz="1400" b="0">
              <a:latin typeface="Garamond" panose="02020404030301010803" pitchFamily="18" charset="0"/>
            </a:rPr>
            <a:t>At £25/MWh, the project is unviable regardless of efficiency levels.</a:t>
          </a:r>
        </a:p>
      </xdr:txBody>
    </xdr:sp>
    <xdr:clientData/>
  </xdr:oneCellAnchor>
  <xdr:oneCellAnchor>
    <xdr:from>
      <xdr:col>2</xdr:col>
      <xdr:colOff>0</xdr:colOff>
      <xdr:row>242</xdr:row>
      <xdr:rowOff>0</xdr:rowOff>
    </xdr:from>
    <xdr:ext cx="8115287" cy="1219686"/>
    <xdr:sp macro="" textlink="">
      <xdr:nvSpPr>
        <xdr:cNvPr id="16" name="TextBox 15">
          <a:extLst>
            <a:ext uri="{FF2B5EF4-FFF2-40B4-BE49-F238E27FC236}">
              <a16:creationId xmlns:a16="http://schemas.microsoft.com/office/drawing/2014/main" id="{BA58360C-FB55-4B5B-B665-A794E55AF14C}"/>
            </a:ext>
          </a:extLst>
        </xdr:cNvPr>
        <xdr:cNvSpPr txBox="1"/>
      </xdr:nvSpPr>
      <xdr:spPr>
        <a:xfrm>
          <a:off x="1384102" y="57388125"/>
          <a:ext cx="8115287" cy="12196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400" b="1">
              <a:latin typeface="Garamond" panose="02020404030301010803" pitchFamily="18" charset="0"/>
            </a:rPr>
            <a:t>Interpretation</a:t>
          </a:r>
          <a:r>
            <a:rPr lang="en-GB" sz="1400" b="0">
              <a:latin typeface="Garamond" panose="02020404030301010803" pitchFamily="18" charset="0"/>
            </a:rPr>
            <a:t>: </a:t>
          </a:r>
        </a:p>
        <a:p>
          <a:r>
            <a:rPr lang="en-GB" sz="1400" b="0">
              <a:latin typeface="Garamond" panose="02020404030301010803" pitchFamily="18" charset="0"/>
            </a:rPr>
            <a:t>If the project starts within 6 years, a 27% capacity factor is sufficient to remain viable.</a:t>
          </a:r>
        </a:p>
        <a:p>
          <a:endParaRPr lang="en-GB" sz="1400" b="0">
            <a:latin typeface="Garamond" panose="02020404030301010803" pitchFamily="18" charset="0"/>
          </a:endParaRPr>
        </a:p>
        <a:p>
          <a:r>
            <a:rPr lang="en-GB" sz="1400" b="0">
              <a:latin typeface="Garamond" panose="02020404030301010803" pitchFamily="18" charset="0"/>
            </a:rPr>
            <a:t>At 7–9 years, viability requires at least a 29% capacity factor.</a:t>
          </a:r>
        </a:p>
      </xdr:txBody>
    </xdr:sp>
    <xdr:clientData/>
  </xdr:oneCellAnchor>
  <xdr:oneCellAnchor>
    <xdr:from>
      <xdr:col>2</xdr:col>
      <xdr:colOff>0</xdr:colOff>
      <xdr:row>253</xdr:row>
      <xdr:rowOff>0</xdr:rowOff>
    </xdr:from>
    <xdr:ext cx="8115287" cy="1219686"/>
    <xdr:sp macro="" textlink="">
      <xdr:nvSpPr>
        <xdr:cNvPr id="19" name="TextBox 18">
          <a:extLst>
            <a:ext uri="{FF2B5EF4-FFF2-40B4-BE49-F238E27FC236}">
              <a16:creationId xmlns:a16="http://schemas.microsoft.com/office/drawing/2014/main" id="{3F08763B-87EB-4C1A-ABD9-CD26A4025214}"/>
            </a:ext>
          </a:extLst>
        </xdr:cNvPr>
        <xdr:cNvSpPr txBox="1"/>
      </xdr:nvSpPr>
      <xdr:spPr>
        <a:xfrm>
          <a:off x="1384102" y="60007500"/>
          <a:ext cx="8115287" cy="12196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400" b="1">
              <a:latin typeface="Garamond" panose="02020404030301010803" pitchFamily="18" charset="0"/>
            </a:rPr>
            <a:t>Interpretation</a:t>
          </a:r>
          <a:r>
            <a:rPr lang="en-GB" sz="1400" b="0">
              <a:latin typeface="Garamond" panose="02020404030301010803" pitchFamily="18" charset="0"/>
            </a:rPr>
            <a:t>: </a:t>
          </a:r>
        </a:p>
        <a:p>
          <a:r>
            <a:rPr lang="en-GB" sz="1400" b="0">
              <a:latin typeface="Garamond" panose="02020404030301010803" pitchFamily="18" charset="0"/>
            </a:rPr>
            <a:t>At £45/MWh, the project is viable with 5 turbines.If electricity prices drop to £37.5/MWh, at least 6 turbines are required to maintain profitability.</a:t>
          </a:r>
        </a:p>
        <a:p>
          <a:endParaRPr lang="en-GB" sz="1400" b="0">
            <a:latin typeface="Garamond" panose="02020404030301010803" pitchFamily="18" charset="0"/>
          </a:endParaRPr>
        </a:p>
        <a:p>
          <a:r>
            <a:rPr lang="en-GB" sz="1400" b="0">
              <a:latin typeface="Garamond" panose="02020404030301010803" pitchFamily="18" charset="0"/>
            </a:rPr>
            <a:t>At £25/MWh, the project remains unviable regardless of the number of turbines.</a:t>
          </a:r>
        </a:p>
      </xdr:txBody>
    </xdr:sp>
    <xdr:clientData/>
  </xdr:oneCellAnchor>
  <xdr:oneCellAnchor>
    <xdr:from>
      <xdr:col>2</xdr:col>
      <xdr:colOff>0</xdr:colOff>
      <xdr:row>264</xdr:row>
      <xdr:rowOff>0</xdr:rowOff>
    </xdr:from>
    <xdr:ext cx="8115287" cy="1219686"/>
    <xdr:sp macro="" textlink="">
      <xdr:nvSpPr>
        <xdr:cNvPr id="20" name="TextBox 19">
          <a:extLst>
            <a:ext uri="{FF2B5EF4-FFF2-40B4-BE49-F238E27FC236}">
              <a16:creationId xmlns:a16="http://schemas.microsoft.com/office/drawing/2014/main" id="{E2B70580-D063-45B6-BFC1-2D1E798A1118}"/>
            </a:ext>
          </a:extLst>
        </xdr:cNvPr>
        <xdr:cNvSpPr txBox="1"/>
      </xdr:nvSpPr>
      <xdr:spPr>
        <a:xfrm>
          <a:off x="1384102" y="62626875"/>
          <a:ext cx="8115287" cy="12196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400" b="1">
              <a:latin typeface="Garamond" panose="02020404030301010803" pitchFamily="18" charset="0"/>
            </a:rPr>
            <a:t>Interpretation</a:t>
          </a:r>
          <a:r>
            <a:rPr lang="en-GB" sz="1400" b="0">
              <a:latin typeface="Garamond" panose="02020404030301010803" pitchFamily="18" charset="0"/>
            </a:rPr>
            <a:t>: </a:t>
          </a:r>
        </a:p>
        <a:p>
          <a:r>
            <a:rPr lang="en-GB" sz="1400" b="0">
              <a:latin typeface="Garamond" panose="02020404030301010803" pitchFamily="18" charset="0"/>
            </a:rPr>
            <a:t>At a 25% capacity factor, at least 7 turbines are needed to break even.</a:t>
          </a:r>
        </a:p>
        <a:p>
          <a:endParaRPr lang="en-GB" sz="1400" b="0">
            <a:latin typeface="Garamond" panose="02020404030301010803" pitchFamily="18" charset="0"/>
          </a:endParaRPr>
        </a:p>
        <a:p>
          <a:r>
            <a:rPr lang="en-GB" sz="1400" b="0">
              <a:latin typeface="Garamond" panose="02020404030301010803" pitchFamily="18" charset="0"/>
            </a:rPr>
            <a:t>For capacity factors of 27% and</a:t>
          </a:r>
          <a:r>
            <a:rPr lang="en-GB" sz="1400" b="0" baseline="0">
              <a:latin typeface="Garamond" panose="02020404030301010803" pitchFamily="18" charset="0"/>
            </a:rPr>
            <a:t> above, </a:t>
          </a:r>
          <a:r>
            <a:rPr lang="en-GB" sz="1400" b="0">
              <a:latin typeface="Garamond" panose="02020404030301010803" pitchFamily="18" charset="0"/>
            </a:rPr>
            <a:t>the project remains viable regardless of the number of turbines.</a:t>
          </a:r>
        </a:p>
      </xdr:txBody>
    </xdr:sp>
    <xdr:clientData/>
  </xdr:oneCellAnchor>
  <xdr:oneCellAnchor>
    <xdr:from>
      <xdr:col>2</xdr:col>
      <xdr:colOff>0</xdr:colOff>
      <xdr:row>275</xdr:row>
      <xdr:rowOff>0</xdr:rowOff>
    </xdr:from>
    <xdr:ext cx="8115287" cy="1219686"/>
    <xdr:sp macro="" textlink="">
      <xdr:nvSpPr>
        <xdr:cNvPr id="23" name="TextBox 22">
          <a:extLst>
            <a:ext uri="{FF2B5EF4-FFF2-40B4-BE49-F238E27FC236}">
              <a16:creationId xmlns:a16="http://schemas.microsoft.com/office/drawing/2014/main" id="{F60EB4A8-57C1-46EB-9998-ED592C483269}"/>
            </a:ext>
          </a:extLst>
        </xdr:cNvPr>
        <xdr:cNvSpPr txBox="1"/>
      </xdr:nvSpPr>
      <xdr:spPr>
        <a:xfrm>
          <a:off x="1384102" y="65246250"/>
          <a:ext cx="8115287" cy="12196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400" b="1">
              <a:latin typeface="Garamond" panose="02020404030301010803" pitchFamily="18" charset="0"/>
            </a:rPr>
            <a:t>Interpretation</a:t>
          </a:r>
          <a:r>
            <a:rPr lang="en-GB" sz="1400" b="0">
              <a:latin typeface="Garamond" panose="02020404030301010803" pitchFamily="18" charset="0"/>
            </a:rPr>
            <a:t>: </a:t>
          </a:r>
        </a:p>
        <a:p>
          <a:r>
            <a:rPr lang="en-GB" sz="1400" b="0">
              <a:latin typeface="Garamond" panose="02020404030301010803" pitchFamily="18" charset="0"/>
            </a:rPr>
            <a:t>At £45/MWh, the project remains viable even with delays of up to 9 years. If electricity prices are £37.5/MWh, turbines must start operating within 5 years to stay profitable.</a:t>
          </a:r>
        </a:p>
        <a:p>
          <a:endParaRPr lang="en-GB" sz="1400" b="0">
            <a:latin typeface="Garamond" panose="02020404030301010803" pitchFamily="18" charset="0"/>
          </a:endParaRPr>
        </a:p>
        <a:p>
          <a:r>
            <a:rPr lang="en-GB" sz="1400" b="0">
              <a:latin typeface="Garamond" panose="02020404030301010803" pitchFamily="18" charset="0"/>
            </a:rPr>
            <a:t>At £25/MWh, the project is unviable regardless of the timeline.</a:t>
          </a: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14</xdr:col>
      <xdr:colOff>0</xdr:colOff>
      <xdr:row>62</xdr:row>
      <xdr:rowOff>0</xdr:rowOff>
    </xdr:from>
    <xdr:to>
      <xdr:col>30</xdr:col>
      <xdr:colOff>5765</xdr:colOff>
      <xdr:row>81</xdr:row>
      <xdr:rowOff>171552</xdr:rowOff>
    </xdr:to>
    <xdr:graphicFrame macro="">
      <xdr:nvGraphicFramePr>
        <xdr:cNvPr id="4" name="Chart 3">
          <a:extLst>
            <a:ext uri="{FF2B5EF4-FFF2-40B4-BE49-F238E27FC236}">
              <a16:creationId xmlns:a16="http://schemas.microsoft.com/office/drawing/2014/main" id="{7E95D574-9628-4E17-8F1F-2C338848A9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879475</xdr:colOff>
      <xdr:row>62</xdr:row>
      <xdr:rowOff>0</xdr:rowOff>
    </xdr:from>
    <xdr:to>
      <xdr:col>10</xdr:col>
      <xdr:colOff>309718</xdr:colOff>
      <xdr:row>81</xdr:row>
      <xdr:rowOff>171552</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9A8911C7-3062-496E-A056-CCA44655338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89075" y="14645640"/>
              <a:ext cx="9305763" cy="4659732"/>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803910</xdr:colOff>
      <xdr:row>84</xdr:row>
      <xdr:rowOff>0</xdr:rowOff>
    </xdr:from>
    <xdr:to>
      <xdr:col>10</xdr:col>
      <xdr:colOff>236058</xdr:colOff>
      <xdr:row>103</xdr:row>
      <xdr:rowOff>167742</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3D9A600D-7BAE-4C11-B4C9-719668E738E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413510" y="19842480"/>
              <a:ext cx="9307668" cy="4655922"/>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0</xdr:colOff>
      <xdr:row>84</xdr:row>
      <xdr:rowOff>0</xdr:rowOff>
    </xdr:from>
    <xdr:to>
      <xdr:col>30</xdr:col>
      <xdr:colOff>7670</xdr:colOff>
      <xdr:row>103</xdr:row>
      <xdr:rowOff>167742</xdr:rowOff>
    </xdr:to>
    <xdr:graphicFrame macro="">
      <xdr:nvGraphicFramePr>
        <xdr:cNvPr id="2" name="Chart 1">
          <a:extLst>
            <a:ext uri="{FF2B5EF4-FFF2-40B4-BE49-F238E27FC236}">
              <a16:creationId xmlns:a16="http://schemas.microsoft.com/office/drawing/2014/main" id="{C8D4AD60-8E97-4853-8536-A47F0CB961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DAVIES, JAMES (PGT)" id="{D0E960A5-C285-4BF2-9611-3D4B8FFA02A7}" userId="S::t12jd22@abdn.ac.uk::87370bb2-cdb5-4fe3-b51a-d9b5cb2e38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22DF50-2F97-4EAD-945D-3CC27A513CB8}" name="Table1" displayName="Table1" ref="B9:H16" totalsRowShown="0" headerRowDxfId="15" dataDxfId="14">
  <autoFilter ref="B9:H16" xr:uid="{7922DF50-2F97-4EAD-945D-3CC27A513CB8}"/>
  <sortState xmlns:xlrd2="http://schemas.microsoft.com/office/spreadsheetml/2017/richdata2" ref="B10:H16">
    <sortCondition ref="H9:H16"/>
  </sortState>
  <tableColumns count="7">
    <tableColumn id="1" xr3:uid="{8550458A-8322-4226-9E4C-DEF39D218308}" name="Variable" dataDxfId="13"/>
    <tableColumn id="2" xr3:uid="{FFD965F9-BECD-49B6-9957-BDD6E5567163}" name="Min NPV (£M)" dataDxfId="12"/>
    <tableColumn id="3" xr3:uid="{0412EFB7-0BC9-450A-ABFC-D2DE2F55AB75}" name="Realistic bad (£M)" dataDxfId="11"/>
    <tableColumn id="4" xr3:uid="{7AE79D3A-4D3B-46A8-9624-AEDF73CE688E}" name="Realistic good (£M)" dataDxfId="10"/>
    <tableColumn id="5" xr3:uid="{DD767A44-4554-477F-94D6-5E3B2F43DB98}" name="Max NPV (£M)" dataDxfId="9"/>
    <tableColumn id="6" xr3:uid="{ABB183F4-1651-41C9-95B1-3BA260881669}" name="∆ NPV (£M)" dataDxfId="8">
      <calculatedColumnFormula>Max_NPV-Min_NPV</calculatedColumnFormula>
    </tableColumn>
    <tableColumn id="7" xr3:uid="{144D8529-E2F7-4C68-8172-FBC4A2ED1A66}" name="Rank" dataDxfId="7">
      <calculatedColumnFormula>RANK(_∆_NPV,_∆_NPV,0)</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9" dT="2024-05-03T17:00:25.75" personId="{D0E960A5-C285-4BF2-9611-3D4B8FFA02A7}" id="{895CF2E9-3AFD-4EF4-B4E7-C55FE92BBD7C}">
    <text>Costs +10%; revenues -10% vs. base, except where these values are not available. Then own judgement used.</text>
  </threadedComment>
  <threadedComment ref="E9" dT="2024-05-03T17:00:44.67" personId="{D0E960A5-C285-4BF2-9611-3D4B8FFA02A7}" id="{3DEB06E2-7BBF-4CA0-8B2C-AA8A3156B285}">
    <text xml:space="preserve">Costs -10%; revenues +10% vs. base, except where these values are not available. Then own judgement used.
</text>
  </threadedComment>
</ThreadedComments>
</file>

<file path=xl/threadedComments/threadedComment2.xml><?xml version="1.0" encoding="utf-8"?>
<ThreadedComments xmlns="http://schemas.microsoft.com/office/spreadsheetml/2018/threadedcomments" xmlns:x="http://schemas.openxmlformats.org/spreadsheetml/2006/main">
  <threadedComment ref="B28" dT="2025-02-28T15:34:12.57" personId="{D0E960A5-C285-4BF2-9611-3D4B8FFA02A7}" id="{346C37F8-A034-48D4-A995-669C54DB6DFE}">
    <text>Decommissioning costs are tax deductible</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3.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9691E-D664-44B3-B8CD-11002993769E}">
  <dimension ref="A1:AV232"/>
  <sheetViews>
    <sheetView tabSelected="1" topLeftCell="F13" zoomScale="79" zoomScaleNormal="56" workbookViewId="0">
      <selection activeCell="N98" sqref="N98"/>
    </sheetView>
  </sheetViews>
  <sheetFormatPr defaultColWidth="12.77734375" defaultRowHeight="15" customHeight="1" x14ac:dyDescent="0.3"/>
  <cols>
    <col min="1" max="1" width="5.77734375" style="34" customWidth="1"/>
    <col min="2" max="2" width="2.77734375" style="34" customWidth="1"/>
    <col min="3" max="3" width="32.33203125" style="34" customWidth="1"/>
    <col min="4" max="5" width="12.77734375" style="34"/>
    <col min="6" max="6" width="20.77734375" style="34" customWidth="1"/>
    <col min="7" max="7" width="1.77734375" style="34" customWidth="1"/>
    <col min="8" max="9" width="20.77734375" style="34" customWidth="1"/>
    <col min="10" max="24" width="12.77734375" style="34"/>
    <col min="25" max="25" width="5.77734375" style="34" customWidth="1"/>
    <col min="26" max="16384" width="12.77734375" style="34"/>
  </cols>
  <sheetData>
    <row r="1" spans="1:48" ht="15" customHeight="1" x14ac:dyDescent="0.3">
      <c r="A1" s="133"/>
      <c r="B1" s="133"/>
      <c r="C1" s="133"/>
      <c r="D1" s="133"/>
      <c r="E1" s="133"/>
      <c r="F1" s="133"/>
      <c r="G1" s="133"/>
      <c r="H1" s="133"/>
      <c r="I1" s="133"/>
      <c r="J1" s="133"/>
      <c r="K1" s="133"/>
      <c r="L1" s="133"/>
      <c r="M1" s="133"/>
      <c r="N1" s="133"/>
      <c r="O1" s="133"/>
      <c r="P1" s="133"/>
      <c r="Q1" s="133"/>
      <c r="R1" s="133"/>
      <c r="S1" s="133"/>
      <c r="T1" s="133"/>
      <c r="U1" s="133"/>
      <c r="V1" s="133"/>
      <c r="W1" s="133"/>
      <c r="X1" s="133"/>
      <c r="Y1" s="133"/>
    </row>
    <row r="2" spans="1:48" ht="15" customHeight="1" x14ac:dyDescent="0.3">
      <c r="A2" s="133"/>
      <c r="B2" s="143" t="s">
        <v>154</v>
      </c>
      <c r="C2" s="143"/>
      <c r="D2" s="143"/>
      <c r="E2" s="143"/>
      <c r="F2" s="143"/>
      <c r="G2" s="143"/>
      <c r="H2" s="143"/>
      <c r="I2" s="143"/>
      <c r="J2" s="143"/>
      <c r="K2" s="143"/>
      <c r="L2" s="143"/>
      <c r="M2" s="143"/>
      <c r="N2" s="143"/>
      <c r="O2" s="143"/>
      <c r="P2" s="143"/>
      <c r="Q2" s="143"/>
      <c r="R2" s="143"/>
      <c r="S2" s="143"/>
      <c r="T2" s="143"/>
      <c r="U2" s="143"/>
      <c r="V2" s="143"/>
      <c r="W2" s="143"/>
      <c r="X2" s="143"/>
      <c r="Y2" s="133"/>
    </row>
    <row r="3" spans="1:48" ht="15" customHeight="1" x14ac:dyDescent="0.3">
      <c r="A3" s="133"/>
      <c r="B3" s="143"/>
      <c r="C3" s="143"/>
      <c r="D3" s="143"/>
      <c r="E3" s="143"/>
      <c r="F3" s="143"/>
      <c r="G3" s="143"/>
      <c r="H3" s="143"/>
      <c r="I3" s="143"/>
      <c r="J3" s="143"/>
      <c r="K3" s="143"/>
      <c r="L3" s="143"/>
      <c r="M3" s="143"/>
      <c r="N3" s="143"/>
      <c r="O3" s="143"/>
      <c r="P3" s="143"/>
      <c r="Q3" s="143"/>
      <c r="R3" s="143"/>
      <c r="S3" s="143"/>
      <c r="T3" s="143"/>
      <c r="U3" s="143"/>
      <c r="V3" s="143"/>
      <c r="W3" s="143"/>
      <c r="X3" s="143"/>
      <c r="Y3" s="133"/>
    </row>
    <row r="4" spans="1:48" ht="15" customHeight="1" x14ac:dyDescent="0.3">
      <c r="A4" s="133"/>
      <c r="B4" s="143"/>
      <c r="C4" s="143"/>
      <c r="D4" s="143"/>
      <c r="E4" s="143"/>
      <c r="F4" s="143"/>
      <c r="G4" s="143"/>
      <c r="H4" s="143"/>
      <c r="I4" s="143"/>
      <c r="J4" s="143"/>
      <c r="K4" s="143"/>
      <c r="L4" s="143"/>
      <c r="M4" s="143"/>
      <c r="N4" s="143"/>
      <c r="O4" s="143"/>
      <c r="P4" s="143"/>
      <c r="Q4" s="143"/>
      <c r="R4" s="143"/>
      <c r="S4" s="143"/>
      <c r="T4" s="143"/>
      <c r="U4" s="143"/>
      <c r="V4" s="143"/>
      <c r="W4" s="143"/>
      <c r="X4" s="143"/>
      <c r="Y4" s="133"/>
    </row>
    <row r="5" spans="1:48" ht="15" customHeight="1" x14ac:dyDescent="0.3">
      <c r="A5" s="133"/>
      <c r="B5" s="133"/>
      <c r="C5" s="133"/>
      <c r="D5" s="133"/>
      <c r="E5" s="133"/>
      <c r="F5" s="133"/>
      <c r="G5" s="133"/>
      <c r="H5" s="133"/>
      <c r="I5" s="134"/>
      <c r="J5" s="134"/>
      <c r="K5" s="135"/>
      <c r="L5" s="135"/>
      <c r="M5" s="135"/>
      <c r="N5" s="135"/>
      <c r="O5" s="135"/>
      <c r="P5" s="135"/>
      <c r="Q5" s="135"/>
      <c r="R5" s="135"/>
      <c r="S5" s="135"/>
      <c r="T5" s="135"/>
      <c r="U5" s="135"/>
      <c r="V5" s="135"/>
      <c r="W5" s="135"/>
      <c r="X5" s="135"/>
      <c r="Y5" s="133"/>
    </row>
    <row r="6" spans="1:48" ht="25.05" customHeight="1" x14ac:dyDescent="0.3">
      <c r="A6" s="133"/>
      <c r="B6" s="133"/>
      <c r="C6" s="146" t="s">
        <v>183</v>
      </c>
      <c r="D6" s="146"/>
      <c r="E6" s="146"/>
      <c r="F6" s="146"/>
      <c r="G6" s="136"/>
      <c r="H6" s="146" t="s">
        <v>146</v>
      </c>
      <c r="I6" s="146"/>
      <c r="J6" s="133"/>
      <c r="K6" s="133"/>
      <c r="L6" s="133"/>
      <c r="M6" s="133"/>
      <c r="N6" s="133"/>
      <c r="O6" s="133"/>
      <c r="P6" s="133"/>
      <c r="Q6" s="133"/>
      <c r="R6" s="133"/>
      <c r="S6" s="133"/>
      <c r="T6" s="133"/>
      <c r="U6" s="133"/>
      <c r="V6" s="133"/>
      <c r="W6" s="133"/>
      <c r="X6" s="133"/>
      <c r="Y6" s="133"/>
    </row>
    <row r="7" spans="1:48" ht="25.05" customHeight="1" x14ac:dyDescent="0.3">
      <c r="A7" s="133"/>
      <c r="B7" s="133"/>
      <c r="C7" s="150" t="s">
        <v>86</v>
      </c>
      <c r="D7" s="151"/>
      <c r="E7" s="152"/>
      <c r="F7" s="131" t="s">
        <v>147</v>
      </c>
      <c r="G7" s="121"/>
      <c r="H7" s="131" t="s">
        <v>180</v>
      </c>
      <c r="I7" s="131" t="s">
        <v>181</v>
      </c>
      <c r="J7" s="133"/>
      <c r="K7" s="133"/>
      <c r="L7" s="133"/>
      <c r="M7" s="133"/>
      <c r="N7" s="133"/>
      <c r="O7" s="133"/>
      <c r="P7" s="133"/>
      <c r="Q7" s="133"/>
      <c r="R7" s="133"/>
      <c r="S7" s="133"/>
      <c r="T7" s="133"/>
      <c r="U7" s="133"/>
      <c r="V7" s="133"/>
      <c r="W7" s="133"/>
      <c r="X7" s="133"/>
      <c r="Y7" s="133"/>
    </row>
    <row r="8" spans="1:48" ht="19.95" customHeight="1" x14ac:dyDescent="0.3">
      <c r="A8" s="133"/>
      <c r="B8" s="133"/>
      <c r="C8" s="147" t="s">
        <v>182</v>
      </c>
      <c r="D8" s="148"/>
      <c r="E8" s="149"/>
      <c r="F8" s="122">
        <f>SUM(Post_Tax_Net_Cash_Flow_Discounted)</f>
        <v>8751869.1891481467</v>
      </c>
      <c r="G8" s="121"/>
      <c r="H8" s="125">
        <v>5922845.7598626139</v>
      </c>
      <c r="I8" s="127">
        <v>9801720.9595215488</v>
      </c>
      <c r="J8" s="133"/>
      <c r="K8" s="133"/>
      <c r="L8" s="133"/>
      <c r="M8" s="133"/>
      <c r="N8" s="133"/>
      <c r="O8" s="133"/>
      <c r="P8" s="133"/>
      <c r="Q8" s="133"/>
      <c r="R8" s="133"/>
      <c r="S8" s="133"/>
      <c r="T8" s="133"/>
      <c r="U8" s="133"/>
      <c r="V8" s="133"/>
      <c r="W8" s="133"/>
      <c r="X8" s="133"/>
      <c r="Y8" s="133"/>
    </row>
    <row r="9" spans="1:48" ht="25.05" customHeight="1" x14ac:dyDescent="0.3">
      <c r="A9" s="133"/>
      <c r="B9" s="133"/>
      <c r="C9" s="147" t="s">
        <v>149</v>
      </c>
      <c r="D9" s="148"/>
      <c r="E9" s="149"/>
      <c r="F9" s="123">
        <f>IRR(Post_Tax_Net_Cash_Flow_Undiscounted)</f>
        <v>0.14704222100614017</v>
      </c>
      <c r="G9" s="121"/>
      <c r="H9" s="126">
        <v>0.11383829440960036</v>
      </c>
      <c r="I9" s="128">
        <v>0.16315311863687842</v>
      </c>
      <c r="J9" s="133"/>
      <c r="K9" s="133"/>
      <c r="L9" s="133"/>
      <c r="M9" s="133"/>
      <c r="N9" s="133"/>
      <c r="O9" s="133"/>
      <c r="P9" s="133"/>
      <c r="Q9" s="133"/>
      <c r="R9" s="133"/>
      <c r="S9" s="133"/>
      <c r="T9" s="133"/>
      <c r="U9" s="133"/>
      <c r="V9" s="133"/>
      <c r="W9" s="133"/>
      <c r="X9" s="133"/>
      <c r="Y9" s="133"/>
    </row>
    <row r="10" spans="1:48" ht="25.05" customHeight="1" x14ac:dyDescent="0.3">
      <c r="A10" s="133"/>
      <c r="B10" s="133"/>
      <c r="C10" s="147" t="s">
        <v>61</v>
      </c>
      <c r="D10" s="148"/>
      <c r="E10" s="149"/>
      <c r="F10" s="122">
        <f>lcoe_mwh</f>
        <v>44311009.57409139</v>
      </c>
      <c r="G10" s="121"/>
      <c r="H10" s="125">
        <v>43691962.896512724</v>
      </c>
      <c r="I10" s="129">
        <f>lcoe_mwh</f>
        <v>44311009.57409139</v>
      </c>
      <c r="J10" s="133"/>
      <c r="K10" s="133"/>
      <c r="L10" s="133"/>
      <c r="M10" s="133"/>
      <c r="N10" s="133"/>
      <c r="O10" s="133"/>
      <c r="P10" s="133"/>
      <c r="Q10" s="133"/>
      <c r="R10" s="133"/>
      <c r="S10" s="133"/>
      <c r="T10" s="133"/>
      <c r="U10" s="133"/>
      <c r="V10" s="133"/>
      <c r="W10" s="133"/>
      <c r="X10" s="133"/>
      <c r="Y10" s="133"/>
    </row>
    <row r="11" spans="1:48" ht="25.05" customHeight="1" x14ac:dyDescent="0.3">
      <c r="A11" s="133"/>
      <c r="B11" s="133"/>
      <c r="C11" s="147" t="s">
        <v>87</v>
      </c>
      <c r="D11" s="148"/>
      <c r="E11" s="149"/>
      <c r="F11" s="124">
        <f>post_tax_npv/npv_capex</f>
        <v>0.68132739844701062</v>
      </c>
      <c r="G11" s="121"/>
      <c r="H11" s="126">
        <v>0.45959377074800795</v>
      </c>
      <c r="I11" s="130">
        <v>0.77</v>
      </c>
      <c r="J11" s="133"/>
      <c r="K11" s="133"/>
      <c r="L11" s="133"/>
      <c r="M11" s="133"/>
      <c r="N11" s="133"/>
      <c r="O11" s="133"/>
      <c r="P11" s="133"/>
      <c r="Q11" s="133"/>
      <c r="R11" s="133"/>
      <c r="S11" s="133"/>
      <c r="T11" s="133"/>
      <c r="U11" s="133"/>
      <c r="V11" s="133"/>
      <c r="W11" s="133"/>
      <c r="X11" s="133"/>
      <c r="Y11" s="133"/>
    </row>
    <row r="12" spans="1:48" ht="25.05" customHeight="1" x14ac:dyDescent="0.3">
      <c r="A12" s="133"/>
      <c r="B12" s="133"/>
      <c r="C12" s="133"/>
      <c r="D12" s="133"/>
      <c r="E12" s="133"/>
      <c r="F12" s="133"/>
      <c r="G12" s="133"/>
      <c r="H12" s="133"/>
      <c r="I12" s="133"/>
      <c r="J12" s="133"/>
      <c r="K12" s="133"/>
      <c r="L12" s="133"/>
      <c r="M12" s="133"/>
      <c r="N12" s="133"/>
      <c r="O12" s="133"/>
      <c r="P12" s="133"/>
      <c r="Q12" s="133"/>
      <c r="R12" s="133"/>
      <c r="S12" s="133"/>
      <c r="T12" s="133"/>
      <c r="U12" s="133"/>
      <c r="V12" s="133"/>
      <c r="W12" s="133"/>
      <c r="X12" s="133"/>
      <c r="Y12" s="133"/>
    </row>
    <row r="13" spans="1:48" ht="15" customHeight="1" x14ac:dyDescent="0.3">
      <c r="A13" s="133"/>
      <c r="B13" s="133"/>
      <c r="C13" s="133"/>
      <c r="D13" s="133"/>
      <c r="E13" s="133"/>
      <c r="F13" s="133"/>
      <c r="G13" s="133"/>
      <c r="H13" s="133"/>
      <c r="I13" s="133"/>
      <c r="J13" s="133"/>
      <c r="K13" s="133"/>
      <c r="L13" s="133"/>
      <c r="M13" s="133"/>
      <c r="N13" s="133"/>
      <c r="O13" s="133"/>
      <c r="P13" s="133"/>
      <c r="Q13" s="133"/>
      <c r="R13" s="133"/>
      <c r="S13" s="133"/>
      <c r="T13" s="133"/>
      <c r="U13" s="133"/>
      <c r="V13" s="133"/>
      <c r="W13" s="133"/>
      <c r="X13" s="133"/>
      <c r="Y13" s="133"/>
      <c r="Z13" s="95"/>
      <c r="AA13" s="132"/>
      <c r="AB13" s="132"/>
      <c r="AC13" s="132"/>
      <c r="AD13" s="132"/>
      <c r="AE13" s="132"/>
      <c r="AF13" s="132"/>
      <c r="AG13" s="132"/>
      <c r="AH13" s="132"/>
      <c r="AI13" s="132"/>
      <c r="AJ13" s="132"/>
      <c r="AK13" s="132"/>
      <c r="AL13" s="132"/>
      <c r="AM13" s="132"/>
      <c r="AN13" s="132"/>
      <c r="AO13" s="132"/>
      <c r="AP13" s="132"/>
      <c r="AQ13" s="132"/>
      <c r="AR13" s="132"/>
      <c r="AS13" s="132"/>
      <c r="AT13" s="132"/>
      <c r="AU13" s="132"/>
      <c r="AV13" s="132"/>
    </row>
    <row r="14" spans="1:48" ht="15" customHeight="1" x14ac:dyDescent="0.3">
      <c r="A14" s="133"/>
      <c r="B14" s="133"/>
      <c r="C14" s="137"/>
      <c r="D14" s="138"/>
      <c r="E14" s="133"/>
      <c r="F14" s="133"/>
      <c r="G14" s="133"/>
      <c r="H14" s="133"/>
      <c r="I14" s="133"/>
      <c r="J14" s="133"/>
      <c r="K14" s="133"/>
      <c r="L14" s="133"/>
      <c r="M14" s="133"/>
      <c r="N14" s="133"/>
      <c r="O14" s="133"/>
      <c r="P14" s="133"/>
      <c r="Q14" s="133"/>
      <c r="R14" s="133"/>
      <c r="S14" s="133"/>
      <c r="T14" s="133"/>
      <c r="U14" s="133"/>
      <c r="V14" s="133"/>
      <c r="W14" s="133"/>
      <c r="X14" s="133"/>
      <c r="Y14" s="133"/>
      <c r="AA14" s="132"/>
      <c r="AB14" s="132"/>
      <c r="AC14" s="132"/>
      <c r="AD14" s="132"/>
      <c r="AE14" s="132"/>
      <c r="AF14" s="132"/>
      <c r="AG14" s="132"/>
      <c r="AH14" s="132"/>
      <c r="AI14" s="132"/>
      <c r="AJ14" s="132"/>
      <c r="AK14" s="132"/>
      <c r="AL14" s="132"/>
      <c r="AM14" s="132"/>
      <c r="AN14" s="132"/>
      <c r="AO14" s="132"/>
      <c r="AP14" s="132"/>
      <c r="AQ14" s="132"/>
      <c r="AR14" s="132"/>
      <c r="AS14" s="132"/>
      <c r="AT14" s="132"/>
      <c r="AU14" s="132"/>
      <c r="AV14" s="132"/>
    </row>
    <row r="15" spans="1:48" ht="15" customHeight="1" x14ac:dyDescent="0.3">
      <c r="A15" s="133"/>
      <c r="B15" s="133"/>
      <c r="C15" s="137"/>
      <c r="D15" s="139"/>
      <c r="E15" s="133"/>
      <c r="F15" s="133"/>
      <c r="G15" s="133"/>
      <c r="H15" s="133"/>
      <c r="I15" s="133"/>
      <c r="J15" s="133"/>
      <c r="K15" s="133"/>
      <c r="L15" s="133"/>
      <c r="M15" s="133"/>
      <c r="N15" s="133"/>
      <c r="O15" s="133"/>
      <c r="P15" s="133"/>
      <c r="Q15" s="133"/>
      <c r="R15" s="133"/>
      <c r="S15" s="133"/>
      <c r="T15" s="133"/>
      <c r="U15" s="133"/>
      <c r="V15" s="133"/>
      <c r="W15" s="133"/>
      <c r="X15" s="133"/>
      <c r="Y15" s="133"/>
    </row>
    <row r="16" spans="1:48" ht="15" customHeight="1" x14ac:dyDescent="0.3">
      <c r="A16" s="133"/>
      <c r="B16" s="133"/>
      <c r="C16" s="137"/>
      <c r="D16" s="140"/>
      <c r="E16" s="133"/>
      <c r="F16" s="133"/>
      <c r="G16" s="133"/>
      <c r="H16" s="133"/>
      <c r="I16" s="133"/>
      <c r="J16" s="133"/>
      <c r="K16" s="133"/>
      <c r="L16" s="133"/>
      <c r="M16" s="133"/>
      <c r="N16" s="133"/>
      <c r="O16" s="133"/>
      <c r="P16" s="133"/>
      <c r="Q16" s="133"/>
      <c r="R16" s="133"/>
      <c r="S16" s="133"/>
      <c r="T16" s="133"/>
      <c r="U16" s="133"/>
      <c r="V16" s="133"/>
      <c r="W16" s="133"/>
      <c r="X16" s="133"/>
      <c r="Y16" s="133"/>
    </row>
    <row r="17" spans="1:25" ht="15" customHeight="1" x14ac:dyDescent="0.3">
      <c r="A17" s="133"/>
      <c r="B17" s="133"/>
      <c r="C17" s="133"/>
      <c r="D17" s="133"/>
      <c r="E17" s="133"/>
      <c r="F17" s="133"/>
      <c r="G17" s="133"/>
      <c r="H17" s="133"/>
      <c r="I17" s="133"/>
      <c r="J17" s="133"/>
      <c r="K17" s="133"/>
      <c r="L17" s="133"/>
      <c r="M17" s="133"/>
      <c r="N17" s="133"/>
      <c r="O17" s="133"/>
      <c r="P17" s="133"/>
      <c r="Q17" s="133"/>
      <c r="R17" s="133"/>
      <c r="S17" s="133"/>
      <c r="T17" s="133"/>
      <c r="U17" s="133"/>
      <c r="V17" s="133"/>
      <c r="W17" s="133"/>
      <c r="X17" s="133"/>
      <c r="Y17" s="133"/>
    </row>
    <row r="18" spans="1:25" ht="15" customHeight="1" x14ac:dyDescent="0.3">
      <c r="A18" s="133"/>
      <c r="B18" s="133"/>
      <c r="C18" s="133"/>
      <c r="D18" s="133"/>
      <c r="E18" s="133"/>
      <c r="F18" s="133"/>
      <c r="G18" s="133"/>
      <c r="H18" s="133"/>
      <c r="I18" s="133"/>
      <c r="J18" s="133"/>
      <c r="K18" s="133"/>
      <c r="L18" s="133"/>
      <c r="M18" s="133"/>
      <c r="N18" s="133"/>
      <c r="O18" s="133"/>
      <c r="P18" s="133"/>
      <c r="Q18" s="133"/>
      <c r="R18" s="133"/>
      <c r="S18" s="133"/>
      <c r="T18" s="133"/>
      <c r="U18" s="133"/>
      <c r="V18" s="133"/>
      <c r="W18" s="133"/>
      <c r="X18" s="133"/>
      <c r="Y18" s="133"/>
    </row>
    <row r="19" spans="1:25" ht="15" customHeight="1" x14ac:dyDescent="0.3">
      <c r="A19" s="133"/>
      <c r="B19" s="133"/>
      <c r="C19" s="133"/>
      <c r="D19" s="133"/>
      <c r="E19" s="133"/>
      <c r="F19" s="133"/>
      <c r="G19" s="133"/>
      <c r="H19" s="133"/>
      <c r="I19" s="133"/>
      <c r="J19" s="133"/>
      <c r="K19" s="133"/>
      <c r="L19" s="133"/>
      <c r="M19" s="133"/>
      <c r="N19" s="133"/>
      <c r="O19" s="133"/>
      <c r="P19" s="133"/>
      <c r="Q19" s="133"/>
      <c r="R19" s="133"/>
      <c r="S19" s="133"/>
      <c r="T19" s="133"/>
      <c r="U19" s="133"/>
      <c r="V19" s="133"/>
      <c r="W19" s="133"/>
      <c r="X19" s="133"/>
      <c r="Y19" s="133"/>
    </row>
    <row r="20" spans="1:25" ht="15" customHeight="1" x14ac:dyDescent="0.3">
      <c r="A20" s="133"/>
      <c r="B20" s="133"/>
      <c r="C20" s="133"/>
      <c r="D20" s="133"/>
      <c r="E20" s="133"/>
      <c r="F20" s="133"/>
      <c r="G20" s="133"/>
      <c r="H20" s="133"/>
      <c r="I20" s="133"/>
      <c r="J20" s="133"/>
      <c r="K20" s="133"/>
      <c r="L20" s="133"/>
      <c r="M20" s="133"/>
      <c r="N20" s="133"/>
      <c r="O20" s="133"/>
      <c r="P20" s="133"/>
      <c r="Q20" s="133"/>
      <c r="R20" s="133"/>
      <c r="S20" s="133"/>
      <c r="T20" s="133"/>
      <c r="U20" s="133"/>
      <c r="V20" s="133"/>
      <c r="W20" s="133"/>
      <c r="X20" s="133"/>
      <c r="Y20" s="133"/>
    </row>
    <row r="21" spans="1:25" ht="15" customHeight="1" x14ac:dyDescent="0.3">
      <c r="A21" s="133"/>
      <c r="B21" s="133"/>
      <c r="C21" s="133"/>
      <c r="D21" s="133"/>
      <c r="E21" s="133"/>
      <c r="F21" s="133"/>
      <c r="G21" s="133"/>
      <c r="H21" s="133"/>
      <c r="I21" s="133"/>
      <c r="J21" s="133"/>
      <c r="K21" s="133"/>
      <c r="L21" s="133"/>
      <c r="M21" s="133"/>
      <c r="N21" s="133"/>
      <c r="O21" s="133"/>
      <c r="P21" s="133"/>
      <c r="Q21" s="133"/>
      <c r="R21" s="133"/>
      <c r="S21" s="133"/>
      <c r="T21" s="133"/>
      <c r="U21" s="133"/>
      <c r="V21" s="133"/>
      <c r="W21" s="133"/>
      <c r="X21" s="133"/>
      <c r="Y21" s="133"/>
    </row>
    <row r="22" spans="1:25" ht="15" customHeight="1" x14ac:dyDescent="0.3">
      <c r="A22" s="133"/>
      <c r="B22" s="133"/>
      <c r="C22" s="133"/>
      <c r="D22" s="133"/>
      <c r="E22" s="133"/>
      <c r="F22" s="133"/>
      <c r="G22" s="133"/>
      <c r="H22" s="133"/>
      <c r="I22" s="133"/>
      <c r="J22" s="133"/>
      <c r="K22" s="133"/>
      <c r="L22" s="133"/>
      <c r="M22" s="133"/>
      <c r="N22" s="133"/>
      <c r="O22" s="133"/>
      <c r="P22" s="133"/>
      <c r="Q22" s="133"/>
      <c r="R22" s="133"/>
      <c r="S22" s="133"/>
      <c r="T22" s="133"/>
      <c r="U22" s="133"/>
      <c r="V22" s="133"/>
      <c r="W22" s="133"/>
      <c r="X22" s="133"/>
      <c r="Y22" s="133"/>
    </row>
    <row r="23" spans="1:25" ht="15" customHeight="1" x14ac:dyDescent="0.3">
      <c r="A23" s="133"/>
      <c r="B23" s="133"/>
      <c r="C23" s="133"/>
      <c r="D23" s="133"/>
      <c r="E23" s="133"/>
      <c r="F23" s="133"/>
      <c r="G23" s="133"/>
      <c r="H23" s="133"/>
      <c r="I23" s="133"/>
      <c r="J23" s="133"/>
      <c r="K23" s="133"/>
      <c r="L23" s="133"/>
      <c r="M23" s="133"/>
      <c r="N23" s="133"/>
      <c r="O23" s="133"/>
      <c r="P23" s="133"/>
      <c r="Q23" s="133"/>
      <c r="R23" s="133"/>
      <c r="S23" s="133"/>
      <c r="T23" s="133"/>
      <c r="U23" s="133"/>
      <c r="V23" s="133"/>
      <c r="W23" s="133"/>
      <c r="X23" s="133"/>
      <c r="Y23" s="133"/>
    </row>
    <row r="24" spans="1:25" ht="15" customHeight="1" x14ac:dyDescent="0.3">
      <c r="A24" s="133"/>
      <c r="B24" s="133"/>
      <c r="C24" s="133"/>
      <c r="D24" s="133"/>
      <c r="E24" s="133"/>
      <c r="F24" s="133"/>
      <c r="G24" s="133"/>
      <c r="H24" s="133"/>
      <c r="I24" s="133"/>
      <c r="J24" s="133"/>
      <c r="K24" s="133"/>
      <c r="L24" s="133"/>
      <c r="M24" s="133"/>
      <c r="N24" s="133"/>
      <c r="O24" s="133"/>
      <c r="P24" s="133"/>
      <c r="Q24" s="133"/>
      <c r="R24" s="133"/>
      <c r="S24" s="133"/>
      <c r="T24" s="133"/>
      <c r="U24" s="133"/>
      <c r="V24" s="133"/>
      <c r="W24" s="133"/>
      <c r="X24" s="133"/>
      <c r="Y24" s="133"/>
    </row>
    <row r="25" spans="1:25" ht="15" customHeight="1" x14ac:dyDescent="0.3">
      <c r="A25" s="133"/>
      <c r="B25" s="133"/>
      <c r="C25" s="133"/>
      <c r="D25" s="133"/>
      <c r="E25" s="133"/>
      <c r="F25" s="133"/>
      <c r="G25" s="133"/>
      <c r="H25" s="133"/>
      <c r="I25" s="133"/>
      <c r="J25" s="133"/>
      <c r="K25" s="133"/>
      <c r="L25" s="133"/>
      <c r="M25" s="133"/>
      <c r="N25" s="133"/>
      <c r="O25" s="133"/>
      <c r="P25" s="133"/>
      <c r="Q25" s="133"/>
      <c r="R25" s="133"/>
      <c r="S25" s="133"/>
      <c r="T25" s="133"/>
      <c r="U25" s="133"/>
      <c r="V25" s="133"/>
      <c r="W25" s="133"/>
      <c r="X25" s="133"/>
      <c r="Y25" s="133"/>
    </row>
    <row r="26" spans="1:25" ht="15" customHeight="1" x14ac:dyDescent="0.3">
      <c r="A26" s="133"/>
      <c r="B26" s="133"/>
      <c r="C26" s="133"/>
      <c r="D26" s="133"/>
      <c r="E26" s="133"/>
      <c r="F26" s="133"/>
      <c r="G26" s="133"/>
      <c r="H26" s="133"/>
      <c r="I26" s="133"/>
      <c r="J26" s="133"/>
      <c r="K26" s="133"/>
      <c r="L26" s="133"/>
      <c r="M26" s="133"/>
      <c r="N26" s="133"/>
      <c r="O26" s="133"/>
      <c r="P26" s="133"/>
      <c r="Q26" s="133"/>
      <c r="R26" s="133"/>
      <c r="S26" s="133"/>
      <c r="T26" s="133"/>
      <c r="U26" s="133"/>
      <c r="V26" s="133"/>
      <c r="W26" s="133"/>
      <c r="X26" s="133"/>
      <c r="Y26" s="133"/>
    </row>
    <row r="27" spans="1:25" ht="15" customHeight="1" x14ac:dyDescent="0.3">
      <c r="A27" s="133"/>
      <c r="B27" s="133"/>
      <c r="C27" s="133"/>
      <c r="D27" s="133"/>
      <c r="E27" s="133"/>
      <c r="F27" s="133"/>
      <c r="G27" s="133"/>
      <c r="H27" s="133"/>
      <c r="I27" s="133"/>
      <c r="J27" s="133"/>
      <c r="K27" s="133"/>
      <c r="L27" s="133"/>
      <c r="M27" s="133"/>
      <c r="N27" s="133"/>
      <c r="O27" s="133"/>
      <c r="P27" s="133"/>
      <c r="Q27" s="133"/>
      <c r="R27" s="133"/>
      <c r="S27" s="133"/>
      <c r="T27" s="133"/>
      <c r="U27" s="133"/>
      <c r="V27" s="133"/>
      <c r="W27" s="133"/>
      <c r="X27" s="133"/>
      <c r="Y27" s="133"/>
    </row>
    <row r="28" spans="1:25" ht="15" customHeight="1" x14ac:dyDescent="0.3">
      <c r="A28" s="133"/>
      <c r="B28" s="133"/>
      <c r="C28" s="133"/>
      <c r="D28" s="133"/>
      <c r="E28" s="133"/>
      <c r="F28" s="133"/>
      <c r="G28" s="133"/>
      <c r="H28" s="133"/>
      <c r="I28" s="133"/>
      <c r="J28" s="133"/>
      <c r="K28" s="133"/>
      <c r="L28" s="133"/>
      <c r="M28" s="133"/>
      <c r="N28" s="133"/>
      <c r="O28" s="133"/>
      <c r="P28" s="133"/>
      <c r="Q28" s="133"/>
      <c r="R28" s="133"/>
      <c r="S28" s="133"/>
      <c r="T28" s="133"/>
      <c r="U28" s="133"/>
      <c r="V28" s="133"/>
      <c r="W28" s="133"/>
      <c r="X28" s="133"/>
      <c r="Y28" s="133"/>
    </row>
    <row r="29" spans="1:25" ht="15" customHeight="1" x14ac:dyDescent="0.3">
      <c r="A29" s="133"/>
      <c r="B29" s="133"/>
      <c r="C29" s="133"/>
      <c r="D29" s="133"/>
      <c r="E29" s="133"/>
      <c r="F29" s="133"/>
      <c r="G29" s="133"/>
      <c r="H29" s="133"/>
      <c r="I29" s="133"/>
      <c r="J29" s="133"/>
      <c r="K29" s="133"/>
      <c r="L29" s="133"/>
      <c r="M29" s="133"/>
      <c r="N29" s="133"/>
      <c r="O29" s="133"/>
      <c r="P29" s="133"/>
      <c r="Q29" s="133"/>
      <c r="R29" s="133"/>
      <c r="S29" s="133"/>
      <c r="T29" s="133"/>
      <c r="U29" s="133"/>
      <c r="V29" s="133"/>
      <c r="W29" s="133"/>
      <c r="X29" s="133"/>
      <c r="Y29" s="133"/>
    </row>
    <row r="30" spans="1:25" ht="15" customHeight="1" x14ac:dyDescent="0.3">
      <c r="A30" s="133"/>
      <c r="B30" s="133"/>
      <c r="C30" s="133"/>
      <c r="D30" s="133"/>
      <c r="E30" s="133"/>
      <c r="F30" s="133"/>
      <c r="G30" s="133"/>
      <c r="H30" s="133"/>
      <c r="I30" s="133"/>
      <c r="J30" s="133"/>
      <c r="K30" s="133"/>
      <c r="L30" s="133"/>
      <c r="M30" s="133"/>
      <c r="N30" s="133"/>
      <c r="O30" s="133"/>
      <c r="P30" s="133"/>
      <c r="Q30" s="133"/>
      <c r="R30" s="133"/>
      <c r="S30" s="133"/>
      <c r="T30" s="133"/>
      <c r="U30" s="133"/>
      <c r="V30" s="133"/>
      <c r="W30" s="133"/>
      <c r="X30" s="133"/>
      <c r="Y30" s="133"/>
    </row>
    <row r="31" spans="1:25" ht="15" customHeight="1" x14ac:dyDescent="0.3">
      <c r="A31" s="133"/>
      <c r="B31" s="133"/>
      <c r="C31" s="133"/>
      <c r="D31" s="133"/>
      <c r="E31" s="133"/>
      <c r="F31" s="133"/>
      <c r="G31" s="133"/>
      <c r="H31" s="133"/>
      <c r="I31" s="133"/>
      <c r="J31" s="133"/>
      <c r="K31" s="133"/>
      <c r="L31" s="133"/>
      <c r="M31" s="133"/>
      <c r="N31" s="133"/>
      <c r="O31" s="133"/>
      <c r="P31" s="133"/>
      <c r="Q31" s="133"/>
      <c r="R31" s="133"/>
      <c r="S31" s="133"/>
      <c r="T31" s="133"/>
      <c r="U31" s="133"/>
      <c r="V31" s="133"/>
      <c r="W31" s="133"/>
      <c r="X31" s="133"/>
      <c r="Y31" s="133"/>
    </row>
    <row r="32" spans="1:25" ht="15" customHeight="1" x14ac:dyDescent="0.3">
      <c r="A32" s="133"/>
      <c r="B32" s="133"/>
      <c r="C32" s="133"/>
      <c r="D32" s="133"/>
      <c r="E32" s="133"/>
      <c r="F32" s="133"/>
      <c r="G32" s="133"/>
      <c r="H32" s="133"/>
      <c r="I32" s="133"/>
      <c r="J32" s="133"/>
      <c r="K32" s="133"/>
      <c r="L32" s="133"/>
      <c r="M32" s="133"/>
      <c r="N32" s="133"/>
      <c r="O32" s="133"/>
      <c r="P32" s="133"/>
      <c r="Q32" s="133"/>
      <c r="R32" s="133"/>
      <c r="S32" s="133"/>
      <c r="T32" s="133"/>
      <c r="U32" s="133"/>
      <c r="V32" s="133"/>
      <c r="W32" s="133"/>
      <c r="X32" s="133"/>
      <c r="Y32" s="133"/>
    </row>
    <row r="33" spans="1:25" ht="15" customHeight="1" x14ac:dyDescent="0.3">
      <c r="A33" s="133"/>
      <c r="B33" s="133"/>
      <c r="C33" s="133"/>
      <c r="D33" s="133"/>
      <c r="E33" s="133"/>
      <c r="F33" s="133"/>
      <c r="G33" s="133"/>
      <c r="H33" s="133"/>
      <c r="I33" s="133"/>
      <c r="J33" s="133"/>
      <c r="K33" s="133"/>
      <c r="L33" s="133"/>
      <c r="M33" s="133"/>
      <c r="N33" s="133"/>
      <c r="O33" s="133"/>
      <c r="P33" s="133"/>
      <c r="Q33" s="133"/>
      <c r="R33" s="133"/>
      <c r="S33" s="133"/>
      <c r="T33" s="133"/>
      <c r="U33" s="133"/>
      <c r="V33" s="133"/>
      <c r="W33" s="133"/>
      <c r="X33" s="133"/>
      <c r="Y33" s="133"/>
    </row>
    <row r="34" spans="1:25" ht="15" customHeight="1" x14ac:dyDescent="0.3">
      <c r="A34" s="133"/>
      <c r="B34" s="133"/>
      <c r="C34" s="133"/>
      <c r="D34" s="133"/>
      <c r="E34" s="133"/>
      <c r="F34" s="133"/>
      <c r="G34" s="133"/>
      <c r="H34" s="133"/>
      <c r="I34" s="133"/>
      <c r="J34" s="133"/>
      <c r="K34" s="133"/>
      <c r="L34" s="133"/>
      <c r="M34" s="133"/>
      <c r="N34" s="133"/>
      <c r="O34" s="133"/>
      <c r="P34" s="133"/>
      <c r="Q34" s="133"/>
      <c r="R34" s="133"/>
      <c r="S34" s="133"/>
      <c r="T34" s="133"/>
      <c r="U34" s="133"/>
      <c r="V34" s="133"/>
      <c r="W34" s="133"/>
      <c r="X34" s="133"/>
      <c r="Y34" s="133"/>
    </row>
    <row r="35" spans="1:25" ht="15" customHeight="1" x14ac:dyDescent="0.3">
      <c r="A35" s="133"/>
      <c r="B35" s="133"/>
      <c r="C35" s="133"/>
      <c r="D35" s="133"/>
      <c r="E35" s="133"/>
      <c r="F35" s="133"/>
      <c r="G35" s="133"/>
      <c r="H35" s="133"/>
      <c r="I35" s="133"/>
      <c r="J35" s="133"/>
      <c r="K35" s="133"/>
      <c r="L35" s="133"/>
      <c r="M35" s="133"/>
      <c r="N35" s="133"/>
      <c r="O35" s="133"/>
      <c r="P35" s="133"/>
      <c r="Q35" s="133"/>
      <c r="R35" s="133"/>
      <c r="S35" s="133"/>
      <c r="T35" s="133"/>
      <c r="U35" s="133"/>
      <c r="V35" s="133"/>
      <c r="W35" s="133"/>
      <c r="X35" s="133"/>
      <c r="Y35" s="133"/>
    </row>
    <row r="36" spans="1:25" ht="15" customHeight="1" x14ac:dyDescent="0.3">
      <c r="A36" s="133"/>
      <c r="B36" s="133"/>
      <c r="C36" s="133"/>
      <c r="D36" s="133"/>
      <c r="E36" s="133"/>
      <c r="F36" s="133"/>
      <c r="G36" s="133"/>
      <c r="H36" s="133"/>
      <c r="I36" s="133"/>
      <c r="J36" s="133"/>
      <c r="K36" s="133"/>
      <c r="L36" s="133"/>
      <c r="M36" s="133"/>
      <c r="N36" s="133"/>
      <c r="O36" s="133"/>
      <c r="P36" s="133"/>
      <c r="Q36" s="133"/>
      <c r="R36" s="133"/>
      <c r="S36" s="133"/>
      <c r="T36" s="133"/>
      <c r="U36" s="133"/>
      <c r="V36" s="133"/>
      <c r="W36" s="133"/>
      <c r="X36" s="133"/>
      <c r="Y36" s="133"/>
    </row>
    <row r="37" spans="1:25" ht="15" customHeight="1" x14ac:dyDescent="0.3">
      <c r="A37" s="133"/>
      <c r="B37" s="133"/>
      <c r="C37" s="133"/>
      <c r="D37" s="133"/>
      <c r="E37" s="133"/>
      <c r="F37" s="133"/>
      <c r="G37" s="133"/>
      <c r="H37" s="133"/>
      <c r="I37" s="133"/>
      <c r="J37" s="133"/>
      <c r="K37" s="133"/>
      <c r="L37" s="133"/>
      <c r="M37" s="133"/>
      <c r="N37" s="133"/>
      <c r="O37" s="133"/>
      <c r="P37" s="133"/>
      <c r="Q37" s="133"/>
      <c r="R37" s="133"/>
      <c r="S37" s="133"/>
      <c r="T37" s="133"/>
      <c r="U37" s="133"/>
      <c r="V37" s="133"/>
      <c r="W37" s="133"/>
      <c r="X37" s="133"/>
      <c r="Y37" s="133"/>
    </row>
    <row r="38" spans="1:25" ht="15" customHeight="1" x14ac:dyDescent="0.3">
      <c r="A38" s="133"/>
      <c r="B38" s="133"/>
      <c r="C38" s="133"/>
      <c r="D38" s="133"/>
      <c r="E38" s="133"/>
      <c r="F38" s="133"/>
      <c r="G38" s="133"/>
      <c r="H38" s="133"/>
      <c r="I38" s="133"/>
      <c r="J38" s="133"/>
      <c r="K38" s="133"/>
      <c r="L38" s="133"/>
      <c r="M38" s="133"/>
      <c r="N38" s="133"/>
      <c r="O38" s="133"/>
      <c r="P38" s="133"/>
      <c r="Q38" s="133"/>
      <c r="R38" s="133"/>
      <c r="S38" s="133"/>
      <c r="T38" s="133"/>
      <c r="U38" s="133"/>
      <c r="V38" s="133"/>
      <c r="W38" s="133"/>
      <c r="X38" s="133"/>
      <c r="Y38" s="133"/>
    </row>
    <row r="39" spans="1:25" ht="15" customHeight="1" x14ac:dyDescent="0.3">
      <c r="A39" s="133"/>
      <c r="B39" s="133"/>
      <c r="C39" s="133"/>
      <c r="D39" s="133"/>
      <c r="E39" s="133"/>
      <c r="F39" s="133"/>
      <c r="G39" s="133"/>
      <c r="H39" s="133"/>
      <c r="I39" s="133"/>
      <c r="J39" s="133"/>
      <c r="K39" s="133"/>
      <c r="L39" s="133"/>
      <c r="M39" s="133"/>
      <c r="N39" s="133"/>
      <c r="O39" s="133"/>
      <c r="P39" s="133"/>
      <c r="Q39" s="133"/>
      <c r="R39" s="133"/>
      <c r="S39" s="133"/>
      <c r="T39" s="133"/>
      <c r="U39" s="133"/>
      <c r="V39" s="133"/>
      <c r="W39" s="133"/>
      <c r="X39" s="133"/>
      <c r="Y39" s="133"/>
    </row>
    <row r="40" spans="1:25" ht="15" customHeight="1" x14ac:dyDescent="0.3">
      <c r="A40" s="133"/>
      <c r="B40" s="133"/>
      <c r="C40" s="133"/>
      <c r="D40" s="133"/>
      <c r="E40" s="133"/>
      <c r="F40" s="133"/>
      <c r="G40" s="133"/>
      <c r="H40" s="133"/>
      <c r="I40" s="133"/>
      <c r="J40" s="133"/>
      <c r="K40" s="133"/>
      <c r="L40" s="133"/>
      <c r="M40" s="133"/>
      <c r="N40" s="133"/>
      <c r="O40" s="133"/>
      <c r="P40" s="133"/>
      <c r="Q40" s="133"/>
      <c r="R40" s="133"/>
      <c r="S40" s="133"/>
      <c r="T40" s="133"/>
      <c r="U40" s="133"/>
      <c r="V40" s="133"/>
      <c r="W40" s="133"/>
      <c r="X40" s="133"/>
      <c r="Y40" s="133"/>
    </row>
    <row r="41" spans="1:25" ht="15" customHeight="1" x14ac:dyDescent="0.3">
      <c r="A41" s="133"/>
      <c r="B41" s="133"/>
      <c r="C41" s="133"/>
      <c r="D41" s="133"/>
      <c r="E41" s="133"/>
      <c r="F41" s="133"/>
      <c r="G41" s="133"/>
      <c r="H41" s="133"/>
      <c r="I41" s="133"/>
      <c r="J41" s="133"/>
      <c r="K41" s="133"/>
      <c r="L41" s="133"/>
      <c r="M41" s="133"/>
      <c r="N41" s="133"/>
      <c r="O41" s="133"/>
      <c r="P41" s="133"/>
      <c r="Q41" s="133"/>
      <c r="R41" s="133"/>
      <c r="S41" s="133"/>
      <c r="T41" s="133"/>
      <c r="U41" s="133"/>
      <c r="V41" s="133"/>
      <c r="W41" s="133"/>
      <c r="X41" s="133"/>
      <c r="Y41" s="133"/>
    </row>
    <row r="42" spans="1:25" ht="15" customHeight="1" x14ac:dyDescent="0.3">
      <c r="A42" s="133"/>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row>
    <row r="43" spans="1:25" ht="15" customHeight="1" x14ac:dyDescent="0.3">
      <c r="A43" s="133"/>
      <c r="B43" s="133"/>
      <c r="C43" s="133"/>
      <c r="D43" s="133"/>
      <c r="E43" s="133"/>
      <c r="F43" s="133"/>
      <c r="G43" s="133"/>
      <c r="H43" s="133"/>
      <c r="I43" s="133"/>
      <c r="J43" s="133"/>
      <c r="K43" s="133"/>
      <c r="L43" s="133"/>
      <c r="M43" s="133"/>
      <c r="N43" s="133"/>
      <c r="O43" s="133"/>
      <c r="P43" s="133"/>
      <c r="Q43" s="133"/>
      <c r="R43" s="133"/>
      <c r="S43" s="133"/>
      <c r="T43" s="133"/>
      <c r="U43" s="133"/>
      <c r="V43" s="133"/>
      <c r="W43" s="133"/>
      <c r="X43" s="133"/>
      <c r="Y43" s="133"/>
    </row>
    <row r="44" spans="1:25" ht="15" customHeight="1" x14ac:dyDescent="0.3">
      <c r="A44" s="133"/>
      <c r="B44" s="133"/>
      <c r="C44" s="133"/>
      <c r="D44" s="133"/>
      <c r="E44" s="133"/>
      <c r="F44" s="133"/>
      <c r="G44" s="133"/>
      <c r="H44" s="133"/>
      <c r="I44" s="133"/>
      <c r="J44" s="133"/>
      <c r="K44" s="133"/>
      <c r="L44" s="133"/>
      <c r="M44" s="133"/>
      <c r="N44" s="133"/>
      <c r="O44" s="133"/>
      <c r="P44" s="133"/>
      <c r="Q44" s="133"/>
      <c r="R44" s="133"/>
      <c r="S44" s="133"/>
      <c r="T44" s="133"/>
      <c r="U44" s="133"/>
      <c r="V44" s="133"/>
      <c r="W44" s="133"/>
      <c r="X44" s="133"/>
      <c r="Y44" s="133"/>
    </row>
    <row r="45" spans="1:25" ht="15" customHeight="1" x14ac:dyDescent="0.3">
      <c r="A45" s="133"/>
      <c r="B45" s="133"/>
      <c r="C45" s="133"/>
      <c r="D45" s="133"/>
      <c r="E45" s="133"/>
      <c r="F45" s="133"/>
      <c r="G45" s="133"/>
      <c r="H45" s="133"/>
      <c r="I45" s="133"/>
      <c r="J45" s="133"/>
      <c r="K45" s="133"/>
      <c r="L45" s="133"/>
      <c r="M45" s="133"/>
      <c r="N45" s="133"/>
      <c r="O45" s="133"/>
      <c r="P45" s="133"/>
      <c r="Q45" s="133"/>
      <c r="R45" s="133"/>
      <c r="S45" s="133"/>
      <c r="T45" s="133"/>
      <c r="U45" s="133"/>
      <c r="V45" s="133"/>
      <c r="W45" s="133"/>
      <c r="X45" s="133"/>
      <c r="Y45" s="133"/>
    </row>
    <row r="46" spans="1:25" ht="15" customHeight="1" x14ac:dyDescent="0.3">
      <c r="A46" s="133"/>
      <c r="B46" s="144" t="s">
        <v>155</v>
      </c>
      <c r="C46" s="144"/>
      <c r="D46" s="144"/>
      <c r="E46" s="144"/>
      <c r="F46" s="144"/>
      <c r="G46" s="144"/>
      <c r="H46" s="144"/>
      <c r="I46" s="144"/>
      <c r="J46" s="144"/>
      <c r="K46" s="144"/>
      <c r="L46" s="144"/>
      <c r="M46" s="144"/>
      <c r="N46" s="144"/>
      <c r="O46" s="144"/>
      <c r="P46" s="144"/>
      <c r="Q46" s="144"/>
      <c r="R46" s="144"/>
      <c r="S46" s="144"/>
      <c r="T46" s="144"/>
      <c r="U46" s="144"/>
      <c r="V46" s="144"/>
      <c r="W46" s="144"/>
      <c r="X46" s="144"/>
      <c r="Y46" s="133"/>
    </row>
    <row r="47" spans="1:25" ht="15" customHeight="1" x14ac:dyDescent="0.3">
      <c r="A47" s="133"/>
      <c r="B47" s="144"/>
      <c r="C47" s="144"/>
      <c r="D47" s="144"/>
      <c r="E47" s="144"/>
      <c r="F47" s="144"/>
      <c r="G47" s="144"/>
      <c r="H47" s="144"/>
      <c r="I47" s="144"/>
      <c r="J47" s="144"/>
      <c r="K47" s="144"/>
      <c r="L47" s="144"/>
      <c r="M47" s="144"/>
      <c r="N47" s="144"/>
      <c r="O47" s="144"/>
      <c r="P47" s="144"/>
      <c r="Q47" s="144"/>
      <c r="R47" s="144"/>
      <c r="S47" s="144"/>
      <c r="T47" s="144"/>
      <c r="U47" s="144"/>
      <c r="V47" s="144"/>
      <c r="W47" s="144"/>
      <c r="X47" s="144"/>
      <c r="Y47" s="133"/>
    </row>
    <row r="48" spans="1:25" ht="15" customHeight="1" x14ac:dyDescent="0.3">
      <c r="A48" s="133"/>
      <c r="B48" s="133"/>
      <c r="C48" s="133"/>
      <c r="D48" s="133"/>
      <c r="E48" s="133"/>
      <c r="F48" s="133"/>
      <c r="G48" s="133"/>
      <c r="H48" s="133"/>
      <c r="I48" s="133"/>
      <c r="J48" s="133"/>
      <c r="K48" s="133"/>
      <c r="L48" s="133"/>
      <c r="M48" s="133"/>
      <c r="N48" s="133"/>
      <c r="O48" s="133"/>
      <c r="P48" s="133"/>
      <c r="Q48" s="133"/>
      <c r="R48" s="133"/>
      <c r="S48" s="133"/>
      <c r="T48" s="133"/>
      <c r="U48" s="133"/>
      <c r="V48" s="133"/>
      <c r="W48" s="133"/>
      <c r="X48" s="133"/>
      <c r="Y48" s="133"/>
    </row>
    <row r="49" spans="1:25" ht="15" customHeight="1" x14ac:dyDescent="0.3">
      <c r="A49" s="133"/>
      <c r="B49" s="133"/>
      <c r="C49" s="133"/>
      <c r="D49" s="133"/>
      <c r="E49" s="133"/>
      <c r="F49" s="133"/>
      <c r="G49" s="133"/>
      <c r="H49" s="133"/>
      <c r="I49" s="133"/>
      <c r="J49" s="133"/>
      <c r="K49" s="133"/>
      <c r="L49" s="133"/>
      <c r="M49" s="133"/>
      <c r="N49" s="133"/>
      <c r="O49" s="133"/>
      <c r="P49" s="133"/>
      <c r="Q49" s="133"/>
      <c r="R49" s="133"/>
      <c r="S49" s="133"/>
      <c r="T49" s="133"/>
      <c r="U49" s="133"/>
      <c r="V49" s="133"/>
      <c r="W49" s="133"/>
      <c r="X49" s="133"/>
      <c r="Y49" s="133"/>
    </row>
    <row r="50" spans="1:25" ht="15" customHeight="1" x14ac:dyDescent="0.3">
      <c r="A50" s="133"/>
      <c r="B50" s="133"/>
      <c r="C50" s="133"/>
      <c r="D50" s="133"/>
      <c r="E50" s="133"/>
      <c r="F50" s="133"/>
      <c r="G50" s="133"/>
      <c r="H50" s="133"/>
      <c r="I50" s="133"/>
      <c r="J50" s="133"/>
      <c r="K50" s="133"/>
      <c r="L50" s="133"/>
      <c r="M50" s="133"/>
      <c r="N50" s="133"/>
      <c r="O50" s="133"/>
      <c r="P50" s="133"/>
      <c r="Q50" s="133"/>
      <c r="R50" s="133"/>
      <c r="S50" s="133"/>
      <c r="T50" s="133"/>
      <c r="U50" s="133"/>
      <c r="V50" s="133"/>
      <c r="W50" s="133"/>
      <c r="X50" s="133"/>
      <c r="Y50" s="133"/>
    </row>
    <row r="51" spans="1:25" ht="15" customHeight="1" x14ac:dyDescent="0.3">
      <c r="A51" s="133"/>
      <c r="B51" s="133"/>
      <c r="C51" s="133"/>
      <c r="D51" s="133"/>
      <c r="E51" s="133"/>
      <c r="F51" s="133"/>
      <c r="G51" s="133"/>
      <c r="H51" s="133"/>
      <c r="I51" s="133"/>
      <c r="J51" s="133"/>
      <c r="K51" s="133"/>
      <c r="L51" s="133"/>
      <c r="M51" s="133"/>
      <c r="N51" s="133"/>
      <c r="O51" s="133"/>
      <c r="P51" s="133"/>
      <c r="Q51" s="133"/>
      <c r="R51" s="133"/>
      <c r="S51" s="133"/>
      <c r="T51" s="133"/>
      <c r="U51" s="133"/>
      <c r="V51" s="133"/>
      <c r="W51" s="133"/>
      <c r="X51" s="133"/>
      <c r="Y51" s="133"/>
    </row>
    <row r="52" spans="1:25" ht="15" customHeight="1" x14ac:dyDescent="0.3">
      <c r="A52" s="133"/>
      <c r="B52" s="133"/>
      <c r="C52" s="133"/>
      <c r="D52" s="133"/>
      <c r="E52" s="133"/>
      <c r="F52" s="133"/>
      <c r="G52" s="133"/>
      <c r="H52" s="133"/>
      <c r="I52" s="133"/>
      <c r="J52" s="133"/>
      <c r="K52" s="133"/>
      <c r="L52" s="133"/>
      <c r="M52" s="133"/>
      <c r="N52" s="133"/>
      <c r="O52" s="133"/>
      <c r="P52" s="133"/>
      <c r="Q52" s="133"/>
      <c r="R52" s="133"/>
      <c r="S52" s="133"/>
      <c r="T52" s="133"/>
      <c r="U52" s="133"/>
      <c r="V52" s="133"/>
      <c r="W52" s="133"/>
      <c r="X52" s="133"/>
      <c r="Y52" s="133"/>
    </row>
    <row r="53" spans="1:25" ht="15" customHeight="1" x14ac:dyDescent="0.3">
      <c r="A53" s="133"/>
      <c r="B53" s="133"/>
      <c r="C53" s="133"/>
      <c r="D53" s="133"/>
      <c r="E53" s="133"/>
      <c r="F53" s="133"/>
      <c r="G53" s="133"/>
      <c r="H53" s="133"/>
      <c r="I53" s="133"/>
      <c r="J53" s="133"/>
      <c r="K53" s="133"/>
      <c r="L53" s="133"/>
      <c r="M53" s="133"/>
      <c r="N53" s="133"/>
      <c r="O53" s="133"/>
      <c r="P53" s="133"/>
      <c r="Q53" s="133"/>
      <c r="R53" s="133"/>
      <c r="S53" s="133"/>
      <c r="T53" s="133"/>
      <c r="U53" s="133"/>
      <c r="V53" s="133"/>
      <c r="W53" s="133"/>
      <c r="X53" s="133"/>
      <c r="Y53" s="133"/>
    </row>
    <row r="54" spans="1:25" ht="15" customHeight="1" x14ac:dyDescent="0.3">
      <c r="A54" s="133"/>
      <c r="B54" s="133"/>
      <c r="C54" s="133"/>
      <c r="D54" s="133"/>
      <c r="E54" s="133"/>
      <c r="F54" s="133"/>
      <c r="G54" s="133"/>
      <c r="H54" s="133"/>
      <c r="I54" s="133"/>
      <c r="J54" s="133"/>
      <c r="K54" s="133"/>
      <c r="L54" s="133"/>
      <c r="M54" s="133"/>
      <c r="N54" s="133"/>
      <c r="O54" s="133"/>
      <c r="P54" s="133"/>
      <c r="Q54" s="133"/>
      <c r="R54" s="133"/>
      <c r="S54" s="133"/>
      <c r="T54" s="133"/>
      <c r="U54" s="133"/>
      <c r="V54" s="133"/>
      <c r="W54" s="133"/>
      <c r="X54" s="133"/>
      <c r="Y54" s="133"/>
    </row>
    <row r="55" spans="1:25" ht="15" customHeight="1" x14ac:dyDescent="0.3">
      <c r="A55" s="133"/>
      <c r="B55" s="133"/>
      <c r="C55" s="133"/>
      <c r="D55" s="133"/>
      <c r="E55" s="133"/>
      <c r="F55" s="133"/>
      <c r="G55" s="133"/>
      <c r="H55" s="133"/>
      <c r="I55" s="133"/>
      <c r="J55" s="133"/>
      <c r="K55" s="133"/>
      <c r="L55" s="133"/>
      <c r="M55" s="133"/>
      <c r="N55" s="133"/>
      <c r="O55" s="133"/>
      <c r="P55" s="133"/>
      <c r="Q55" s="133"/>
      <c r="R55" s="133"/>
      <c r="S55" s="133"/>
      <c r="T55" s="133"/>
      <c r="U55" s="133"/>
      <c r="V55" s="133"/>
      <c r="W55" s="133"/>
      <c r="X55" s="133"/>
      <c r="Y55" s="133"/>
    </row>
    <row r="56" spans="1:25" ht="15" customHeight="1" x14ac:dyDescent="0.3">
      <c r="A56" s="133"/>
      <c r="B56" s="133"/>
      <c r="C56" s="133"/>
      <c r="D56" s="133"/>
      <c r="E56" s="133"/>
      <c r="F56" s="133"/>
      <c r="G56" s="133"/>
      <c r="H56" s="133"/>
      <c r="I56" s="133"/>
      <c r="J56" s="133"/>
      <c r="K56" s="133"/>
      <c r="L56" s="133"/>
      <c r="M56" s="133"/>
      <c r="N56" s="133"/>
      <c r="O56" s="133"/>
      <c r="P56" s="133"/>
      <c r="Q56" s="133"/>
      <c r="R56" s="133"/>
      <c r="S56" s="133"/>
      <c r="T56" s="133"/>
      <c r="U56" s="133"/>
      <c r="V56" s="133"/>
      <c r="W56" s="133"/>
      <c r="X56" s="133"/>
      <c r="Y56" s="133"/>
    </row>
    <row r="57" spans="1:25" ht="15" customHeight="1" x14ac:dyDescent="0.3">
      <c r="A57" s="133"/>
      <c r="B57" s="133"/>
      <c r="C57" s="133"/>
      <c r="D57" s="133"/>
      <c r="E57" s="133"/>
      <c r="F57" s="133"/>
      <c r="G57" s="133"/>
      <c r="H57" s="133"/>
      <c r="I57" s="133"/>
      <c r="J57" s="133"/>
      <c r="K57" s="133"/>
      <c r="L57" s="133"/>
      <c r="M57" s="133"/>
      <c r="N57" s="133"/>
      <c r="O57" s="133"/>
      <c r="P57" s="133"/>
      <c r="Q57" s="133"/>
      <c r="R57" s="133"/>
      <c r="S57" s="133"/>
      <c r="T57" s="133"/>
      <c r="U57" s="133"/>
      <c r="V57" s="133"/>
      <c r="W57" s="133"/>
      <c r="X57" s="133"/>
      <c r="Y57" s="133"/>
    </row>
    <row r="58" spans="1:25" ht="15" customHeight="1" x14ac:dyDescent="0.3">
      <c r="A58" s="133"/>
      <c r="B58" s="133"/>
      <c r="C58" s="133"/>
      <c r="D58" s="133"/>
      <c r="E58" s="133"/>
      <c r="F58" s="133"/>
      <c r="G58" s="133"/>
      <c r="H58" s="133"/>
      <c r="I58" s="133"/>
      <c r="J58" s="133"/>
      <c r="K58" s="133"/>
      <c r="L58" s="133"/>
      <c r="M58" s="133"/>
      <c r="N58" s="133"/>
      <c r="O58" s="133"/>
      <c r="P58" s="133"/>
      <c r="Q58" s="133"/>
      <c r="R58" s="133"/>
      <c r="S58" s="133"/>
      <c r="T58" s="133"/>
      <c r="U58" s="133"/>
      <c r="V58" s="133"/>
      <c r="W58" s="133"/>
      <c r="X58" s="133"/>
      <c r="Y58" s="133"/>
    </row>
    <row r="59" spans="1:25" ht="15" customHeight="1" x14ac:dyDescent="0.3">
      <c r="A59" s="133"/>
      <c r="B59" s="133"/>
      <c r="C59" s="133"/>
      <c r="D59" s="133"/>
      <c r="E59" s="133"/>
      <c r="F59" s="133"/>
      <c r="G59" s="133"/>
      <c r="H59" s="133"/>
      <c r="I59" s="133"/>
      <c r="J59" s="133"/>
      <c r="K59" s="133"/>
      <c r="L59" s="133"/>
      <c r="M59" s="133"/>
      <c r="N59" s="133"/>
      <c r="O59" s="133"/>
      <c r="P59" s="133"/>
      <c r="Q59" s="133"/>
      <c r="R59" s="133"/>
      <c r="S59" s="133"/>
      <c r="T59" s="133"/>
      <c r="U59" s="133"/>
      <c r="V59" s="133"/>
      <c r="W59" s="133"/>
      <c r="X59" s="133"/>
      <c r="Y59" s="133"/>
    </row>
    <row r="60" spans="1:25" ht="15" customHeight="1" x14ac:dyDescent="0.3">
      <c r="A60" s="133"/>
      <c r="B60" s="133"/>
      <c r="C60" s="133"/>
      <c r="D60" s="133"/>
      <c r="E60" s="133"/>
      <c r="F60" s="133"/>
      <c r="G60" s="133"/>
      <c r="H60" s="133"/>
      <c r="I60" s="133"/>
      <c r="J60" s="133"/>
      <c r="K60" s="133"/>
      <c r="L60" s="133"/>
      <c r="M60" s="133"/>
      <c r="N60" s="133"/>
      <c r="O60" s="133"/>
      <c r="P60" s="133"/>
      <c r="Q60" s="133"/>
      <c r="R60" s="133"/>
      <c r="S60" s="133"/>
      <c r="T60" s="133"/>
      <c r="U60" s="133"/>
      <c r="V60" s="133"/>
      <c r="W60" s="133"/>
      <c r="X60" s="133"/>
      <c r="Y60" s="133"/>
    </row>
    <row r="61" spans="1:25" ht="15" customHeight="1" x14ac:dyDescent="0.3">
      <c r="A61" s="133"/>
      <c r="B61" s="133"/>
      <c r="C61" s="133"/>
      <c r="D61" s="133"/>
      <c r="E61" s="133"/>
      <c r="F61" s="133"/>
      <c r="G61" s="133"/>
      <c r="H61" s="133"/>
      <c r="I61" s="133"/>
      <c r="J61" s="133"/>
      <c r="K61" s="133"/>
      <c r="L61" s="133"/>
      <c r="M61" s="133"/>
      <c r="N61" s="133"/>
      <c r="O61" s="133"/>
      <c r="P61" s="133"/>
      <c r="Q61" s="133"/>
      <c r="R61" s="133"/>
      <c r="S61" s="133"/>
      <c r="T61" s="133"/>
      <c r="U61" s="133"/>
      <c r="V61" s="133"/>
      <c r="W61" s="133"/>
      <c r="X61" s="133"/>
      <c r="Y61" s="133"/>
    </row>
    <row r="62" spans="1:25" ht="15" customHeight="1" x14ac:dyDescent="0.3">
      <c r="A62" s="133"/>
      <c r="B62" s="133"/>
      <c r="C62" s="133"/>
      <c r="D62" s="133"/>
      <c r="E62" s="133"/>
      <c r="F62" s="133"/>
      <c r="G62" s="133"/>
      <c r="H62" s="133"/>
      <c r="I62" s="133"/>
      <c r="J62" s="133"/>
      <c r="K62" s="133"/>
      <c r="L62" s="133"/>
      <c r="M62" s="133"/>
      <c r="N62" s="133"/>
      <c r="O62" s="133"/>
      <c r="P62" s="133"/>
      <c r="Q62" s="133"/>
      <c r="R62" s="133"/>
      <c r="S62" s="133"/>
      <c r="T62" s="133"/>
      <c r="U62" s="133"/>
      <c r="V62" s="133"/>
      <c r="W62" s="133"/>
      <c r="X62" s="133"/>
      <c r="Y62" s="133"/>
    </row>
    <row r="63" spans="1:25" ht="15" customHeight="1" x14ac:dyDescent="0.3">
      <c r="A63" s="133"/>
      <c r="B63" s="133"/>
      <c r="C63" s="133"/>
      <c r="D63" s="133"/>
      <c r="E63" s="133"/>
      <c r="F63" s="133"/>
      <c r="G63" s="133"/>
      <c r="H63" s="133"/>
      <c r="I63" s="133"/>
      <c r="J63" s="133"/>
      <c r="K63" s="133"/>
      <c r="L63" s="133"/>
      <c r="M63" s="133"/>
      <c r="N63" s="133"/>
      <c r="O63" s="133"/>
      <c r="P63" s="133"/>
      <c r="Q63" s="133"/>
      <c r="R63" s="133"/>
      <c r="S63" s="133"/>
      <c r="T63" s="133"/>
      <c r="U63" s="133"/>
      <c r="V63" s="133"/>
      <c r="W63" s="133"/>
      <c r="X63" s="133"/>
      <c r="Y63" s="133"/>
    </row>
    <row r="64" spans="1:25" ht="15" customHeight="1" x14ac:dyDescent="0.3">
      <c r="A64" s="133"/>
      <c r="B64" s="133"/>
      <c r="C64" s="133"/>
      <c r="D64" s="133"/>
      <c r="E64" s="133"/>
      <c r="F64" s="133"/>
      <c r="G64" s="133"/>
      <c r="H64" s="133"/>
      <c r="I64" s="133"/>
      <c r="J64" s="133"/>
      <c r="K64" s="133"/>
      <c r="L64" s="133"/>
      <c r="M64" s="133"/>
      <c r="N64" s="133"/>
      <c r="O64" s="133"/>
      <c r="P64" s="133"/>
      <c r="Q64" s="133"/>
      <c r="R64" s="133"/>
      <c r="S64" s="133"/>
      <c r="T64" s="133"/>
      <c r="U64" s="133"/>
      <c r="V64" s="133"/>
      <c r="W64" s="133"/>
      <c r="X64" s="133"/>
      <c r="Y64" s="133"/>
    </row>
    <row r="65" spans="1:25" ht="15" customHeight="1" x14ac:dyDescent="0.3">
      <c r="A65" s="133"/>
      <c r="B65" s="133"/>
      <c r="C65" s="133"/>
      <c r="D65" s="133"/>
      <c r="E65" s="133"/>
      <c r="F65" s="133"/>
      <c r="G65" s="133"/>
      <c r="H65" s="133"/>
      <c r="I65" s="133"/>
      <c r="J65" s="133"/>
      <c r="K65" s="133"/>
      <c r="L65" s="133"/>
      <c r="M65" s="133"/>
      <c r="N65" s="133"/>
      <c r="O65" s="133"/>
      <c r="P65" s="133"/>
      <c r="Q65" s="133"/>
      <c r="R65" s="133"/>
      <c r="S65" s="133"/>
      <c r="T65" s="133"/>
      <c r="U65" s="133"/>
      <c r="V65" s="133"/>
      <c r="W65" s="133"/>
      <c r="X65" s="133"/>
      <c r="Y65" s="133"/>
    </row>
    <row r="66" spans="1:25" ht="15" customHeight="1" x14ac:dyDescent="0.3">
      <c r="A66" s="133"/>
      <c r="B66" s="133"/>
      <c r="C66" s="133"/>
      <c r="D66" s="133"/>
      <c r="E66" s="133"/>
      <c r="F66" s="133"/>
      <c r="G66" s="133"/>
      <c r="H66" s="133"/>
      <c r="I66" s="133"/>
      <c r="J66" s="133"/>
      <c r="K66" s="133"/>
      <c r="L66" s="133"/>
      <c r="M66" s="133"/>
      <c r="N66" s="133"/>
      <c r="O66" s="133"/>
      <c r="P66" s="133"/>
      <c r="Q66" s="133"/>
      <c r="R66" s="133"/>
      <c r="S66" s="133"/>
      <c r="T66" s="133"/>
      <c r="U66" s="133"/>
      <c r="V66" s="133"/>
      <c r="W66" s="133"/>
      <c r="X66" s="133"/>
      <c r="Y66" s="133"/>
    </row>
    <row r="67" spans="1:25" ht="15" customHeight="1" x14ac:dyDescent="0.3">
      <c r="A67" s="133"/>
      <c r="B67" s="133"/>
      <c r="C67" s="133"/>
      <c r="D67" s="133"/>
      <c r="E67" s="133"/>
      <c r="F67" s="133"/>
      <c r="G67" s="133"/>
      <c r="H67" s="133"/>
      <c r="I67" s="133"/>
      <c r="J67" s="133"/>
      <c r="K67" s="133"/>
      <c r="L67" s="133"/>
      <c r="M67" s="133"/>
      <c r="N67" s="133"/>
      <c r="O67" s="133"/>
      <c r="P67" s="133"/>
      <c r="Q67" s="133"/>
      <c r="R67" s="133"/>
      <c r="S67" s="133"/>
      <c r="T67" s="133"/>
      <c r="U67" s="133"/>
      <c r="V67" s="133"/>
      <c r="W67" s="133"/>
      <c r="X67" s="133"/>
      <c r="Y67" s="133"/>
    </row>
    <row r="68" spans="1:25" ht="15" customHeight="1" x14ac:dyDescent="0.3">
      <c r="A68" s="133"/>
      <c r="B68" s="133"/>
      <c r="C68" s="133"/>
      <c r="D68" s="133"/>
      <c r="E68" s="133"/>
      <c r="F68" s="133"/>
      <c r="G68" s="133"/>
      <c r="H68" s="133"/>
      <c r="I68" s="133"/>
      <c r="J68" s="133"/>
      <c r="K68" s="133"/>
      <c r="L68" s="133"/>
      <c r="M68" s="133"/>
      <c r="N68" s="133"/>
      <c r="O68" s="133"/>
      <c r="P68" s="133"/>
      <c r="Q68" s="133"/>
      <c r="R68" s="133"/>
      <c r="S68" s="133"/>
      <c r="T68" s="133"/>
      <c r="U68" s="133"/>
      <c r="V68" s="133"/>
      <c r="W68" s="133"/>
      <c r="X68" s="133"/>
      <c r="Y68" s="133"/>
    </row>
    <row r="69" spans="1:25" ht="15" customHeight="1" x14ac:dyDescent="0.3">
      <c r="A69" s="133"/>
      <c r="B69" s="133"/>
      <c r="C69" s="133"/>
      <c r="D69" s="133"/>
      <c r="E69" s="133"/>
      <c r="F69" s="133"/>
      <c r="G69" s="133"/>
      <c r="H69" s="133"/>
      <c r="I69" s="133"/>
      <c r="J69" s="133"/>
      <c r="K69" s="133"/>
      <c r="L69" s="133"/>
      <c r="M69" s="133"/>
      <c r="N69" s="133"/>
      <c r="O69" s="133"/>
      <c r="P69" s="133"/>
      <c r="Q69" s="133"/>
      <c r="R69" s="133"/>
      <c r="S69" s="133"/>
      <c r="T69" s="133"/>
      <c r="U69" s="133"/>
      <c r="V69" s="133"/>
      <c r="W69" s="133"/>
      <c r="X69" s="133"/>
      <c r="Y69" s="133"/>
    </row>
    <row r="70" spans="1:25" ht="15" customHeight="1" x14ac:dyDescent="0.3">
      <c r="A70" s="133"/>
      <c r="B70" s="133"/>
      <c r="C70" s="133"/>
      <c r="D70" s="133"/>
      <c r="E70" s="133"/>
      <c r="F70" s="133"/>
      <c r="G70" s="133"/>
      <c r="H70" s="133"/>
      <c r="I70" s="133"/>
      <c r="J70" s="133"/>
      <c r="K70" s="133"/>
      <c r="L70" s="133"/>
      <c r="M70" s="133"/>
      <c r="N70" s="133"/>
      <c r="O70" s="133"/>
      <c r="P70" s="133"/>
      <c r="Q70" s="133"/>
      <c r="R70" s="133"/>
      <c r="S70" s="133"/>
      <c r="T70" s="133"/>
      <c r="U70" s="133"/>
      <c r="V70" s="133"/>
      <c r="W70" s="133"/>
      <c r="X70" s="133"/>
      <c r="Y70" s="133"/>
    </row>
    <row r="71" spans="1:25" ht="15" customHeight="1" x14ac:dyDescent="0.3">
      <c r="A71" s="133"/>
      <c r="B71" s="133"/>
      <c r="C71" s="133"/>
      <c r="D71" s="133"/>
      <c r="E71" s="133"/>
      <c r="F71" s="133"/>
      <c r="G71" s="133"/>
      <c r="H71" s="133"/>
      <c r="I71" s="133"/>
      <c r="J71" s="133"/>
      <c r="K71" s="133"/>
      <c r="L71" s="133"/>
      <c r="M71" s="133"/>
      <c r="N71" s="133"/>
      <c r="O71" s="133"/>
      <c r="P71" s="133"/>
      <c r="Q71" s="133"/>
      <c r="R71" s="133"/>
      <c r="S71" s="133"/>
      <c r="T71" s="133"/>
      <c r="U71" s="133"/>
      <c r="V71" s="133"/>
      <c r="W71" s="133"/>
      <c r="X71" s="133"/>
      <c r="Y71" s="133"/>
    </row>
    <row r="72" spans="1:25" ht="15" customHeight="1" x14ac:dyDescent="0.3">
      <c r="A72" s="133"/>
      <c r="B72" s="133"/>
      <c r="C72" s="133"/>
      <c r="D72" s="133"/>
      <c r="E72" s="133"/>
      <c r="F72" s="133"/>
      <c r="G72" s="133"/>
      <c r="H72" s="133"/>
      <c r="I72" s="133"/>
      <c r="J72" s="133"/>
      <c r="K72" s="133"/>
      <c r="L72" s="133"/>
      <c r="M72" s="133"/>
      <c r="N72" s="133"/>
      <c r="O72" s="133"/>
      <c r="P72" s="133"/>
      <c r="Q72" s="133"/>
      <c r="R72" s="133"/>
      <c r="S72" s="133"/>
      <c r="T72" s="133"/>
      <c r="U72" s="133"/>
      <c r="V72" s="133"/>
      <c r="W72" s="133"/>
      <c r="X72" s="133"/>
      <c r="Y72" s="133"/>
    </row>
    <row r="73" spans="1:25" ht="15" customHeight="1" x14ac:dyDescent="0.3">
      <c r="A73" s="133"/>
      <c r="B73" s="133"/>
      <c r="C73" s="133"/>
      <c r="D73" s="133"/>
      <c r="E73" s="133"/>
      <c r="F73" s="133"/>
      <c r="G73" s="133"/>
      <c r="H73" s="133"/>
      <c r="I73" s="133"/>
      <c r="J73" s="133"/>
      <c r="K73" s="133"/>
      <c r="L73" s="133"/>
      <c r="M73" s="133"/>
      <c r="N73" s="133"/>
      <c r="O73" s="133"/>
      <c r="P73" s="133"/>
      <c r="Q73" s="133"/>
      <c r="R73" s="133"/>
      <c r="S73" s="133"/>
      <c r="T73" s="133"/>
      <c r="U73" s="133"/>
      <c r="V73" s="133"/>
      <c r="W73" s="133"/>
      <c r="X73" s="133"/>
      <c r="Y73" s="133"/>
    </row>
    <row r="74" spans="1:25" ht="15" customHeight="1" x14ac:dyDescent="0.3">
      <c r="A74" s="133"/>
      <c r="B74" s="133"/>
      <c r="C74" s="133"/>
      <c r="D74" s="133"/>
      <c r="E74" s="133"/>
      <c r="F74" s="133"/>
      <c r="G74" s="133"/>
      <c r="H74" s="133"/>
      <c r="I74" s="133"/>
      <c r="J74" s="133"/>
      <c r="K74" s="133"/>
      <c r="L74" s="133"/>
      <c r="M74" s="133"/>
      <c r="N74" s="133"/>
      <c r="O74" s="133"/>
      <c r="P74" s="133"/>
      <c r="Q74" s="133"/>
      <c r="R74" s="133"/>
      <c r="S74" s="133"/>
      <c r="T74" s="133"/>
      <c r="U74" s="133"/>
      <c r="V74" s="133"/>
      <c r="W74" s="133"/>
      <c r="X74" s="133"/>
      <c r="Y74" s="133"/>
    </row>
    <row r="75" spans="1:25" ht="15" customHeight="1" x14ac:dyDescent="0.3">
      <c r="A75" s="133"/>
      <c r="B75" s="133"/>
      <c r="C75" s="133"/>
      <c r="D75" s="133"/>
      <c r="E75" s="133"/>
      <c r="F75" s="133"/>
      <c r="G75" s="133"/>
      <c r="H75" s="133"/>
      <c r="I75" s="133"/>
      <c r="J75" s="133"/>
      <c r="K75" s="133"/>
      <c r="L75" s="133"/>
      <c r="M75" s="133"/>
      <c r="N75" s="133"/>
      <c r="O75" s="133"/>
      <c r="P75" s="133"/>
      <c r="Q75" s="133"/>
      <c r="R75" s="133"/>
      <c r="S75" s="133"/>
      <c r="T75" s="133"/>
      <c r="U75" s="133"/>
      <c r="V75" s="133"/>
      <c r="W75" s="133"/>
      <c r="X75" s="133"/>
      <c r="Y75" s="133"/>
    </row>
    <row r="76" spans="1:25" ht="15" customHeight="1" x14ac:dyDescent="0.3">
      <c r="A76" s="133"/>
      <c r="B76" s="133"/>
      <c r="C76" s="133"/>
      <c r="D76" s="133"/>
      <c r="E76" s="133"/>
      <c r="F76" s="133"/>
      <c r="G76" s="133"/>
      <c r="H76" s="133"/>
      <c r="I76" s="133"/>
      <c r="J76" s="133"/>
      <c r="K76" s="133"/>
      <c r="L76" s="133"/>
      <c r="M76" s="133"/>
      <c r="N76" s="133"/>
      <c r="O76" s="133"/>
      <c r="P76" s="133"/>
      <c r="Q76" s="133"/>
      <c r="R76" s="133"/>
      <c r="S76" s="133"/>
      <c r="T76" s="133"/>
      <c r="U76" s="133"/>
      <c r="V76" s="133"/>
      <c r="W76" s="133"/>
      <c r="X76" s="133"/>
      <c r="Y76" s="133"/>
    </row>
    <row r="77" spans="1:25" ht="15" customHeight="1" x14ac:dyDescent="0.3">
      <c r="A77" s="133"/>
      <c r="B77" s="133"/>
      <c r="C77" s="133"/>
      <c r="D77" s="133"/>
      <c r="E77" s="133"/>
      <c r="F77" s="133"/>
      <c r="G77" s="133"/>
      <c r="H77" s="133"/>
      <c r="I77" s="133"/>
      <c r="J77" s="133"/>
      <c r="K77" s="133"/>
      <c r="L77" s="133"/>
      <c r="M77" s="133"/>
      <c r="N77" s="133"/>
      <c r="O77" s="133"/>
      <c r="P77" s="133"/>
      <c r="Q77" s="133"/>
      <c r="R77" s="133"/>
      <c r="S77" s="133"/>
      <c r="T77" s="133"/>
      <c r="U77" s="133"/>
      <c r="V77" s="133"/>
      <c r="W77" s="133"/>
      <c r="X77" s="133"/>
      <c r="Y77" s="133"/>
    </row>
    <row r="78" spans="1:25" ht="15" customHeight="1" x14ac:dyDescent="0.3">
      <c r="A78" s="133"/>
      <c r="B78" s="133"/>
      <c r="C78" s="133"/>
      <c r="D78" s="133"/>
      <c r="E78" s="133"/>
      <c r="F78" s="133"/>
      <c r="G78" s="133"/>
      <c r="H78" s="133"/>
      <c r="I78" s="133"/>
      <c r="J78" s="133"/>
      <c r="K78" s="133"/>
      <c r="L78" s="133"/>
      <c r="M78" s="133"/>
      <c r="N78" s="133"/>
      <c r="O78" s="133"/>
      <c r="P78" s="133"/>
      <c r="Q78" s="133"/>
      <c r="R78" s="133"/>
      <c r="S78" s="133"/>
      <c r="T78" s="133"/>
      <c r="U78" s="133"/>
      <c r="V78" s="133"/>
      <c r="W78" s="133"/>
      <c r="X78" s="133"/>
      <c r="Y78" s="133"/>
    </row>
    <row r="79" spans="1:25" ht="15" customHeight="1" x14ac:dyDescent="0.3">
      <c r="A79" s="133"/>
      <c r="B79" s="133"/>
      <c r="C79" s="133"/>
      <c r="D79" s="133"/>
      <c r="E79" s="133"/>
      <c r="F79" s="133"/>
      <c r="G79" s="133"/>
      <c r="H79" s="133"/>
      <c r="I79" s="133"/>
      <c r="J79" s="133"/>
      <c r="K79" s="133"/>
      <c r="L79" s="133"/>
      <c r="M79" s="133"/>
      <c r="N79" s="133"/>
      <c r="O79" s="133"/>
      <c r="P79" s="133"/>
      <c r="Q79" s="133"/>
      <c r="R79" s="133"/>
      <c r="S79" s="133"/>
      <c r="T79" s="133"/>
      <c r="U79" s="133"/>
      <c r="V79" s="133"/>
      <c r="W79" s="133"/>
      <c r="X79" s="133"/>
      <c r="Y79" s="133"/>
    </row>
    <row r="80" spans="1:25" ht="15" customHeight="1" x14ac:dyDescent="0.3">
      <c r="A80" s="133"/>
      <c r="B80" s="133"/>
      <c r="C80" s="133"/>
      <c r="D80" s="133"/>
      <c r="E80" s="133"/>
      <c r="F80" s="133"/>
      <c r="G80" s="133"/>
      <c r="H80" s="133"/>
      <c r="I80" s="133"/>
      <c r="J80" s="133"/>
      <c r="K80" s="133"/>
      <c r="L80" s="133"/>
      <c r="M80" s="133"/>
      <c r="N80" s="133"/>
      <c r="O80" s="133"/>
      <c r="P80" s="133"/>
      <c r="Q80" s="133"/>
      <c r="R80" s="133"/>
      <c r="S80" s="133"/>
      <c r="T80" s="133"/>
      <c r="U80" s="133"/>
      <c r="V80" s="133"/>
      <c r="W80" s="133"/>
      <c r="X80" s="133"/>
      <c r="Y80" s="133"/>
    </row>
    <row r="81" spans="1:25" ht="15" customHeight="1" x14ac:dyDescent="0.3">
      <c r="A81" s="133"/>
      <c r="B81" s="133"/>
      <c r="C81" s="133"/>
      <c r="D81" s="133"/>
      <c r="E81" s="133"/>
      <c r="F81" s="133"/>
      <c r="G81" s="133"/>
      <c r="H81" s="133"/>
      <c r="I81" s="133"/>
      <c r="J81" s="133"/>
      <c r="K81" s="133"/>
      <c r="L81" s="133"/>
      <c r="M81" s="133"/>
      <c r="N81" s="133"/>
      <c r="O81" s="133"/>
      <c r="P81" s="133"/>
      <c r="Q81" s="133"/>
      <c r="R81" s="133"/>
      <c r="S81" s="133"/>
      <c r="T81" s="133"/>
      <c r="U81" s="133"/>
      <c r="V81" s="133"/>
      <c r="W81" s="133"/>
      <c r="X81" s="133"/>
      <c r="Y81" s="133"/>
    </row>
    <row r="82" spans="1:25" ht="15" customHeight="1" x14ac:dyDescent="0.3">
      <c r="A82" s="133"/>
      <c r="B82" s="133"/>
      <c r="C82" s="133"/>
      <c r="D82" s="133"/>
      <c r="E82" s="133"/>
      <c r="F82" s="133"/>
      <c r="G82" s="133"/>
      <c r="H82" s="133"/>
      <c r="I82" s="133"/>
      <c r="J82" s="133"/>
      <c r="K82" s="133"/>
      <c r="L82" s="133"/>
      <c r="M82" s="133"/>
      <c r="N82" s="133"/>
      <c r="O82" s="133"/>
      <c r="P82" s="133"/>
      <c r="Q82" s="133"/>
      <c r="R82" s="133"/>
      <c r="S82" s="133"/>
      <c r="T82" s="133"/>
      <c r="U82" s="133"/>
      <c r="V82" s="133"/>
      <c r="W82" s="133"/>
      <c r="X82" s="133"/>
      <c r="Y82" s="133"/>
    </row>
    <row r="83" spans="1:25" ht="15" customHeight="1" x14ac:dyDescent="0.3">
      <c r="A83" s="133"/>
      <c r="B83" s="133"/>
      <c r="C83" s="133"/>
      <c r="D83" s="133"/>
      <c r="E83" s="133"/>
      <c r="F83" s="133"/>
      <c r="G83" s="133"/>
      <c r="H83" s="133"/>
      <c r="I83" s="133"/>
      <c r="J83" s="133"/>
      <c r="K83" s="133"/>
      <c r="L83" s="133"/>
      <c r="M83" s="133"/>
      <c r="N83" s="133"/>
      <c r="O83" s="133"/>
      <c r="P83" s="133"/>
      <c r="Q83" s="133"/>
      <c r="R83" s="133"/>
      <c r="S83" s="133"/>
      <c r="T83" s="133"/>
      <c r="U83" s="133"/>
      <c r="V83" s="133"/>
      <c r="W83" s="133"/>
      <c r="X83" s="133"/>
      <c r="Y83" s="133"/>
    </row>
    <row r="84" spans="1:25" ht="15" customHeight="1" x14ac:dyDescent="0.3">
      <c r="A84" s="133"/>
      <c r="B84" s="133"/>
      <c r="C84" s="133"/>
      <c r="D84" s="133"/>
      <c r="E84" s="133"/>
      <c r="F84" s="133"/>
      <c r="G84" s="133"/>
      <c r="H84" s="133"/>
      <c r="I84" s="133"/>
      <c r="J84" s="133"/>
      <c r="K84" s="133"/>
      <c r="L84" s="133"/>
      <c r="M84" s="133"/>
      <c r="N84" s="133"/>
      <c r="O84" s="133"/>
      <c r="P84" s="133"/>
      <c r="Q84" s="133"/>
      <c r="R84" s="133"/>
      <c r="S84" s="133"/>
      <c r="T84" s="133"/>
      <c r="U84" s="133"/>
      <c r="V84" s="133"/>
      <c r="W84" s="133"/>
      <c r="X84" s="133"/>
      <c r="Y84" s="133"/>
    </row>
    <row r="85" spans="1:25" ht="15" customHeight="1" x14ac:dyDescent="0.3">
      <c r="A85" s="133"/>
      <c r="B85" s="133"/>
      <c r="C85" s="133"/>
      <c r="D85" s="133"/>
      <c r="E85" s="133"/>
      <c r="F85" s="133"/>
      <c r="G85" s="133"/>
      <c r="H85" s="133"/>
      <c r="I85" s="133"/>
      <c r="J85" s="133"/>
      <c r="K85" s="133"/>
      <c r="L85" s="133"/>
      <c r="M85" s="133"/>
      <c r="N85" s="133"/>
      <c r="O85" s="133"/>
      <c r="P85" s="133"/>
      <c r="Q85" s="133"/>
      <c r="R85" s="133"/>
      <c r="S85" s="133"/>
      <c r="T85" s="133"/>
      <c r="U85" s="133"/>
      <c r="V85" s="133"/>
      <c r="W85" s="133"/>
      <c r="X85" s="133"/>
      <c r="Y85" s="133"/>
    </row>
    <row r="86" spans="1:25" ht="15" customHeight="1" x14ac:dyDescent="0.3">
      <c r="A86" s="133"/>
      <c r="B86" s="144" t="s">
        <v>111</v>
      </c>
      <c r="C86" s="144"/>
      <c r="D86" s="144"/>
      <c r="E86" s="144"/>
      <c r="F86" s="144"/>
      <c r="G86" s="144"/>
      <c r="H86" s="144"/>
      <c r="I86" s="144"/>
      <c r="J86" s="144"/>
      <c r="K86" s="144"/>
      <c r="L86" s="144"/>
      <c r="M86" s="144"/>
      <c r="N86" s="144"/>
      <c r="O86" s="144"/>
      <c r="P86" s="144"/>
      <c r="Q86" s="144"/>
      <c r="R86" s="144"/>
      <c r="S86" s="144"/>
      <c r="T86" s="144"/>
      <c r="U86" s="144"/>
      <c r="V86" s="144"/>
      <c r="W86" s="144"/>
      <c r="X86" s="144"/>
      <c r="Y86" s="133"/>
    </row>
    <row r="87" spans="1:25" ht="15" customHeight="1" x14ac:dyDescent="0.3">
      <c r="A87" s="133"/>
      <c r="B87" s="144"/>
      <c r="C87" s="144"/>
      <c r="D87" s="144"/>
      <c r="E87" s="144"/>
      <c r="F87" s="144"/>
      <c r="G87" s="144"/>
      <c r="H87" s="144"/>
      <c r="I87" s="144"/>
      <c r="J87" s="144"/>
      <c r="K87" s="144"/>
      <c r="L87" s="144"/>
      <c r="M87" s="144"/>
      <c r="N87" s="144"/>
      <c r="O87" s="144"/>
      <c r="P87" s="144"/>
      <c r="Q87" s="144"/>
      <c r="R87" s="144"/>
      <c r="S87" s="144"/>
      <c r="T87" s="144"/>
      <c r="U87" s="144"/>
      <c r="V87" s="144"/>
      <c r="W87" s="144"/>
      <c r="X87" s="144"/>
      <c r="Y87" s="133"/>
    </row>
    <row r="88" spans="1:25" ht="15" customHeight="1" x14ac:dyDescent="0.3">
      <c r="A88" s="133"/>
      <c r="B88" s="133"/>
      <c r="C88" s="133"/>
      <c r="D88" s="133"/>
      <c r="E88" s="133"/>
      <c r="F88" s="133"/>
      <c r="G88" s="133"/>
      <c r="H88" s="133"/>
      <c r="I88" s="133"/>
      <c r="J88" s="133"/>
      <c r="K88" s="133"/>
      <c r="L88" s="133"/>
      <c r="M88" s="133"/>
      <c r="N88" s="133"/>
      <c r="O88" s="133"/>
      <c r="P88" s="133"/>
      <c r="Q88" s="133"/>
      <c r="R88" s="133"/>
      <c r="S88" s="133"/>
      <c r="T88" s="133"/>
      <c r="U88" s="133"/>
      <c r="V88" s="133"/>
      <c r="W88" s="133"/>
      <c r="X88" s="133"/>
      <c r="Y88" s="133"/>
    </row>
    <row r="89" spans="1:25" ht="15" customHeight="1" x14ac:dyDescent="0.3">
      <c r="A89" s="133"/>
      <c r="B89" s="133"/>
      <c r="C89" s="133"/>
      <c r="D89" s="133"/>
      <c r="E89" s="133"/>
      <c r="F89" s="142"/>
      <c r="G89" s="142"/>
      <c r="H89" s="142"/>
      <c r="I89" s="142"/>
      <c r="J89" s="142"/>
      <c r="K89" s="142"/>
      <c r="L89" s="142"/>
      <c r="M89" s="142"/>
      <c r="N89" s="142"/>
      <c r="O89" s="142"/>
      <c r="P89" s="142"/>
      <c r="Q89" s="142"/>
      <c r="R89" s="133"/>
      <c r="S89" s="133"/>
      <c r="T89" s="133"/>
      <c r="U89" s="133"/>
      <c r="V89" s="133"/>
      <c r="W89" s="133"/>
      <c r="X89" s="133"/>
      <c r="Y89" s="133"/>
    </row>
    <row r="90" spans="1:25" ht="15" customHeight="1" x14ac:dyDescent="0.3">
      <c r="A90" s="133"/>
      <c r="B90" s="133"/>
      <c r="C90" s="133"/>
      <c r="D90" s="133"/>
      <c r="E90" s="133"/>
      <c r="F90" s="142"/>
      <c r="G90" s="142"/>
      <c r="H90" s="142"/>
      <c r="I90" s="142"/>
      <c r="J90" s="142"/>
      <c r="K90" s="142"/>
      <c r="L90" s="142"/>
      <c r="M90" s="142"/>
      <c r="N90" s="142"/>
      <c r="O90" s="142"/>
      <c r="P90" s="142"/>
      <c r="Q90" s="142"/>
      <c r="R90" s="133"/>
      <c r="S90" s="133"/>
      <c r="T90" s="133"/>
      <c r="U90" s="133"/>
      <c r="V90" s="133"/>
      <c r="W90" s="133"/>
      <c r="X90" s="133"/>
      <c r="Y90" s="133"/>
    </row>
    <row r="91" spans="1:25" ht="15" customHeight="1" x14ac:dyDescent="0.3">
      <c r="A91" s="133"/>
      <c r="B91" s="133"/>
      <c r="C91" s="133"/>
      <c r="D91" s="133"/>
      <c r="E91" s="133"/>
      <c r="F91" s="142"/>
      <c r="G91" s="142"/>
      <c r="H91" s="142"/>
      <c r="I91" s="142"/>
      <c r="J91" s="142"/>
      <c r="K91" s="142"/>
      <c r="L91" s="142"/>
      <c r="M91" s="142"/>
      <c r="N91" s="142"/>
      <c r="O91" s="142"/>
      <c r="P91" s="142"/>
      <c r="Q91" s="142"/>
      <c r="R91" s="133"/>
      <c r="S91" s="133"/>
      <c r="T91" s="133"/>
      <c r="U91" s="133"/>
      <c r="V91" s="133"/>
      <c r="W91" s="133"/>
      <c r="X91" s="133"/>
      <c r="Y91" s="133"/>
    </row>
    <row r="92" spans="1:25" ht="15" customHeight="1" x14ac:dyDescent="0.3">
      <c r="A92" s="133"/>
      <c r="B92" s="133"/>
      <c r="C92" s="133"/>
      <c r="D92" s="133"/>
      <c r="E92" s="133"/>
      <c r="F92" s="142"/>
      <c r="G92" s="142"/>
      <c r="H92" s="142"/>
      <c r="I92" s="142"/>
      <c r="J92" s="142"/>
      <c r="K92" s="142"/>
      <c r="L92" s="142"/>
      <c r="M92" s="142"/>
      <c r="N92" s="142"/>
      <c r="O92" s="142"/>
      <c r="P92" s="142"/>
      <c r="Q92" s="142"/>
      <c r="R92" s="133"/>
      <c r="S92" s="133"/>
      <c r="T92" s="133"/>
      <c r="U92" s="133"/>
      <c r="V92" s="133"/>
      <c r="W92" s="133"/>
      <c r="X92" s="133"/>
      <c r="Y92" s="133"/>
    </row>
    <row r="93" spans="1:25" ht="15" customHeight="1" x14ac:dyDescent="0.3">
      <c r="A93" s="133"/>
      <c r="B93" s="133"/>
      <c r="C93" s="133"/>
      <c r="D93" s="133"/>
      <c r="E93" s="133"/>
      <c r="F93" s="142"/>
      <c r="G93" s="142"/>
      <c r="H93" s="142"/>
      <c r="I93" s="142"/>
      <c r="J93" s="142"/>
      <c r="K93" s="142"/>
      <c r="L93" s="142"/>
      <c r="M93" s="142"/>
      <c r="N93" s="142"/>
      <c r="O93" s="142"/>
      <c r="P93" s="142"/>
      <c r="Q93" s="142"/>
      <c r="R93" s="133"/>
      <c r="S93" s="133"/>
      <c r="T93" s="133"/>
      <c r="U93" s="133"/>
      <c r="V93" s="133"/>
      <c r="W93" s="133"/>
      <c r="X93" s="133"/>
      <c r="Y93" s="133"/>
    </row>
    <row r="94" spans="1:25" ht="15" customHeight="1" x14ac:dyDescent="0.3">
      <c r="A94" s="133"/>
      <c r="B94" s="133"/>
      <c r="C94" s="133"/>
      <c r="D94" s="133"/>
      <c r="E94" s="133"/>
      <c r="F94" s="142"/>
      <c r="G94" s="142"/>
      <c r="H94" s="142"/>
      <c r="I94" s="142"/>
      <c r="J94" s="142"/>
      <c r="K94" s="142"/>
      <c r="L94" s="142"/>
      <c r="M94" s="142"/>
      <c r="N94" s="142"/>
      <c r="O94" s="142"/>
      <c r="P94" s="142"/>
      <c r="Q94" s="142"/>
      <c r="R94" s="133"/>
      <c r="S94" s="133"/>
      <c r="T94" s="133"/>
      <c r="U94" s="133"/>
      <c r="V94" s="133"/>
      <c r="W94" s="133"/>
      <c r="X94" s="133"/>
      <c r="Y94" s="133"/>
    </row>
    <row r="95" spans="1:25" ht="15" customHeight="1" x14ac:dyDescent="0.3">
      <c r="A95" s="133"/>
      <c r="B95" s="133"/>
      <c r="C95" s="133"/>
      <c r="D95" s="133"/>
      <c r="E95" s="133"/>
      <c r="F95" s="142"/>
      <c r="G95" s="142"/>
      <c r="H95" s="142"/>
      <c r="I95" s="142"/>
      <c r="J95" s="142"/>
      <c r="K95" s="142"/>
      <c r="L95" s="142"/>
      <c r="M95" s="142"/>
      <c r="N95" s="142"/>
      <c r="O95" s="142"/>
      <c r="P95" s="142"/>
      <c r="Q95" s="142"/>
      <c r="R95" s="133"/>
      <c r="S95" s="133"/>
      <c r="T95" s="133"/>
      <c r="U95" s="133"/>
      <c r="V95" s="133"/>
      <c r="W95" s="133"/>
      <c r="X95" s="133"/>
      <c r="Y95" s="133"/>
    </row>
    <row r="96" spans="1:25" ht="15" customHeight="1" x14ac:dyDescent="0.3">
      <c r="A96" s="133"/>
      <c r="B96" s="133"/>
      <c r="C96" s="133"/>
      <c r="D96" s="133"/>
      <c r="E96" s="133"/>
      <c r="F96" s="142"/>
      <c r="G96" s="142"/>
      <c r="H96" s="142"/>
      <c r="I96" s="142"/>
      <c r="J96" s="142"/>
      <c r="K96" s="142"/>
      <c r="L96" s="142"/>
      <c r="M96" s="142"/>
      <c r="N96" s="142"/>
      <c r="O96" s="142"/>
      <c r="P96" s="142"/>
      <c r="Q96" s="142"/>
      <c r="R96" s="133"/>
      <c r="S96" s="133"/>
      <c r="T96" s="133"/>
      <c r="U96" s="133"/>
      <c r="V96" s="133"/>
      <c r="W96" s="133"/>
      <c r="X96" s="133"/>
      <c r="Y96" s="133"/>
    </row>
    <row r="97" spans="1:25" ht="15" customHeight="1" x14ac:dyDescent="0.3">
      <c r="A97" s="133"/>
      <c r="B97" s="133"/>
      <c r="C97" s="133"/>
      <c r="D97" s="133"/>
      <c r="E97" s="133"/>
      <c r="F97" s="142"/>
      <c r="G97" s="142"/>
      <c r="H97" s="142"/>
      <c r="I97" s="142"/>
      <c r="J97" s="142"/>
      <c r="K97" s="142"/>
      <c r="L97" s="142"/>
      <c r="M97" s="142"/>
      <c r="N97" s="142"/>
      <c r="O97" s="142"/>
      <c r="P97" s="142"/>
      <c r="Q97" s="142"/>
      <c r="R97" s="133"/>
      <c r="S97" s="133"/>
      <c r="T97" s="133"/>
      <c r="U97" s="133"/>
      <c r="V97" s="133"/>
      <c r="W97" s="133"/>
      <c r="X97" s="133"/>
      <c r="Y97" s="133"/>
    </row>
    <row r="98" spans="1:25" ht="15" customHeight="1" x14ac:dyDescent="0.3">
      <c r="A98" s="133"/>
      <c r="B98" s="133"/>
      <c r="C98" s="133"/>
      <c r="D98" s="133"/>
      <c r="E98" s="133"/>
      <c r="F98" s="142"/>
      <c r="G98" s="142"/>
      <c r="H98" s="142"/>
      <c r="I98" s="142"/>
      <c r="J98" s="142"/>
      <c r="K98" s="142"/>
      <c r="L98" s="142"/>
      <c r="M98" s="142"/>
      <c r="N98" s="142"/>
      <c r="O98" s="142"/>
      <c r="P98" s="142"/>
      <c r="Q98" s="142"/>
      <c r="R98" s="133"/>
      <c r="S98" s="133"/>
      <c r="T98" s="133"/>
      <c r="U98" s="133"/>
      <c r="V98" s="133"/>
      <c r="W98" s="133"/>
      <c r="X98" s="133"/>
      <c r="Y98" s="133"/>
    </row>
    <row r="99" spans="1:25" ht="15" customHeight="1" x14ac:dyDescent="0.3">
      <c r="A99" s="133"/>
      <c r="B99" s="133"/>
      <c r="C99" s="133"/>
      <c r="D99" s="133"/>
      <c r="E99" s="133"/>
      <c r="F99" s="142"/>
      <c r="G99" s="142"/>
      <c r="H99" s="142"/>
      <c r="I99" s="142"/>
      <c r="J99" s="142"/>
      <c r="K99" s="142"/>
      <c r="L99" s="142"/>
      <c r="M99" s="142"/>
      <c r="N99" s="142"/>
      <c r="O99" s="142"/>
      <c r="P99" s="142"/>
      <c r="Q99" s="142"/>
      <c r="R99" s="133"/>
      <c r="S99" s="133"/>
      <c r="T99" s="133"/>
      <c r="U99" s="133"/>
      <c r="V99" s="133"/>
      <c r="W99" s="133"/>
      <c r="X99" s="133"/>
      <c r="Y99" s="133"/>
    </row>
    <row r="100" spans="1:25" ht="15" customHeight="1" x14ac:dyDescent="0.3">
      <c r="A100" s="133"/>
      <c r="B100" s="133"/>
      <c r="C100" s="133"/>
      <c r="D100" s="133"/>
      <c r="E100" s="133"/>
      <c r="F100" s="133"/>
      <c r="G100" s="133"/>
      <c r="H100" s="133"/>
      <c r="I100" s="133"/>
      <c r="J100" s="133"/>
      <c r="K100" s="133"/>
      <c r="L100" s="133"/>
      <c r="M100" s="133"/>
      <c r="N100" s="133"/>
      <c r="O100" s="133"/>
      <c r="P100" s="133"/>
      <c r="Q100" s="133"/>
      <c r="R100" s="133"/>
      <c r="S100" s="133"/>
      <c r="T100" s="133"/>
      <c r="U100" s="133"/>
      <c r="V100" s="133"/>
      <c r="W100" s="133"/>
      <c r="X100" s="133"/>
      <c r="Y100" s="133"/>
    </row>
    <row r="101" spans="1:25" ht="15" customHeight="1" x14ac:dyDescent="0.3">
      <c r="A101" s="133"/>
      <c r="B101" s="133"/>
      <c r="C101" s="133"/>
      <c r="D101" s="133"/>
      <c r="E101" s="133"/>
      <c r="F101" s="133"/>
      <c r="G101" s="133"/>
      <c r="H101" s="133"/>
      <c r="I101" s="133"/>
      <c r="J101" s="133"/>
      <c r="K101" s="133"/>
      <c r="L101" s="133"/>
      <c r="M101" s="133"/>
      <c r="N101" s="133"/>
      <c r="O101" s="133"/>
      <c r="P101" s="133"/>
      <c r="Q101" s="133"/>
      <c r="R101" s="133"/>
      <c r="S101" s="133"/>
      <c r="T101" s="133"/>
      <c r="U101" s="133"/>
      <c r="V101" s="133"/>
      <c r="W101" s="133"/>
      <c r="X101" s="133"/>
      <c r="Y101" s="133"/>
    </row>
    <row r="102" spans="1:25" ht="15" customHeight="1" x14ac:dyDescent="0.3">
      <c r="A102" s="133"/>
      <c r="B102" s="133"/>
      <c r="C102" s="133"/>
      <c r="D102" s="133"/>
      <c r="E102" s="133"/>
      <c r="F102" s="133"/>
      <c r="G102" s="133"/>
      <c r="H102" s="133"/>
      <c r="I102" s="133"/>
      <c r="J102" s="133"/>
      <c r="K102" s="133"/>
      <c r="L102" s="133"/>
      <c r="M102" s="133"/>
      <c r="N102" s="133"/>
      <c r="O102" s="133"/>
      <c r="P102" s="133"/>
      <c r="Q102" s="133"/>
      <c r="R102" s="133"/>
      <c r="S102" s="133"/>
      <c r="T102" s="133"/>
      <c r="U102" s="133"/>
      <c r="V102" s="133"/>
      <c r="W102" s="133"/>
      <c r="X102" s="133"/>
      <c r="Y102" s="133"/>
    </row>
    <row r="103" spans="1:25" ht="15" customHeight="1" x14ac:dyDescent="0.3">
      <c r="A103" s="133"/>
      <c r="B103" s="133"/>
      <c r="C103" s="133"/>
      <c r="D103" s="133"/>
      <c r="E103" s="133"/>
      <c r="F103" s="133"/>
      <c r="G103" s="133"/>
      <c r="H103" s="133"/>
      <c r="I103" s="133"/>
      <c r="J103" s="133"/>
      <c r="K103" s="133"/>
      <c r="L103" s="133"/>
      <c r="M103" s="133"/>
      <c r="N103" s="133"/>
      <c r="O103" s="133"/>
      <c r="P103" s="133"/>
      <c r="Q103" s="133"/>
      <c r="R103" s="133"/>
      <c r="S103" s="133"/>
      <c r="T103" s="133"/>
      <c r="U103" s="133"/>
      <c r="V103" s="133"/>
      <c r="W103" s="133"/>
      <c r="X103" s="133"/>
      <c r="Y103" s="133"/>
    </row>
    <row r="104" spans="1:25" ht="15" customHeight="1" x14ac:dyDescent="0.3">
      <c r="A104" s="133"/>
      <c r="B104" s="133"/>
      <c r="C104" s="133"/>
      <c r="D104" s="133"/>
      <c r="E104" s="133"/>
      <c r="F104" s="133"/>
      <c r="G104" s="133"/>
      <c r="H104" s="133"/>
      <c r="I104" s="133"/>
      <c r="J104" s="133"/>
      <c r="K104" s="133"/>
      <c r="L104" s="133"/>
      <c r="M104" s="133"/>
      <c r="N104" s="133"/>
      <c r="O104" s="133"/>
      <c r="P104" s="133"/>
      <c r="Q104" s="133"/>
      <c r="R104" s="133"/>
      <c r="S104" s="133"/>
      <c r="T104" s="133"/>
      <c r="U104" s="133"/>
      <c r="V104" s="133"/>
      <c r="W104" s="133"/>
      <c r="X104" s="133"/>
      <c r="Y104" s="133"/>
    </row>
    <row r="105" spans="1:25" ht="15" customHeight="1" x14ac:dyDescent="0.3">
      <c r="A105" s="133"/>
      <c r="B105" s="133"/>
      <c r="C105" s="133"/>
      <c r="D105" s="133"/>
      <c r="E105" s="133"/>
      <c r="F105" s="133"/>
      <c r="G105" s="133"/>
      <c r="H105" s="133"/>
      <c r="I105" s="133"/>
      <c r="J105" s="133"/>
      <c r="K105" s="133"/>
      <c r="L105" s="133"/>
      <c r="M105" s="133"/>
      <c r="N105" s="133"/>
      <c r="O105" s="133"/>
      <c r="P105" s="133"/>
      <c r="Q105" s="133"/>
      <c r="R105" s="133"/>
      <c r="S105" s="133"/>
      <c r="T105" s="133"/>
      <c r="U105" s="133"/>
      <c r="V105" s="133"/>
      <c r="W105" s="133"/>
      <c r="X105" s="133"/>
      <c r="Y105" s="133"/>
    </row>
    <row r="106" spans="1:25" ht="15" customHeight="1" x14ac:dyDescent="0.3">
      <c r="A106" s="133"/>
      <c r="B106" s="133"/>
      <c r="C106" s="133"/>
      <c r="D106" s="133"/>
      <c r="E106" s="133"/>
      <c r="F106" s="133"/>
      <c r="G106" s="133"/>
      <c r="H106" s="133"/>
      <c r="I106" s="133"/>
      <c r="J106" s="133"/>
      <c r="K106" s="133"/>
      <c r="L106" s="133"/>
      <c r="M106" s="133"/>
      <c r="N106" s="133"/>
      <c r="O106" s="133"/>
      <c r="P106" s="133"/>
      <c r="Q106" s="133"/>
      <c r="R106" s="133"/>
      <c r="S106" s="133"/>
      <c r="T106" s="133"/>
      <c r="U106" s="133"/>
      <c r="V106" s="133"/>
      <c r="W106" s="133"/>
      <c r="X106" s="133"/>
      <c r="Y106" s="133"/>
    </row>
    <row r="107" spans="1:25" ht="15" customHeight="1" x14ac:dyDescent="0.3">
      <c r="A107" s="133"/>
      <c r="B107" s="133"/>
      <c r="C107" s="133"/>
      <c r="D107" s="133"/>
      <c r="E107" s="133"/>
      <c r="F107" s="133"/>
      <c r="G107" s="133"/>
      <c r="H107" s="133"/>
      <c r="I107" s="133"/>
      <c r="J107" s="133"/>
      <c r="K107" s="133"/>
      <c r="L107" s="133"/>
      <c r="M107" s="133"/>
      <c r="N107" s="133"/>
      <c r="O107" s="133"/>
      <c r="P107" s="133"/>
      <c r="Q107" s="133"/>
      <c r="R107" s="133"/>
      <c r="S107" s="133"/>
      <c r="T107" s="133"/>
      <c r="U107" s="133"/>
      <c r="V107" s="133"/>
      <c r="W107" s="133"/>
      <c r="X107" s="133"/>
      <c r="Y107" s="133"/>
    </row>
    <row r="108" spans="1:25" ht="15" customHeight="1" x14ac:dyDescent="0.3">
      <c r="A108" s="133"/>
      <c r="B108" s="133"/>
      <c r="C108" s="133"/>
      <c r="D108" s="133"/>
      <c r="E108" s="133"/>
      <c r="F108" s="133"/>
      <c r="G108" s="133"/>
      <c r="H108" s="133"/>
      <c r="I108" s="133"/>
      <c r="J108" s="133"/>
      <c r="K108" s="133"/>
      <c r="L108" s="133"/>
      <c r="M108" s="133"/>
      <c r="N108" s="133"/>
      <c r="O108" s="133"/>
      <c r="P108" s="133"/>
      <c r="Q108" s="133"/>
      <c r="R108" s="133"/>
      <c r="S108" s="133"/>
      <c r="T108" s="133"/>
      <c r="U108" s="133"/>
      <c r="V108" s="133"/>
      <c r="W108" s="133"/>
      <c r="X108" s="133"/>
      <c r="Y108" s="133"/>
    </row>
    <row r="109" spans="1:25" ht="15" customHeight="1" x14ac:dyDescent="0.3">
      <c r="A109" s="133"/>
      <c r="B109" s="133"/>
      <c r="C109" s="133"/>
      <c r="D109" s="133"/>
      <c r="E109" s="133"/>
      <c r="F109" s="133"/>
      <c r="G109" s="133"/>
      <c r="H109" s="133"/>
      <c r="I109" s="133"/>
      <c r="J109" s="133"/>
      <c r="K109" s="133"/>
      <c r="L109" s="133"/>
      <c r="M109" s="133"/>
      <c r="N109" s="133"/>
      <c r="O109" s="133"/>
      <c r="P109" s="133"/>
      <c r="Q109" s="133"/>
      <c r="R109" s="133"/>
      <c r="S109" s="133"/>
      <c r="T109" s="133"/>
      <c r="U109" s="133"/>
      <c r="V109" s="133"/>
      <c r="W109" s="133"/>
      <c r="X109" s="133"/>
      <c r="Y109" s="133"/>
    </row>
    <row r="110" spans="1:25" ht="15" customHeight="1" x14ac:dyDescent="0.3">
      <c r="A110" s="133"/>
      <c r="B110" s="133"/>
      <c r="C110" s="133"/>
      <c r="D110" s="133"/>
      <c r="E110" s="133"/>
      <c r="F110" s="133"/>
      <c r="G110" s="133"/>
      <c r="H110" s="133"/>
      <c r="I110" s="133"/>
      <c r="J110" s="133"/>
      <c r="K110" s="133"/>
      <c r="L110" s="133"/>
      <c r="M110" s="133"/>
      <c r="N110" s="133"/>
      <c r="O110" s="133"/>
      <c r="P110" s="133"/>
      <c r="Q110" s="133"/>
      <c r="R110" s="133"/>
      <c r="S110" s="133"/>
      <c r="T110" s="133"/>
      <c r="U110" s="133"/>
      <c r="V110" s="133"/>
      <c r="W110" s="133"/>
      <c r="X110" s="133"/>
      <c r="Y110" s="133"/>
    </row>
    <row r="111" spans="1:25" ht="15" customHeight="1" x14ac:dyDescent="0.3">
      <c r="A111" s="133"/>
      <c r="B111" s="133"/>
      <c r="C111" s="133"/>
      <c r="D111" s="133"/>
      <c r="E111" s="133"/>
      <c r="F111" s="133"/>
      <c r="G111" s="133"/>
      <c r="H111" s="133"/>
      <c r="I111" s="133"/>
      <c r="J111" s="133"/>
      <c r="K111" s="133"/>
      <c r="L111" s="133"/>
      <c r="M111" s="133"/>
      <c r="N111" s="133"/>
      <c r="O111" s="133"/>
      <c r="P111" s="133"/>
      <c r="Q111" s="133"/>
      <c r="R111" s="133"/>
      <c r="S111" s="133"/>
      <c r="T111" s="133"/>
      <c r="U111" s="133"/>
      <c r="V111" s="133"/>
      <c r="W111" s="133"/>
      <c r="X111" s="133"/>
      <c r="Y111" s="133"/>
    </row>
    <row r="112" spans="1:25" ht="15" customHeight="1" x14ac:dyDescent="0.3">
      <c r="A112" s="133"/>
      <c r="B112" s="133"/>
      <c r="C112" s="133"/>
      <c r="D112" s="133"/>
      <c r="E112" s="133"/>
      <c r="F112" s="133"/>
      <c r="G112" s="133"/>
      <c r="H112" s="133"/>
      <c r="I112" s="133"/>
      <c r="J112" s="133"/>
      <c r="K112" s="133"/>
      <c r="L112" s="133"/>
      <c r="M112" s="133"/>
      <c r="N112" s="133"/>
      <c r="O112" s="133"/>
      <c r="P112" s="133"/>
      <c r="Q112" s="133"/>
      <c r="R112" s="133"/>
      <c r="S112" s="133"/>
      <c r="T112" s="133"/>
      <c r="U112" s="133"/>
      <c r="V112" s="133"/>
      <c r="W112" s="133"/>
      <c r="X112" s="133"/>
      <c r="Y112" s="133"/>
    </row>
    <row r="113" spans="1:25" ht="15" customHeight="1" x14ac:dyDescent="0.3">
      <c r="A113" s="133"/>
      <c r="B113" s="133"/>
      <c r="C113" s="133"/>
      <c r="D113" s="133"/>
      <c r="E113" s="133"/>
      <c r="F113" s="133"/>
      <c r="G113" s="133"/>
      <c r="H113" s="133"/>
      <c r="I113" s="133"/>
      <c r="J113" s="133"/>
      <c r="K113" s="133"/>
      <c r="L113" s="133"/>
      <c r="M113" s="133"/>
      <c r="N113" s="133"/>
      <c r="O113" s="133"/>
      <c r="P113" s="133"/>
      <c r="Q113" s="133"/>
      <c r="R113" s="133"/>
      <c r="S113" s="133"/>
      <c r="T113" s="133"/>
      <c r="U113" s="133"/>
      <c r="V113" s="133"/>
      <c r="W113" s="133"/>
      <c r="X113" s="133"/>
      <c r="Y113" s="133"/>
    </row>
    <row r="114" spans="1:25" ht="15" customHeight="1" x14ac:dyDescent="0.3">
      <c r="A114" s="133"/>
      <c r="B114" s="133"/>
      <c r="C114" s="133"/>
      <c r="D114" s="133"/>
      <c r="E114" s="133"/>
      <c r="F114" s="133"/>
      <c r="G114" s="133"/>
      <c r="H114" s="133"/>
      <c r="I114" s="133"/>
      <c r="J114" s="133"/>
      <c r="K114" s="133"/>
      <c r="L114" s="133"/>
      <c r="M114" s="133"/>
      <c r="N114" s="133"/>
      <c r="O114" s="133"/>
      <c r="P114" s="133"/>
      <c r="Q114" s="133"/>
      <c r="R114" s="133"/>
      <c r="S114" s="133"/>
      <c r="T114" s="133"/>
      <c r="U114" s="133"/>
      <c r="V114" s="133"/>
      <c r="W114" s="133"/>
      <c r="X114" s="133"/>
      <c r="Y114" s="133"/>
    </row>
    <row r="115" spans="1:25" ht="15" customHeight="1" x14ac:dyDescent="0.3">
      <c r="A115" s="133"/>
      <c r="B115" s="133"/>
      <c r="C115" s="133"/>
      <c r="D115" s="133"/>
      <c r="E115" s="133"/>
      <c r="F115" s="133"/>
      <c r="G115" s="133"/>
      <c r="H115" s="133"/>
      <c r="I115" s="133"/>
      <c r="J115" s="133"/>
      <c r="K115" s="133"/>
      <c r="L115" s="133"/>
      <c r="M115" s="133"/>
      <c r="N115" s="133"/>
      <c r="O115" s="133"/>
      <c r="P115" s="133"/>
      <c r="Q115" s="133"/>
      <c r="R115" s="133"/>
      <c r="S115" s="133"/>
      <c r="T115" s="133"/>
      <c r="U115" s="133"/>
      <c r="V115" s="133"/>
      <c r="W115" s="133"/>
      <c r="X115" s="133"/>
      <c r="Y115" s="133"/>
    </row>
    <row r="116" spans="1:25" ht="15" customHeight="1" x14ac:dyDescent="0.3">
      <c r="A116" s="133"/>
      <c r="B116" s="133"/>
      <c r="C116" s="133"/>
      <c r="D116" s="133"/>
      <c r="E116" s="133"/>
      <c r="F116" s="133"/>
      <c r="G116" s="133"/>
      <c r="H116" s="133"/>
      <c r="I116" s="133"/>
      <c r="J116" s="133"/>
      <c r="K116" s="133"/>
      <c r="L116" s="133"/>
      <c r="M116" s="133"/>
      <c r="N116" s="133"/>
      <c r="O116" s="133"/>
      <c r="P116" s="133"/>
      <c r="Q116" s="133"/>
      <c r="R116" s="133"/>
      <c r="S116" s="133"/>
      <c r="T116" s="133"/>
      <c r="U116" s="133"/>
      <c r="V116" s="133"/>
      <c r="W116" s="133"/>
      <c r="X116" s="133"/>
      <c r="Y116" s="133"/>
    </row>
    <row r="117" spans="1:25" ht="15" customHeight="1" x14ac:dyDescent="0.3">
      <c r="A117" s="133"/>
      <c r="B117" s="133"/>
      <c r="C117" s="133"/>
      <c r="D117" s="133"/>
      <c r="E117" s="133"/>
      <c r="F117" s="133"/>
      <c r="G117" s="133"/>
      <c r="H117" s="133"/>
      <c r="I117" s="133"/>
      <c r="J117" s="133"/>
      <c r="K117" s="133"/>
      <c r="L117" s="133"/>
      <c r="M117" s="133"/>
      <c r="N117" s="133"/>
      <c r="O117" s="133"/>
      <c r="P117" s="133"/>
      <c r="Q117" s="133"/>
      <c r="R117" s="133"/>
      <c r="S117" s="133"/>
      <c r="T117" s="133"/>
      <c r="U117" s="133"/>
      <c r="V117" s="133"/>
      <c r="W117" s="133"/>
      <c r="X117" s="133"/>
      <c r="Y117" s="133"/>
    </row>
    <row r="118" spans="1:25" ht="15" customHeight="1" x14ac:dyDescent="0.3">
      <c r="A118" s="133"/>
      <c r="B118" s="133"/>
      <c r="C118" s="133"/>
      <c r="D118" s="133"/>
      <c r="E118" s="133"/>
      <c r="F118" s="133"/>
      <c r="G118" s="133"/>
      <c r="H118" s="133"/>
      <c r="I118" s="133"/>
      <c r="J118" s="133"/>
      <c r="K118" s="133"/>
      <c r="L118" s="133"/>
      <c r="M118" s="133"/>
      <c r="N118" s="133"/>
      <c r="O118" s="133"/>
      <c r="P118" s="133"/>
      <c r="Q118" s="133"/>
      <c r="R118" s="133"/>
      <c r="S118" s="133"/>
      <c r="T118" s="133"/>
      <c r="U118" s="133"/>
      <c r="V118" s="133"/>
      <c r="W118" s="133"/>
      <c r="X118" s="133"/>
      <c r="Y118" s="133"/>
    </row>
    <row r="119" spans="1:25" ht="15" customHeight="1" x14ac:dyDescent="0.3">
      <c r="A119" s="133"/>
      <c r="B119" s="133"/>
      <c r="C119" s="133"/>
      <c r="D119" s="133"/>
      <c r="E119" s="133"/>
      <c r="F119" s="133"/>
      <c r="G119" s="133"/>
      <c r="H119" s="133"/>
      <c r="I119" s="133"/>
      <c r="J119" s="133"/>
      <c r="K119" s="133"/>
      <c r="L119" s="133"/>
      <c r="M119" s="133"/>
      <c r="N119" s="133"/>
      <c r="O119" s="133"/>
      <c r="P119" s="133"/>
      <c r="Q119" s="133"/>
      <c r="R119" s="133"/>
      <c r="S119" s="133"/>
      <c r="T119" s="133"/>
      <c r="U119" s="133"/>
      <c r="V119" s="133"/>
      <c r="W119" s="133"/>
      <c r="X119" s="133"/>
      <c r="Y119" s="133"/>
    </row>
    <row r="120" spans="1:25" ht="15" customHeight="1" x14ac:dyDescent="0.3">
      <c r="A120" s="133"/>
      <c r="B120" s="133"/>
      <c r="C120" s="133"/>
      <c r="D120" s="133"/>
      <c r="E120" s="133"/>
      <c r="F120" s="133"/>
      <c r="G120" s="133"/>
      <c r="H120" s="133"/>
      <c r="I120" s="133"/>
      <c r="J120" s="133"/>
      <c r="K120" s="133"/>
      <c r="L120" s="133"/>
      <c r="M120" s="133"/>
      <c r="N120" s="133"/>
      <c r="O120" s="133"/>
      <c r="P120" s="133"/>
      <c r="Q120" s="133"/>
      <c r="R120" s="133"/>
      <c r="S120" s="133"/>
      <c r="T120" s="133"/>
      <c r="U120" s="133"/>
      <c r="V120" s="133"/>
      <c r="W120" s="133"/>
      <c r="X120" s="133"/>
      <c r="Y120" s="133"/>
    </row>
    <row r="121" spans="1:25" ht="15" customHeight="1" x14ac:dyDescent="0.3">
      <c r="A121" s="133"/>
      <c r="B121" s="133"/>
      <c r="C121" s="133"/>
      <c r="D121" s="133"/>
      <c r="E121" s="133"/>
      <c r="F121" s="133"/>
      <c r="G121" s="133"/>
      <c r="H121" s="133"/>
      <c r="I121" s="133"/>
      <c r="J121" s="133"/>
      <c r="K121" s="133"/>
      <c r="L121" s="133"/>
      <c r="M121" s="133"/>
      <c r="N121" s="133"/>
      <c r="O121" s="133"/>
      <c r="P121" s="133"/>
      <c r="Q121" s="133"/>
      <c r="R121" s="133"/>
      <c r="S121" s="133"/>
      <c r="T121" s="133"/>
      <c r="U121" s="133"/>
      <c r="V121" s="133"/>
      <c r="W121" s="133"/>
      <c r="X121" s="133"/>
      <c r="Y121" s="133"/>
    </row>
    <row r="122" spans="1:25" ht="15" customHeight="1" x14ac:dyDescent="0.3">
      <c r="A122" s="133"/>
      <c r="B122" s="133"/>
      <c r="C122" s="133"/>
      <c r="D122" s="133"/>
      <c r="E122" s="133"/>
      <c r="F122" s="133"/>
      <c r="G122" s="133"/>
      <c r="H122" s="133"/>
      <c r="I122" s="133"/>
      <c r="J122" s="133"/>
      <c r="K122" s="133"/>
      <c r="L122" s="133"/>
      <c r="M122" s="133"/>
      <c r="N122" s="133"/>
      <c r="O122" s="133"/>
      <c r="P122" s="133"/>
      <c r="Q122" s="133"/>
      <c r="R122" s="133"/>
      <c r="S122" s="133"/>
      <c r="T122" s="133"/>
      <c r="U122" s="133"/>
      <c r="V122" s="133"/>
      <c r="W122" s="133"/>
      <c r="X122" s="133"/>
      <c r="Y122" s="133"/>
    </row>
    <row r="123" spans="1:25" ht="15" customHeight="1" x14ac:dyDescent="0.3">
      <c r="A123" s="133"/>
      <c r="B123" s="133"/>
      <c r="C123" s="133"/>
      <c r="D123" s="133"/>
      <c r="E123" s="133"/>
      <c r="F123" s="133"/>
      <c r="G123" s="133"/>
      <c r="H123" s="133"/>
      <c r="I123" s="133"/>
      <c r="J123" s="133"/>
      <c r="K123" s="133"/>
      <c r="L123" s="133"/>
      <c r="M123" s="133"/>
      <c r="N123" s="133"/>
      <c r="O123" s="133"/>
      <c r="P123" s="133"/>
      <c r="Q123" s="133"/>
      <c r="R123" s="133"/>
      <c r="S123" s="133"/>
      <c r="T123" s="133"/>
      <c r="U123" s="133"/>
      <c r="V123" s="133"/>
      <c r="W123" s="133"/>
      <c r="X123" s="133"/>
      <c r="Y123" s="133"/>
    </row>
    <row r="124" spans="1:25" ht="15" customHeight="1" x14ac:dyDescent="0.3">
      <c r="A124" s="133"/>
      <c r="B124" s="133"/>
      <c r="C124" s="133"/>
      <c r="D124" s="133"/>
      <c r="E124" s="133"/>
      <c r="F124" s="133"/>
      <c r="G124" s="133"/>
      <c r="H124" s="133"/>
      <c r="I124" s="133"/>
      <c r="J124" s="133"/>
      <c r="K124" s="133"/>
      <c r="L124" s="133"/>
      <c r="M124" s="133"/>
      <c r="N124" s="133"/>
      <c r="O124" s="133"/>
      <c r="P124" s="133"/>
      <c r="Q124" s="133"/>
      <c r="R124" s="133"/>
      <c r="S124" s="133"/>
      <c r="T124" s="133"/>
      <c r="U124" s="133"/>
      <c r="V124" s="133"/>
      <c r="W124" s="133"/>
      <c r="X124" s="133"/>
      <c r="Y124" s="133"/>
    </row>
    <row r="125" spans="1:25" ht="15" customHeight="1" x14ac:dyDescent="0.3">
      <c r="A125" s="133"/>
      <c r="B125" s="133"/>
      <c r="C125" s="133"/>
      <c r="D125" s="133"/>
      <c r="E125" s="133"/>
      <c r="F125" s="133"/>
      <c r="G125" s="133"/>
      <c r="H125" s="133"/>
      <c r="I125" s="133"/>
      <c r="J125" s="133"/>
      <c r="K125" s="133"/>
      <c r="L125" s="133"/>
      <c r="M125" s="133"/>
      <c r="N125" s="133"/>
      <c r="O125" s="133"/>
      <c r="P125" s="133"/>
      <c r="Q125" s="133"/>
      <c r="R125" s="133"/>
      <c r="S125" s="133"/>
      <c r="T125" s="133"/>
      <c r="U125" s="133"/>
      <c r="V125" s="133"/>
      <c r="W125" s="133"/>
      <c r="X125" s="133"/>
      <c r="Y125" s="133"/>
    </row>
    <row r="126" spans="1:25" ht="15" customHeight="1" x14ac:dyDescent="0.3">
      <c r="A126" s="133"/>
      <c r="B126" s="133"/>
      <c r="C126" s="133"/>
      <c r="D126" s="133"/>
      <c r="E126" s="133"/>
      <c r="F126" s="133"/>
      <c r="G126" s="133"/>
      <c r="H126" s="133"/>
      <c r="I126" s="133"/>
      <c r="J126" s="133"/>
      <c r="K126" s="133"/>
      <c r="L126" s="133"/>
      <c r="M126" s="133"/>
      <c r="N126" s="133"/>
      <c r="O126" s="133"/>
      <c r="P126" s="133"/>
      <c r="Q126" s="133"/>
      <c r="R126" s="133"/>
      <c r="S126" s="133"/>
      <c r="T126" s="133"/>
      <c r="U126" s="133"/>
      <c r="V126" s="133"/>
      <c r="W126" s="133"/>
      <c r="X126" s="133"/>
      <c r="Y126" s="133"/>
    </row>
    <row r="127" spans="1:25" ht="15" customHeight="1" x14ac:dyDescent="0.3">
      <c r="A127" s="133"/>
      <c r="B127" s="133"/>
      <c r="C127" s="133"/>
      <c r="D127" s="133"/>
      <c r="E127" s="133"/>
      <c r="F127" s="133"/>
      <c r="G127" s="133"/>
      <c r="H127" s="133"/>
      <c r="I127" s="133"/>
      <c r="J127" s="133"/>
      <c r="K127" s="133"/>
      <c r="L127" s="133"/>
      <c r="M127" s="133"/>
      <c r="N127" s="133"/>
      <c r="O127" s="133"/>
      <c r="P127" s="133"/>
      <c r="Q127" s="133"/>
      <c r="R127" s="133"/>
      <c r="S127" s="133"/>
      <c r="T127" s="133"/>
      <c r="U127" s="133"/>
      <c r="V127" s="133"/>
      <c r="W127" s="133"/>
      <c r="X127" s="133"/>
      <c r="Y127" s="133"/>
    </row>
    <row r="128" spans="1:25" ht="15" customHeight="1" x14ac:dyDescent="0.3">
      <c r="A128" s="133"/>
      <c r="B128" s="144" t="s">
        <v>112</v>
      </c>
      <c r="C128" s="144"/>
      <c r="D128" s="144"/>
      <c r="E128" s="144"/>
      <c r="F128" s="144"/>
      <c r="G128" s="144"/>
      <c r="H128" s="144"/>
      <c r="I128" s="144"/>
      <c r="J128" s="144"/>
      <c r="K128" s="144"/>
      <c r="L128" s="144"/>
      <c r="M128" s="144"/>
      <c r="N128" s="144"/>
      <c r="O128" s="144"/>
      <c r="P128" s="144"/>
      <c r="Q128" s="144"/>
      <c r="R128" s="144"/>
      <c r="S128" s="144"/>
      <c r="T128" s="144"/>
      <c r="U128" s="144"/>
      <c r="V128" s="144"/>
      <c r="W128" s="144"/>
      <c r="X128" s="144"/>
      <c r="Y128" s="133"/>
    </row>
    <row r="129" spans="1:25" ht="15" customHeight="1" x14ac:dyDescent="0.3">
      <c r="A129" s="133"/>
      <c r="B129" s="144"/>
      <c r="C129" s="144"/>
      <c r="D129" s="144"/>
      <c r="E129" s="144"/>
      <c r="F129" s="144"/>
      <c r="G129" s="144"/>
      <c r="H129" s="144"/>
      <c r="I129" s="144"/>
      <c r="J129" s="144"/>
      <c r="K129" s="144"/>
      <c r="L129" s="144"/>
      <c r="M129" s="144"/>
      <c r="N129" s="144"/>
      <c r="O129" s="144"/>
      <c r="P129" s="144"/>
      <c r="Q129" s="144"/>
      <c r="R129" s="144"/>
      <c r="S129" s="144"/>
      <c r="T129" s="144"/>
      <c r="U129" s="144"/>
      <c r="V129" s="144"/>
      <c r="W129" s="144"/>
      <c r="X129" s="144"/>
      <c r="Y129" s="133"/>
    </row>
    <row r="130" spans="1:25" ht="15" customHeight="1" x14ac:dyDescent="0.3">
      <c r="A130" s="133"/>
      <c r="B130" s="159"/>
      <c r="C130" s="159"/>
      <c r="D130" s="159"/>
      <c r="E130" s="159"/>
      <c r="F130" s="159"/>
      <c r="G130" s="159"/>
      <c r="H130" s="159"/>
      <c r="I130" s="159"/>
      <c r="J130" s="159"/>
      <c r="K130" s="159"/>
      <c r="L130" s="159"/>
      <c r="M130" s="159"/>
      <c r="N130" s="159"/>
      <c r="O130" s="159"/>
      <c r="P130" s="159"/>
      <c r="Q130" s="159"/>
      <c r="R130" s="159"/>
      <c r="S130" s="159"/>
      <c r="T130" s="159"/>
      <c r="U130" s="159"/>
      <c r="V130" s="159"/>
      <c r="W130" s="159"/>
      <c r="X130" s="159"/>
      <c r="Y130" s="133"/>
    </row>
    <row r="131" spans="1:25" ht="15" customHeight="1" x14ac:dyDescent="0.3">
      <c r="A131" s="133"/>
      <c r="B131" s="133"/>
      <c r="C131" s="133"/>
      <c r="D131" s="133"/>
      <c r="E131" s="133"/>
      <c r="F131" s="133"/>
      <c r="G131" s="133"/>
      <c r="H131" s="133"/>
      <c r="I131" s="133"/>
      <c r="J131" s="133"/>
      <c r="K131" s="133"/>
      <c r="L131" s="133"/>
      <c r="M131" s="133"/>
      <c r="N131" s="133"/>
      <c r="O131" s="133"/>
      <c r="P131" s="133"/>
      <c r="Q131" s="133"/>
      <c r="R131" s="133"/>
      <c r="S131" s="133"/>
      <c r="T131" s="133"/>
      <c r="U131" s="133"/>
      <c r="V131" s="133"/>
      <c r="W131" s="133"/>
      <c r="X131" s="133"/>
      <c r="Y131" s="133"/>
    </row>
    <row r="132" spans="1:25" ht="15" customHeight="1" x14ac:dyDescent="0.3">
      <c r="A132" s="133"/>
      <c r="B132" s="133"/>
      <c r="C132" s="133"/>
      <c r="D132" s="133"/>
      <c r="E132" s="133"/>
      <c r="F132" s="133"/>
      <c r="G132" s="133"/>
      <c r="H132" s="133"/>
      <c r="I132" s="133"/>
      <c r="J132" s="133"/>
      <c r="K132" s="133"/>
      <c r="L132" s="133"/>
      <c r="M132" s="133"/>
      <c r="N132" s="133"/>
      <c r="O132" s="133"/>
      <c r="P132" s="133"/>
      <c r="Q132" s="133"/>
      <c r="R132" s="133"/>
      <c r="S132" s="133"/>
      <c r="T132" s="133"/>
      <c r="U132" s="133"/>
      <c r="V132" s="133"/>
      <c r="W132" s="133"/>
      <c r="X132" s="133"/>
      <c r="Y132" s="133"/>
    </row>
    <row r="133" spans="1:25" ht="15" customHeight="1" x14ac:dyDescent="0.3">
      <c r="A133" s="133"/>
      <c r="B133" s="133"/>
      <c r="C133" s="133"/>
      <c r="D133" s="133"/>
      <c r="E133" s="133"/>
      <c r="F133" s="133"/>
      <c r="G133" s="133"/>
      <c r="H133" s="133"/>
      <c r="I133" s="133"/>
      <c r="J133" s="133"/>
      <c r="K133" s="133"/>
      <c r="L133" s="133"/>
      <c r="M133" s="133"/>
      <c r="N133" s="133"/>
      <c r="O133" s="133"/>
      <c r="P133" s="133"/>
      <c r="Q133" s="133"/>
      <c r="R133" s="133"/>
      <c r="S133" s="133"/>
      <c r="T133" s="133"/>
      <c r="U133" s="133"/>
      <c r="V133" s="133"/>
      <c r="W133" s="133"/>
      <c r="X133" s="133"/>
      <c r="Y133" s="133"/>
    </row>
    <row r="134" spans="1:25" ht="15" customHeight="1" x14ac:dyDescent="0.3">
      <c r="A134" s="133"/>
      <c r="B134" s="133"/>
      <c r="C134" s="133"/>
      <c r="D134" s="133"/>
      <c r="E134" s="133"/>
      <c r="F134" s="133"/>
      <c r="G134" s="133"/>
      <c r="H134" s="133"/>
      <c r="I134" s="133"/>
      <c r="J134" s="133"/>
      <c r="K134" s="133"/>
      <c r="L134" s="133"/>
      <c r="M134" s="133"/>
      <c r="N134" s="133"/>
      <c r="O134" s="133"/>
      <c r="P134" s="133"/>
      <c r="Q134" s="133"/>
      <c r="R134" s="133"/>
      <c r="S134" s="133"/>
      <c r="T134" s="133"/>
      <c r="U134" s="133"/>
      <c r="V134" s="133"/>
      <c r="W134" s="133"/>
      <c r="X134" s="133"/>
      <c r="Y134" s="133"/>
    </row>
    <row r="135" spans="1:25" ht="15" customHeight="1" x14ac:dyDescent="0.3">
      <c r="A135" s="133"/>
      <c r="B135" s="133"/>
      <c r="C135" s="133"/>
      <c r="D135" s="133"/>
      <c r="E135" s="133"/>
      <c r="F135" s="133"/>
      <c r="G135" s="133"/>
      <c r="H135" s="133"/>
      <c r="I135" s="133"/>
      <c r="J135" s="133"/>
      <c r="K135" s="133"/>
      <c r="L135" s="133"/>
      <c r="M135" s="133"/>
      <c r="N135" s="133"/>
      <c r="O135" s="133"/>
      <c r="P135" s="133"/>
      <c r="Q135" s="133"/>
      <c r="R135" s="133"/>
      <c r="S135" s="133"/>
      <c r="T135" s="133"/>
      <c r="U135" s="133"/>
      <c r="V135" s="133"/>
      <c r="W135" s="133"/>
      <c r="X135" s="133"/>
      <c r="Y135" s="133"/>
    </row>
    <row r="136" spans="1:25" ht="15" customHeight="1" x14ac:dyDescent="0.3">
      <c r="A136" s="133"/>
      <c r="B136" s="133"/>
      <c r="C136" s="133"/>
      <c r="D136" s="133"/>
      <c r="E136" s="133"/>
      <c r="F136" s="133"/>
      <c r="G136" s="133"/>
      <c r="H136" s="133"/>
      <c r="I136" s="133"/>
      <c r="J136" s="133"/>
      <c r="K136" s="133"/>
      <c r="L136" s="133"/>
      <c r="M136" s="133"/>
      <c r="N136" s="133"/>
      <c r="O136" s="133"/>
      <c r="P136" s="133"/>
      <c r="Q136" s="133"/>
      <c r="R136" s="133"/>
      <c r="S136" s="133"/>
      <c r="T136" s="133"/>
      <c r="U136" s="133"/>
      <c r="V136" s="133"/>
      <c r="W136" s="133"/>
      <c r="X136" s="133"/>
      <c r="Y136" s="133"/>
    </row>
    <row r="137" spans="1:25" ht="15" customHeight="1" x14ac:dyDescent="0.3">
      <c r="A137" s="133"/>
      <c r="B137" s="133"/>
      <c r="C137" s="133"/>
      <c r="D137" s="133"/>
      <c r="E137" s="133"/>
      <c r="F137" s="133"/>
      <c r="G137" s="133"/>
      <c r="H137" s="133"/>
      <c r="I137" s="133"/>
      <c r="J137" s="133"/>
      <c r="K137" s="133"/>
      <c r="L137" s="133"/>
      <c r="M137" s="133"/>
      <c r="N137" s="133"/>
      <c r="O137" s="133"/>
      <c r="P137" s="133"/>
      <c r="Q137" s="133"/>
      <c r="R137" s="133"/>
      <c r="S137" s="133"/>
      <c r="T137" s="133"/>
      <c r="U137" s="133"/>
      <c r="V137" s="133"/>
      <c r="W137" s="133"/>
      <c r="X137" s="133"/>
      <c r="Y137" s="133"/>
    </row>
    <row r="138" spans="1:25" ht="15" customHeight="1" x14ac:dyDescent="0.3">
      <c r="A138" s="133"/>
      <c r="B138" s="133"/>
      <c r="C138" s="133"/>
      <c r="D138" s="133"/>
      <c r="E138" s="133"/>
      <c r="F138" s="133"/>
      <c r="G138" s="133"/>
      <c r="H138" s="133"/>
      <c r="I138" s="133"/>
      <c r="J138" s="133"/>
      <c r="K138" s="133"/>
      <c r="L138" s="133"/>
      <c r="M138" s="133"/>
      <c r="N138" s="133"/>
      <c r="O138" s="133"/>
      <c r="P138" s="133"/>
      <c r="Q138" s="133"/>
      <c r="R138" s="133"/>
      <c r="S138" s="133"/>
      <c r="T138" s="133"/>
      <c r="U138" s="133"/>
      <c r="V138" s="133"/>
      <c r="W138" s="133"/>
      <c r="X138" s="133"/>
      <c r="Y138" s="133"/>
    </row>
    <row r="139" spans="1:25" ht="15" customHeight="1" x14ac:dyDescent="0.3">
      <c r="A139" s="133"/>
      <c r="B139" s="133"/>
      <c r="C139" s="133"/>
      <c r="D139" s="133"/>
      <c r="E139" s="133"/>
      <c r="F139" s="133"/>
      <c r="G139" s="133"/>
      <c r="H139" s="133"/>
      <c r="I139" s="133"/>
      <c r="J139" s="133"/>
      <c r="K139" s="133"/>
      <c r="L139" s="133"/>
      <c r="M139" s="133"/>
      <c r="N139" s="133"/>
      <c r="O139" s="133"/>
      <c r="P139" s="133"/>
      <c r="Q139" s="133"/>
      <c r="R139" s="133"/>
      <c r="S139" s="133"/>
      <c r="T139" s="133"/>
      <c r="U139" s="133"/>
      <c r="V139" s="133"/>
      <c r="W139" s="133"/>
      <c r="X139" s="133"/>
      <c r="Y139" s="133"/>
    </row>
    <row r="140" spans="1:25" ht="15" customHeight="1" x14ac:dyDescent="0.3">
      <c r="A140" s="133"/>
      <c r="B140" s="133"/>
      <c r="C140" s="133"/>
      <c r="D140" s="133"/>
      <c r="E140" s="133"/>
      <c r="F140" s="133"/>
      <c r="G140" s="133"/>
      <c r="H140" s="133"/>
      <c r="I140" s="133"/>
      <c r="J140" s="133"/>
      <c r="K140" s="133"/>
      <c r="L140" s="133"/>
      <c r="M140" s="133"/>
      <c r="N140" s="133"/>
      <c r="O140" s="133"/>
      <c r="P140" s="133"/>
      <c r="Q140" s="133"/>
      <c r="R140" s="133"/>
      <c r="S140" s="133"/>
      <c r="T140" s="133"/>
      <c r="U140" s="133"/>
      <c r="V140" s="133"/>
      <c r="W140" s="133"/>
      <c r="X140" s="133"/>
      <c r="Y140" s="133"/>
    </row>
    <row r="141" spans="1:25" ht="15" customHeight="1" x14ac:dyDescent="0.3">
      <c r="A141" s="133"/>
      <c r="B141" s="133"/>
      <c r="C141" s="133"/>
      <c r="D141" s="133"/>
      <c r="E141" s="133"/>
      <c r="F141" s="133"/>
      <c r="G141" s="133"/>
      <c r="H141" s="133"/>
      <c r="I141" s="133"/>
      <c r="J141" s="133"/>
      <c r="K141" s="133"/>
      <c r="L141" s="133"/>
      <c r="M141" s="133"/>
      <c r="N141" s="133"/>
      <c r="O141" s="133"/>
      <c r="P141" s="133"/>
      <c r="Q141" s="133"/>
      <c r="R141" s="133"/>
      <c r="S141" s="133"/>
      <c r="T141" s="133"/>
      <c r="U141" s="133"/>
      <c r="V141" s="133"/>
      <c r="W141" s="133"/>
      <c r="X141" s="133"/>
      <c r="Y141" s="133"/>
    </row>
    <row r="142" spans="1:25" ht="15" customHeight="1" x14ac:dyDescent="0.3">
      <c r="A142" s="133"/>
      <c r="B142" s="133"/>
      <c r="C142" s="133"/>
      <c r="D142" s="133"/>
      <c r="E142" s="133"/>
      <c r="F142" s="133"/>
      <c r="G142" s="133"/>
      <c r="H142" s="133"/>
      <c r="I142" s="133"/>
      <c r="J142" s="133"/>
      <c r="K142" s="133"/>
      <c r="L142" s="133"/>
      <c r="M142" s="133"/>
      <c r="N142" s="133"/>
      <c r="O142" s="133"/>
      <c r="P142" s="133"/>
      <c r="Q142" s="133"/>
      <c r="R142" s="133"/>
      <c r="S142" s="133"/>
      <c r="T142" s="133"/>
      <c r="U142" s="133"/>
      <c r="V142" s="133"/>
      <c r="W142" s="133"/>
      <c r="X142" s="133"/>
      <c r="Y142" s="133"/>
    </row>
    <row r="143" spans="1:25" ht="15" customHeight="1" x14ac:dyDescent="0.3">
      <c r="A143" s="133"/>
      <c r="B143" s="133"/>
      <c r="C143" s="133"/>
      <c r="D143" s="133"/>
      <c r="E143" s="133"/>
      <c r="F143" s="133"/>
      <c r="G143" s="133"/>
      <c r="H143" s="133"/>
      <c r="I143" s="133"/>
      <c r="J143" s="133"/>
      <c r="K143" s="133"/>
      <c r="L143" s="133"/>
      <c r="M143" s="133"/>
      <c r="N143" s="133"/>
      <c r="O143" s="133"/>
      <c r="P143" s="133"/>
      <c r="Q143" s="133"/>
      <c r="R143" s="133"/>
      <c r="S143" s="133"/>
      <c r="T143" s="133"/>
      <c r="U143" s="133"/>
      <c r="V143" s="133"/>
      <c r="W143" s="133"/>
      <c r="X143" s="133"/>
      <c r="Y143" s="133"/>
    </row>
    <row r="144" spans="1:25" ht="15" customHeight="1" x14ac:dyDescent="0.3">
      <c r="A144" s="133"/>
      <c r="B144" s="133"/>
      <c r="C144" s="133"/>
      <c r="D144" s="133"/>
      <c r="E144" s="133"/>
      <c r="F144" s="133"/>
      <c r="G144" s="133"/>
      <c r="H144" s="133"/>
      <c r="I144" s="133"/>
      <c r="J144" s="133"/>
      <c r="K144" s="133"/>
      <c r="L144" s="133"/>
      <c r="M144" s="133"/>
      <c r="N144" s="133"/>
      <c r="O144" s="133"/>
      <c r="P144" s="133"/>
      <c r="Q144" s="133"/>
      <c r="R144" s="133"/>
      <c r="S144" s="133"/>
      <c r="T144" s="133"/>
      <c r="U144" s="133"/>
      <c r="V144" s="133"/>
      <c r="W144" s="133"/>
      <c r="X144" s="133"/>
      <c r="Y144" s="133"/>
    </row>
    <row r="145" spans="1:25" ht="15" customHeight="1" x14ac:dyDescent="0.3">
      <c r="A145" s="133"/>
      <c r="B145" s="133"/>
      <c r="C145" s="133"/>
      <c r="D145" s="133"/>
      <c r="E145" s="133"/>
      <c r="F145" s="133"/>
      <c r="G145" s="133"/>
      <c r="H145" s="133"/>
      <c r="I145" s="133"/>
      <c r="J145" s="133"/>
      <c r="K145" s="133"/>
      <c r="L145" s="133"/>
      <c r="M145" s="133"/>
      <c r="N145" s="133"/>
      <c r="O145" s="133"/>
      <c r="P145" s="133"/>
      <c r="Q145" s="133"/>
      <c r="R145" s="133"/>
      <c r="S145" s="133"/>
      <c r="T145" s="133"/>
      <c r="U145" s="133"/>
      <c r="V145" s="133"/>
      <c r="W145" s="133"/>
      <c r="X145" s="133"/>
      <c r="Y145" s="133"/>
    </row>
    <row r="146" spans="1:25" ht="15" customHeight="1" x14ac:dyDescent="0.3">
      <c r="A146" s="133"/>
      <c r="B146" s="133"/>
      <c r="C146" s="133"/>
      <c r="D146" s="133"/>
      <c r="E146" s="133"/>
      <c r="F146" s="133"/>
      <c r="G146" s="133"/>
      <c r="H146" s="133"/>
      <c r="I146" s="133"/>
      <c r="J146" s="133"/>
      <c r="K146" s="133"/>
      <c r="L146" s="133"/>
      <c r="M146" s="133"/>
      <c r="N146" s="133"/>
      <c r="O146" s="133"/>
      <c r="P146" s="133"/>
      <c r="Q146" s="133"/>
      <c r="R146" s="133"/>
      <c r="S146" s="133"/>
      <c r="T146" s="133"/>
      <c r="U146" s="133"/>
      <c r="V146" s="133"/>
      <c r="W146" s="133"/>
      <c r="X146" s="133"/>
      <c r="Y146" s="133"/>
    </row>
    <row r="147" spans="1:25" ht="15" customHeight="1" x14ac:dyDescent="0.3">
      <c r="A147" s="133"/>
      <c r="B147" s="133"/>
      <c r="C147" s="133"/>
      <c r="D147" s="133"/>
      <c r="E147" s="133"/>
      <c r="F147" s="133"/>
      <c r="G147" s="133"/>
      <c r="H147" s="133"/>
      <c r="I147" s="133"/>
      <c r="J147" s="133"/>
      <c r="K147" s="133"/>
      <c r="L147" s="133"/>
      <c r="M147" s="133"/>
      <c r="N147" s="133"/>
      <c r="O147" s="133"/>
      <c r="P147" s="133"/>
      <c r="Q147" s="133"/>
      <c r="R147" s="133"/>
      <c r="S147" s="133"/>
      <c r="T147" s="133"/>
      <c r="U147" s="133"/>
      <c r="V147" s="133"/>
      <c r="W147" s="133"/>
      <c r="X147" s="133"/>
      <c r="Y147" s="133"/>
    </row>
    <row r="148" spans="1:25" ht="15" customHeight="1" x14ac:dyDescent="0.3">
      <c r="A148" s="133"/>
      <c r="B148" s="133"/>
      <c r="C148" s="133"/>
      <c r="D148" s="133"/>
      <c r="E148" s="133"/>
      <c r="F148" s="133"/>
      <c r="G148" s="133"/>
      <c r="H148" s="133"/>
      <c r="I148" s="133"/>
      <c r="J148" s="133"/>
      <c r="K148" s="133"/>
      <c r="L148" s="133"/>
      <c r="M148" s="133"/>
      <c r="N148" s="133"/>
      <c r="O148" s="133"/>
      <c r="P148" s="133"/>
      <c r="Q148" s="133"/>
      <c r="R148" s="133"/>
      <c r="S148" s="133"/>
      <c r="T148" s="133"/>
      <c r="U148" s="133"/>
      <c r="V148" s="133"/>
      <c r="W148" s="133"/>
      <c r="X148" s="133"/>
      <c r="Y148" s="133"/>
    </row>
    <row r="149" spans="1:25" ht="15" customHeight="1" x14ac:dyDescent="0.3">
      <c r="A149" s="133"/>
      <c r="B149" s="133"/>
      <c r="C149" s="133"/>
      <c r="D149" s="133"/>
      <c r="E149" s="133"/>
      <c r="F149" s="133"/>
      <c r="G149" s="133"/>
      <c r="H149" s="133"/>
      <c r="I149" s="133"/>
      <c r="J149" s="133"/>
      <c r="K149" s="133"/>
      <c r="L149" s="133"/>
      <c r="M149" s="133"/>
      <c r="N149" s="133"/>
      <c r="O149" s="133"/>
      <c r="P149" s="133"/>
      <c r="Q149" s="133"/>
      <c r="R149" s="133"/>
      <c r="S149" s="133"/>
      <c r="T149" s="133"/>
      <c r="U149" s="133"/>
      <c r="V149" s="133"/>
      <c r="W149" s="133"/>
      <c r="X149" s="133"/>
      <c r="Y149" s="133"/>
    </row>
    <row r="150" spans="1:25" ht="15" customHeight="1" x14ac:dyDescent="0.3">
      <c r="A150" s="133"/>
      <c r="B150" s="133"/>
      <c r="C150" s="133"/>
      <c r="D150" s="133"/>
      <c r="E150" s="133"/>
      <c r="F150" s="133"/>
      <c r="G150" s="133"/>
      <c r="H150" s="133"/>
      <c r="I150" s="133"/>
      <c r="J150" s="133"/>
      <c r="K150" s="133"/>
      <c r="L150" s="133"/>
      <c r="M150" s="133"/>
      <c r="N150" s="133"/>
      <c r="O150" s="133"/>
      <c r="P150" s="133"/>
      <c r="Q150" s="133"/>
      <c r="R150" s="133"/>
      <c r="S150" s="133"/>
      <c r="T150" s="133"/>
      <c r="U150" s="133"/>
      <c r="V150" s="133"/>
      <c r="W150" s="133"/>
      <c r="X150" s="133"/>
      <c r="Y150" s="133"/>
    </row>
    <row r="151" spans="1:25" ht="15" customHeight="1" x14ac:dyDescent="0.3">
      <c r="A151" s="133"/>
      <c r="B151" s="133"/>
      <c r="C151" s="133"/>
      <c r="D151" s="133"/>
      <c r="E151" s="133"/>
      <c r="F151" s="133"/>
      <c r="G151" s="133"/>
      <c r="H151" s="133"/>
      <c r="I151" s="133"/>
      <c r="J151" s="133"/>
      <c r="K151" s="133"/>
      <c r="L151" s="133"/>
      <c r="M151" s="133"/>
      <c r="N151" s="133"/>
      <c r="O151" s="133"/>
      <c r="P151" s="133"/>
      <c r="Q151" s="133"/>
      <c r="R151" s="133"/>
      <c r="S151" s="133"/>
      <c r="T151" s="133"/>
      <c r="U151" s="133"/>
      <c r="V151" s="133"/>
      <c r="W151" s="133"/>
      <c r="X151" s="133"/>
      <c r="Y151" s="133"/>
    </row>
    <row r="152" spans="1:25" ht="15" customHeight="1" x14ac:dyDescent="0.3">
      <c r="A152" s="133"/>
      <c r="B152" s="133"/>
      <c r="C152" s="133"/>
      <c r="D152" s="133"/>
      <c r="E152" s="133"/>
      <c r="F152" s="133"/>
      <c r="G152" s="133"/>
      <c r="H152" s="133"/>
      <c r="I152" s="133"/>
      <c r="J152" s="133"/>
      <c r="K152" s="133"/>
      <c r="L152" s="133"/>
      <c r="M152" s="133"/>
      <c r="N152" s="133"/>
      <c r="O152" s="133"/>
      <c r="P152" s="133"/>
      <c r="Q152" s="133"/>
      <c r="R152" s="133"/>
      <c r="S152" s="133"/>
      <c r="T152" s="133"/>
      <c r="U152" s="133"/>
      <c r="V152" s="133"/>
      <c r="W152" s="133"/>
      <c r="X152" s="133"/>
      <c r="Y152" s="133"/>
    </row>
    <row r="153" spans="1:25" ht="15" customHeight="1" x14ac:dyDescent="0.3">
      <c r="A153" s="133"/>
      <c r="B153" s="133"/>
      <c r="C153" s="133"/>
      <c r="D153" s="133"/>
      <c r="E153" s="133"/>
      <c r="F153" s="133"/>
      <c r="G153" s="133"/>
      <c r="H153" s="133"/>
      <c r="I153" s="133"/>
      <c r="J153" s="133"/>
      <c r="K153" s="133"/>
      <c r="L153" s="133"/>
      <c r="M153" s="133"/>
      <c r="N153" s="133"/>
      <c r="O153" s="133"/>
      <c r="P153" s="133"/>
      <c r="Q153" s="133"/>
      <c r="R153" s="133"/>
      <c r="S153" s="133"/>
      <c r="T153" s="133"/>
      <c r="U153" s="133"/>
      <c r="V153" s="133"/>
      <c r="W153" s="133"/>
      <c r="X153" s="133"/>
      <c r="Y153" s="133"/>
    </row>
    <row r="154" spans="1:25" ht="15" customHeight="1" x14ac:dyDescent="0.3">
      <c r="A154" s="133"/>
      <c r="B154" s="133"/>
      <c r="C154" s="133"/>
      <c r="D154" s="133"/>
      <c r="E154" s="133"/>
      <c r="F154" s="133"/>
      <c r="G154" s="133"/>
      <c r="H154" s="133"/>
      <c r="I154" s="133"/>
      <c r="J154" s="133"/>
      <c r="K154" s="133"/>
      <c r="L154" s="133"/>
      <c r="M154" s="133"/>
      <c r="N154" s="133"/>
      <c r="O154" s="133"/>
      <c r="P154" s="133"/>
      <c r="Q154" s="133"/>
      <c r="R154" s="133"/>
      <c r="S154" s="133"/>
      <c r="T154" s="133"/>
      <c r="U154" s="133"/>
      <c r="V154" s="133"/>
      <c r="W154" s="133"/>
      <c r="X154" s="133"/>
      <c r="Y154" s="133"/>
    </row>
    <row r="155" spans="1:25" ht="15" customHeight="1" x14ac:dyDescent="0.3">
      <c r="A155" s="133"/>
      <c r="B155" s="133"/>
      <c r="C155" s="133"/>
      <c r="D155" s="133"/>
      <c r="E155" s="133"/>
      <c r="F155" s="133"/>
      <c r="G155" s="133"/>
      <c r="H155" s="133"/>
      <c r="I155" s="133"/>
      <c r="J155" s="133"/>
      <c r="K155" s="133"/>
      <c r="L155" s="133"/>
      <c r="M155" s="133"/>
      <c r="N155" s="133"/>
      <c r="O155" s="133"/>
      <c r="P155" s="133"/>
      <c r="Q155" s="133"/>
      <c r="R155" s="133"/>
      <c r="S155" s="133"/>
      <c r="T155" s="133"/>
      <c r="U155" s="133"/>
      <c r="V155" s="133"/>
      <c r="W155" s="133"/>
      <c r="X155" s="133"/>
      <c r="Y155" s="133"/>
    </row>
    <row r="156" spans="1:25" ht="15" customHeight="1" x14ac:dyDescent="0.3">
      <c r="A156" s="133"/>
      <c r="B156" s="133"/>
      <c r="C156" s="133"/>
      <c r="D156" s="133"/>
      <c r="E156" s="133"/>
      <c r="F156" s="133"/>
      <c r="G156" s="133"/>
      <c r="H156" s="133"/>
      <c r="I156" s="133"/>
      <c r="J156" s="133"/>
      <c r="K156" s="133"/>
      <c r="L156" s="133"/>
      <c r="M156" s="133"/>
      <c r="N156" s="133"/>
      <c r="O156" s="133"/>
      <c r="P156" s="133"/>
      <c r="Q156" s="133"/>
      <c r="R156" s="133"/>
      <c r="S156" s="133"/>
      <c r="T156" s="133"/>
      <c r="U156" s="133"/>
      <c r="V156" s="133"/>
      <c r="W156" s="133"/>
      <c r="X156" s="133"/>
      <c r="Y156" s="133"/>
    </row>
    <row r="157" spans="1:25" ht="15" customHeight="1" x14ac:dyDescent="0.3">
      <c r="A157" s="133"/>
      <c r="B157" s="133"/>
      <c r="C157" s="133"/>
      <c r="D157" s="133"/>
      <c r="E157" s="133"/>
      <c r="F157" s="133"/>
      <c r="G157" s="133"/>
      <c r="H157" s="133"/>
      <c r="I157" s="133"/>
      <c r="J157" s="133"/>
      <c r="K157" s="133"/>
      <c r="L157" s="133"/>
      <c r="M157" s="133"/>
      <c r="N157" s="133"/>
      <c r="O157" s="133"/>
      <c r="P157" s="133"/>
      <c r="Q157" s="133"/>
      <c r="R157" s="133"/>
      <c r="S157" s="133"/>
      <c r="T157" s="133"/>
      <c r="U157" s="133"/>
      <c r="V157" s="133"/>
      <c r="W157" s="133"/>
      <c r="X157" s="133"/>
      <c r="Y157" s="133"/>
    </row>
    <row r="158" spans="1:25" ht="15" customHeight="1" x14ac:dyDescent="0.3">
      <c r="A158" s="133"/>
      <c r="B158" s="133"/>
      <c r="C158" s="133"/>
      <c r="D158" s="133"/>
      <c r="E158" s="133"/>
      <c r="F158" s="133"/>
      <c r="G158" s="133"/>
      <c r="H158" s="133"/>
      <c r="I158" s="133"/>
      <c r="J158" s="133"/>
      <c r="K158" s="133"/>
      <c r="L158" s="133"/>
      <c r="M158" s="133"/>
      <c r="N158" s="133"/>
      <c r="O158" s="133"/>
      <c r="P158" s="133"/>
      <c r="Q158" s="133"/>
      <c r="R158" s="133"/>
      <c r="S158" s="133"/>
      <c r="T158" s="133"/>
      <c r="U158" s="133"/>
      <c r="V158" s="133"/>
      <c r="W158" s="133"/>
      <c r="X158" s="133"/>
      <c r="Y158" s="133"/>
    </row>
    <row r="159" spans="1:25" ht="15" customHeight="1" x14ac:dyDescent="0.3">
      <c r="A159" s="133"/>
      <c r="B159" s="133"/>
      <c r="C159" s="133"/>
      <c r="D159" s="133"/>
      <c r="E159" s="133"/>
      <c r="F159" s="133"/>
      <c r="G159" s="133"/>
      <c r="H159" s="133"/>
      <c r="I159" s="133"/>
      <c r="J159" s="133"/>
      <c r="K159" s="133"/>
      <c r="L159" s="133"/>
      <c r="M159" s="133"/>
      <c r="N159" s="133"/>
      <c r="O159" s="133"/>
      <c r="P159" s="133"/>
      <c r="Q159" s="133"/>
      <c r="R159" s="133"/>
      <c r="S159" s="133"/>
      <c r="T159" s="133"/>
      <c r="U159" s="133"/>
      <c r="V159" s="133"/>
      <c r="W159" s="133"/>
      <c r="X159" s="133"/>
      <c r="Y159" s="133"/>
    </row>
    <row r="160" spans="1:25" ht="15" customHeight="1" x14ac:dyDescent="0.3">
      <c r="A160" s="133"/>
      <c r="B160" s="133"/>
      <c r="C160" s="133"/>
      <c r="D160" s="133"/>
      <c r="E160" s="133"/>
      <c r="F160" s="133"/>
      <c r="G160" s="133"/>
      <c r="H160" s="133"/>
      <c r="I160" s="133"/>
      <c r="J160" s="133"/>
      <c r="K160" s="133"/>
      <c r="L160" s="133"/>
      <c r="M160" s="133"/>
      <c r="N160" s="133"/>
      <c r="O160" s="133"/>
      <c r="P160" s="133"/>
      <c r="Q160" s="133"/>
      <c r="R160" s="133"/>
      <c r="S160" s="133"/>
      <c r="T160" s="133"/>
      <c r="U160" s="133"/>
      <c r="V160" s="133"/>
      <c r="W160" s="133"/>
      <c r="X160" s="133"/>
      <c r="Y160" s="133"/>
    </row>
    <row r="161" spans="1:25" ht="15" customHeight="1" x14ac:dyDescent="0.3">
      <c r="A161" s="133"/>
      <c r="B161" s="133"/>
      <c r="C161" s="133"/>
      <c r="D161" s="133"/>
      <c r="E161" s="133"/>
      <c r="F161" s="133"/>
      <c r="G161" s="133"/>
      <c r="H161" s="133"/>
      <c r="I161" s="133"/>
      <c r="J161" s="133"/>
      <c r="K161" s="133"/>
      <c r="L161" s="133"/>
      <c r="M161" s="133"/>
      <c r="N161" s="133"/>
      <c r="O161" s="133"/>
      <c r="P161" s="133"/>
      <c r="Q161" s="133"/>
      <c r="R161" s="133"/>
      <c r="S161" s="133"/>
      <c r="T161" s="133"/>
      <c r="U161" s="133"/>
      <c r="V161" s="133"/>
      <c r="W161" s="133"/>
      <c r="X161" s="133"/>
      <c r="Y161" s="133"/>
    </row>
    <row r="162" spans="1:25" ht="15" customHeight="1" x14ac:dyDescent="0.3">
      <c r="A162" s="133"/>
      <c r="B162" s="133"/>
      <c r="C162" s="133"/>
      <c r="D162" s="133"/>
      <c r="E162" s="133"/>
      <c r="F162" s="133"/>
      <c r="G162" s="133"/>
      <c r="H162" s="133"/>
      <c r="I162" s="133"/>
      <c r="J162" s="133"/>
      <c r="K162" s="133"/>
      <c r="L162" s="133"/>
      <c r="M162" s="133"/>
      <c r="N162" s="133"/>
      <c r="O162" s="133"/>
      <c r="P162" s="133"/>
      <c r="Q162" s="133"/>
      <c r="R162" s="133"/>
      <c r="S162" s="133"/>
      <c r="T162" s="133"/>
      <c r="U162" s="133"/>
      <c r="V162" s="133"/>
      <c r="W162" s="133"/>
      <c r="X162" s="133"/>
      <c r="Y162" s="133"/>
    </row>
    <row r="163" spans="1:25" ht="15" customHeight="1" x14ac:dyDescent="0.3">
      <c r="A163" s="133"/>
      <c r="B163" s="133"/>
      <c r="C163" s="133"/>
      <c r="D163" s="133"/>
      <c r="E163" s="133"/>
      <c r="F163" s="133"/>
      <c r="G163" s="133"/>
      <c r="H163" s="133"/>
      <c r="I163" s="133"/>
      <c r="J163" s="133"/>
      <c r="K163" s="133"/>
      <c r="L163" s="133"/>
      <c r="M163" s="133"/>
      <c r="N163" s="133"/>
      <c r="O163" s="133"/>
      <c r="P163" s="133"/>
      <c r="Q163" s="133"/>
      <c r="R163" s="133"/>
      <c r="S163" s="133"/>
      <c r="T163" s="133"/>
      <c r="U163" s="133"/>
      <c r="V163" s="133"/>
      <c r="W163" s="133"/>
      <c r="X163" s="133"/>
      <c r="Y163" s="133"/>
    </row>
    <row r="164" spans="1:25" ht="15" customHeight="1" x14ac:dyDescent="0.3">
      <c r="A164" s="133"/>
      <c r="B164" s="133"/>
      <c r="C164" s="133"/>
      <c r="D164" s="133"/>
      <c r="E164" s="133"/>
      <c r="F164" s="133"/>
      <c r="G164" s="133"/>
      <c r="H164" s="133"/>
      <c r="I164" s="133"/>
      <c r="J164" s="133"/>
      <c r="K164" s="133"/>
      <c r="L164" s="133"/>
      <c r="M164" s="133"/>
      <c r="N164" s="133"/>
      <c r="O164" s="133"/>
      <c r="P164" s="133"/>
      <c r="Q164" s="133"/>
      <c r="R164" s="133"/>
      <c r="S164" s="133"/>
      <c r="T164" s="133"/>
      <c r="U164" s="133"/>
      <c r="V164" s="133"/>
      <c r="W164" s="133"/>
      <c r="X164" s="133"/>
      <c r="Y164" s="133"/>
    </row>
    <row r="165" spans="1:25" ht="15" customHeight="1" x14ac:dyDescent="0.3">
      <c r="A165" s="133"/>
      <c r="B165" s="133"/>
      <c r="C165" s="133"/>
      <c r="D165" s="133"/>
      <c r="E165" s="133"/>
      <c r="F165" s="133"/>
      <c r="G165" s="133"/>
      <c r="H165" s="133"/>
      <c r="I165" s="133"/>
      <c r="J165" s="133"/>
      <c r="K165" s="133"/>
      <c r="L165" s="133"/>
      <c r="M165" s="133"/>
      <c r="N165" s="133"/>
      <c r="O165" s="133"/>
      <c r="P165" s="133"/>
      <c r="Q165" s="133"/>
      <c r="R165" s="133"/>
      <c r="S165" s="133"/>
      <c r="T165" s="133"/>
      <c r="U165" s="133"/>
      <c r="V165" s="133"/>
      <c r="W165" s="133"/>
      <c r="X165" s="133"/>
      <c r="Y165" s="133"/>
    </row>
    <row r="166" spans="1:25" ht="15" customHeight="1" x14ac:dyDescent="0.3">
      <c r="A166" s="133"/>
      <c r="B166" s="133"/>
      <c r="C166" s="133"/>
      <c r="D166" s="133"/>
      <c r="E166" s="133"/>
      <c r="F166" s="133"/>
      <c r="G166" s="133"/>
      <c r="H166" s="133"/>
      <c r="I166" s="133"/>
      <c r="J166" s="133"/>
      <c r="K166" s="133"/>
      <c r="L166" s="133"/>
      <c r="M166" s="133"/>
      <c r="N166" s="133"/>
      <c r="O166" s="133"/>
      <c r="P166" s="133"/>
      <c r="Q166" s="133"/>
      <c r="R166" s="133"/>
      <c r="S166" s="133"/>
      <c r="T166" s="133"/>
      <c r="U166" s="133"/>
      <c r="V166" s="133"/>
      <c r="W166" s="133"/>
      <c r="X166" s="133"/>
      <c r="Y166" s="133"/>
    </row>
    <row r="167" spans="1:25" ht="15" customHeight="1" x14ac:dyDescent="0.3">
      <c r="A167" s="133"/>
      <c r="B167" s="133"/>
      <c r="C167" s="133"/>
      <c r="D167" s="133"/>
      <c r="E167" s="133"/>
      <c r="F167" s="133"/>
      <c r="G167" s="133"/>
      <c r="H167" s="133"/>
      <c r="I167" s="133"/>
      <c r="J167" s="133"/>
      <c r="K167" s="133"/>
      <c r="L167" s="133"/>
      <c r="M167" s="133"/>
      <c r="N167" s="133"/>
      <c r="O167" s="133"/>
      <c r="P167" s="133"/>
      <c r="Q167" s="133"/>
      <c r="R167" s="133"/>
      <c r="S167" s="133"/>
      <c r="T167" s="133"/>
      <c r="U167" s="133"/>
      <c r="V167" s="133"/>
      <c r="W167" s="133"/>
      <c r="X167" s="133"/>
      <c r="Y167" s="133"/>
    </row>
    <row r="168" spans="1:25" ht="15" customHeight="1" x14ac:dyDescent="0.3">
      <c r="A168" s="133"/>
      <c r="B168" s="133"/>
      <c r="C168" s="133"/>
      <c r="D168" s="133"/>
      <c r="E168" s="133"/>
      <c r="F168" s="133"/>
      <c r="G168" s="133"/>
      <c r="H168" s="133"/>
      <c r="I168" s="133"/>
      <c r="J168" s="133"/>
      <c r="K168" s="133"/>
      <c r="L168" s="133"/>
      <c r="M168" s="133"/>
      <c r="N168" s="133"/>
      <c r="O168" s="133"/>
      <c r="P168" s="133"/>
      <c r="Q168" s="133"/>
      <c r="R168" s="133"/>
      <c r="S168" s="133"/>
      <c r="T168" s="133"/>
      <c r="U168" s="133"/>
      <c r="V168" s="133"/>
      <c r="W168" s="133"/>
      <c r="X168" s="133"/>
      <c r="Y168" s="133"/>
    </row>
    <row r="169" spans="1:25" ht="15" customHeight="1" x14ac:dyDescent="0.3">
      <c r="A169" s="133"/>
      <c r="B169" s="133"/>
      <c r="C169" s="133"/>
      <c r="D169" s="133"/>
      <c r="E169" s="133"/>
      <c r="F169" s="133"/>
      <c r="G169" s="133"/>
      <c r="H169" s="133"/>
      <c r="I169" s="133"/>
      <c r="J169" s="133"/>
      <c r="K169" s="133"/>
      <c r="L169" s="133"/>
      <c r="M169" s="133"/>
      <c r="N169" s="133"/>
      <c r="O169" s="133"/>
      <c r="P169" s="133"/>
      <c r="Q169" s="133"/>
      <c r="R169" s="133"/>
      <c r="S169" s="133"/>
      <c r="T169" s="133"/>
      <c r="U169" s="133"/>
      <c r="V169" s="133"/>
      <c r="W169" s="133"/>
      <c r="X169" s="133"/>
      <c r="Y169" s="133"/>
    </row>
    <row r="170" spans="1:25" ht="15" customHeight="1" x14ac:dyDescent="0.3">
      <c r="A170" s="133"/>
      <c r="B170" s="133"/>
      <c r="C170" s="133"/>
      <c r="D170" s="133"/>
      <c r="E170" s="133"/>
      <c r="F170" s="133"/>
      <c r="G170" s="133"/>
      <c r="H170" s="133"/>
      <c r="I170" s="133"/>
      <c r="J170" s="133"/>
      <c r="K170" s="133"/>
      <c r="L170" s="133"/>
      <c r="M170" s="133"/>
      <c r="N170" s="133"/>
      <c r="O170" s="133"/>
      <c r="P170" s="133"/>
      <c r="Q170" s="133"/>
      <c r="R170" s="133"/>
      <c r="S170" s="133"/>
      <c r="T170" s="133"/>
      <c r="U170" s="133"/>
      <c r="V170" s="133"/>
      <c r="W170" s="133"/>
      <c r="X170" s="133"/>
      <c r="Y170" s="133"/>
    </row>
    <row r="171" spans="1:25" ht="15" customHeight="1" x14ac:dyDescent="0.3">
      <c r="A171" s="133"/>
      <c r="B171" s="133"/>
      <c r="C171" s="133"/>
      <c r="D171" s="133"/>
      <c r="E171" s="133"/>
      <c r="F171" s="133"/>
      <c r="G171" s="133"/>
      <c r="H171" s="133"/>
      <c r="I171" s="133"/>
      <c r="J171" s="133"/>
      <c r="K171" s="133"/>
      <c r="L171" s="133"/>
      <c r="M171" s="133"/>
      <c r="N171" s="133"/>
      <c r="O171" s="133"/>
      <c r="P171" s="133"/>
      <c r="Q171" s="133"/>
      <c r="R171" s="133"/>
      <c r="S171" s="133"/>
      <c r="T171" s="133"/>
      <c r="U171" s="133"/>
      <c r="V171" s="133"/>
      <c r="W171" s="133"/>
      <c r="X171" s="133"/>
      <c r="Y171" s="133"/>
    </row>
    <row r="172" spans="1:25" ht="15" customHeight="1" x14ac:dyDescent="0.3">
      <c r="A172" s="133"/>
      <c r="B172" s="133"/>
      <c r="C172" s="133"/>
      <c r="D172" s="133"/>
      <c r="E172" s="133"/>
      <c r="F172" s="133"/>
      <c r="G172" s="133"/>
      <c r="H172" s="133"/>
      <c r="I172" s="133"/>
      <c r="J172" s="133"/>
      <c r="K172" s="133"/>
      <c r="L172" s="133"/>
      <c r="M172" s="133"/>
      <c r="N172" s="133"/>
      <c r="O172" s="133"/>
      <c r="P172" s="133"/>
      <c r="Q172" s="133"/>
      <c r="R172" s="133"/>
      <c r="S172" s="133"/>
      <c r="T172" s="133"/>
      <c r="U172" s="133"/>
      <c r="V172" s="133"/>
      <c r="W172" s="133"/>
      <c r="X172" s="133"/>
      <c r="Y172" s="133"/>
    </row>
    <row r="173" spans="1:25" ht="15" customHeight="1" x14ac:dyDescent="0.3">
      <c r="A173" s="133"/>
      <c r="B173" s="133"/>
      <c r="C173" s="133"/>
      <c r="D173" s="133"/>
      <c r="E173" s="133"/>
      <c r="F173" s="133"/>
      <c r="G173" s="133"/>
      <c r="H173" s="133"/>
      <c r="I173" s="133"/>
      <c r="J173" s="133"/>
      <c r="K173" s="133"/>
      <c r="L173" s="133"/>
      <c r="M173" s="133"/>
      <c r="N173" s="133"/>
      <c r="O173" s="133"/>
      <c r="P173" s="133"/>
      <c r="Q173" s="133"/>
      <c r="R173" s="133"/>
      <c r="S173" s="133"/>
      <c r="T173" s="133"/>
      <c r="U173" s="133"/>
      <c r="V173" s="133"/>
      <c r="W173" s="133"/>
      <c r="X173" s="133"/>
      <c r="Y173" s="133"/>
    </row>
    <row r="174" spans="1:25" ht="15" customHeight="1" x14ac:dyDescent="0.3">
      <c r="A174" s="133"/>
      <c r="B174" s="133"/>
      <c r="C174" s="133"/>
      <c r="D174" s="133"/>
      <c r="E174" s="133"/>
      <c r="F174" s="133"/>
      <c r="G174" s="133"/>
      <c r="H174" s="133"/>
      <c r="I174" s="133"/>
      <c r="J174" s="133"/>
      <c r="K174" s="133"/>
      <c r="L174" s="133"/>
      <c r="M174" s="133"/>
      <c r="N174" s="133"/>
      <c r="O174" s="133"/>
      <c r="P174" s="133"/>
      <c r="Q174" s="133"/>
      <c r="R174" s="133"/>
      <c r="S174" s="133"/>
      <c r="T174" s="133"/>
      <c r="U174" s="133"/>
      <c r="V174" s="133"/>
      <c r="W174" s="133"/>
      <c r="X174" s="133"/>
      <c r="Y174" s="133"/>
    </row>
    <row r="175" spans="1:25" ht="15" customHeight="1" x14ac:dyDescent="0.3">
      <c r="A175" s="133"/>
      <c r="B175" s="133"/>
      <c r="C175" s="133"/>
      <c r="D175" s="133"/>
      <c r="E175" s="133"/>
      <c r="F175" s="133"/>
      <c r="G175" s="133"/>
      <c r="H175" s="133"/>
      <c r="I175" s="133"/>
      <c r="J175" s="133"/>
      <c r="K175" s="133"/>
      <c r="L175" s="133"/>
      <c r="M175" s="133"/>
      <c r="N175" s="133"/>
      <c r="O175" s="133"/>
      <c r="P175" s="133"/>
      <c r="Q175" s="133"/>
      <c r="R175" s="133"/>
      <c r="S175" s="133"/>
      <c r="T175" s="133"/>
      <c r="U175" s="133"/>
      <c r="V175" s="133"/>
      <c r="W175" s="133"/>
      <c r="X175" s="133"/>
      <c r="Y175" s="133"/>
    </row>
    <row r="176" spans="1:25" ht="15" customHeight="1" x14ac:dyDescent="0.3">
      <c r="A176" s="133"/>
      <c r="B176" s="133"/>
      <c r="C176" s="133"/>
      <c r="D176" s="133"/>
      <c r="E176" s="133"/>
      <c r="F176" s="133"/>
      <c r="G176" s="133"/>
      <c r="H176" s="133"/>
      <c r="I176" s="133"/>
      <c r="J176" s="133"/>
      <c r="K176" s="133"/>
      <c r="L176" s="133"/>
      <c r="M176" s="133"/>
      <c r="N176" s="133"/>
      <c r="O176" s="133"/>
      <c r="P176" s="133"/>
      <c r="Q176" s="133"/>
      <c r="R176" s="133"/>
      <c r="S176" s="133"/>
      <c r="T176" s="133"/>
      <c r="U176" s="133"/>
      <c r="V176" s="133"/>
      <c r="W176" s="133"/>
      <c r="X176" s="133"/>
      <c r="Y176" s="133"/>
    </row>
    <row r="177" spans="1:25" ht="15" customHeight="1" x14ac:dyDescent="0.3">
      <c r="A177" s="133"/>
      <c r="B177" s="133"/>
      <c r="C177" s="133"/>
      <c r="D177" s="133"/>
      <c r="E177" s="133"/>
      <c r="F177" s="133"/>
      <c r="G177" s="133"/>
      <c r="H177" s="133"/>
      <c r="I177" s="133"/>
      <c r="J177" s="133"/>
      <c r="K177" s="133"/>
      <c r="L177" s="133"/>
      <c r="M177" s="133"/>
      <c r="N177" s="133"/>
      <c r="O177" s="133"/>
      <c r="P177" s="133"/>
      <c r="Q177" s="133"/>
      <c r="R177" s="133"/>
      <c r="S177" s="133"/>
      <c r="T177" s="133"/>
      <c r="U177" s="133"/>
      <c r="V177" s="133"/>
      <c r="W177" s="133"/>
      <c r="X177" s="133"/>
      <c r="Y177" s="141"/>
    </row>
    <row r="178" spans="1:25" ht="15" customHeight="1" x14ac:dyDescent="0.3">
      <c r="A178" s="133"/>
      <c r="B178" s="133"/>
      <c r="C178" s="133"/>
      <c r="D178" s="133"/>
      <c r="E178" s="133"/>
      <c r="F178" s="133"/>
      <c r="G178" s="133"/>
      <c r="H178" s="133"/>
      <c r="I178" s="133"/>
      <c r="J178" s="133"/>
      <c r="K178" s="133"/>
      <c r="L178" s="133"/>
      <c r="M178" s="133"/>
      <c r="N178" s="133"/>
      <c r="O178" s="133"/>
      <c r="P178" s="133"/>
      <c r="Q178" s="133"/>
      <c r="R178" s="133"/>
      <c r="S178" s="133"/>
      <c r="T178" s="133"/>
      <c r="U178" s="133"/>
      <c r="V178" s="133"/>
      <c r="W178" s="133"/>
      <c r="X178" s="133"/>
      <c r="Y178" s="133"/>
    </row>
    <row r="179" spans="1:25" ht="15" customHeight="1" x14ac:dyDescent="0.3">
      <c r="A179" s="133"/>
      <c r="B179" s="133"/>
      <c r="C179" s="133"/>
      <c r="D179" s="133"/>
      <c r="E179" s="133"/>
      <c r="F179" s="133"/>
      <c r="G179" s="133"/>
      <c r="H179" s="133"/>
      <c r="I179" s="133"/>
      <c r="J179" s="133"/>
      <c r="K179" s="133"/>
      <c r="L179" s="133"/>
      <c r="M179" s="133"/>
      <c r="N179" s="133"/>
      <c r="O179" s="133"/>
      <c r="P179" s="133"/>
      <c r="Q179" s="133"/>
      <c r="R179" s="133"/>
      <c r="S179" s="133"/>
      <c r="T179" s="133"/>
      <c r="U179" s="133"/>
      <c r="V179" s="133"/>
      <c r="W179" s="133"/>
      <c r="X179" s="133"/>
      <c r="Y179" s="133"/>
    </row>
    <row r="180" spans="1:25" ht="15" customHeight="1" x14ac:dyDescent="0.3">
      <c r="A180" s="133"/>
      <c r="B180" s="133"/>
      <c r="C180" s="133"/>
      <c r="D180" s="133"/>
      <c r="E180" s="133"/>
      <c r="F180" s="133"/>
      <c r="G180" s="133"/>
      <c r="H180" s="133"/>
      <c r="I180" s="133"/>
      <c r="J180" s="133"/>
      <c r="K180" s="133"/>
      <c r="L180" s="133"/>
      <c r="M180" s="133"/>
      <c r="N180" s="133"/>
      <c r="O180" s="133"/>
      <c r="P180" s="133"/>
      <c r="Q180" s="133"/>
      <c r="R180" s="133"/>
      <c r="S180" s="133"/>
      <c r="T180" s="133"/>
      <c r="U180" s="133"/>
      <c r="V180" s="133"/>
      <c r="W180" s="133"/>
      <c r="X180" s="133"/>
      <c r="Y180" s="133"/>
    </row>
    <row r="181" spans="1:25" ht="15" customHeight="1" x14ac:dyDescent="0.3">
      <c r="A181" s="133"/>
      <c r="B181" s="133"/>
      <c r="C181" s="133"/>
      <c r="D181" s="133"/>
      <c r="E181" s="133"/>
      <c r="F181" s="133"/>
      <c r="G181" s="133"/>
      <c r="H181" s="133"/>
      <c r="I181" s="133"/>
      <c r="J181" s="133"/>
      <c r="K181" s="133"/>
      <c r="L181" s="133"/>
      <c r="M181" s="133"/>
      <c r="N181" s="133"/>
      <c r="O181" s="133"/>
      <c r="P181" s="133"/>
      <c r="Q181" s="133"/>
      <c r="R181" s="133"/>
      <c r="S181" s="133"/>
      <c r="T181" s="133"/>
      <c r="U181" s="133"/>
      <c r="V181" s="133"/>
      <c r="W181" s="133"/>
      <c r="X181" s="133"/>
      <c r="Y181" s="133"/>
    </row>
    <row r="182" spans="1:25" ht="15" customHeight="1" x14ac:dyDescent="0.3">
      <c r="A182" s="133"/>
      <c r="B182" s="133"/>
      <c r="C182" s="133"/>
      <c r="D182" s="133"/>
      <c r="E182" s="133"/>
      <c r="F182" s="133"/>
      <c r="G182" s="133"/>
      <c r="H182" s="133"/>
      <c r="I182" s="133"/>
      <c r="J182" s="133"/>
      <c r="K182" s="133"/>
      <c r="L182" s="133"/>
      <c r="M182" s="133"/>
      <c r="N182" s="133"/>
      <c r="O182" s="133"/>
      <c r="P182" s="133"/>
      <c r="Q182" s="133"/>
      <c r="R182" s="133"/>
      <c r="S182" s="133"/>
      <c r="T182" s="133"/>
      <c r="U182" s="133"/>
      <c r="V182" s="133"/>
      <c r="W182" s="133"/>
      <c r="X182" s="133"/>
      <c r="Y182" s="133"/>
    </row>
    <row r="183" spans="1:25" ht="15" customHeight="1" x14ac:dyDescent="0.3">
      <c r="A183" s="133"/>
      <c r="B183" s="133"/>
      <c r="C183" s="133"/>
      <c r="D183" s="133"/>
      <c r="E183" s="133"/>
      <c r="F183" s="133"/>
      <c r="G183" s="133"/>
      <c r="H183" s="133"/>
      <c r="I183" s="133"/>
      <c r="J183" s="133"/>
      <c r="K183" s="133"/>
      <c r="L183" s="133"/>
      <c r="M183" s="133"/>
      <c r="N183" s="133"/>
      <c r="O183" s="133"/>
      <c r="P183" s="133"/>
      <c r="Q183" s="133"/>
      <c r="R183" s="133"/>
      <c r="S183" s="133"/>
      <c r="T183" s="133"/>
      <c r="U183" s="133"/>
      <c r="V183" s="133"/>
      <c r="W183" s="133"/>
      <c r="X183" s="133"/>
      <c r="Y183" s="133"/>
    </row>
    <row r="184" spans="1:25" ht="15" customHeight="1" x14ac:dyDescent="0.3">
      <c r="A184" s="133"/>
      <c r="B184" s="133"/>
      <c r="C184" s="133"/>
      <c r="D184" s="133"/>
      <c r="E184" s="133"/>
      <c r="F184" s="133"/>
      <c r="G184" s="133"/>
      <c r="H184" s="133"/>
      <c r="I184" s="133"/>
      <c r="J184" s="133"/>
      <c r="K184" s="133"/>
      <c r="L184" s="133"/>
      <c r="M184" s="133"/>
      <c r="N184" s="133"/>
      <c r="O184" s="133"/>
      <c r="P184" s="133"/>
      <c r="Q184" s="133"/>
      <c r="R184" s="133"/>
      <c r="S184" s="133"/>
      <c r="T184" s="133"/>
      <c r="U184" s="133"/>
      <c r="V184" s="133"/>
      <c r="W184" s="133"/>
      <c r="X184" s="133"/>
      <c r="Y184" s="133"/>
    </row>
    <row r="185" spans="1:25" ht="15" customHeight="1" x14ac:dyDescent="0.3">
      <c r="A185" s="133"/>
      <c r="B185" s="133"/>
      <c r="C185" s="133"/>
      <c r="D185" s="133"/>
      <c r="E185" s="133"/>
      <c r="F185" s="133"/>
      <c r="G185" s="133"/>
      <c r="H185" s="133"/>
      <c r="I185" s="133"/>
      <c r="J185" s="133"/>
      <c r="K185" s="133"/>
      <c r="L185" s="133"/>
      <c r="M185" s="133"/>
      <c r="N185" s="133"/>
      <c r="O185" s="133"/>
      <c r="P185" s="133"/>
      <c r="Q185" s="133"/>
      <c r="R185" s="133"/>
      <c r="S185" s="133"/>
      <c r="T185" s="133"/>
      <c r="U185" s="133"/>
      <c r="V185" s="133"/>
      <c r="W185" s="133"/>
      <c r="X185" s="133"/>
      <c r="Y185" s="133"/>
    </row>
    <row r="186" spans="1:25" ht="15" customHeight="1" x14ac:dyDescent="0.3">
      <c r="A186" s="133"/>
      <c r="B186" s="133"/>
      <c r="C186" s="133"/>
      <c r="D186" s="133"/>
      <c r="E186" s="133"/>
      <c r="F186" s="133"/>
      <c r="G186" s="133"/>
      <c r="H186" s="133"/>
      <c r="I186" s="133"/>
      <c r="J186" s="133"/>
      <c r="K186" s="133"/>
      <c r="L186" s="133"/>
      <c r="M186" s="133"/>
      <c r="N186" s="133"/>
      <c r="O186" s="133"/>
      <c r="P186" s="133"/>
      <c r="Q186" s="133"/>
      <c r="R186" s="133"/>
      <c r="S186" s="133"/>
      <c r="T186" s="133"/>
      <c r="U186" s="133"/>
      <c r="V186" s="133"/>
      <c r="W186" s="133"/>
      <c r="X186" s="133"/>
      <c r="Y186" s="133"/>
    </row>
    <row r="187" spans="1:25" ht="15" customHeight="1" x14ac:dyDescent="0.3">
      <c r="A187" s="133"/>
      <c r="B187" s="133"/>
      <c r="C187" s="133"/>
      <c r="D187" s="133"/>
      <c r="E187" s="133"/>
      <c r="F187" s="133"/>
      <c r="G187" s="133"/>
      <c r="H187" s="133"/>
      <c r="I187" s="133"/>
      <c r="J187" s="133"/>
      <c r="K187" s="133"/>
      <c r="L187" s="133"/>
      <c r="M187" s="133"/>
      <c r="N187" s="133"/>
      <c r="O187" s="133"/>
      <c r="P187" s="133"/>
      <c r="Q187" s="133"/>
      <c r="R187" s="133"/>
      <c r="S187" s="133"/>
      <c r="T187" s="133"/>
      <c r="U187" s="133"/>
      <c r="V187" s="133"/>
      <c r="W187" s="133"/>
      <c r="X187" s="133"/>
      <c r="Y187" s="133"/>
    </row>
    <row r="188" spans="1:25" ht="15" customHeight="1" x14ac:dyDescent="0.3">
      <c r="A188" s="133"/>
      <c r="B188" s="133"/>
      <c r="C188" s="133"/>
      <c r="D188" s="133"/>
      <c r="E188" s="133"/>
      <c r="F188" s="133"/>
      <c r="G188" s="133"/>
      <c r="H188" s="133"/>
      <c r="I188" s="133"/>
      <c r="J188" s="133"/>
      <c r="K188" s="133"/>
      <c r="L188" s="133"/>
      <c r="M188" s="133"/>
      <c r="N188" s="133"/>
      <c r="O188" s="133"/>
      <c r="P188" s="133"/>
      <c r="Q188" s="133"/>
      <c r="R188" s="133"/>
      <c r="S188" s="133"/>
      <c r="T188" s="133"/>
      <c r="U188" s="133"/>
      <c r="V188" s="133"/>
      <c r="W188" s="133"/>
      <c r="X188" s="133"/>
      <c r="Y188" s="133"/>
    </row>
    <row r="189" spans="1:25" ht="15" customHeight="1" x14ac:dyDescent="0.3">
      <c r="A189" s="133"/>
      <c r="B189" s="133"/>
      <c r="C189" s="133"/>
      <c r="D189" s="133"/>
      <c r="E189" s="133"/>
      <c r="F189" s="133"/>
      <c r="G189" s="133"/>
      <c r="H189" s="133"/>
      <c r="I189" s="133"/>
      <c r="J189" s="133"/>
      <c r="K189" s="133"/>
      <c r="L189" s="133"/>
      <c r="M189" s="133"/>
      <c r="N189" s="133"/>
      <c r="O189" s="133"/>
      <c r="P189" s="133"/>
      <c r="Q189" s="133"/>
      <c r="R189" s="133"/>
      <c r="S189" s="133"/>
      <c r="T189" s="133"/>
      <c r="U189" s="133"/>
      <c r="V189" s="133"/>
      <c r="W189" s="133"/>
      <c r="X189" s="133"/>
      <c r="Y189" s="133"/>
    </row>
    <row r="190" spans="1:25" ht="15" customHeight="1" x14ac:dyDescent="0.3">
      <c r="A190" s="133"/>
      <c r="B190" s="133"/>
      <c r="C190" s="133"/>
      <c r="D190" s="133"/>
      <c r="E190" s="133"/>
      <c r="F190" s="133"/>
      <c r="G190" s="133"/>
      <c r="H190" s="133"/>
      <c r="I190" s="133"/>
      <c r="J190" s="133"/>
      <c r="K190" s="133"/>
      <c r="L190" s="133"/>
      <c r="M190" s="133"/>
      <c r="N190" s="133"/>
      <c r="O190" s="133"/>
      <c r="P190" s="133"/>
      <c r="Q190" s="133"/>
      <c r="R190" s="133"/>
      <c r="S190" s="133"/>
      <c r="T190" s="133"/>
      <c r="U190" s="133"/>
      <c r="V190" s="133"/>
      <c r="W190" s="133"/>
      <c r="X190" s="133"/>
      <c r="Y190" s="133"/>
    </row>
    <row r="191" spans="1:25" ht="15" customHeight="1" x14ac:dyDescent="0.3">
      <c r="A191" s="133"/>
      <c r="B191" s="133"/>
      <c r="C191" s="133"/>
      <c r="D191" s="133"/>
      <c r="E191" s="133"/>
      <c r="F191" s="133"/>
      <c r="G191" s="133"/>
      <c r="H191" s="133"/>
      <c r="I191" s="133"/>
      <c r="J191" s="133"/>
      <c r="K191" s="133"/>
      <c r="L191" s="133"/>
      <c r="M191" s="133"/>
      <c r="N191" s="133"/>
      <c r="O191" s="133"/>
      <c r="P191" s="133"/>
      <c r="Q191" s="133"/>
      <c r="R191" s="133"/>
      <c r="S191" s="133"/>
      <c r="T191" s="133"/>
      <c r="U191" s="133"/>
      <c r="V191" s="133"/>
      <c r="W191" s="133"/>
      <c r="X191" s="133"/>
      <c r="Y191" s="133"/>
    </row>
    <row r="192" spans="1:25" ht="15" customHeight="1" x14ac:dyDescent="0.3">
      <c r="A192" s="133"/>
      <c r="B192" s="133"/>
      <c r="C192" s="133"/>
      <c r="D192" s="133"/>
      <c r="E192" s="133"/>
      <c r="F192" s="133"/>
      <c r="G192" s="133"/>
      <c r="H192" s="133"/>
      <c r="I192" s="133"/>
      <c r="J192" s="133"/>
      <c r="K192" s="133"/>
      <c r="L192" s="133"/>
      <c r="M192" s="133"/>
      <c r="N192" s="133"/>
      <c r="O192" s="133"/>
      <c r="P192" s="133"/>
      <c r="Q192" s="133"/>
      <c r="R192" s="133"/>
      <c r="S192" s="133"/>
      <c r="T192" s="133"/>
      <c r="U192" s="133"/>
      <c r="V192" s="133"/>
      <c r="W192" s="133"/>
      <c r="X192" s="133"/>
      <c r="Y192" s="133"/>
    </row>
    <row r="193" spans="1:25" ht="15" customHeight="1" x14ac:dyDescent="0.3">
      <c r="A193" s="133"/>
      <c r="B193" s="133"/>
      <c r="C193" s="133"/>
      <c r="D193" s="133"/>
      <c r="E193" s="133"/>
      <c r="F193" s="133"/>
      <c r="G193" s="133"/>
      <c r="H193" s="133"/>
      <c r="I193" s="133"/>
      <c r="J193" s="133"/>
      <c r="K193" s="133"/>
      <c r="L193" s="133"/>
      <c r="M193" s="133"/>
      <c r="N193" s="133"/>
      <c r="O193" s="133"/>
      <c r="P193" s="133"/>
      <c r="Q193" s="133"/>
      <c r="R193" s="133"/>
      <c r="S193" s="133"/>
      <c r="T193" s="133"/>
      <c r="U193" s="133"/>
      <c r="V193" s="133"/>
      <c r="W193" s="133"/>
      <c r="X193" s="133"/>
      <c r="Y193" s="133"/>
    </row>
    <row r="194" spans="1:25" ht="15" customHeight="1" x14ac:dyDescent="0.3">
      <c r="A194" s="133"/>
      <c r="B194" s="133"/>
      <c r="C194" s="133"/>
      <c r="D194" s="133"/>
      <c r="E194" s="133"/>
      <c r="F194" s="133"/>
      <c r="G194" s="133"/>
      <c r="H194" s="133"/>
      <c r="I194" s="133"/>
      <c r="J194" s="133"/>
      <c r="K194" s="133"/>
      <c r="L194" s="133"/>
      <c r="M194" s="133"/>
      <c r="N194" s="133"/>
      <c r="O194" s="133"/>
      <c r="P194" s="133"/>
      <c r="Q194" s="133"/>
      <c r="R194" s="133"/>
      <c r="S194" s="133"/>
      <c r="T194" s="133"/>
      <c r="U194" s="133"/>
      <c r="V194" s="133"/>
      <c r="W194" s="133"/>
      <c r="X194" s="133"/>
      <c r="Y194" s="133"/>
    </row>
    <row r="195" spans="1:25" ht="15" customHeight="1" x14ac:dyDescent="0.3">
      <c r="A195" s="133"/>
      <c r="B195" s="133"/>
      <c r="C195" s="133"/>
      <c r="D195" s="133"/>
      <c r="E195" s="133"/>
      <c r="F195" s="133"/>
      <c r="G195" s="133"/>
      <c r="H195" s="133"/>
      <c r="I195" s="133"/>
      <c r="J195" s="133"/>
      <c r="K195" s="133"/>
      <c r="L195" s="133"/>
      <c r="M195" s="133"/>
      <c r="N195" s="133"/>
      <c r="O195" s="133"/>
      <c r="P195" s="133"/>
      <c r="Q195" s="133"/>
      <c r="R195" s="133"/>
      <c r="S195" s="133"/>
      <c r="T195" s="133"/>
      <c r="U195" s="133"/>
      <c r="V195" s="133"/>
      <c r="W195" s="133"/>
      <c r="X195" s="133"/>
      <c r="Y195" s="133"/>
    </row>
    <row r="196" spans="1:25" ht="15" customHeight="1" x14ac:dyDescent="0.3">
      <c r="A196" s="133"/>
      <c r="B196" s="133"/>
      <c r="C196" s="133"/>
      <c r="D196" s="133"/>
      <c r="E196" s="133"/>
      <c r="F196" s="133"/>
      <c r="G196" s="133"/>
      <c r="H196" s="133"/>
      <c r="I196" s="133"/>
      <c r="J196" s="133"/>
      <c r="K196" s="133"/>
      <c r="L196" s="133"/>
      <c r="M196" s="133"/>
      <c r="N196" s="133"/>
      <c r="O196" s="133"/>
      <c r="P196" s="133"/>
      <c r="Q196" s="133"/>
      <c r="R196" s="133"/>
      <c r="S196" s="133"/>
      <c r="T196" s="133"/>
      <c r="U196" s="133"/>
      <c r="V196" s="133"/>
      <c r="W196" s="133"/>
      <c r="X196" s="133"/>
      <c r="Y196" s="133"/>
    </row>
    <row r="197" spans="1:25" ht="15" customHeight="1" x14ac:dyDescent="0.3">
      <c r="A197" s="133"/>
      <c r="B197" s="133"/>
      <c r="C197" s="133"/>
      <c r="D197" s="133"/>
      <c r="E197" s="133"/>
      <c r="F197" s="133"/>
      <c r="G197" s="133"/>
      <c r="H197" s="133"/>
      <c r="I197" s="133"/>
      <c r="J197" s="133"/>
      <c r="K197" s="133"/>
      <c r="L197" s="133"/>
      <c r="M197" s="133"/>
      <c r="N197" s="133"/>
      <c r="O197" s="133"/>
      <c r="P197" s="133"/>
      <c r="Q197" s="133"/>
      <c r="R197" s="133"/>
      <c r="S197" s="133"/>
      <c r="T197" s="133"/>
      <c r="U197" s="133"/>
      <c r="V197" s="133"/>
      <c r="W197" s="133"/>
      <c r="X197" s="133"/>
      <c r="Y197" s="133"/>
    </row>
    <row r="198" spans="1:25" ht="15" customHeight="1" x14ac:dyDescent="0.3">
      <c r="A198" s="133"/>
      <c r="B198" s="133"/>
      <c r="C198" s="133"/>
      <c r="D198" s="133"/>
      <c r="E198" s="133"/>
      <c r="F198" s="133"/>
      <c r="G198" s="133"/>
      <c r="H198" s="133"/>
      <c r="I198" s="133"/>
      <c r="J198" s="133"/>
      <c r="K198" s="133"/>
      <c r="L198" s="133"/>
      <c r="M198" s="133"/>
      <c r="N198" s="133"/>
      <c r="O198" s="133"/>
      <c r="P198" s="133"/>
      <c r="Q198" s="133"/>
      <c r="R198" s="133"/>
      <c r="S198" s="133"/>
      <c r="T198" s="133"/>
      <c r="U198" s="133"/>
      <c r="V198" s="133"/>
      <c r="W198" s="133"/>
      <c r="X198" s="133"/>
      <c r="Y198" s="133"/>
    </row>
    <row r="199" spans="1:25" ht="15" customHeight="1" x14ac:dyDescent="0.3">
      <c r="A199" s="133"/>
      <c r="B199" s="133"/>
      <c r="C199" s="133"/>
      <c r="D199" s="133"/>
      <c r="E199" s="133"/>
      <c r="F199" s="133"/>
      <c r="G199" s="133"/>
      <c r="H199" s="133"/>
      <c r="I199" s="133"/>
      <c r="J199" s="133"/>
      <c r="K199" s="133"/>
      <c r="L199" s="133"/>
      <c r="M199" s="133"/>
      <c r="N199" s="133"/>
      <c r="O199" s="133"/>
      <c r="P199" s="133"/>
      <c r="Q199" s="133"/>
      <c r="R199" s="133"/>
      <c r="S199" s="133"/>
      <c r="T199" s="133"/>
      <c r="U199" s="133"/>
      <c r="V199" s="133"/>
      <c r="W199" s="133"/>
      <c r="X199" s="133"/>
      <c r="Y199" s="133"/>
    </row>
    <row r="200" spans="1:25" ht="15" customHeight="1" x14ac:dyDescent="0.3">
      <c r="A200" s="133"/>
      <c r="B200" s="133"/>
      <c r="C200" s="133"/>
      <c r="D200" s="133"/>
      <c r="E200" s="133"/>
      <c r="F200" s="133"/>
      <c r="G200" s="133"/>
      <c r="H200" s="133"/>
      <c r="I200" s="133"/>
      <c r="J200" s="133"/>
      <c r="K200" s="133"/>
      <c r="L200" s="133"/>
      <c r="M200" s="133"/>
      <c r="N200" s="133"/>
      <c r="O200" s="133"/>
      <c r="P200" s="133"/>
      <c r="Q200" s="133"/>
      <c r="R200" s="133"/>
      <c r="S200" s="133"/>
      <c r="T200" s="133"/>
      <c r="U200" s="133"/>
      <c r="V200" s="133"/>
      <c r="W200" s="133"/>
      <c r="X200" s="133"/>
      <c r="Y200" s="133"/>
    </row>
    <row r="201" spans="1:25" ht="15" customHeight="1" x14ac:dyDescent="0.3">
      <c r="A201" s="133"/>
      <c r="B201" s="133"/>
      <c r="C201" s="133"/>
      <c r="D201" s="133"/>
      <c r="E201" s="133"/>
      <c r="F201" s="133"/>
      <c r="G201" s="133"/>
      <c r="H201" s="133"/>
      <c r="I201" s="133"/>
      <c r="J201" s="133"/>
      <c r="K201" s="133"/>
      <c r="L201" s="133"/>
      <c r="M201" s="133"/>
      <c r="N201" s="133"/>
      <c r="O201" s="133"/>
      <c r="P201" s="133"/>
      <c r="Q201" s="133"/>
      <c r="R201" s="133"/>
      <c r="S201" s="133"/>
      <c r="T201" s="133"/>
      <c r="U201" s="133"/>
      <c r="V201" s="133"/>
      <c r="W201" s="133"/>
      <c r="X201" s="133"/>
      <c r="Y201" s="133"/>
    </row>
    <row r="202" spans="1:25" ht="15" customHeight="1" x14ac:dyDescent="0.3">
      <c r="A202" s="133"/>
      <c r="B202" s="133"/>
      <c r="C202" s="133"/>
      <c r="D202" s="133"/>
      <c r="E202" s="133"/>
      <c r="F202" s="133"/>
      <c r="G202" s="133"/>
      <c r="H202" s="133"/>
      <c r="I202" s="133"/>
      <c r="J202" s="133"/>
      <c r="K202" s="133"/>
      <c r="L202" s="133"/>
      <c r="M202" s="133"/>
      <c r="N202" s="133"/>
      <c r="O202" s="133"/>
      <c r="P202" s="133"/>
      <c r="Q202" s="133"/>
      <c r="R202" s="133"/>
      <c r="S202" s="133"/>
      <c r="T202" s="133"/>
      <c r="U202" s="133"/>
      <c r="V202" s="133"/>
      <c r="W202" s="133"/>
      <c r="X202" s="133"/>
      <c r="Y202" s="133"/>
    </row>
    <row r="203" spans="1:25" ht="15" customHeight="1" x14ac:dyDescent="0.3">
      <c r="A203" s="133"/>
      <c r="B203" s="133"/>
      <c r="C203" s="133"/>
      <c r="D203" s="133"/>
      <c r="E203" s="133"/>
      <c r="F203" s="133"/>
      <c r="G203" s="133"/>
      <c r="H203" s="133"/>
      <c r="I203" s="133"/>
      <c r="J203" s="133"/>
      <c r="K203" s="133"/>
      <c r="L203" s="133"/>
      <c r="M203" s="133"/>
      <c r="N203" s="133"/>
      <c r="O203" s="133"/>
      <c r="P203" s="133"/>
      <c r="Q203" s="133"/>
      <c r="R203" s="133"/>
      <c r="S203" s="133"/>
      <c r="T203" s="133"/>
      <c r="U203" s="133"/>
      <c r="V203" s="133"/>
      <c r="W203" s="133"/>
      <c r="X203" s="133"/>
      <c r="Y203" s="133"/>
    </row>
    <row r="204" spans="1:25" ht="15" customHeight="1" x14ac:dyDescent="0.3">
      <c r="A204" s="133"/>
      <c r="B204" s="133"/>
      <c r="C204" s="133"/>
      <c r="D204" s="133"/>
      <c r="E204" s="133"/>
      <c r="F204" s="133"/>
      <c r="G204" s="133"/>
      <c r="H204" s="133"/>
      <c r="I204" s="133"/>
      <c r="J204" s="133"/>
      <c r="K204" s="133"/>
      <c r="L204" s="133"/>
      <c r="M204" s="133"/>
      <c r="N204" s="133"/>
      <c r="O204" s="133"/>
      <c r="P204" s="133"/>
      <c r="Q204" s="133"/>
      <c r="R204" s="133"/>
      <c r="S204" s="133"/>
      <c r="T204" s="133"/>
      <c r="U204" s="133"/>
      <c r="V204" s="133"/>
      <c r="W204" s="133"/>
      <c r="X204" s="133"/>
      <c r="Y204" s="133"/>
    </row>
    <row r="205" spans="1:25" ht="15" customHeight="1" x14ac:dyDescent="0.3">
      <c r="A205" s="133"/>
      <c r="B205" s="133"/>
      <c r="C205" s="133"/>
      <c r="D205" s="133"/>
      <c r="E205" s="133"/>
      <c r="F205" s="133"/>
      <c r="G205" s="133"/>
      <c r="H205" s="133"/>
      <c r="I205" s="133"/>
      <c r="J205" s="133"/>
      <c r="K205" s="133"/>
      <c r="L205" s="133"/>
      <c r="M205" s="133"/>
      <c r="N205" s="133"/>
      <c r="O205" s="133"/>
      <c r="P205" s="133"/>
      <c r="Q205" s="133"/>
      <c r="R205" s="133"/>
      <c r="S205" s="133"/>
      <c r="T205" s="133"/>
      <c r="U205" s="133"/>
      <c r="V205" s="133"/>
      <c r="W205" s="133"/>
      <c r="X205" s="133"/>
      <c r="Y205" s="133"/>
    </row>
    <row r="206" spans="1:25" ht="15" customHeight="1" x14ac:dyDescent="0.3">
      <c r="A206" s="133"/>
      <c r="B206" s="133"/>
      <c r="C206" s="133"/>
      <c r="D206" s="133"/>
      <c r="E206" s="133"/>
      <c r="F206" s="133"/>
      <c r="G206" s="133"/>
      <c r="H206" s="133"/>
      <c r="I206" s="133"/>
      <c r="J206" s="133"/>
      <c r="K206" s="133"/>
      <c r="L206" s="133"/>
      <c r="M206" s="133"/>
      <c r="N206" s="133"/>
      <c r="O206" s="133"/>
      <c r="P206" s="133"/>
      <c r="Q206" s="133"/>
      <c r="R206" s="133"/>
      <c r="S206" s="133"/>
      <c r="T206" s="133"/>
      <c r="U206" s="133"/>
      <c r="V206" s="133"/>
      <c r="W206" s="133"/>
      <c r="X206" s="133"/>
      <c r="Y206" s="133"/>
    </row>
    <row r="207" spans="1:25" ht="15" customHeight="1" x14ac:dyDescent="0.3">
      <c r="A207" s="133"/>
      <c r="B207" s="133"/>
      <c r="C207" s="133"/>
      <c r="D207" s="133"/>
      <c r="E207" s="133"/>
      <c r="F207" s="133"/>
      <c r="G207" s="133"/>
      <c r="H207" s="133"/>
      <c r="I207" s="133"/>
      <c r="J207" s="133"/>
      <c r="K207" s="133"/>
      <c r="L207" s="133"/>
      <c r="M207" s="133"/>
      <c r="N207" s="133"/>
      <c r="O207" s="133"/>
      <c r="P207" s="133"/>
      <c r="Q207" s="133"/>
      <c r="R207" s="133"/>
      <c r="S207" s="133"/>
      <c r="T207" s="133"/>
      <c r="U207" s="133"/>
      <c r="V207" s="133"/>
      <c r="W207" s="133"/>
      <c r="X207" s="133"/>
      <c r="Y207" s="133"/>
    </row>
    <row r="208" spans="1:25" ht="15" customHeight="1" x14ac:dyDescent="0.3">
      <c r="A208" s="133"/>
      <c r="B208" s="133"/>
      <c r="C208" s="133"/>
      <c r="D208" s="133"/>
      <c r="E208" s="133"/>
      <c r="F208" s="133"/>
      <c r="G208" s="133"/>
      <c r="H208" s="133"/>
      <c r="I208" s="133"/>
      <c r="J208" s="133"/>
      <c r="K208" s="133"/>
      <c r="L208" s="133"/>
      <c r="M208" s="133"/>
      <c r="N208" s="133"/>
      <c r="O208" s="133"/>
      <c r="P208" s="133"/>
      <c r="Q208" s="133"/>
      <c r="R208" s="133"/>
      <c r="S208" s="133"/>
      <c r="T208" s="133"/>
      <c r="U208" s="133"/>
      <c r="V208" s="133"/>
      <c r="W208" s="133"/>
      <c r="X208" s="133"/>
      <c r="Y208" s="133"/>
    </row>
    <row r="209" spans="1:25" ht="15" customHeight="1" x14ac:dyDescent="0.3">
      <c r="A209" s="133"/>
      <c r="B209" s="133"/>
      <c r="C209" s="133"/>
      <c r="D209" s="133"/>
      <c r="E209" s="133"/>
      <c r="F209" s="133"/>
      <c r="G209" s="133"/>
      <c r="H209" s="133"/>
      <c r="I209" s="133"/>
      <c r="J209" s="133"/>
      <c r="K209" s="133"/>
      <c r="L209" s="133"/>
      <c r="M209" s="133"/>
      <c r="N209" s="133"/>
      <c r="O209" s="133"/>
      <c r="P209" s="133"/>
      <c r="Q209" s="133"/>
      <c r="R209" s="133"/>
      <c r="S209" s="133"/>
      <c r="T209" s="133"/>
      <c r="U209" s="133"/>
      <c r="V209" s="133"/>
      <c r="W209" s="133"/>
      <c r="X209" s="133"/>
      <c r="Y209" s="133"/>
    </row>
    <row r="210" spans="1:25" ht="15" customHeight="1" x14ac:dyDescent="0.3">
      <c r="A210" s="133"/>
      <c r="B210" s="133"/>
      <c r="C210" s="133"/>
      <c r="D210" s="133"/>
      <c r="E210" s="133"/>
      <c r="F210" s="133"/>
      <c r="G210" s="133"/>
      <c r="H210" s="133"/>
      <c r="I210" s="133"/>
      <c r="J210" s="133"/>
      <c r="K210" s="133"/>
      <c r="L210" s="133"/>
      <c r="M210" s="133"/>
      <c r="N210" s="133"/>
      <c r="O210" s="133"/>
      <c r="P210" s="133"/>
      <c r="Q210" s="133"/>
      <c r="R210" s="133"/>
      <c r="S210" s="133"/>
      <c r="T210" s="133"/>
      <c r="U210" s="133"/>
      <c r="V210" s="133"/>
      <c r="W210" s="133"/>
      <c r="X210" s="133"/>
      <c r="Y210" s="133"/>
    </row>
    <row r="211" spans="1:25" ht="15" customHeight="1" x14ac:dyDescent="0.3">
      <c r="A211" s="133"/>
      <c r="B211" s="133"/>
      <c r="C211" s="133"/>
      <c r="D211" s="133"/>
      <c r="E211" s="133"/>
      <c r="F211" s="133"/>
      <c r="G211" s="133"/>
      <c r="H211" s="133"/>
      <c r="I211" s="133"/>
      <c r="J211" s="133"/>
      <c r="K211" s="133"/>
      <c r="L211" s="133"/>
      <c r="M211" s="133"/>
      <c r="N211" s="133"/>
      <c r="O211" s="133"/>
      <c r="P211" s="133"/>
      <c r="Q211" s="133"/>
      <c r="R211" s="133"/>
      <c r="S211" s="133"/>
      <c r="T211" s="133"/>
      <c r="U211" s="133"/>
      <c r="V211" s="133"/>
      <c r="W211" s="133"/>
      <c r="X211" s="133"/>
      <c r="Y211" s="133"/>
    </row>
    <row r="212" spans="1:25" ht="15" customHeight="1" x14ac:dyDescent="0.3">
      <c r="A212" s="133"/>
      <c r="B212" s="133"/>
      <c r="C212" s="133"/>
      <c r="D212" s="133"/>
      <c r="E212" s="133"/>
      <c r="F212" s="133"/>
      <c r="G212" s="133"/>
      <c r="H212" s="133"/>
      <c r="I212" s="133"/>
      <c r="J212" s="133"/>
      <c r="K212" s="133"/>
      <c r="L212" s="133"/>
      <c r="M212" s="133"/>
      <c r="N212" s="133"/>
      <c r="O212" s="133"/>
      <c r="P212" s="133"/>
      <c r="Q212" s="133"/>
      <c r="R212" s="133"/>
      <c r="S212" s="133"/>
      <c r="T212" s="133"/>
      <c r="U212" s="133"/>
      <c r="V212" s="133"/>
      <c r="W212" s="133"/>
      <c r="X212" s="133"/>
      <c r="Y212" s="133"/>
    </row>
    <row r="213" spans="1:25" ht="15" customHeight="1" x14ac:dyDescent="0.3">
      <c r="A213" s="133"/>
      <c r="B213" s="133"/>
      <c r="C213" s="133"/>
      <c r="D213" s="133"/>
      <c r="E213" s="133"/>
      <c r="F213" s="133"/>
      <c r="G213" s="133"/>
      <c r="H213" s="133"/>
      <c r="I213" s="133"/>
      <c r="J213" s="133"/>
      <c r="K213" s="133"/>
      <c r="L213" s="133"/>
      <c r="M213" s="133"/>
      <c r="N213" s="133"/>
      <c r="O213" s="133"/>
      <c r="P213" s="133"/>
      <c r="Q213" s="133"/>
      <c r="R213" s="133"/>
      <c r="S213" s="133"/>
      <c r="T213" s="133"/>
      <c r="U213" s="133"/>
      <c r="V213" s="133"/>
      <c r="W213" s="133"/>
      <c r="X213" s="133"/>
      <c r="Y213" s="133"/>
    </row>
    <row r="214" spans="1:25" ht="15" customHeight="1" x14ac:dyDescent="0.3">
      <c r="A214" s="133"/>
      <c r="B214" s="133"/>
      <c r="C214" s="133"/>
      <c r="D214" s="133"/>
      <c r="E214" s="133"/>
      <c r="F214" s="133"/>
      <c r="G214" s="133"/>
      <c r="H214" s="133"/>
      <c r="I214" s="133"/>
      <c r="J214" s="133"/>
      <c r="K214" s="133"/>
      <c r="L214" s="133"/>
      <c r="M214" s="133"/>
      <c r="N214" s="133"/>
      <c r="O214" s="133"/>
      <c r="P214" s="133"/>
      <c r="Q214" s="133"/>
      <c r="R214" s="133"/>
      <c r="S214" s="133"/>
      <c r="T214" s="133"/>
      <c r="U214" s="133"/>
      <c r="V214" s="133"/>
      <c r="W214" s="133"/>
      <c r="X214" s="133"/>
      <c r="Y214" s="133"/>
    </row>
    <row r="215" spans="1:25" ht="15" customHeight="1" x14ac:dyDescent="0.3">
      <c r="A215" s="133"/>
      <c r="B215" s="133"/>
      <c r="C215" s="133"/>
      <c r="D215" s="133"/>
      <c r="E215" s="133"/>
      <c r="F215" s="133"/>
      <c r="G215" s="133"/>
      <c r="H215" s="133"/>
      <c r="I215" s="133"/>
      <c r="J215" s="133"/>
      <c r="K215" s="133"/>
      <c r="L215" s="133"/>
      <c r="M215" s="133"/>
      <c r="N215" s="133"/>
      <c r="O215" s="133"/>
      <c r="P215" s="133"/>
      <c r="Q215" s="133"/>
      <c r="R215" s="133"/>
      <c r="S215" s="133"/>
      <c r="T215" s="133"/>
      <c r="U215" s="133"/>
      <c r="V215" s="133"/>
      <c r="W215" s="133"/>
      <c r="X215" s="133"/>
      <c r="Y215" s="133"/>
    </row>
    <row r="216" spans="1:25" ht="15" customHeight="1" x14ac:dyDescent="0.3">
      <c r="A216" s="133"/>
      <c r="B216" s="133"/>
      <c r="C216" s="133"/>
      <c r="D216" s="133"/>
      <c r="E216" s="133"/>
      <c r="F216" s="133"/>
      <c r="G216" s="133"/>
      <c r="H216" s="133"/>
      <c r="I216" s="133"/>
      <c r="J216" s="133"/>
      <c r="K216" s="133"/>
      <c r="L216" s="133"/>
      <c r="M216" s="133"/>
      <c r="N216" s="133"/>
      <c r="O216" s="133"/>
      <c r="P216" s="133"/>
      <c r="Q216" s="133"/>
      <c r="R216" s="133"/>
      <c r="S216" s="133"/>
      <c r="T216" s="133"/>
      <c r="U216" s="133"/>
      <c r="V216" s="133"/>
      <c r="W216" s="133"/>
      <c r="X216" s="133"/>
      <c r="Y216" s="133"/>
    </row>
    <row r="217" spans="1:25" ht="15" customHeight="1" x14ac:dyDescent="0.3">
      <c r="A217" s="133"/>
      <c r="B217" s="133"/>
      <c r="C217" s="133"/>
      <c r="D217" s="133"/>
      <c r="E217" s="133"/>
      <c r="F217" s="133"/>
      <c r="G217" s="133"/>
      <c r="H217" s="133"/>
      <c r="I217" s="133"/>
      <c r="J217" s="133"/>
      <c r="K217" s="133"/>
      <c r="L217" s="133"/>
      <c r="M217" s="133"/>
      <c r="N217" s="133"/>
      <c r="O217" s="133"/>
      <c r="P217" s="133"/>
      <c r="Q217" s="133"/>
      <c r="R217" s="133"/>
      <c r="S217" s="133"/>
      <c r="T217" s="133"/>
      <c r="U217" s="133"/>
      <c r="V217" s="133"/>
      <c r="W217" s="133"/>
      <c r="X217" s="133"/>
      <c r="Y217" s="133"/>
    </row>
    <row r="218" spans="1:25" ht="15" customHeight="1" x14ac:dyDescent="0.3">
      <c r="A218" s="133"/>
      <c r="B218" s="133"/>
      <c r="C218" s="133"/>
      <c r="D218" s="133"/>
      <c r="E218" s="133"/>
      <c r="F218" s="133"/>
      <c r="G218" s="133"/>
      <c r="H218" s="133"/>
      <c r="I218" s="133"/>
      <c r="J218" s="133"/>
      <c r="K218" s="133"/>
      <c r="L218" s="133"/>
      <c r="M218" s="133"/>
      <c r="N218" s="133"/>
      <c r="O218" s="133"/>
      <c r="P218" s="133"/>
      <c r="Q218" s="133"/>
      <c r="R218" s="133"/>
      <c r="S218" s="133"/>
      <c r="T218" s="133"/>
      <c r="U218" s="133"/>
      <c r="V218" s="133"/>
      <c r="W218" s="133"/>
      <c r="X218" s="133"/>
      <c r="Y218" s="133"/>
    </row>
    <row r="219" spans="1:25" ht="15" customHeight="1" x14ac:dyDescent="0.3">
      <c r="A219" s="133"/>
      <c r="B219" s="133"/>
      <c r="C219" s="133"/>
      <c r="D219" s="133"/>
      <c r="E219" s="133"/>
      <c r="F219" s="133"/>
      <c r="G219" s="133"/>
      <c r="H219" s="133"/>
      <c r="I219" s="133"/>
      <c r="J219" s="133"/>
      <c r="K219" s="133"/>
      <c r="L219" s="133"/>
      <c r="M219" s="133"/>
      <c r="N219" s="133"/>
      <c r="O219" s="133"/>
      <c r="P219" s="133"/>
      <c r="Q219" s="133"/>
      <c r="R219" s="133"/>
      <c r="S219" s="133"/>
      <c r="T219" s="133"/>
      <c r="U219" s="133"/>
      <c r="V219" s="133"/>
      <c r="W219" s="133"/>
      <c r="X219" s="133"/>
      <c r="Y219" s="133"/>
    </row>
    <row r="220" spans="1:25" ht="15" customHeight="1" x14ac:dyDescent="0.3">
      <c r="A220" s="133"/>
      <c r="B220" s="133"/>
      <c r="C220" s="133"/>
      <c r="D220" s="133"/>
      <c r="E220" s="133"/>
      <c r="F220" s="133"/>
      <c r="G220" s="133"/>
      <c r="H220" s="133"/>
      <c r="I220" s="133"/>
      <c r="J220" s="133"/>
      <c r="K220" s="133"/>
      <c r="L220" s="133"/>
      <c r="M220" s="133"/>
      <c r="N220" s="133"/>
      <c r="O220" s="133"/>
      <c r="P220" s="133"/>
      <c r="Q220" s="133"/>
      <c r="R220" s="133"/>
      <c r="S220" s="133"/>
      <c r="T220" s="133"/>
      <c r="U220" s="133"/>
      <c r="V220" s="133"/>
      <c r="W220" s="133"/>
      <c r="X220" s="133"/>
      <c r="Y220" s="133"/>
    </row>
    <row r="221" spans="1:25" ht="15" customHeight="1" x14ac:dyDescent="0.3">
      <c r="A221" s="133"/>
      <c r="B221" s="133"/>
      <c r="C221" s="133"/>
      <c r="D221" s="133"/>
      <c r="E221" s="133"/>
      <c r="F221" s="133"/>
      <c r="G221" s="133"/>
      <c r="H221" s="133"/>
      <c r="I221" s="133"/>
      <c r="J221" s="133"/>
      <c r="K221" s="133"/>
      <c r="L221" s="133"/>
      <c r="M221" s="133"/>
      <c r="N221" s="133"/>
      <c r="O221" s="133"/>
      <c r="P221" s="133"/>
      <c r="Q221" s="133"/>
      <c r="R221" s="133"/>
      <c r="S221" s="133"/>
      <c r="T221" s="133"/>
      <c r="U221" s="133"/>
      <c r="V221" s="133"/>
      <c r="W221" s="133"/>
      <c r="X221" s="133"/>
      <c r="Y221" s="133"/>
    </row>
    <row r="222" spans="1:25" ht="15" customHeight="1" x14ac:dyDescent="0.3">
      <c r="A222" s="133"/>
      <c r="B222" s="133"/>
      <c r="C222" s="133"/>
      <c r="D222" s="133"/>
      <c r="E222" s="133"/>
      <c r="F222" s="133"/>
      <c r="G222" s="133"/>
      <c r="H222" s="133"/>
      <c r="I222" s="133"/>
      <c r="J222" s="133"/>
      <c r="K222" s="133"/>
      <c r="L222" s="133"/>
      <c r="M222" s="133"/>
      <c r="N222" s="133"/>
      <c r="O222" s="133"/>
      <c r="P222" s="133"/>
      <c r="Q222" s="133"/>
      <c r="R222" s="133"/>
      <c r="S222" s="133"/>
      <c r="T222" s="133"/>
      <c r="U222" s="133"/>
      <c r="V222" s="133"/>
      <c r="W222" s="133"/>
      <c r="X222" s="133"/>
      <c r="Y222" s="133"/>
    </row>
    <row r="223" spans="1:25" ht="15" customHeight="1" x14ac:dyDescent="0.3">
      <c r="A223" s="133"/>
      <c r="B223" s="133"/>
      <c r="C223" s="133"/>
      <c r="D223" s="133"/>
      <c r="E223" s="133"/>
      <c r="F223" s="133"/>
      <c r="G223" s="133"/>
      <c r="H223" s="133"/>
      <c r="I223" s="133"/>
      <c r="J223" s="133"/>
      <c r="K223" s="133"/>
      <c r="L223" s="133"/>
      <c r="M223" s="133"/>
      <c r="N223" s="133"/>
      <c r="O223" s="133"/>
      <c r="P223" s="133"/>
      <c r="Q223" s="133"/>
      <c r="R223" s="133"/>
      <c r="S223" s="133"/>
      <c r="T223" s="133"/>
      <c r="U223" s="133"/>
      <c r="V223" s="133"/>
      <c r="W223" s="133"/>
      <c r="X223" s="133"/>
      <c r="Y223" s="133"/>
    </row>
    <row r="224" spans="1:25" ht="15" customHeight="1" x14ac:dyDescent="0.3">
      <c r="A224" s="133"/>
      <c r="B224" s="133"/>
      <c r="C224" s="133"/>
      <c r="D224" s="133"/>
      <c r="E224" s="133"/>
      <c r="F224" s="133"/>
      <c r="G224" s="133"/>
      <c r="H224" s="133"/>
      <c r="I224" s="133"/>
      <c r="J224" s="133"/>
      <c r="K224" s="133"/>
      <c r="L224" s="133"/>
      <c r="M224" s="133"/>
      <c r="N224" s="133"/>
      <c r="O224" s="133"/>
      <c r="P224" s="133"/>
      <c r="Q224" s="133"/>
      <c r="R224" s="133"/>
      <c r="S224" s="133"/>
      <c r="T224" s="133"/>
      <c r="U224" s="133"/>
      <c r="V224" s="133"/>
      <c r="W224" s="133"/>
      <c r="X224" s="133"/>
      <c r="Y224" s="133"/>
    </row>
    <row r="225" spans="1:25" ht="15" customHeight="1" x14ac:dyDescent="0.3">
      <c r="A225" s="133"/>
      <c r="B225" s="133"/>
      <c r="C225" s="133"/>
      <c r="D225" s="133"/>
      <c r="E225" s="133"/>
      <c r="F225" s="133"/>
      <c r="G225" s="133"/>
      <c r="H225" s="133"/>
      <c r="I225" s="133"/>
      <c r="J225" s="133"/>
      <c r="K225" s="133"/>
      <c r="L225" s="133"/>
      <c r="M225" s="133"/>
      <c r="N225" s="133"/>
      <c r="O225" s="133"/>
      <c r="P225" s="133"/>
      <c r="Q225" s="133"/>
      <c r="R225" s="133"/>
      <c r="S225" s="133"/>
      <c r="T225" s="133"/>
      <c r="U225" s="133"/>
      <c r="V225" s="133"/>
      <c r="W225" s="133"/>
      <c r="X225" s="133"/>
      <c r="Y225" s="133"/>
    </row>
    <row r="226" spans="1:25" ht="15" customHeight="1" x14ac:dyDescent="0.3">
      <c r="A226" s="133"/>
      <c r="B226" s="133"/>
      <c r="C226" s="133"/>
      <c r="D226" s="133"/>
      <c r="E226" s="133"/>
      <c r="F226" s="133"/>
      <c r="G226" s="133"/>
      <c r="H226" s="133"/>
      <c r="I226" s="133"/>
      <c r="J226" s="133"/>
      <c r="K226" s="133"/>
      <c r="L226" s="133"/>
      <c r="M226" s="133"/>
      <c r="N226" s="133"/>
      <c r="O226" s="133"/>
      <c r="P226" s="133"/>
      <c r="Q226" s="133"/>
      <c r="R226" s="133"/>
      <c r="S226" s="133"/>
      <c r="T226" s="133"/>
      <c r="U226" s="133"/>
      <c r="V226" s="133"/>
      <c r="W226" s="133"/>
      <c r="X226" s="133"/>
      <c r="Y226" s="133"/>
    </row>
    <row r="227" spans="1:25" ht="15" customHeight="1" x14ac:dyDescent="0.3">
      <c r="A227" s="133"/>
      <c r="B227" s="133"/>
      <c r="C227" s="133"/>
      <c r="D227" s="133"/>
      <c r="E227" s="133"/>
      <c r="F227" s="133"/>
      <c r="G227" s="133"/>
      <c r="H227" s="133"/>
      <c r="I227" s="133"/>
      <c r="J227" s="133"/>
      <c r="K227" s="133"/>
      <c r="L227" s="133"/>
      <c r="M227" s="133"/>
      <c r="N227" s="133"/>
      <c r="O227" s="133"/>
      <c r="P227" s="133"/>
      <c r="Q227" s="133"/>
      <c r="R227" s="133"/>
      <c r="S227" s="133"/>
      <c r="T227" s="133"/>
      <c r="U227" s="133"/>
      <c r="V227" s="133"/>
      <c r="W227" s="133"/>
      <c r="X227" s="133"/>
      <c r="Y227" s="133"/>
    </row>
    <row r="228" spans="1:25" ht="15" customHeight="1" x14ac:dyDescent="0.3">
      <c r="A228" s="133"/>
      <c r="B228" s="133"/>
      <c r="C228" s="133"/>
      <c r="D228" s="133"/>
      <c r="E228" s="133"/>
      <c r="F228" s="133"/>
      <c r="G228" s="133"/>
      <c r="H228" s="133"/>
      <c r="I228" s="133"/>
      <c r="J228" s="133"/>
      <c r="K228" s="133"/>
      <c r="L228" s="133"/>
      <c r="M228" s="133"/>
      <c r="N228" s="133"/>
      <c r="O228" s="133"/>
      <c r="P228" s="133"/>
      <c r="Q228" s="133"/>
      <c r="R228" s="133"/>
      <c r="S228" s="133"/>
      <c r="T228" s="133"/>
      <c r="U228" s="133"/>
      <c r="V228" s="133"/>
      <c r="W228" s="133"/>
      <c r="X228" s="133"/>
      <c r="Y228" s="133"/>
    </row>
    <row r="229" spans="1:25" ht="15" customHeight="1" x14ac:dyDescent="0.3">
      <c r="A229" s="133"/>
      <c r="B229" s="133"/>
      <c r="C229" s="133"/>
      <c r="D229" s="133"/>
      <c r="E229" s="133"/>
      <c r="F229" s="133"/>
      <c r="G229" s="133"/>
      <c r="H229" s="133"/>
      <c r="I229" s="133"/>
      <c r="J229" s="133"/>
      <c r="K229" s="133"/>
      <c r="L229" s="133"/>
      <c r="M229" s="133"/>
      <c r="N229" s="133"/>
      <c r="O229" s="133"/>
      <c r="P229" s="133"/>
      <c r="Q229" s="133"/>
      <c r="R229" s="133"/>
      <c r="S229" s="133"/>
      <c r="T229" s="133"/>
      <c r="U229" s="133"/>
      <c r="V229" s="133"/>
      <c r="W229" s="133"/>
      <c r="X229" s="133"/>
      <c r="Y229" s="133"/>
    </row>
    <row r="230" spans="1:25" ht="15" customHeight="1" x14ac:dyDescent="0.3">
      <c r="A230" s="133"/>
      <c r="B230" s="133"/>
      <c r="C230" s="133"/>
      <c r="D230" s="133"/>
      <c r="E230" s="133"/>
      <c r="F230" s="133"/>
      <c r="G230" s="133"/>
      <c r="H230" s="133"/>
      <c r="I230" s="133"/>
      <c r="J230" s="133"/>
      <c r="K230" s="133"/>
      <c r="L230" s="133"/>
      <c r="M230" s="133"/>
      <c r="N230" s="133"/>
      <c r="O230" s="133"/>
      <c r="P230" s="133"/>
      <c r="Q230" s="133"/>
      <c r="R230" s="133"/>
      <c r="S230" s="133"/>
      <c r="T230" s="133"/>
      <c r="U230" s="133"/>
      <c r="V230" s="133"/>
      <c r="W230" s="133"/>
      <c r="X230" s="133"/>
      <c r="Y230" s="133"/>
    </row>
    <row r="231" spans="1:25" ht="15" customHeight="1" x14ac:dyDescent="0.3">
      <c r="A231" s="133"/>
      <c r="B231" s="145"/>
      <c r="C231" s="145"/>
      <c r="D231" s="145"/>
      <c r="E231" s="145"/>
      <c r="F231" s="145"/>
      <c r="G231" s="145"/>
      <c r="H231" s="145"/>
      <c r="I231" s="145"/>
      <c r="J231" s="145"/>
      <c r="K231" s="145"/>
      <c r="L231" s="145"/>
      <c r="M231" s="145"/>
      <c r="N231" s="145"/>
      <c r="O231" s="145"/>
      <c r="P231" s="145"/>
      <c r="Q231" s="145"/>
      <c r="R231" s="145"/>
      <c r="S231" s="145"/>
      <c r="T231" s="145"/>
      <c r="U231" s="145"/>
      <c r="V231" s="145"/>
      <c r="W231" s="145"/>
      <c r="X231" s="145"/>
      <c r="Y231" s="133"/>
    </row>
    <row r="232" spans="1:25" ht="15" customHeight="1" x14ac:dyDescent="0.3">
      <c r="A232" s="133"/>
      <c r="B232" s="133"/>
      <c r="C232" s="133"/>
      <c r="D232" s="133"/>
      <c r="E232" s="133"/>
      <c r="F232" s="133"/>
      <c r="G232" s="133"/>
      <c r="H232" s="133"/>
      <c r="I232" s="133"/>
      <c r="J232" s="133"/>
      <c r="K232" s="133"/>
      <c r="L232" s="133"/>
      <c r="M232" s="133"/>
      <c r="N232" s="133"/>
      <c r="O232" s="133"/>
      <c r="P232" s="133"/>
      <c r="Q232" s="133"/>
      <c r="R232" s="133"/>
      <c r="S232" s="133"/>
      <c r="T232" s="133"/>
      <c r="U232" s="133"/>
      <c r="V232" s="133"/>
      <c r="W232" s="133"/>
      <c r="X232" s="133"/>
      <c r="Y232" s="133"/>
    </row>
  </sheetData>
  <mergeCells count="12">
    <mergeCell ref="B2:X4"/>
    <mergeCell ref="B46:X47"/>
    <mergeCell ref="B86:X87"/>
    <mergeCell ref="B231:X231"/>
    <mergeCell ref="C6:F6"/>
    <mergeCell ref="H6:I6"/>
    <mergeCell ref="C8:E8"/>
    <mergeCell ref="C9:E9"/>
    <mergeCell ref="C10:E10"/>
    <mergeCell ref="C11:E11"/>
    <mergeCell ref="C7:E7"/>
    <mergeCell ref="B128:X12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D0124-9110-45EA-B6FB-C927762B556B}">
  <dimension ref="B2:M53"/>
  <sheetViews>
    <sheetView topLeftCell="A17" zoomScale="45" zoomScaleNormal="70" workbookViewId="0">
      <selection activeCell="J81" sqref="J81"/>
    </sheetView>
  </sheetViews>
  <sheetFormatPr defaultRowHeight="14.4" x14ac:dyDescent="0.3"/>
  <cols>
    <col min="1" max="1" width="8.88671875" style="3"/>
    <col min="2" max="2" width="50.44140625" style="3" bestFit="1" customWidth="1"/>
    <col min="3" max="3" width="24.109375" style="3" customWidth="1"/>
    <col min="4" max="4" width="20.5546875" style="3" customWidth="1"/>
    <col min="5" max="5" width="21.21875" style="3" bestFit="1" customWidth="1"/>
    <col min="6" max="6" width="26.88671875" style="3" customWidth="1"/>
    <col min="7" max="7" width="27.109375" style="3" customWidth="1"/>
    <col min="8" max="8" width="15.21875" style="3" customWidth="1"/>
    <col min="9" max="9" width="9.33203125" style="3" customWidth="1"/>
    <col min="10" max="10" width="32.44140625" style="3" customWidth="1"/>
    <col min="11" max="11" width="15.33203125" style="3" bestFit="1" customWidth="1"/>
    <col min="12" max="12" width="11.77734375" style="3" bestFit="1" customWidth="1"/>
    <col min="13" max="16384" width="8.88671875" style="3"/>
  </cols>
  <sheetData>
    <row r="2" spans="2:13" ht="14.4" customHeight="1" x14ac:dyDescent="0.3">
      <c r="B2" s="154" t="s">
        <v>153</v>
      </c>
      <c r="C2" s="154"/>
      <c r="D2" s="154"/>
      <c r="E2" s="154"/>
      <c r="F2" s="154"/>
      <c r="G2" s="154"/>
      <c r="H2" s="154"/>
      <c r="I2" s="154"/>
      <c r="J2" s="154"/>
      <c r="K2" s="154"/>
      <c r="L2" s="154"/>
      <c r="M2" s="154"/>
    </row>
    <row r="3" spans="2:13" ht="14.4" customHeight="1" x14ac:dyDescent="0.3">
      <c r="B3" s="154"/>
      <c r="C3" s="154"/>
      <c r="D3" s="154"/>
      <c r="E3" s="154"/>
      <c r="F3" s="154"/>
      <c r="G3" s="154"/>
      <c r="H3" s="154"/>
      <c r="I3" s="154"/>
      <c r="J3" s="154"/>
      <c r="K3" s="154"/>
      <c r="L3" s="154"/>
      <c r="M3" s="154"/>
    </row>
    <row r="4" spans="2:13" ht="14.4" customHeight="1" x14ac:dyDescent="0.3">
      <c r="B4" s="154"/>
      <c r="C4" s="154"/>
      <c r="D4" s="154"/>
      <c r="E4" s="154"/>
      <c r="F4" s="154"/>
      <c r="G4" s="154"/>
      <c r="H4" s="154"/>
      <c r="I4" s="154"/>
      <c r="J4" s="154"/>
      <c r="K4" s="154"/>
      <c r="L4" s="154"/>
      <c r="M4" s="154"/>
    </row>
    <row r="6" spans="2:13" ht="14.4" customHeight="1" x14ac:dyDescent="0.3">
      <c r="B6" s="153" t="s">
        <v>145</v>
      </c>
      <c r="C6" s="153"/>
      <c r="D6" s="153"/>
      <c r="E6" s="153"/>
      <c r="F6" s="153"/>
      <c r="G6" s="153"/>
      <c r="H6" s="153"/>
      <c r="I6" s="118"/>
      <c r="J6" s="153" t="s">
        <v>146</v>
      </c>
      <c r="K6" s="153"/>
      <c r="L6" s="153"/>
      <c r="M6" s="153"/>
    </row>
    <row r="7" spans="2:13" ht="14.4" customHeight="1" x14ac:dyDescent="0.3">
      <c r="B7" s="153"/>
      <c r="C7" s="153"/>
      <c r="D7" s="153"/>
      <c r="E7" s="153"/>
      <c r="F7" s="153"/>
      <c r="G7" s="153"/>
      <c r="H7" s="153"/>
      <c r="I7" s="118"/>
      <c r="J7" s="153"/>
      <c r="K7" s="153"/>
      <c r="L7" s="153"/>
      <c r="M7" s="153"/>
    </row>
    <row r="9" spans="2:13" x14ac:dyDescent="0.3">
      <c r="B9" s="101" t="s">
        <v>138</v>
      </c>
      <c r="C9" s="102" t="s">
        <v>139</v>
      </c>
      <c r="D9" s="102" t="s">
        <v>140</v>
      </c>
      <c r="E9" s="102" t="s">
        <v>141</v>
      </c>
      <c r="F9" s="102" t="s">
        <v>142</v>
      </c>
      <c r="G9" s="102" t="s">
        <v>143</v>
      </c>
      <c r="H9" s="102" t="s">
        <v>45</v>
      </c>
      <c r="J9" s="116" t="s">
        <v>138</v>
      </c>
      <c r="K9" s="117" t="s">
        <v>150</v>
      </c>
      <c r="L9" s="117" t="s">
        <v>147</v>
      </c>
      <c r="M9" s="117" t="s">
        <v>151</v>
      </c>
    </row>
    <row r="10" spans="2:13" x14ac:dyDescent="0.3">
      <c r="B10" s="84" t="s">
        <v>135</v>
      </c>
      <c r="C10" s="99">
        <f>MIN(NPV_Impact_Electricity_Price)</f>
        <v>-6093924.1302413587</v>
      </c>
      <c r="D10" s="99">
        <f>_xlfn.XLOOKUP('Input Data (+SSA)'!$B$64,'Input Data (+SSA)'!$B$62:$B$68,NPV_Impact_Electricity_Price)</f>
        <v>5936963.4359697849</v>
      </c>
      <c r="E10" s="99">
        <f>_xlfn.XLOOKUP('Input Data (+SSA)'!$B$66,'Input Data (+SSA)'!$B$62:$B$68,NPV_Impact_Electricity_Price)</f>
        <v>11566774.942326505</v>
      </c>
      <c r="F10" s="99">
        <f>MAX(NPV_Impact_Electricity_Price)</f>
        <v>22826397.955039933</v>
      </c>
      <c r="G10" s="99">
        <f t="shared" ref="G10:G16" si="0">Max_NPV-Min_NPV</f>
        <v>28920322.08528129</v>
      </c>
      <c r="H10" s="98">
        <f t="shared" ref="H10:H16" si="1">RANK(_∆_NPV,_∆_NPV,0)</f>
        <v>1</v>
      </c>
      <c r="J10" s="84" t="s">
        <v>135</v>
      </c>
      <c r="K10" s="103">
        <v>45</v>
      </c>
      <c r="L10" s="103">
        <v>50</v>
      </c>
      <c r="M10" s="104">
        <v>55</v>
      </c>
    </row>
    <row r="11" spans="2:13" x14ac:dyDescent="0.3">
      <c r="B11" s="84" t="s">
        <v>27</v>
      </c>
      <c r="C11" s="99">
        <f>MIN(NPV_Impact_Discount_Rate)</f>
        <v>2706792.2544692885</v>
      </c>
      <c r="D11" s="99">
        <f>_xlfn.XLOOKUP('Input Data (+SSA)'!$B$120,'Input Data (+SSA)'!$B$116:$B$122,NPV_Impact_Discount_Rate)</f>
        <v>7287581.3579641944</v>
      </c>
      <c r="E11" s="99">
        <f>_xlfn.XLOOKUP('Input Data (+SSA)'!$B$118,'Input Data (+SSA)'!$B$116:$B$122,NPV_Impact_Discount_Rate)</f>
        <v>10376731.560675589</v>
      </c>
      <c r="F11" s="99">
        <f>MAX(NPV_Impact_Discount_Rate)</f>
        <v>18941094.495753184</v>
      </c>
      <c r="G11" s="99">
        <f t="shared" si="0"/>
        <v>16234302.241283895</v>
      </c>
      <c r="H11" s="98">
        <f t="shared" si="1"/>
        <v>2</v>
      </c>
      <c r="J11" s="84" t="s">
        <v>27</v>
      </c>
      <c r="K11" s="105">
        <v>7.1999999999999995E-2</v>
      </c>
      <c r="L11" s="106">
        <v>0.08</v>
      </c>
      <c r="M11" s="105">
        <v>8.7999999999999995E-2</v>
      </c>
    </row>
    <row r="12" spans="2:13" x14ac:dyDescent="0.3">
      <c r="B12" s="84" t="s">
        <v>58</v>
      </c>
      <c r="C12" s="99">
        <f>MIN(NPV_Impact_Capacity_Factor)</f>
        <v>664762.52223120467</v>
      </c>
      <c r="D12" s="99">
        <f>_xlfn.XLOOKUP('Input Data (+SSA)'!$B$102,'Input Data (+SSA)'!$B$98:$B$104,NPV_Impact_Capacity_Factor)</f>
        <v>7143351.6159033692</v>
      </c>
      <c r="E12" s="99">
        <f>_xlfn.XLOOKUP('Input Data (+SSA)'!$B$104,'Input Data (+SSA)'!$B$98:$B$104,NPV_Impact_Capacity_Factor)</f>
        <v>10360386.762392927</v>
      </c>
      <c r="F12" s="99">
        <f>MAX(NPV_Impact_Capacity_Factor)</f>
        <v>10360386.762392927</v>
      </c>
      <c r="G12" s="99">
        <f t="shared" si="0"/>
        <v>9695624.2401617225</v>
      </c>
      <c r="H12" s="98">
        <f t="shared" si="1"/>
        <v>3</v>
      </c>
      <c r="J12" s="84" t="s">
        <v>58</v>
      </c>
      <c r="K12" s="106">
        <v>0.35</v>
      </c>
      <c r="L12" s="106">
        <v>0.35</v>
      </c>
      <c r="M12" s="106">
        <v>0.35</v>
      </c>
    </row>
    <row r="13" spans="2:13" x14ac:dyDescent="0.3">
      <c r="B13" s="84" t="s">
        <v>144</v>
      </c>
      <c r="C13" s="99">
        <f>MIN(NPV_Impact_OpEx_Per_Turbine)</f>
        <v>5079454.6383609828</v>
      </c>
      <c r="D13" s="99">
        <f>_xlfn.XLOOKUP('Input Data (+SSA)'!$B$138,'Input Data (+SSA)'!$B$134:$B$140,NPV_Impact_OpEx_Per_Turbine)</f>
        <v>8017386.2789907083</v>
      </c>
      <c r="E13" s="99">
        <f>_xlfn.XLOOKUP('Input Data (+SSA)'!$B$136,'Input Data (+SSA)'!$B$134:$B$140,NPV_Impact_OpEx_Per_Turbine)</f>
        <v>9486352.0993055757</v>
      </c>
      <c r="F13" s="99">
        <f>MAX(NPV_Impact_OpEx_Per_Turbine)</f>
        <v>12424283.739935307</v>
      </c>
      <c r="G13" s="99">
        <f t="shared" si="0"/>
        <v>7344829.1015743241</v>
      </c>
      <c r="H13" s="98">
        <f t="shared" si="1"/>
        <v>4</v>
      </c>
      <c r="J13" s="84" t="s">
        <v>144</v>
      </c>
      <c r="K13" s="108">
        <v>100000</v>
      </c>
      <c r="L13" s="107">
        <v>100000</v>
      </c>
      <c r="M13" s="108">
        <v>110000</v>
      </c>
    </row>
    <row r="14" spans="2:13" x14ac:dyDescent="0.3">
      <c r="B14" s="84" t="s">
        <v>44</v>
      </c>
      <c r="C14" s="99">
        <f>MIN(NPV_Impact_Inflation)</f>
        <v>6111373.8349962477</v>
      </c>
      <c r="D14" s="99">
        <f>_xlfn.XLOOKUP('Input Data (+SSA)'!$B$172,'Input Data (+SSA)'!$B$170:$B$176,NPV_Impact_Inflation)</f>
        <v>8185150.8126628539</v>
      </c>
      <c r="E14" s="99">
        <f>_xlfn.XLOOKUP('Input Data (+SSA)'!$B$174,'Input Data (+SSA)'!$B$170:$B$176,NPV_Impact_Inflation)</f>
        <v>9339349.075178653</v>
      </c>
      <c r="F14" s="99">
        <f>MAX(NPV_Impact_Inflation)</f>
        <v>11912760.437884923</v>
      </c>
      <c r="G14" s="99">
        <f t="shared" si="0"/>
        <v>5801386.6028886754</v>
      </c>
      <c r="H14" s="98">
        <f t="shared" si="1"/>
        <v>5</v>
      </c>
      <c r="J14" s="84" t="s">
        <v>44</v>
      </c>
      <c r="K14" s="105">
        <v>2.7E-2</v>
      </c>
      <c r="L14" s="105">
        <v>0.03</v>
      </c>
      <c r="M14" s="105">
        <v>3.3000000000000002E-2</v>
      </c>
    </row>
    <row r="15" spans="2:13" x14ac:dyDescent="0.3">
      <c r="B15" s="84" t="s">
        <v>137</v>
      </c>
      <c r="C15" s="99">
        <f>MIN(NPV_Impact_Years_Before_Turbines_Operate)</f>
        <v>3841257.6233464531</v>
      </c>
      <c r="D15" s="99">
        <f>_xlfn.XLOOKUP('Input Data (+SSA)'!$B$189,'Input Data (+SSA)'!$B$188:$B$194,NPV_Impact_Years_Before_Turbines_Operate)</f>
        <v>7706494.6435577394</v>
      </c>
      <c r="E15" s="99">
        <f>_xlfn.XLOOKUP('Input Data (+SSA)'!$B$188,'Input Data (+SSA)'!$B$188:$B$194,NPV_Impact_Years_Before_Turbines_Operate)</f>
        <v>8751869.1891481467</v>
      </c>
      <c r="F15" s="99">
        <f>MAX(NPV_Impact_Years_Before_Turbines_Operate)</f>
        <v>8751869.1891481467</v>
      </c>
      <c r="G15" s="99">
        <f t="shared" si="0"/>
        <v>4910611.5658016931</v>
      </c>
      <c r="H15" s="98">
        <f t="shared" si="1"/>
        <v>6</v>
      </c>
      <c r="J15" s="84" t="s">
        <v>137</v>
      </c>
      <c r="K15" s="103">
        <v>4</v>
      </c>
      <c r="L15" s="103">
        <v>3</v>
      </c>
      <c r="M15" s="103">
        <f>years_before_turbines_start_operating</f>
        <v>3</v>
      </c>
    </row>
    <row r="16" spans="2:13" x14ac:dyDescent="0.3">
      <c r="B16" s="84" t="s">
        <v>136</v>
      </c>
      <c r="C16" s="99">
        <f>MIN(NPV_Impact_Turbine_Lifetime)</f>
        <v>6611398.3206165982</v>
      </c>
      <c r="D16" s="99">
        <f>_xlfn.XLOOKUP('Input Data (+SSA)'!$B$82,'Input Data (+SSA)'!$B$80:$B$86,NPV_Impact_Turbine_Lifetime)</f>
        <v>8071920.2283357615</v>
      </c>
      <c r="E16" s="99">
        <f>_xlfn.XLOOKUP('Input Data (+SSA)'!$B$84,'Input Data (+SSA)'!$B$80:$B$86,NPV_Impact_Turbine_Lifetime)</f>
        <v>9400339.0314044021</v>
      </c>
      <c r="F16" s="99">
        <f>MAX(NPV_Impact_Turbine_Lifetime)</f>
        <v>10608603.355971891</v>
      </c>
      <c r="G16" s="99">
        <f t="shared" si="0"/>
        <v>3997205.0353552932</v>
      </c>
      <c r="H16" s="98">
        <f t="shared" si="1"/>
        <v>7</v>
      </c>
      <c r="J16" s="84" t="s">
        <v>136</v>
      </c>
      <c r="K16" s="103">
        <f>expected_useful_life_of_turbine</f>
        <v>20</v>
      </c>
      <c r="L16" s="103">
        <v>20</v>
      </c>
      <c r="M16" s="103">
        <f>expected_useful_life_of_turbine</f>
        <v>20</v>
      </c>
    </row>
    <row r="17" spans="10:13" x14ac:dyDescent="0.3">
      <c r="J17" s="111" t="s">
        <v>101</v>
      </c>
      <c r="K17" s="112">
        <v>5922845.7598626139</v>
      </c>
      <c r="L17" s="112">
        <v>8751869.1891481467</v>
      </c>
      <c r="M17" s="112">
        <v>9801720.9595215488</v>
      </c>
    </row>
    <row r="18" spans="10:13" x14ac:dyDescent="0.3">
      <c r="J18" s="8" t="s">
        <v>148</v>
      </c>
      <c r="K18" s="113">
        <v>0.11383829440960036</v>
      </c>
      <c r="L18" s="113">
        <v>0.14704222100614017</v>
      </c>
      <c r="M18" s="113">
        <v>0.16315311863687842</v>
      </c>
    </row>
    <row r="19" spans="10:13" x14ac:dyDescent="0.3">
      <c r="J19" s="8" t="s">
        <v>95</v>
      </c>
      <c r="K19" s="114">
        <v>43691962.896512724</v>
      </c>
      <c r="L19" s="114">
        <v>44311009.57409139</v>
      </c>
      <c r="M19" s="57">
        <f>lcoe_mwh</f>
        <v>44311009.57409139</v>
      </c>
    </row>
    <row r="20" spans="10:13" x14ac:dyDescent="0.3">
      <c r="J20" s="8" t="s">
        <v>152</v>
      </c>
      <c r="K20" s="113">
        <v>0.45959377074800795</v>
      </c>
      <c r="L20" s="113">
        <v>0.68132739844701062</v>
      </c>
      <c r="M20" s="115">
        <v>0.77</v>
      </c>
    </row>
    <row r="30" spans="10:13" x14ac:dyDescent="0.3">
      <c r="J30" s="4"/>
    </row>
    <row r="45" spans="2:10" x14ac:dyDescent="0.3">
      <c r="E45" s="8"/>
    </row>
    <row r="46" spans="2:10" x14ac:dyDescent="0.3">
      <c r="B46" s="8"/>
      <c r="C46" s="8"/>
      <c r="D46" s="8"/>
      <c r="E46" s="8"/>
      <c r="F46" s="8"/>
      <c r="G46" s="8"/>
      <c r="H46" s="8"/>
      <c r="I46" s="109"/>
      <c r="J46" s="8"/>
    </row>
    <row r="47" spans="2:10" x14ac:dyDescent="0.3">
      <c r="C47" s="18"/>
      <c r="D47" s="5"/>
      <c r="E47" s="28"/>
      <c r="F47" s="5"/>
      <c r="G47" s="28"/>
      <c r="H47" s="5"/>
      <c r="I47" s="110"/>
    </row>
    <row r="48" spans="2:10" x14ac:dyDescent="0.3">
      <c r="B48" s="8"/>
      <c r="D48" s="5"/>
      <c r="F48" s="5"/>
      <c r="H48" s="5"/>
      <c r="I48" s="110"/>
    </row>
    <row r="49" spans="2:9" x14ac:dyDescent="0.3">
      <c r="B49" s="8"/>
      <c r="C49" s="28"/>
      <c r="D49" s="5"/>
      <c r="E49" s="28"/>
      <c r="F49" s="5"/>
      <c r="G49" s="28"/>
      <c r="H49" s="5"/>
      <c r="I49" s="110"/>
    </row>
    <row r="50" spans="2:9" x14ac:dyDescent="0.3">
      <c r="B50" s="8"/>
      <c r="D50" s="5"/>
      <c r="F50" s="5"/>
      <c r="H50" s="5"/>
      <c r="I50" s="110"/>
    </row>
    <row r="51" spans="2:9" x14ac:dyDescent="0.3">
      <c r="B51" s="8"/>
      <c r="D51" s="5"/>
      <c r="F51" s="5"/>
      <c r="H51" s="5"/>
      <c r="I51" s="110"/>
    </row>
    <row r="52" spans="2:9" x14ac:dyDescent="0.3">
      <c r="B52" s="8"/>
      <c r="C52" s="5"/>
      <c r="D52" s="5"/>
      <c r="E52" s="5"/>
      <c r="F52" s="5"/>
      <c r="G52" s="5"/>
      <c r="H52" s="5"/>
      <c r="I52" s="110"/>
    </row>
    <row r="53" spans="2:9" x14ac:dyDescent="0.3">
      <c r="B53" s="8"/>
      <c r="C53" s="28"/>
      <c r="D53" s="5"/>
      <c r="E53" s="28"/>
      <c r="F53" s="5"/>
      <c r="G53" s="28"/>
      <c r="H53" s="5"/>
      <c r="I53" s="110"/>
    </row>
  </sheetData>
  <sortState xmlns:xlrd2="http://schemas.microsoft.com/office/spreadsheetml/2017/richdata2" ref="C99:E105">
    <sortCondition ref="E99:E105"/>
  </sortState>
  <mergeCells count="3">
    <mergeCell ref="B6:H7"/>
    <mergeCell ref="B2:M4"/>
    <mergeCell ref="J6:M7"/>
  </mergeCells>
  <conditionalFormatting sqref="K17:M17">
    <cfRule type="colorScale" priority="2">
      <colorScale>
        <cfvo type="min"/>
        <cfvo type="percentile" val="50"/>
        <cfvo type="max"/>
        <color rgb="FFF8696B"/>
        <color rgb="FFFCFCFF"/>
        <color rgb="FF63BE7B"/>
      </colorScale>
    </cfRule>
  </conditionalFormatting>
  <conditionalFormatting sqref="K20:M20">
    <cfRule type="colorScale" priority="1">
      <colorScale>
        <cfvo type="min"/>
        <cfvo type="percentile" val="50"/>
        <cfvo type="max"/>
        <color rgb="FFF8696B"/>
        <color rgb="FFFCFCFF"/>
        <color rgb="FF63BE7B"/>
      </colorScale>
    </cfRule>
  </conditionalFormatting>
  <pageMargins left="0.7" right="0.7" top="0.75" bottom="0.75" header="0.3" footer="0.3"/>
  <pageSetup paperSize="9" orientation="portrait"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Y282"/>
  <sheetViews>
    <sheetView topLeftCell="A265" zoomScale="82" zoomScaleNormal="70" workbookViewId="0">
      <selection activeCell="J274" sqref="J274:Q282"/>
    </sheetView>
  </sheetViews>
  <sheetFormatPr defaultColWidth="8.88671875" defaultRowHeight="18.600000000000001" customHeight="1" x14ac:dyDescent="0.3"/>
  <cols>
    <col min="1" max="1" width="8.88671875" style="3"/>
    <col min="2" max="2" width="11.21875" style="3" customWidth="1"/>
    <col min="3" max="4" width="18.21875" style="3" customWidth="1"/>
    <col min="5" max="5" width="15.77734375" style="3" customWidth="1"/>
    <col min="6" max="6" width="5.77734375" style="3" customWidth="1"/>
    <col min="7" max="7" width="28.21875" style="3" customWidth="1"/>
    <col min="8" max="9" width="19.44140625" style="3" customWidth="1"/>
    <col min="10" max="10" width="35.6640625" style="3" bestFit="1" customWidth="1"/>
    <col min="11" max="19" width="19.44140625" style="3" customWidth="1"/>
    <col min="20" max="36" width="15.77734375" style="3" customWidth="1"/>
    <col min="37" max="16384" width="8.88671875" style="3"/>
  </cols>
  <sheetData>
    <row r="2" spans="2:19" ht="18.600000000000001" customHeight="1" x14ac:dyDescent="0.3">
      <c r="B2" s="154" t="s">
        <v>64</v>
      </c>
      <c r="C2" s="154"/>
      <c r="D2" s="154"/>
      <c r="E2" s="154"/>
      <c r="F2" s="154"/>
      <c r="G2" s="154"/>
      <c r="H2" s="154"/>
      <c r="I2" s="154"/>
      <c r="J2" s="154"/>
      <c r="K2" s="154"/>
      <c r="L2" s="154"/>
      <c r="M2" s="154"/>
      <c r="N2" s="154"/>
      <c r="O2" s="154"/>
      <c r="P2" s="154"/>
      <c r="Q2" s="154"/>
      <c r="R2" s="154"/>
      <c r="S2" s="119"/>
    </row>
    <row r="3" spans="2:19" ht="18.600000000000001" customHeight="1" x14ac:dyDescent="0.3">
      <c r="B3" s="154"/>
      <c r="C3" s="154"/>
      <c r="D3" s="154"/>
      <c r="E3" s="154"/>
      <c r="F3" s="154"/>
      <c r="G3" s="154"/>
      <c r="H3" s="154"/>
      <c r="I3" s="154"/>
      <c r="J3" s="154"/>
      <c r="K3" s="154"/>
      <c r="L3" s="154"/>
      <c r="M3" s="154"/>
      <c r="N3" s="154"/>
      <c r="O3" s="154"/>
      <c r="P3" s="154"/>
      <c r="Q3" s="154"/>
      <c r="R3" s="154"/>
      <c r="S3" s="119"/>
    </row>
    <row r="4" spans="2:19" ht="18.600000000000001" customHeight="1" x14ac:dyDescent="0.3">
      <c r="B4" s="154"/>
      <c r="C4" s="154"/>
      <c r="D4" s="154"/>
      <c r="E4" s="154"/>
      <c r="F4" s="154"/>
      <c r="G4" s="154"/>
      <c r="H4" s="154"/>
      <c r="I4" s="154"/>
      <c r="J4" s="154"/>
      <c r="K4" s="154"/>
      <c r="L4" s="154"/>
      <c r="M4" s="154"/>
      <c r="N4" s="154"/>
      <c r="O4" s="154"/>
      <c r="P4" s="154"/>
      <c r="Q4" s="154"/>
      <c r="R4" s="154"/>
      <c r="S4" s="119"/>
    </row>
    <row r="6" spans="2:19" ht="18.600000000000001" customHeight="1" x14ac:dyDescent="0.3">
      <c r="B6" s="10" t="s">
        <v>0</v>
      </c>
      <c r="C6" s="12"/>
      <c r="D6" s="12"/>
      <c r="E6" s="12"/>
      <c r="F6" s="13"/>
      <c r="G6" s="10" t="s">
        <v>62</v>
      </c>
      <c r="H6" s="12"/>
      <c r="I6" s="12"/>
      <c r="J6" s="12"/>
      <c r="K6" s="12"/>
      <c r="L6" s="12"/>
      <c r="M6" s="96"/>
      <c r="N6" s="12"/>
      <c r="O6" s="12"/>
      <c r="P6" s="12"/>
      <c r="Q6" s="12"/>
      <c r="R6" s="96"/>
      <c r="S6" s="94"/>
    </row>
    <row r="7" spans="2:19" ht="18.600000000000001" customHeight="1" x14ac:dyDescent="0.3">
      <c r="B7" s="3" t="s">
        <v>156</v>
      </c>
      <c r="E7" s="14">
        <v>2.5</v>
      </c>
      <c r="G7" s="3" t="s">
        <v>36</v>
      </c>
    </row>
    <row r="8" spans="2:19" ht="18.600000000000001" customHeight="1" x14ac:dyDescent="0.3">
      <c r="B8" s="15" t="s">
        <v>157</v>
      </c>
      <c r="E8" s="16">
        <v>20</v>
      </c>
      <c r="G8" s="3" t="s">
        <v>113</v>
      </c>
    </row>
    <row r="9" spans="2:19" ht="18.600000000000001" customHeight="1" x14ac:dyDescent="0.3">
      <c r="B9" s="3" t="s">
        <v>158</v>
      </c>
      <c r="E9" s="17">
        <v>8760</v>
      </c>
      <c r="G9" s="3" t="s">
        <v>22</v>
      </c>
    </row>
    <row r="10" spans="2:19" ht="18.600000000000001" customHeight="1" x14ac:dyDescent="0.3">
      <c r="B10" s="3" t="s">
        <v>159</v>
      </c>
      <c r="E10" s="18">
        <v>0.35</v>
      </c>
      <c r="G10" s="3" t="s">
        <v>114</v>
      </c>
    </row>
    <row r="11" spans="2:19" ht="18.600000000000001" customHeight="1" x14ac:dyDescent="0.3">
      <c r="B11" s="15" t="s">
        <v>160</v>
      </c>
      <c r="E11" s="17">
        <v>8</v>
      </c>
      <c r="G11" s="3" t="s">
        <v>24</v>
      </c>
    </row>
    <row r="12" spans="2:19" ht="18.600000000000001" customHeight="1" x14ac:dyDescent="0.3">
      <c r="B12" s="8" t="s">
        <v>63</v>
      </c>
      <c r="E12" s="19">
        <f>turbine_capacity_mW*number_of_turbines*total_hours_of_potential_operation_yearly*capacity_factor_percent</f>
        <v>61319.999999999993</v>
      </c>
    </row>
    <row r="13" spans="2:19" ht="18.600000000000001" customHeight="1" x14ac:dyDescent="0.3">
      <c r="B13" s="20"/>
      <c r="C13" s="20"/>
      <c r="D13" s="20"/>
      <c r="E13" s="20"/>
      <c r="G13" s="20"/>
      <c r="H13" s="20"/>
      <c r="I13" s="20"/>
      <c r="J13" s="20"/>
      <c r="K13" s="20"/>
      <c r="L13" s="20"/>
      <c r="M13" s="20"/>
      <c r="N13" s="20"/>
      <c r="O13" s="20"/>
      <c r="P13" s="20"/>
      <c r="Q13" s="20"/>
    </row>
    <row r="14" spans="2:19" ht="18.600000000000001" customHeight="1" x14ac:dyDescent="0.3">
      <c r="B14" s="15" t="s">
        <v>137</v>
      </c>
      <c r="C14" s="15"/>
      <c r="D14" s="15"/>
      <c r="E14" s="21">
        <v>3</v>
      </c>
      <c r="G14" s="3" t="s">
        <v>115</v>
      </c>
    </row>
    <row r="15" spans="2:19" ht="18.600000000000001" customHeight="1" x14ac:dyDescent="0.3">
      <c r="B15" s="83" t="s">
        <v>65</v>
      </c>
      <c r="C15" s="83"/>
      <c r="D15" s="83"/>
      <c r="E15" s="22">
        <f>50%</f>
        <v>0.5</v>
      </c>
      <c r="G15" s="3" t="s">
        <v>117</v>
      </c>
    </row>
    <row r="16" spans="2:19" ht="18.600000000000001" customHeight="1" x14ac:dyDescent="0.3">
      <c r="B16" s="83" t="s">
        <v>32</v>
      </c>
      <c r="C16" s="83"/>
      <c r="D16" s="83"/>
      <c r="E16" s="22">
        <f>25%</f>
        <v>0.25</v>
      </c>
      <c r="G16" s="3" t="s">
        <v>116</v>
      </c>
    </row>
    <row r="17" spans="2:19" ht="18.600000000000001" customHeight="1" x14ac:dyDescent="0.3">
      <c r="B17" s="83" t="s">
        <v>33</v>
      </c>
      <c r="C17" s="83"/>
      <c r="D17" s="83"/>
      <c r="E17" s="22">
        <f>25%</f>
        <v>0.25</v>
      </c>
      <c r="G17" s="3" t="s">
        <v>118</v>
      </c>
    </row>
    <row r="18" spans="2:19" ht="18.600000000000001" customHeight="1" x14ac:dyDescent="0.3">
      <c r="B18" s="3" t="s">
        <v>161</v>
      </c>
      <c r="E18" s="5">
        <v>1200000</v>
      </c>
      <c r="G18" s="3" t="s">
        <v>47</v>
      </c>
    </row>
    <row r="19" spans="2:19" ht="18.600000000000001" customHeight="1" x14ac:dyDescent="0.3">
      <c r="B19" s="3" t="s">
        <v>162</v>
      </c>
      <c r="E19" s="5">
        <v>1700000</v>
      </c>
      <c r="G19" s="3" t="s">
        <v>119</v>
      </c>
    </row>
    <row r="20" spans="2:19" ht="18.600000000000001" customHeight="1" x14ac:dyDescent="0.3">
      <c r="B20" s="3" t="s">
        <v>163</v>
      </c>
      <c r="E20" s="5">
        <v>2000000</v>
      </c>
      <c r="G20" s="3" t="s">
        <v>120</v>
      </c>
    </row>
    <row r="21" spans="2:19" ht="18.600000000000001" customHeight="1" x14ac:dyDescent="0.3">
      <c r="B21" s="8" t="s">
        <v>164</v>
      </c>
      <c r="E21" s="6">
        <f>(number_of_turbines*total_cost_of_construction_per_turbine)+grid_connection_costs+other_capital_costs</f>
        <v>13300000</v>
      </c>
      <c r="G21" s="23" t="s">
        <v>121</v>
      </c>
    </row>
    <row r="22" spans="2:19" ht="18.600000000000001" customHeight="1" x14ac:dyDescent="0.3">
      <c r="B22" s="24"/>
      <c r="C22" s="20"/>
      <c r="D22" s="20"/>
      <c r="E22" s="25"/>
      <c r="G22" s="20"/>
      <c r="H22" s="20"/>
      <c r="I22" s="20"/>
      <c r="J22" s="20"/>
      <c r="K22" s="20"/>
      <c r="L22" s="20"/>
      <c r="M22" s="20"/>
      <c r="N22" s="20"/>
      <c r="O22" s="20"/>
      <c r="P22" s="20"/>
      <c r="Q22" s="20"/>
    </row>
    <row r="23" spans="2:19" ht="18.600000000000001" customHeight="1" x14ac:dyDescent="0.3">
      <c r="B23" s="3" t="s">
        <v>165</v>
      </c>
      <c r="E23" s="5">
        <v>100000</v>
      </c>
      <c r="G23" s="3" t="s">
        <v>123</v>
      </c>
    </row>
    <row r="24" spans="2:19" ht="18.600000000000001" customHeight="1" x14ac:dyDescent="0.3">
      <c r="B24" s="8" t="s">
        <v>166</v>
      </c>
      <c r="E24" s="6">
        <f>yearly_operation_and_maintenance_costs_per_turbine*number_of_turbines</f>
        <v>800000</v>
      </c>
      <c r="G24" s="3" t="s">
        <v>122</v>
      </c>
    </row>
    <row r="25" spans="2:19" ht="18.600000000000001" customHeight="1" x14ac:dyDescent="0.3">
      <c r="B25" s="24"/>
      <c r="C25" s="26"/>
      <c r="D25" s="26"/>
      <c r="E25" s="20"/>
      <c r="F25" s="15"/>
      <c r="G25" s="20"/>
      <c r="H25" s="20"/>
      <c r="I25" s="20"/>
      <c r="J25" s="20"/>
      <c r="K25" s="20"/>
      <c r="L25" s="20"/>
      <c r="M25" s="20"/>
      <c r="N25" s="20"/>
      <c r="O25" s="20"/>
      <c r="P25" s="20"/>
      <c r="Q25" s="20"/>
      <c r="R25" s="15"/>
      <c r="S25" s="15"/>
    </row>
    <row r="26" spans="2:19" ht="18.600000000000001" customHeight="1" x14ac:dyDescent="0.3">
      <c r="B26" s="3" t="s">
        <v>167</v>
      </c>
      <c r="C26" s="15"/>
      <c r="D26" s="15"/>
      <c r="E26" s="27">
        <v>0.2</v>
      </c>
      <c r="F26" s="15"/>
      <c r="G26" s="15" t="s">
        <v>124</v>
      </c>
      <c r="R26" s="15"/>
      <c r="S26" s="15"/>
    </row>
    <row r="27" spans="2:19" ht="18.600000000000001" customHeight="1" x14ac:dyDescent="0.3">
      <c r="B27" s="15" t="s">
        <v>43</v>
      </c>
      <c r="C27" s="15"/>
      <c r="D27" s="15"/>
      <c r="E27" s="21">
        <v>3</v>
      </c>
      <c r="F27" s="15"/>
      <c r="G27" s="15" t="s">
        <v>125</v>
      </c>
      <c r="H27" s="15"/>
      <c r="I27" s="15"/>
      <c r="J27" s="15"/>
      <c r="K27" s="15"/>
      <c r="L27" s="15"/>
      <c r="M27" s="15"/>
      <c r="N27" s="15"/>
      <c r="O27" s="15"/>
      <c r="P27" s="15"/>
      <c r="Q27" s="15"/>
      <c r="R27" s="15"/>
      <c r="S27" s="15"/>
    </row>
    <row r="28" spans="2:19" ht="18.600000000000001" customHeight="1" x14ac:dyDescent="0.3">
      <c r="B28" s="83" t="s">
        <v>40</v>
      </c>
      <c r="C28" s="83"/>
      <c r="D28" s="83"/>
      <c r="E28" s="22">
        <v>0.2</v>
      </c>
      <c r="F28" s="15"/>
      <c r="G28" s="15" t="s">
        <v>51</v>
      </c>
      <c r="H28" s="15"/>
      <c r="I28" s="15"/>
      <c r="J28" s="15"/>
      <c r="K28" s="15"/>
      <c r="L28" s="15"/>
      <c r="M28" s="15"/>
      <c r="N28" s="15"/>
      <c r="O28" s="15"/>
      <c r="P28" s="15"/>
      <c r="Q28" s="15"/>
      <c r="R28" s="15"/>
      <c r="S28" s="15"/>
    </row>
    <row r="29" spans="2:19" ht="18.600000000000001" customHeight="1" x14ac:dyDescent="0.3">
      <c r="B29" s="83" t="s">
        <v>41</v>
      </c>
      <c r="C29" s="84"/>
      <c r="D29" s="84"/>
      <c r="E29" s="22">
        <v>0.4</v>
      </c>
      <c r="G29" s="15" t="s">
        <v>52</v>
      </c>
      <c r="H29" s="15"/>
      <c r="I29" s="15"/>
      <c r="J29" s="15"/>
      <c r="K29" s="15"/>
      <c r="L29" s="15"/>
      <c r="M29" s="15"/>
      <c r="N29" s="15"/>
      <c r="O29" s="15"/>
      <c r="P29" s="15"/>
      <c r="Q29" s="15"/>
    </row>
    <row r="30" spans="2:19" ht="18.600000000000001" customHeight="1" x14ac:dyDescent="0.3">
      <c r="B30" s="83" t="s">
        <v>42</v>
      </c>
      <c r="C30" s="84"/>
      <c r="D30" s="84"/>
      <c r="E30" s="22">
        <v>0.4</v>
      </c>
      <c r="G30" s="15" t="s">
        <v>53</v>
      </c>
      <c r="H30" s="15"/>
      <c r="I30" s="15"/>
      <c r="J30" s="15"/>
      <c r="K30" s="15"/>
      <c r="L30" s="15"/>
      <c r="M30" s="15"/>
      <c r="N30" s="15"/>
      <c r="O30" s="15"/>
      <c r="P30" s="15"/>
      <c r="Q30" s="15"/>
    </row>
    <row r="31" spans="2:19" ht="18.600000000000001" customHeight="1" x14ac:dyDescent="0.3">
      <c r="B31" s="8" t="s">
        <v>168</v>
      </c>
      <c r="E31" s="19">
        <f>decommissioning_costs_percentage*total_capital_costs</f>
        <v>2660000</v>
      </c>
      <c r="G31" s="3" t="s">
        <v>54</v>
      </c>
    </row>
    <row r="32" spans="2:19" ht="18.600000000000001" customHeight="1" x14ac:dyDescent="0.3">
      <c r="B32" s="20"/>
      <c r="C32" s="20"/>
      <c r="D32" s="20"/>
      <c r="E32" s="20"/>
      <c r="G32" s="20"/>
      <c r="H32" s="20"/>
      <c r="I32" s="20"/>
      <c r="J32" s="20"/>
      <c r="K32" s="20"/>
      <c r="L32" s="20"/>
      <c r="M32" s="20"/>
      <c r="N32" s="20"/>
      <c r="O32" s="20"/>
      <c r="P32" s="20"/>
      <c r="Q32" s="20"/>
    </row>
    <row r="33" spans="2:19" s="15" customFormat="1" ht="18.600000000000001" customHeight="1" x14ac:dyDescent="0.3">
      <c r="B33" s="8" t="s">
        <v>169</v>
      </c>
      <c r="C33" s="3"/>
      <c r="D33" s="3"/>
      <c r="E33" s="3"/>
      <c r="F33" s="3"/>
      <c r="G33" s="3"/>
      <c r="H33" s="3"/>
      <c r="I33" s="3"/>
      <c r="J33" s="3"/>
      <c r="K33" s="3"/>
      <c r="L33" s="3"/>
      <c r="M33" s="3"/>
      <c r="N33" s="3"/>
      <c r="O33" s="3"/>
      <c r="P33" s="3"/>
      <c r="Q33" s="3"/>
      <c r="R33" s="3"/>
      <c r="S33" s="3"/>
    </row>
    <row r="34" spans="2:19" s="15" customFormat="1" ht="18.600000000000001" customHeight="1" x14ac:dyDescent="0.3">
      <c r="B34" s="3" t="s">
        <v>27</v>
      </c>
      <c r="C34" s="3"/>
      <c r="D34" s="3"/>
      <c r="E34" s="30">
        <v>0.08</v>
      </c>
      <c r="F34" s="3"/>
      <c r="G34" s="3" t="s">
        <v>48</v>
      </c>
      <c r="H34" s="3"/>
      <c r="I34" s="3"/>
      <c r="J34" s="3"/>
      <c r="K34" s="3"/>
      <c r="L34" s="3"/>
      <c r="M34" s="3"/>
      <c r="N34" s="3"/>
      <c r="O34" s="3"/>
      <c r="P34" s="3"/>
      <c r="Q34" s="3"/>
      <c r="R34" s="3"/>
      <c r="S34" s="3"/>
    </row>
    <row r="35" spans="2:19" s="15" customFormat="1" ht="18.600000000000001" customHeight="1" x14ac:dyDescent="0.3">
      <c r="B35" s="3" t="s">
        <v>28</v>
      </c>
      <c r="C35" s="3"/>
      <c r="D35" s="3"/>
      <c r="E35" s="30">
        <v>0.03</v>
      </c>
      <c r="F35" s="3"/>
      <c r="G35" s="3" t="s">
        <v>49</v>
      </c>
      <c r="H35" s="3"/>
      <c r="I35" s="3"/>
      <c r="J35" s="3"/>
      <c r="K35" s="3"/>
      <c r="L35" s="3"/>
      <c r="M35" s="3"/>
      <c r="N35" s="3"/>
      <c r="O35" s="3"/>
      <c r="P35" s="3"/>
      <c r="Q35" s="3"/>
      <c r="R35" s="3"/>
      <c r="S35" s="3"/>
    </row>
    <row r="36" spans="2:19" s="15" customFormat="1" ht="18.600000000000001" customHeight="1" x14ac:dyDescent="0.3">
      <c r="B36" s="20"/>
      <c r="C36" s="20"/>
      <c r="D36" s="20"/>
      <c r="E36" s="29"/>
      <c r="F36" s="3"/>
      <c r="G36" s="20"/>
      <c r="H36" s="20"/>
      <c r="I36" s="20"/>
      <c r="J36" s="20"/>
      <c r="K36" s="20"/>
      <c r="L36" s="20"/>
      <c r="M36" s="20"/>
      <c r="N36" s="20"/>
      <c r="O36" s="20"/>
      <c r="P36" s="20"/>
      <c r="Q36" s="20"/>
      <c r="R36" s="3"/>
      <c r="S36" s="3"/>
    </row>
    <row r="37" spans="2:19" ht="18.600000000000001" customHeight="1" x14ac:dyDescent="0.3">
      <c r="B37" s="8" t="s">
        <v>170</v>
      </c>
      <c r="E37" s="28"/>
    </row>
    <row r="38" spans="2:19" ht="18.600000000000001" customHeight="1" x14ac:dyDescent="0.3">
      <c r="B38" s="3" t="s">
        <v>171</v>
      </c>
      <c r="E38" s="3">
        <v>50</v>
      </c>
      <c r="G38" s="3" t="s">
        <v>50</v>
      </c>
    </row>
    <row r="39" spans="2:19" ht="18.600000000000001" customHeight="1" x14ac:dyDescent="0.3">
      <c r="B39" s="20"/>
      <c r="C39" s="20"/>
      <c r="D39" s="20"/>
      <c r="E39" s="20"/>
      <c r="G39" s="20"/>
      <c r="H39" s="20"/>
      <c r="I39" s="20"/>
      <c r="J39" s="20"/>
      <c r="K39" s="20"/>
      <c r="L39" s="20"/>
      <c r="M39" s="20"/>
      <c r="N39" s="20"/>
      <c r="O39" s="20"/>
      <c r="P39" s="20"/>
      <c r="Q39" s="20"/>
    </row>
    <row r="40" spans="2:19" ht="18.600000000000001" customHeight="1" x14ac:dyDescent="0.3">
      <c r="B40" s="8" t="s">
        <v>172</v>
      </c>
      <c r="E40" s="30"/>
    </row>
    <row r="41" spans="2:19" ht="18.600000000000001" customHeight="1" x14ac:dyDescent="0.3">
      <c r="B41" s="3" t="s">
        <v>173</v>
      </c>
      <c r="E41" s="18">
        <v>0.2</v>
      </c>
      <c r="G41" s="3" t="s">
        <v>23</v>
      </c>
    </row>
    <row r="42" spans="2:19" ht="18.600000000000001" customHeight="1" x14ac:dyDescent="0.3">
      <c r="B42" s="3" t="s">
        <v>174</v>
      </c>
      <c r="E42" s="3">
        <v>8</v>
      </c>
      <c r="G42" s="3" t="s">
        <v>25</v>
      </c>
    </row>
    <row r="44" spans="2:19" ht="18.600000000000001" customHeight="1" x14ac:dyDescent="0.3">
      <c r="B44" s="10" t="s">
        <v>46</v>
      </c>
      <c r="C44" s="12"/>
      <c r="D44" s="12"/>
      <c r="E44" s="12"/>
      <c r="G44" s="11"/>
      <c r="H44" s="11"/>
      <c r="I44" s="11"/>
      <c r="J44" s="11"/>
      <c r="K44" s="11"/>
      <c r="L44" s="11"/>
      <c r="M44" s="11"/>
      <c r="N44" s="11"/>
      <c r="O44" s="11"/>
      <c r="P44" s="11"/>
      <c r="Q44" s="11"/>
      <c r="R44" s="97"/>
    </row>
    <row r="45" spans="2:19" ht="18.600000000000001" customHeight="1" x14ac:dyDescent="0.3">
      <c r="B45" s="15" t="s">
        <v>34</v>
      </c>
      <c r="E45" s="31">
        <f>(1+inflation)</f>
        <v>1.03</v>
      </c>
    </row>
    <row r="46" spans="2:19" ht="18.600000000000001" customHeight="1" x14ac:dyDescent="0.3">
      <c r="B46" s="15" t="s">
        <v>35</v>
      </c>
      <c r="E46" s="3">
        <f>(1+discount_rate_r)</f>
        <v>1.08</v>
      </c>
    </row>
    <row r="47" spans="2:19" ht="18.600000000000001" customHeight="1" x14ac:dyDescent="0.3">
      <c r="B47" s="15" t="s">
        <v>175</v>
      </c>
      <c r="E47" s="3">
        <f>turbine_capacity_mW*number_of_turbines</f>
        <v>20</v>
      </c>
      <c r="G47" s="3" t="s">
        <v>55</v>
      </c>
    </row>
    <row r="48" spans="2:19" ht="18.600000000000001" customHeight="1" x14ac:dyDescent="0.3">
      <c r="B48" s="3" t="s">
        <v>176</v>
      </c>
      <c r="E48" s="5">
        <f>turbine_capacity_mW*total_hours_of_potential_operation_yearly</f>
        <v>21900</v>
      </c>
      <c r="G48" s="3" t="s">
        <v>56</v>
      </c>
    </row>
    <row r="49" spans="1:19" ht="18.600000000000001" customHeight="1" x14ac:dyDescent="0.3">
      <c r="B49" s="3" t="s">
        <v>177</v>
      </c>
      <c r="E49" s="5">
        <f>maximum_possible_output_of_one_wind_turbine__mWh_yr*number_of_turbines</f>
        <v>175200</v>
      </c>
      <c r="G49" s="3" t="s">
        <v>57</v>
      </c>
    </row>
    <row r="50" spans="1:19" ht="18.600000000000001" customHeight="1" x14ac:dyDescent="0.3">
      <c r="B50" s="15" t="s">
        <v>178</v>
      </c>
      <c r="E50" s="32">
        <f>maximum_possible_output_of_one_wind_turbine__mWh_yr*capacity_factor_percent</f>
        <v>7664.9999999999991</v>
      </c>
      <c r="G50" s="3" t="s">
        <v>59</v>
      </c>
    </row>
    <row r="51" spans="1:19" s="15" customFormat="1" ht="18.600000000000001" customHeight="1" x14ac:dyDescent="0.3">
      <c r="B51" s="23" t="s">
        <v>179</v>
      </c>
      <c r="C51" s="23"/>
      <c r="D51" s="23"/>
      <c r="E51" s="33">
        <f>maximum_possible_output_of_all_wind_turbines_mWh_yr*capacity_factor_percent</f>
        <v>61319.999999999993</v>
      </c>
      <c r="F51" s="23"/>
      <c r="G51" s="8" t="s">
        <v>60</v>
      </c>
      <c r="H51" s="23"/>
      <c r="I51" s="23"/>
      <c r="J51" s="23"/>
      <c r="K51" s="23"/>
      <c r="L51" s="23"/>
      <c r="M51" s="23"/>
      <c r="N51" s="23"/>
      <c r="O51" s="23"/>
      <c r="P51" s="23"/>
      <c r="Q51" s="23"/>
      <c r="R51" s="23"/>
      <c r="S51" s="23"/>
    </row>
    <row r="52" spans="1:19" s="15" customFormat="1" ht="18.600000000000001" customHeight="1" x14ac:dyDescent="0.3">
      <c r="B52" s="23"/>
      <c r="C52" s="23"/>
      <c r="D52" s="23"/>
      <c r="E52" s="33"/>
      <c r="F52" s="23"/>
      <c r="G52" s="8"/>
      <c r="H52" s="23"/>
      <c r="I52" s="23"/>
      <c r="J52" s="23"/>
      <c r="K52" s="23"/>
      <c r="L52" s="23"/>
      <c r="M52" s="23"/>
      <c r="N52" s="23"/>
      <c r="O52" s="23"/>
      <c r="P52" s="23"/>
      <c r="Q52" s="23"/>
      <c r="R52" s="23"/>
      <c r="S52" s="23"/>
    </row>
    <row r="53" spans="1:19" s="15" customFormat="1" ht="18.600000000000001" customHeight="1" x14ac:dyDescent="0.3">
      <c r="B53" s="23"/>
      <c r="C53" s="23"/>
      <c r="D53" s="23"/>
      <c r="E53" s="33"/>
      <c r="F53" s="23"/>
      <c r="G53" s="8"/>
      <c r="H53" s="23"/>
      <c r="I53" s="23"/>
      <c r="J53" s="23"/>
      <c r="K53" s="23"/>
      <c r="L53" s="23"/>
      <c r="M53" s="23"/>
      <c r="N53" s="23"/>
      <c r="O53" s="23"/>
      <c r="P53" s="23"/>
      <c r="Q53" s="23"/>
      <c r="R53" s="23"/>
      <c r="S53" s="23"/>
    </row>
    <row r="54" spans="1:19" s="15" customFormat="1" ht="18.600000000000001" customHeight="1" x14ac:dyDescent="0.3">
      <c r="B54" s="23"/>
      <c r="C54" s="23"/>
      <c r="D54" s="23"/>
      <c r="E54" s="33"/>
      <c r="F54" s="23"/>
      <c r="G54" s="8"/>
      <c r="H54" s="23"/>
      <c r="I54" s="23"/>
      <c r="J54" s="23"/>
      <c r="K54" s="23"/>
      <c r="L54" s="23"/>
      <c r="M54" s="23"/>
      <c r="N54" s="23"/>
      <c r="O54" s="23"/>
      <c r="P54" s="23"/>
      <c r="Q54" s="23"/>
      <c r="R54" s="23"/>
      <c r="S54" s="23"/>
    </row>
    <row r="55" spans="1:19" ht="18.600000000000001" customHeight="1" x14ac:dyDescent="0.3">
      <c r="B55" s="4"/>
    </row>
    <row r="56" spans="1:19" ht="18.600000000000001" customHeight="1" x14ac:dyDescent="0.3">
      <c r="A56" s="4"/>
      <c r="B56" s="153" t="s">
        <v>112</v>
      </c>
      <c r="C56" s="153"/>
      <c r="D56" s="153"/>
      <c r="E56" s="153"/>
      <c r="F56" s="153"/>
      <c r="G56" s="153"/>
      <c r="H56" s="153"/>
      <c r="I56" s="153"/>
      <c r="J56" s="153"/>
      <c r="K56" s="153"/>
      <c r="L56" s="153"/>
      <c r="M56" s="153"/>
      <c r="N56" s="153"/>
      <c r="O56" s="153"/>
      <c r="P56" s="153"/>
      <c r="Q56" s="153"/>
      <c r="R56" s="153"/>
      <c r="S56" s="118"/>
    </row>
    <row r="57" spans="1:19" ht="18.600000000000001" customHeight="1" x14ac:dyDescent="0.3">
      <c r="A57" s="4"/>
      <c r="B57" s="153"/>
      <c r="C57" s="153"/>
      <c r="D57" s="153"/>
      <c r="E57" s="153"/>
      <c r="F57" s="153"/>
      <c r="G57" s="153"/>
      <c r="H57" s="153"/>
      <c r="I57" s="153"/>
      <c r="J57" s="153"/>
      <c r="K57" s="153"/>
      <c r="L57" s="153"/>
      <c r="M57" s="153"/>
      <c r="N57" s="153"/>
      <c r="O57" s="153"/>
      <c r="P57" s="153"/>
      <c r="Q57" s="153"/>
      <c r="R57" s="153"/>
      <c r="S57" s="118"/>
    </row>
    <row r="59" spans="1:19" ht="18.600000000000001" customHeight="1" x14ac:dyDescent="0.3">
      <c r="B59" s="74" t="s">
        <v>100</v>
      </c>
      <c r="M59" s="4"/>
    </row>
    <row r="60" spans="1:19" ht="18.600000000000001" customHeight="1" x14ac:dyDescent="0.3">
      <c r="B60" s="8" t="s">
        <v>99</v>
      </c>
      <c r="C60" s="8" t="s">
        <v>110</v>
      </c>
      <c r="D60" s="8" t="s">
        <v>101</v>
      </c>
    </row>
    <row r="61" spans="1:19" ht="18.600000000000001" customHeight="1" x14ac:dyDescent="0.3">
      <c r="D61" s="91">
        <f>post_tax_npv</f>
        <v>8751869.1891481467</v>
      </c>
      <c r="O61" s="8"/>
      <c r="P61" s="8"/>
    </row>
    <row r="62" spans="1:19" ht="18.600000000000001" customHeight="1" x14ac:dyDescent="0.3">
      <c r="B62" s="18">
        <f t="shared" ref="B62:B64" si="0">-1+(C62/$C$65)</f>
        <v>-0.5</v>
      </c>
      <c r="C62" s="3">
        <v>25</v>
      </c>
      <c r="D62" s="9">
        <f t="dataTable" ref="D62:D68" dt2D="0" dtr="0" r1="E38"/>
        <v>-6093924.1302413587</v>
      </c>
      <c r="O62" s="6"/>
      <c r="P62" s="35"/>
    </row>
    <row r="63" spans="1:19" ht="18.600000000000001" customHeight="1" x14ac:dyDescent="0.3">
      <c r="B63" s="18">
        <f t="shared" si="0"/>
        <v>-0.25</v>
      </c>
      <c r="C63" s="3">
        <v>37.5</v>
      </c>
      <c r="D63" s="9">
        <v>1710801.4188406933</v>
      </c>
      <c r="O63" s="36"/>
      <c r="P63" s="5"/>
    </row>
    <row r="64" spans="1:19" ht="18.600000000000001" customHeight="1" x14ac:dyDescent="0.3">
      <c r="B64" s="18">
        <f t="shared" si="0"/>
        <v>-9.9999999999999978E-2</v>
      </c>
      <c r="C64" s="3">
        <v>45</v>
      </c>
      <c r="D64" s="9">
        <v>5936963.4359697849</v>
      </c>
      <c r="O64" s="36"/>
      <c r="P64" s="5"/>
    </row>
    <row r="65" spans="2:16" ht="18.600000000000001" customHeight="1" x14ac:dyDescent="0.3">
      <c r="B65" s="18">
        <f>-1+(C65/$C$65)</f>
        <v>0</v>
      </c>
      <c r="C65" s="3">
        <v>50</v>
      </c>
      <c r="D65" s="9">
        <v>8751869.1891481467</v>
      </c>
      <c r="O65" s="36"/>
      <c r="P65" s="5"/>
    </row>
    <row r="66" spans="2:16" ht="18.600000000000001" customHeight="1" x14ac:dyDescent="0.3">
      <c r="B66" s="18">
        <f>-1+(C66/$C$65)</f>
        <v>0.10000000000000009</v>
      </c>
      <c r="C66" s="3">
        <v>55</v>
      </c>
      <c r="D66" s="9">
        <v>11566774.942326505</v>
      </c>
      <c r="O66" s="36"/>
      <c r="P66" s="5"/>
    </row>
    <row r="67" spans="2:16" ht="18.600000000000001" customHeight="1" x14ac:dyDescent="0.3">
      <c r="B67" s="18">
        <f>-1+(C67/$C$65)</f>
        <v>0.25</v>
      </c>
      <c r="C67" s="3">
        <v>62.5</v>
      </c>
      <c r="D67" s="9">
        <v>15789133.572094042</v>
      </c>
      <c r="O67" s="36"/>
      <c r="P67" s="5"/>
    </row>
    <row r="68" spans="2:16" ht="18.600000000000001" customHeight="1" x14ac:dyDescent="0.3">
      <c r="B68" s="18">
        <f>-1+(C68/$C$65)</f>
        <v>0.5</v>
      </c>
      <c r="C68" s="3">
        <v>75</v>
      </c>
      <c r="D68" s="9">
        <v>22826397.955039933</v>
      </c>
      <c r="O68" s="36"/>
      <c r="P68" s="5"/>
    </row>
    <row r="69" spans="2:16" ht="18.600000000000001" customHeight="1" x14ac:dyDescent="0.3">
      <c r="B69" s="18"/>
      <c r="D69" s="9"/>
      <c r="O69" s="36"/>
      <c r="P69" s="5"/>
    </row>
    <row r="70" spans="2:16" ht="18.600000000000001" customHeight="1" x14ac:dyDescent="0.3">
      <c r="B70" s="18"/>
      <c r="D70" s="9"/>
      <c r="O70" s="36"/>
      <c r="P70" s="5"/>
    </row>
    <row r="71" spans="2:16" ht="18.600000000000001" customHeight="1" x14ac:dyDescent="0.3">
      <c r="B71" s="18"/>
      <c r="D71" s="9"/>
      <c r="O71" s="36"/>
      <c r="P71" s="5"/>
    </row>
    <row r="72" spans="2:16" ht="18.600000000000001" customHeight="1" x14ac:dyDescent="0.3">
      <c r="B72" s="18"/>
      <c r="D72" s="9"/>
      <c r="O72" s="36"/>
      <c r="P72" s="5"/>
    </row>
    <row r="73" spans="2:16" ht="18.600000000000001" customHeight="1" x14ac:dyDescent="0.3">
      <c r="B73" s="18"/>
      <c r="D73" s="9"/>
      <c r="O73" s="36"/>
      <c r="P73" s="5"/>
    </row>
    <row r="74" spans="2:16" ht="18.600000000000001" customHeight="1" x14ac:dyDescent="0.3">
      <c r="B74" s="18"/>
      <c r="D74" s="9"/>
      <c r="O74" s="36"/>
      <c r="P74" s="5"/>
    </row>
    <row r="75" spans="2:16" ht="18.600000000000001" customHeight="1" x14ac:dyDescent="0.3">
      <c r="O75" s="36"/>
      <c r="P75" s="5"/>
    </row>
    <row r="77" spans="2:16" ht="18.600000000000001" customHeight="1" x14ac:dyDescent="0.3">
      <c r="B77" s="74" t="s">
        <v>106</v>
      </c>
    </row>
    <row r="78" spans="2:16" ht="18.600000000000001" customHeight="1" x14ac:dyDescent="0.3">
      <c r="B78" s="8" t="s">
        <v>99</v>
      </c>
      <c r="C78" s="8" t="s">
        <v>109</v>
      </c>
      <c r="D78" s="8" t="s">
        <v>101</v>
      </c>
    </row>
    <row r="79" spans="2:16" ht="18.600000000000001" customHeight="1" x14ac:dyDescent="0.3">
      <c r="D79" s="91">
        <f>post_tax_npv</f>
        <v>8751869.1891481467</v>
      </c>
    </row>
    <row r="80" spans="2:16" ht="18.600000000000001" customHeight="1" x14ac:dyDescent="0.3">
      <c r="B80" s="18">
        <f t="shared" ref="B80:B86" si="1">-1+(C80/$C$83)</f>
        <v>-0.15000000000000002</v>
      </c>
      <c r="C80" s="3">
        <v>17</v>
      </c>
      <c r="D80" s="9">
        <f t="dataTable" ref="D80:D86" dt2D="0" dtr="0" r1="E8" ca="1"/>
        <v>6611398.3206165982</v>
      </c>
    </row>
    <row r="81" spans="2:4" ht="18.600000000000001" customHeight="1" x14ac:dyDescent="0.3">
      <c r="B81" s="18">
        <f t="shared" si="1"/>
        <v>-9.9999999999999978E-2</v>
      </c>
      <c r="C81" s="3">
        <v>18</v>
      </c>
      <c r="D81" s="9">
        <v>7358964.0364159811</v>
      </c>
    </row>
    <row r="82" spans="2:4" ht="18.600000000000001" customHeight="1" x14ac:dyDescent="0.3">
      <c r="B82" s="18">
        <f t="shared" si="1"/>
        <v>-5.0000000000000044E-2</v>
      </c>
      <c r="C82" s="3">
        <v>19</v>
      </c>
      <c r="D82" s="9">
        <v>8071920.2283357615</v>
      </c>
    </row>
    <row r="83" spans="2:4" ht="18.600000000000001" customHeight="1" x14ac:dyDescent="0.3">
      <c r="B83" s="18">
        <f t="shared" si="1"/>
        <v>0</v>
      </c>
      <c r="C83" s="3">
        <v>20</v>
      </c>
      <c r="D83" s="9">
        <v>8751869.1891481467</v>
      </c>
    </row>
    <row r="84" spans="2:4" ht="18.600000000000001" customHeight="1" x14ac:dyDescent="0.3">
      <c r="B84" s="18">
        <f t="shared" si="1"/>
        <v>5.0000000000000044E-2</v>
      </c>
      <c r="C84" s="3">
        <v>21</v>
      </c>
      <c r="D84" s="9">
        <v>9400339.0314044021</v>
      </c>
    </row>
    <row r="85" spans="2:4" ht="18.600000000000001" customHeight="1" x14ac:dyDescent="0.3">
      <c r="B85" s="18">
        <f t="shared" si="1"/>
        <v>0.10000000000000009</v>
      </c>
      <c r="C85" s="3">
        <v>22</v>
      </c>
      <c r="D85" s="9">
        <v>10018787.121704347</v>
      </c>
    </row>
    <row r="86" spans="2:4" ht="18.600000000000001" customHeight="1" x14ac:dyDescent="0.3">
      <c r="B86" s="18">
        <f t="shared" si="1"/>
        <v>0.14999999999999991</v>
      </c>
      <c r="C86" s="3">
        <v>23</v>
      </c>
      <c r="D86" s="9">
        <v>10608603.355971891</v>
      </c>
    </row>
    <row r="87" spans="2:4" ht="18.600000000000001" customHeight="1" x14ac:dyDescent="0.3">
      <c r="B87" s="18"/>
      <c r="D87" s="9"/>
    </row>
    <row r="88" spans="2:4" ht="18.600000000000001" customHeight="1" x14ac:dyDescent="0.3">
      <c r="B88" s="18"/>
      <c r="D88" s="9"/>
    </row>
    <row r="89" spans="2:4" ht="18.600000000000001" customHeight="1" x14ac:dyDescent="0.3">
      <c r="B89" s="18"/>
      <c r="D89" s="9"/>
    </row>
    <row r="90" spans="2:4" ht="18.600000000000001" customHeight="1" x14ac:dyDescent="0.3">
      <c r="B90" s="18"/>
      <c r="D90" s="9"/>
    </row>
    <row r="91" spans="2:4" ht="18.600000000000001" customHeight="1" x14ac:dyDescent="0.3">
      <c r="B91" s="18"/>
      <c r="D91" s="9"/>
    </row>
    <row r="92" spans="2:4" ht="18.600000000000001" customHeight="1" x14ac:dyDescent="0.3">
      <c r="B92" s="18"/>
      <c r="D92" s="9"/>
    </row>
    <row r="95" spans="2:4" ht="18.600000000000001" customHeight="1" x14ac:dyDescent="0.3">
      <c r="B95" s="74" t="s">
        <v>58</v>
      </c>
    </row>
    <row r="96" spans="2:4" ht="18.600000000000001" customHeight="1" x14ac:dyDescent="0.3">
      <c r="B96" s="8" t="s">
        <v>99</v>
      </c>
      <c r="C96" s="8" t="s">
        <v>58</v>
      </c>
      <c r="D96" s="8" t="s">
        <v>101</v>
      </c>
    </row>
    <row r="97" spans="2:16" ht="18.600000000000001" customHeight="1" x14ac:dyDescent="0.3">
      <c r="D97" s="91">
        <f>post_tax_npv</f>
        <v>8751869.1891481467</v>
      </c>
    </row>
    <row r="98" spans="2:16" ht="18.600000000000001" customHeight="1" x14ac:dyDescent="0.3">
      <c r="B98" s="100">
        <f t="shared" ref="B98:B104" si="2">-1+(C98/$C$103)</f>
        <v>-0.2857142857142857</v>
      </c>
      <c r="C98" s="18">
        <v>0.25</v>
      </c>
      <c r="D98" s="9">
        <f t="dataTable" ref="D98:D104" dt2D="0" dtr="0" r1="E10" ca="1"/>
        <v>664762.52223120467</v>
      </c>
      <c r="O98" s="36"/>
      <c r="P98" s="5"/>
    </row>
    <row r="99" spans="2:16" ht="18.600000000000001" customHeight="1" x14ac:dyDescent="0.3">
      <c r="B99" s="100">
        <f t="shared" si="2"/>
        <v>-0.22857142857142843</v>
      </c>
      <c r="C99" s="18">
        <v>0.27</v>
      </c>
      <c r="D99" s="9">
        <v>2317798.8961690413</v>
      </c>
    </row>
    <row r="100" spans="2:16" ht="18.600000000000001" customHeight="1" x14ac:dyDescent="0.3">
      <c r="B100" s="100">
        <f t="shared" si="2"/>
        <v>-0.17142857142857149</v>
      </c>
      <c r="C100" s="18">
        <v>0.28999999999999998</v>
      </c>
      <c r="D100" s="9">
        <v>3926316.4694138179</v>
      </c>
    </row>
    <row r="101" spans="2:16" ht="18.600000000000001" customHeight="1" x14ac:dyDescent="0.3">
      <c r="B101" s="100">
        <f t="shared" si="2"/>
        <v>-0.11428571428571421</v>
      </c>
      <c r="C101" s="18">
        <v>0.31</v>
      </c>
      <c r="D101" s="9">
        <v>5534834.0426585972</v>
      </c>
    </row>
    <row r="102" spans="2:16" ht="18.600000000000001" customHeight="1" x14ac:dyDescent="0.3">
      <c r="B102" s="100">
        <f t="shared" si="2"/>
        <v>-5.7142857142857051E-2</v>
      </c>
      <c r="C102" s="18">
        <v>0.33</v>
      </c>
      <c r="D102" s="9">
        <v>7143351.6159033692</v>
      </c>
    </row>
    <row r="103" spans="2:16" ht="18.600000000000001" customHeight="1" x14ac:dyDescent="0.3">
      <c r="B103" s="100">
        <f>-1+(C103/$C$103)</f>
        <v>0</v>
      </c>
      <c r="C103" s="18">
        <v>0.35</v>
      </c>
      <c r="D103" s="9">
        <v>8751869.1891481467</v>
      </c>
    </row>
    <row r="104" spans="2:16" ht="18.600000000000001" customHeight="1" x14ac:dyDescent="0.3">
      <c r="B104" s="100">
        <f t="shared" si="2"/>
        <v>5.7142857142857162E-2</v>
      </c>
      <c r="C104" s="18">
        <v>0.37</v>
      </c>
      <c r="D104" s="9">
        <v>10360386.762392927</v>
      </c>
    </row>
    <row r="105" spans="2:16" ht="18.600000000000001" customHeight="1" x14ac:dyDescent="0.3">
      <c r="B105" s="18"/>
      <c r="C105" s="18"/>
      <c r="D105" s="9"/>
    </row>
    <row r="106" spans="2:16" ht="18.600000000000001" customHeight="1" x14ac:dyDescent="0.3">
      <c r="B106" s="18"/>
      <c r="C106" s="18"/>
      <c r="D106" s="9"/>
    </row>
    <row r="107" spans="2:16" ht="18.600000000000001" customHeight="1" x14ac:dyDescent="0.3">
      <c r="B107" s="18"/>
      <c r="C107" s="18"/>
      <c r="D107" s="9"/>
    </row>
    <row r="108" spans="2:16" ht="18.600000000000001" customHeight="1" x14ac:dyDescent="0.3">
      <c r="B108" s="18"/>
      <c r="C108" s="18"/>
      <c r="D108" s="9"/>
    </row>
    <row r="109" spans="2:16" ht="18.600000000000001" customHeight="1" x14ac:dyDescent="0.3">
      <c r="B109" s="18"/>
      <c r="C109" s="18"/>
      <c r="D109" s="9"/>
    </row>
    <row r="110" spans="2:16" ht="18.600000000000001" customHeight="1" x14ac:dyDescent="0.3">
      <c r="B110" s="18"/>
      <c r="C110" s="18"/>
      <c r="D110" s="9"/>
    </row>
    <row r="113" spans="2:4" ht="18.600000000000001" customHeight="1" x14ac:dyDescent="0.3">
      <c r="B113" s="74" t="s">
        <v>27</v>
      </c>
    </row>
    <row r="114" spans="2:4" ht="18.600000000000001" customHeight="1" x14ac:dyDescent="0.3">
      <c r="B114" s="8" t="s">
        <v>99</v>
      </c>
      <c r="C114" s="8" t="s">
        <v>27</v>
      </c>
      <c r="D114" s="8" t="s">
        <v>101</v>
      </c>
    </row>
    <row r="115" spans="2:4" ht="18.600000000000001" customHeight="1" x14ac:dyDescent="0.3">
      <c r="D115" s="91">
        <f>post_tax_npv</f>
        <v>8751869.1891481467</v>
      </c>
    </row>
    <row r="116" spans="2:4" ht="18.600000000000001" customHeight="1" x14ac:dyDescent="0.3">
      <c r="B116" s="18">
        <f t="shared" ref="B116:B122" si="3">-1+(C116/$C$119)</f>
        <v>-0.5</v>
      </c>
      <c r="C116" s="87">
        <v>0.04</v>
      </c>
      <c r="D116" s="9">
        <f t="dataTable" ref="D116:D122" dt2D="0" dtr="0" r1="E34" ca="1"/>
        <v>18941094.495753184</v>
      </c>
    </row>
    <row r="117" spans="2:4" ht="18.600000000000001" customHeight="1" x14ac:dyDescent="0.3">
      <c r="B117" s="18">
        <f t="shared" si="3"/>
        <v>-0.25</v>
      </c>
      <c r="C117" s="87">
        <v>0.06</v>
      </c>
      <c r="D117" s="9">
        <v>13160978.297631457</v>
      </c>
    </row>
    <row r="118" spans="2:4" ht="18.600000000000001" customHeight="1" x14ac:dyDescent="0.3">
      <c r="B118" s="18">
        <f t="shared" si="3"/>
        <v>-9.9999999999999867E-2</v>
      </c>
      <c r="C118" s="87">
        <f>C119*0.9</f>
        <v>7.2000000000000008E-2</v>
      </c>
      <c r="D118" s="9">
        <v>10376731.560675589</v>
      </c>
    </row>
    <row r="119" spans="2:4" ht="18.600000000000001" customHeight="1" x14ac:dyDescent="0.3">
      <c r="B119" s="18">
        <f t="shared" si="3"/>
        <v>0</v>
      </c>
      <c r="C119" s="87">
        <v>0.08</v>
      </c>
      <c r="D119" s="9">
        <v>8751869.1891481467</v>
      </c>
    </row>
    <row r="120" spans="2:4" ht="18.600000000000001" customHeight="1" x14ac:dyDescent="0.3">
      <c r="B120" s="18">
        <f t="shared" si="3"/>
        <v>9.9999999999999867E-2</v>
      </c>
      <c r="C120" s="87">
        <v>8.7999999999999995E-2</v>
      </c>
      <c r="D120" s="9">
        <v>7287581.3579641944</v>
      </c>
    </row>
    <row r="121" spans="2:4" ht="18.600000000000001" customHeight="1" x14ac:dyDescent="0.3">
      <c r="B121" s="18">
        <f t="shared" si="3"/>
        <v>0.25</v>
      </c>
      <c r="C121" s="87">
        <v>0.1</v>
      </c>
      <c r="D121" s="9">
        <v>5353357.2939132852</v>
      </c>
    </row>
    <row r="122" spans="2:4" ht="18.600000000000001" customHeight="1" x14ac:dyDescent="0.3">
      <c r="B122" s="18">
        <f t="shared" si="3"/>
        <v>0.5</v>
      </c>
      <c r="C122" s="87">
        <v>0.12</v>
      </c>
      <c r="D122" s="9">
        <v>2706792.2544692885</v>
      </c>
    </row>
    <row r="123" spans="2:4" ht="18.600000000000001" customHeight="1" x14ac:dyDescent="0.3">
      <c r="B123" s="18"/>
      <c r="C123" s="18"/>
      <c r="D123" s="9"/>
    </row>
    <row r="124" spans="2:4" ht="18.600000000000001" customHeight="1" x14ac:dyDescent="0.3">
      <c r="B124" s="18"/>
      <c r="C124" s="18"/>
      <c r="D124" s="9"/>
    </row>
    <row r="125" spans="2:4" ht="18.600000000000001" customHeight="1" x14ac:dyDescent="0.3">
      <c r="B125" s="18"/>
      <c r="C125" s="18"/>
      <c r="D125" s="9"/>
    </row>
    <row r="126" spans="2:4" ht="18.600000000000001" customHeight="1" x14ac:dyDescent="0.3">
      <c r="B126" s="18"/>
      <c r="C126" s="18"/>
      <c r="D126" s="9"/>
    </row>
    <row r="127" spans="2:4" ht="18.600000000000001" customHeight="1" x14ac:dyDescent="0.3">
      <c r="B127" s="18"/>
      <c r="C127" s="18"/>
      <c r="D127" s="9"/>
    </row>
    <row r="128" spans="2:4" ht="18.600000000000001" customHeight="1" x14ac:dyDescent="0.3">
      <c r="B128" s="18"/>
      <c r="C128" s="18"/>
      <c r="D128" s="9"/>
    </row>
    <row r="131" spans="2:4" ht="18.600000000000001" customHeight="1" x14ac:dyDescent="0.3">
      <c r="B131" s="74" t="s">
        <v>102</v>
      </c>
    </row>
    <row r="132" spans="2:4" ht="18.600000000000001" customHeight="1" x14ac:dyDescent="0.3">
      <c r="B132" s="8" t="s">
        <v>99</v>
      </c>
      <c r="C132" s="8" t="s">
        <v>108</v>
      </c>
      <c r="D132" s="8" t="s">
        <v>101</v>
      </c>
    </row>
    <row r="133" spans="2:4" ht="18.600000000000001" customHeight="1" x14ac:dyDescent="0.3">
      <c r="D133" s="91">
        <f>post_tax_npv</f>
        <v>8751869.1891481467</v>
      </c>
    </row>
    <row r="134" spans="2:4" ht="18.600000000000001" customHeight="1" x14ac:dyDescent="0.3">
      <c r="B134" s="18">
        <f t="shared" ref="B134:B140" si="4">-1+(C134/$C$137)</f>
        <v>-0.5</v>
      </c>
      <c r="C134" s="72">
        <f>C137*0.5</f>
        <v>50000</v>
      </c>
      <c r="D134" s="9">
        <f t="dataTable" ref="D134:D140" dt2D="0" dtr="0" r1="E23" ca="1"/>
        <v>12424283.739935307</v>
      </c>
    </row>
    <row r="135" spans="2:4" ht="18.600000000000001" customHeight="1" x14ac:dyDescent="0.3">
      <c r="B135" s="18">
        <f t="shared" si="4"/>
        <v>-0.25</v>
      </c>
      <c r="C135" s="73">
        <f>C137*0.75</f>
        <v>75000</v>
      </c>
      <c r="D135" s="9">
        <v>10588076.464541724</v>
      </c>
    </row>
    <row r="136" spans="2:4" ht="18.600000000000001" customHeight="1" x14ac:dyDescent="0.3">
      <c r="B136" s="18">
        <f t="shared" si="4"/>
        <v>-9.9999999999999978E-2</v>
      </c>
      <c r="C136" s="72">
        <f>C137*0.9</f>
        <v>90000</v>
      </c>
      <c r="D136" s="9">
        <v>9486352.0993055757</v>
      </c>
    </row>
    <row r="137" spans="2:4" ht="18.600000000000001" customHeight="1" x14ac:dyDescent="0.3">
      <c r="B137" s="18">
        <f t="shared" si="4"/>
        <v>0</v>
      </c>
      <c r="C137" s="72">
        <v>100000</v>
      </c>
      <c r="D137" s="9">
        <v>8751869.1891481467</v>
      </c>
    </row>
    <row r="138" spans="2:4" ht="18.600000000000001" customHeight="1" x14ac:dyDescent="0.3">
      <c r="B138" s="18">
        <f t="shared" si="4"/>
        <v>0.10000000000000009</v>
      </c>
      <c r="C138" s="72">
        <f>C137*1.1</f>
        <v>110000.00000000001</v>
      </c>
      <c r="D138" s="9">
        <v>8017386.2789907083</v>
      </c>
    </row>
    <row r="139" spans="2:4" ht="18.600000000000001" customHeight="1" x14ac:dyDescent="0.3">
      <c r="B139" s="18">
        <f t="shared" si="4"/>
        <v>0.25</v>
      </c>
      <c r="C139" s="72">
        <f>C137*1.25</f>
        <v>125000</v>
      </c>
      <c r="D139" s="9">
        <v>6915661.9137545638</v>
      </c>
    </row>
    <row r="140" spans="2:4" ht="18.600000000000001" customHeight="1" x14ac:dyDescent="0.3">
      <c r="B140" s="18">
        <f t="shared" si="4"/>
        <v>0.5</v>
      </c>
      <c r="C140" s="72">
        <f>C137*1.5</f>
        <v>150000</v>
      </c>
      <c r="D140" s="9">
        <v>5079454.6383609828</v>
      </c>
    </row>
    <row r="141" spans="2:4" ht="18.600000000000001" customHeight="1" x14ac:dyDescent="0.3">
      <c r="B141" s="18"/>
      <c r="C141" s="72"/>
      <c r="D141" s="9"/>
    </row>
    <row r="142" spans="2:4" ht="18.600000000000001" customHeight="1" x14ac:dyDescent="0.3">
      <c r="B142" s="18"/>
      <c r="C142" s="72"/>
      <c r="D142" s="9"/>
    </row>
    <row r="143" spans="2:4" ht="18.600000000000001" customHeight="1" x14ac:dyDescent="0.3">
      <c r="B143" s="18"/>
      <c r="C143" s="72"/>
      <c r="D143" s="9"/>
    </row>
    <row r="144" spans="2:4" ht="18.600000000000001" customHeight="1" x14ac:dyDescent="0.3">
      <c r="B144" s="18"/>
      <c r="C144" s="72"/>
      <c r="D144" s="9"/>
    </row>
    <row r="145" spans="2:4" ht="18.600000000000001" customHeight="1" x14ac:dyDescent="0.3">
      <c r="B145" s="18"/>
      <c r="C145" s="72"/>
      <c r="D145" s="9"/>
    </row>
    <row r="146" spans="2:4" ht="18.600000000000001" customHeight="1" x14ac:dyDescent="0.3">
      <c r="B146" s="18"/>
      <c r="C146" s="72"/>
      <c r="D146" s="9"/>
    </row>
    <row r="149" spans="2:4" ht="18.600000000000001" customHeight="1" x14ac:dyDescent="0.3">
      <c r="B149" s="74" t="s">
        <v>105</v>
      </c>
    </row>
    <row r="150" spans="2:4" ht="18.600000000000001" customHeight="1" x14ac:dyDescent="0.3">
      <c r="B150" s="8" t="s">
        <v>99</v>
      </c>
      <c r="C150" s="8" t="s">
        <v>105</v>
      </c>
      <c r="D150" s="8" t="s">
        <v>101</v>
      </c>
    </row>
    <row r="151" spans="2:4" ht="18.600000000000001" customHeight="1" x14ac:dyDescent="0.3">
      <c r="D151" s="91">
        <f>post_tax_npv</f>
        <v>8751869.1891481467</v>
      </c>
    </row>
    <row r="152" spans="2:4" ht="18.600000000000001" customHeight="1" x14ac:dyDescent="0.3">
      <c r="B152" s="100">
        <f t="shared" ref="B152:B154" si="5">-1+(C152/$C$155)</f>
        <v>-0.375</v>
      </c>
      <c r="C152" s="15">
        <v>5</v>
      </c>
      <c r="D152" s="9">
        <f t="dataTable" ref="D152:D158" dt2D="0" dtr="0" r1="E11" ca="1"/>
        <v>4212576.2547234371</v>
      </c>
    </row>
    <row r="153" spans="2:4" ht="18.600000000000001" customHeight="1" x14ac:dyDescent="0.3">
      <c r="B153" s="100">
        <f t="shared" si="5"/>
        <v>-0.25</v>
      </c>
      <c r="C153" s="15">
        <v>6</v>
      </c>
      <c r="D153" s="9">
        <v>5725673.8995316774</v>
      </c>
    </row>
    <row r="154" spans="2:4" ht="18.600000000000001" customHeight="1" x14ac:dyDescent="0.3">
      <c r="B154" s="100">
        <f t="shared" si="5"/>
        <v>-0.125</v>
      </c>
      <c r="C154" s="15">
        <v>7</v>
      </c>
      <c r="D154" s="9">
        <v>7238771.544339912</v>
      </c>
    </row>
    <row r="155" spans="2:4" ht="18.600000000000001" customHeight="1" x14ac:dyDescent="0.3">
      <c r="B155" s="100">
        <f>-1+(C155/$C$155)</f>
        <v>0</v>
      </c>
      <c r="C155" s="15">
        <v>8</v>
      </c>
      <c r="D155" s="9">
        <v>8751869.1891481467</v>
      </c>
    </row>
    <row r="156" spans="2:4" ht="18.600000000000001" customHeight="1" x14ac:dyDescent="0.3">
      <c r="B156" s="100">
        <f t="shared" ref="B156:B158" si="6">-1+(C156/$C$155)</f>
        <v>0.125</v>
      </c>
      <c r="C156" s="15">
        <v>9</v>
      </c>
      <c r="D156" s="9">
        <v>10264966.833956389</v>
      </c>
    </row>
    <row r="157" spans="2:4" ht="18.600000000000001" customHeight="1" x14ac:dyDescent="0.3">
      <c r="B157" s="100">
        <f t="shared" si="6"/>
        <v>0.25</v>
      </c>
      <c r="C157" s="15">
        <v>10</v>
      </c>
      <c r="D157" s="9">
        <v>11778064.478764627</v>
      </c>
    </row>
    <row r="158" spans="2:4" ht="18.600000000000001" customHeight="1" x14ac:dyDescent="0.3">
      <c r="B158" s="100">
        <f t="shared" si="6"/>
        <v>0.375</v>
      </c>
      <c r="C158" s="15">
        <v>11</v>
      </c>
      <c r="D158" s="9">
        <v>13291162.123572864</v>
      </c>
    </row>
    <row r="159" spans="2:4" ht="18.600000000000001" customHeight="1" x14ac:dyDescent="0.3">
      <c r="C159" s="15"/>
      <c r="D159" s="9"/>
    </row>
    <row r="160" spans="2:4" ht="18.600000000000001" customHeight="1" x14ac:dyDescent="0.3">
      <c r="C160" s="15"/>
      <c r="D160" s="9"/>
    </row>
    <row r="161" spans="2:4" ht="18.600000000000001" customHeight="1" x14ac:dyDescent="0.3">
      <c r="C161" s="15"/>
      <c r="D161" s="9"/>
    </row>
    <row r="162" spans="2:4" ht="18.600000000000001" customHeight="1" x14ac:dyDescent="0.3">
      <c r="C162" s="15"/>
      <c r="D162" s="9"/>
    </row>
    <row r="163" spans="2:4" ht="18.600000000000001" customHeight="1" x14ac:dyDescent="0.3">
      <c r="C163" s="15"/>
      <c r="D163" s="9"/>
    </row>
    <row r="164" spans="2:4" ht="18.600000000000001" customHeight="1" x14ac:dyDescent="0.3">
      <c r="C164" s="15"/>
      <c r="D164" s="9"/>
    </row>
    <row r="165" spans="2:4" ht="18.600000000000001" customHeight="1" x14ac:dyDescent="0.3">
      <c r="B165" s="8"/>
      <c r="C165" s="8"/>
    </row>
    <row r="166" spans="2:4" ht="18.600000000000001" customHeight="1" x14ac:dyDescent="0.3">
      <c r="C166" s="35"/>
    </row>
    <row r="167" spans="2:4" ht="18.600000000000001" customHeight="1" x14ac:dyDescent="0.3">
      <c r="B167" s="74" t="s">
        <v>44</v>
      </c>
    </row>
    <row r="168" spans="2:4" ht="18.600000000000001" customHeight="1" x14ac:dyDescent="0.3">
      <c r="B168" s="8" t="s">
        <v>99</v>
      </c>
      <c r="C168" s="8" t="s">
        <v>44</v>
      </c>
      <c r="D168" s="8" t="s">
        <v>101</v>
      </c>
    </row>
    <row r="169" spans="2:4" ht="18.600000000000001" customHeight="1" x14ac:dyDescent="0.3">
      <c r="D169" s="91">
        <f>post_tax_npv</f>
        <v>8751869.1891481467</v>
      </c>
    </row>
    <row r="170" spans="2:4" ht="18.600000000000001" customHeight="1" x14ac:dyDescent="0.3">
      <c r="B170" s="18">
        <f t="shared" ref="B170:B176" si="7">-1+(C170/$C$173)</f>
        <v>-0.5</v>
      </c>
      <c r="C170" s="71">
        <f>C173*0.5</f>
        <v>1.4999999999999999E-2</v>
      </c>
      <c r="D170" s="9">
        <f t="dataTable" ref="D170:D176" dt2D="0" dtr="0" r1="E35" ca="1"/>
        <v>6111373.8349962477</v>
      </c>
    </row>
    <row r="171" spans="2:4" ht="18.600000000000001" customHeight="1" x14ac:dyDescent="0.3">
      <c r="B171" s="18">
        <f t="shared" si="7"/>
        <v>-0.25</v>
      </c>
      <c r="C171" s="71">
        <f>C173*0.75</f>
        <v>2.2499999999999999E-2</v>
      </c>
      <c r="D171" s="9">
        <v>7372377.764809005</v>
      </c>
    </row>
    <row r="172" spans="2:4" ht="18.600000000000001" customHeight="1" x14ac:dyDescent="0.3">
      <c r="B172" s="18">
        <f t="shared" si="7"/>
        <v>-9.9999999999999978E-2</v>
      </c>
      <c r="C172" s="71">
        <f>C173*0.9</f>
        <v>2.7E-2</v>
      </c>
      <c r="D172" s="9">
        <v>8185150.8126628539</v>
      </c>
    </row>
    <row r="173" spans="2:4" ht="18.600000000000001" customHeight="1" x14ac:dyDescent="0.3">
      <c r="B173" s="18">
        <f t="shared" si="7"/>
        <v>0</v>
      </c>
      <c r="C173" s="71">
        <v>0.03</v>
      </c>
      <c r="D173" s="9">
        <v>8751869.1891481467</v>
      </c>
    </row>
    <row r="174" spans="2:4" ht="18.600000000000001" customHeight="1" x14ac:dyDescent="0.3">
      <c r="B174" s="18">
        <f t="shared" si="7"/>
        <v>0.10000000000000009</v>
      </c>
      <c r="C174" s="71">
        <f>C173*1.1</f>
        <v>3.3000000000000002E-2</v>
      </c>
      <c r="D174" s="9">
        <v>9339349.075178653</v>
      </c>
    </row>
    <row r="175" spans="2:4" ht="18.600000000000001" customHeight="1" x14ac:dyDescent="0.3">
      <c r="B175" s="18">
        <f t="shared" si="7"/>
        <v>0.25</v>
      </c>
      <c r="C175" s="71">
        <f>C173*1.25</f>
        <v>3.7499999999999999E-2</v>
      </c>
      <c r="D175" s="9">
        <v>10261194.283568392</v>
      </c>
    </row>
    <row r="176" spans="2:4" ht="18.600000000000001" customHeight="1" x14ac:dyDescent="0.3">
      <c r="B176" s="18">
        <f t="shared" si="7"/>
        <v>0.5</v>
      </c>
      <c r="C176" s="71">
        <f>C173*1.5</f>
        <v>4.4999999999999998E-2</v>
      </c>
      <c r="D176" s="9">
        <v>11912760.437884923</v>
      </c>
    </row>
    <row r="177" spans="2:4" ht="18.600000000000001" customHeight="1" x14ac:dyDescent="0.3">
      <c r="B177" s="18"/>
      <c r="C177" s="71"/>
      <c r="D177" s="9"/>
    </row>
    <row r="178" spans="2:4" ht="18.600000000000001" customHeight="1" x14ac:dyDescent="0.3">
      <c r="B178" s="18"/>
      <c r="C178" s="71"/>
      <c r="D178" s="9"/>
    </row>
    <row r="179" spans="2:4" ht="18.600000000000001" customHeight="1" x14ac:dyDescent="0.3">
      <c r="B179" s="18"/>
      <c r="C179" s="71"/>
      <c r="D179" s="9"/>
    </row>
    <row r="180" spans="2:4" ht="18.600000000000001" customHeight="1" x14ac:dyDescent="0.3">
      <c r="B180" s="18"/>
      <c r="C180" s="71"/>
      <c r="D180" s="9"/>
    </row>
    <row r="181" spans="2:4" ht="18.600000000000001" customHeight="1" x14ac:dyDescent="0.3">
      <c r="B181" s="18"/>
      <c r="C181" s="71"/>
      <c r="D181" s="9"/>
    </row>
    <row r="182" spans="2:4" ht="18.600000000000001" customHeight="1" x14ac:dyDescent="0.3">
      <c r="B182" s="18"/>
      <c r="C182" s="71"/>
      <c r="D182" s="9"/>
    </row>
    <row r="185" spans="2:4" ht="18.600000000000001" customHeight="1" x14ac:dyDescent="0.3">
      <c r="B185" s="74" t="s">
        <v>103</v>
      </c>
    </row>
    <row r="186" spans="2:4" ht="18.600000000000001" customHeight="1" x14ac:dyDescent="0.3">
      <c r="B186" s="8" t="s">
        <v>99</v>
      </c>
      <c r="C186" s="8" t="s">
        <v>104</v>
      </c>
      <c r="D186" s="8" t="s">
        <v>101</v>
      </c>
    </row>
    <row r="187" spans="2:4" ht="18.600000000000001" customHeight="1" x14ac:dyDescent="0.3">
      <c r="D187" s="91">
        <f>post_tax_npv</f>
        <v>8751869.1891481467</v>
      </c>
    </row>
    <row r="188" spans="2:4" ht="18.600000000000001" customHeight="1" x14ac:dyDescent="0.3">
      <c r="B188" s="18">
        <f>-1+(C188/$C$188)</f>
        <v>0</v>
      </c>
      <c r="C188" s="15">
        <v>3</v>
      </c>
      <c r="D188" s="9">
        <f t="dataTable" ref="D188:D194" dt2D="0" dtr="0" r1="E14" ca="1"/>
        <v>8751869.1891481467</v>
      </c>
    </row>
    <row r="189" spans="2:4" ht="18.600000000000001" customHeight="1" x14ac:dyDescent="0.3">
      <c r="B189" s="18">
        <f t="shared" ref="B189:B194" si="8">-1+(C189/$C$188)</f>
        <v>0.33333333333333326</v>
      </c>
      <c r="C189" s="15">
        <v>4</v>
      </c>
      <c r="D189" s="9">
        <v>7706494.6435577394</v>
      </c>
    </row>
    <row r="190" spans="2:4" ht="18.600000000000001" customHeight="1" x14ac:dyDescent="0.3">
      <c r="B190" s="18">
        <f t="shared" si="8"/>
        <v>0.66666666666666674</v>
      </c>
      <c r="C190" s="15">
        <v>5</v>
      </c>
      <c r="D190" s="9">
        <v>6712887.7807097435</v>
      </c>
    </row>
    <row r="191" spans="2:4" ht="18.600000000000001" customHeight="1" x14ac:dyDescent="0.3">
      <c r="B191" s="18">
        <f t="shared" si="8"/>
        <v>1</v>
      </c>
      <c r="C191" s="15">
        <v>6</v>
      </c>
      <c r="D191" s="9">
        <v>5768402.2661779998</v>
      </c>
    </row>
    <row r="192" spans="2:4" ht="18.600000000000001" customHeight="1" x14ac:dyDescent="0.3">
      <c r="B192" s="18">
        <f t="shared" si="8"/>
        <v>1.3333333333333335</v>
      </c>
      <c r="C192" s="15">
        <v>7</v>
      </c>
      <c r="D192" s="9">
        <v>5139644.2625854444</v>
      </c>
    </row>
    <row r="193" spans="2:19" ht="18.600000000000001" customHeight="1" x14ac:dyDescent="0.3">
      <c r="B193" s="18">
        <f t="shared" si="8"/>
        <v>1.6666666666666665</v>
      </c>
      <c r="C193" s="15">
        <v>8</v>
      </c>
      <c r="D193" s="9">
        <v>4542671.2065115813</v>
      </c>
    </row>
    <row r="194" spans="2:19" ht="18.600000000000001" customHeight="1" x14ac:dyDescent="0.3">
      <c r="B194" s="18">
        <f t="shared" si="8"/>
        <v>2</v>
      </c>
      <c r="C194" s="15">
        <v>9</v>
      </c>
      <c r="D194" s="9">
        <v>3841257.6233464531</v>
      </c>
    </row>
    <row r="204" spans="2:19" ht="18.600000000000001" customHeight="1" x14ac:dyDescent="0.3">
      <c r="B204" s="153" t="s">
        <v>111</v>
      </c>
      <c r="C204" s="153"/>
      <c r="D204" s="153"/>
      <c r="E204" s="153"/>
      <c r="F204" s="153"/>
      <c r="G204" s="153"/>
      <c r="H204" s="153"/>
      <c r="I204" s="153"/>
      <c r="J204" s="153"/>
      <c r="K204" s="153"/>
      <c r="L204" s="153"/>
      <c r="M204" s="153"/>
      <c r="N204" s="153"/>
      <c r="O204" s="153"/>
      <c r="P204" s="153"/>
      <c r="Q204" s="153"/>
      <c r="R204" s="153"/>
      <c r="S204" s="118"/>
    </row>
    <row r="205" spans="2:19" ht="18.600000000000001" customHeight="1" x14ac:dyDescent="0.3">
      <c r="B205" s="153"/>
      <c r="C205" s="153"/>
      <c r="D205" s="153"/>
      <c r="E205" s="153"/>
      <c r="F205" s="153"/>
      <c r="G205" s="153"/>
      <c r="H205" s="153"/>
      <c r="I205" s="153"/>
      <c r="J205" s="153"/>
      <c r="K205" s="153"/>
      <c r="L205" s="153"/>
      <c r="M205" s="153"/>
      <c r="N205" s="153"/>
      <c r="O205" s="153"/>
      <c r="P205" s="153"/>
      <c r="Q205" s="153"/>
      <c r="R205" s="153"/>
      <c r="S205" s="118"/>
    </row>
    <row r="206" spans="2:19" ht="18.600000000000001" customHeight="1" x14ac:dyDescent="0.3">
      <c r="B206" s="120"/>
      <c r="C206" s="120"/>
      <c r="D206" s="120"/>
      <c r="E206" s="120"/>
      <c r="F206" s="120"/>
      <c r="G206" s="120"/>
      <c r="H206" s="120"/>
      <c r="I206" s="120"/>
      <c r="J206" s="120"/>
      <c r="K206" s="120"/>
      <c r="L206" s="120"/>
      <c r="M206" s="120"/>
      <c r="N206" s="120"/>
      <c r="O206" s="120"/>
      <c r="P206" s="120"/>
      <c r="Q206" s="120"/>
      <c r="R206" s="120"/>
      <c r="S206" s="118"/>
    </row>
    <row r="208" spans="2:19" ht="18.600000000000001" customHeight="1" x14ac:dyDescent="0.3">
      <c r="B208" s="37"/>
      <c r="C208" s="74" t="s">
        <v>127</v>
      </c>
      <c r="J208" s="75" t="s">
        <v>126</v>
      </c>
      <c r="K208" s="156" t="s">
        <v>27</v>
      </c>
      <c r="L208" s="156"/>
      <c r="M208" s="156"/>
      <c r="N208" s="156"/>
      <c r="O208" s="156"/>
      <c r="P208" s="156"/>
      <c r="Q208" s="156"/>
    </row>
    <row r="209" spans="2:17" ht="18.600000000000001" customHeight="1" x14ac:dyDescent="0.3">
      <c r="B209" s="8"/>
      <c r="J209" s="76">
        <f>post_tax_npv</f>
        <v>8751869.1891481467</v>
      </c>
      <c r="K209" s="88">
        <v>0.04</v>
      </c>
      <c r="L209" s="89">
        <v>0.06</v>
      </c>
      <c r="M209" s="90">
        <v>7.2000000000000008E-2</v>
      </c>
      <c r="N209" s="89">
        <v>0.08</v>
      </c>
      <c r="O209" s="90">
        <v>8.7999999999999995E-2</v>
      </c>
      <c r="P209" s="89">
        <v>0.1</v>
      </c>
      <c r="Q209" s="90">
        <v>0.12</v>
      </c>
    </row>
    <row r="210" spans="2:17" ht="18.600000000000001" customHeight="1" x14ac:dyDescent="0.3">
      <c r="J210" s="85">
        <v>25</v>
      </c>
      <c r="K210" s="79">
        <f t="dataTable" ref="K210:Q216" dt2D="1" dtr="1" r1="E34" r2="E38" ca="1"/>
        <v>-3798279.046815569</v>
      </c>
      <c r="L210" s="79">
        <v>-5068969.7499467935</v>
      </c>
      <c r="M210" s="79">
        <v>-5710854.1387221767</v>
      </c>
      <c r="N210" s="79">
        <v>-6093924.1302413587</v>
      </c>
      <c r="O210" s="79">
        <v>-6444136.8425048124</v>
      </c>
      <c r="P210" s="79">
        <v>-6913310.3357233657</v>
      </c>
      <c r="Q210" s="79">
        <v>-7564847.2668719087</v>
      </c>
    </row>
    <row r="211" spans="2:17" ht="18.600000000000001" customHeight="1" x14ac:dyDescent="0.3">
      <c r="J211" s="86">
        <v>37.5</v>
      </c>
      <c r="K211" s="79">
        <v>8051181.362764053</v>
      </c>
      <c r="L211" s="79">
        <v>4473168.2165271752</v>
      </c>
      <c r="M211" s="79">
        <v>2732109.5073713083</v>
      </c>
      <c r="N211" s="79">
        <v>1710801.4188406933</v>
      </c>
      <c r="O211" s="79">
        <v>787182.06846501678</v>
      </c>
      <c r="P211" s="79">
        <v>-437387.54299672897</v>
      </c>
      <c r="Q211" s="79">
        <v>-2120547.4694734318</v>
      </c>
    </row>
    <row r="212" spans="2:17" ht="18.600000000000001" customHeight="1" x14ac:dyDescent="0.3">
      <c r="J212" s="86">
        <v>45</v>
      </c>
      <c r="K212" s="79">
        <v>14586832.976591159</v>
      </c>
      <c r="L212" s="79">
        <v>9687463.3695846498</v>
      </c>
      <c r="M212" s="79">
        <v>7320438.4092966048</v>
      </c>
      <c r="N212" s="79">
        <v>5936963.4359697849</v>
      </c>
      <c r="O212" s="79">
        <v>4688909.6839636536</v>
      </c>
      <c r="P212" s="79">
        <v>3038499.2307345551</v>
      </c>
      <c r="Q212" s="79">
        <v>777220.46972888941</v>
      </c>
    </row>
    <row r="213" spans="2:17" ht="18.600000000000001" customHeight="1" x14ac:dyDescent="0.3">
      <c r="J213" s="86">
        <v>50</v>
      </c>
      <c r="K213" s="79">
        <v>18941094.495753184</v>
      </c>
      <c r="L213" s="79">
        <v>13160978.297631457</v>
      </c>
      <c r="M213" s="79">
        <v>10376731.560675589</v>
      </c>
      <c r="N213" s="79">
        <v>8751869.1891481467</v>
      </c>
      <c r="O213" s="79">
        <v>7287581.3579641944</v>
      </c>
      <c r="P213" s="79">
        <v>5353357.2939132852</v>
      </c>
      <c r="Q213" s="79">
        <v>2706792.2544692885</v>
      </c>
    </row>
    <row r="214" spans="2:17" ht="18.600000000000001" customHeight="1" x14ac:dyDescent="0.3">
      <c r="J214" s="86">
        <v>55</v>
      </c>
      <c r="K214" s="79">
        <v>23295356.01491522</v>
      </c>
      <c r="L214" s="79">
        <v>16634493.225678273</v>
      </c>
      <c r="M214" s="79">
        <v>13433024.712054577</v>
      </c>
      <c r="N214" s="79">
        <v>11566774.942326505</v>
      </c>
      <c r="O214" s="79">
        <v>9886253.0319647323</v>
      </c>
      <c r="P214" s="79">
        <v>7668215.3570920201</v>
      </c>
      <c r="Q214" s="79">
        <v>4636364.0392096853</v>
      </c>
    </row>
    <row r="215" spans="2:17" ht="18.600000000000001" customHeight="1" x14ac:dyDescent="0.3">
      <c r="J215" s="86">
        <v>62.5</v>
      </c>
      <c r="K215" s="79">
        <v>29826748.29365826</v>
      </c>
      <c r="L215" s="79">
        <v>21844765.61774848</v>
      </c>
      <c r="M215" s="79">
        <v>18017464.439123053</v>
      </c>
      <c r="N215" s="79">
        <v>15789133.572094042</v>
      </c>
      <c r="O215" s="79">
        <v>13784260.542965544</v>
      </c>
      <c r="P215" s="79">
        <v>11140502.451860126</v>
      </c>
      <c r="Q215" s="79">
        <v>7530721.7163202865</v>
      </c>
    </row>
    <row r="216" spans="2:17" ht="18.600000000000001" customHeight="1" x14ac:dyDescent="0.3">
      <c r="J216" s="86">
        <v>75</v>
      </c>
      <c r="K216" s="79">
        <v>40712402.091563322</v>
      </c>
      <c r="L216" s="79">
        <v>30528552.937865507</v>
      </c>
      <c r="M216" s="79">
        <v>25658197.317570511</v>
      </c>
      <c r="N216" s="79">
        <v>22826397.955039933</v>
      </c>
      <c r="O216" s="79">
        <v>20280939.72796689</v>
      </c>
      <c r="P216" s="79">
        <v>16927647.609806951</v>
      </c>
      <c r="Q216" s="79">
        <v>12354651.178171281</v>
      </c>
    </row>
    <row r="219" spans="2:17" ht="18.600000000000001" customHeight="1" x14ac:dyDescent="0.3">
      <c r="B219" s="7"/>
      <c r="C219" s="74" t="s">
        <v>128</v>
      </c>
      <c r="D219" s="7"/>
      <c r="E219" s="7"/>
      <c r="F219" s="7"/>
      <c r="J219" s="75" t="s">
        <v>129</v>
      </c>
      <c r="K219" s="155" t="s">
        <v>27</v>
      </c>
      <c r="L219" s="155"/>
      <c r="M219" s="155"/>
      <c r="N219" s="155"/>
      <c r="O219" s="155"/>
      <c r="P219" s="155"/>
      <c r="Q219" s="155"/>
    </row>
    <row r="220" spans="2:17" ht="18.600000000000001" customHeight="1" x14ac:dyDescent="0.3">
      <c r="J220" s="76">
        <f>post_tax_npv</f>
        <v>8751869.1891481467</v>
      </c>
      <c r="K220" s="88">
        <v>0.04</v>
      </c>
      <c r="L220" s="89">
        <v>0.06</v>
      </c>
      <c r="M220" s="90">
        <v>7.2000000000000008E-2</v>
      </c>
      <c r="N220" s="89">
        <v>0.08</v>
      </c>
      <c r="O220" s="90">
        <v>8.7999999999999995E-2</v>
      </c>
      <c r="P220" s="89">
        <v>0.1</v>
      </c>
      <c r="Q220" s="90">
        <v>0.12</v>
      </c>
    </row>
    <row r="221" spans="2:17" ht="18.600000000000001" customHeight="1" x14ac:dyDescent="0.3">
      <c r="J221" s="81">
        <v>3</v>
      </c>
      <c r="K221" s="78">
        <f t="dataTable" ref="K221:Q227" dt2D="1" dtr="1" r1="E34" r2="E14" ca="1"/>
        <v>18941094.495753184</v>
      </c>
      <c r="L221" s="78">
        <v>13160978.297631457</v>
      </c>
      <c r="M221" s="78">
        <v>10376731.560675589</v>
      </c>
      <c r="N221" s="78">
        <v>8751869.1891481467</v>
      </c>
      <c r="O221" s="78">
        <v>7287581.3579641944</v>
      </c>
      <c r="P221" s="78">
        <v>5353357.2939132852</v>
      </c>
      <c r="Q221" s="78">
        <v>2706792.2544692885</v>
      </c>
    </row>
    <row r="222" spans="2:17" s="4" customFormat="1" ht="18.600000000000001" customHeight="1" x14ac:dyDescent="0.3">
      <c r="J222" s="82">
        <v>4</v>
      </c>
      <c r="K222" s="78">
        <v>18572299.038530178</v>
      </c>
      <c r="L222" s="78">
        <v>12367988.97194567</v>
      </c>
      <c r="M222" s="78">
        <v>9416232.5193950217</v>
      </c>
      <c r="N222" s="78">
        <v>7706494.6435577394</v>
      </c>
      <c r="O222" s="78">
        <v>6174737.0051078619</v>
      </c>
      <c r="P222" s="78">
        <v>4165881.3535537566</v>
      </c>
      <c r="Q222" s="78">
        <v>1447947.8510302664</v>
      </c>
    </row>
    <row r="223" spans="2:17" s="4" customFormat="1" ht="18.600000000000001" customHeight="1" x14ac:dyDescent="0.3">
      <c r="J223" s="82">
        <v>5</v>
      </c>
      <c r="K223" s="78">
        <v>18209346.007708739</v>
      </c>
      <c r="L223" s="78">
        <v>11600386.605272185</v>
      </c>
      <c r="M223" s="78">
        <v>8496587.3454116359</v>
      </c>
      <c r="N223" s="78">
        <v>6712887.7807097435</v>
      </c>
      <c r="O223" s="78">
        <v>5124710.2348696114</v>
      </c>
      <c r="P223" s="78">
        <v>3057606.780754983</v>
      </c>
      <c r="Q223" s="78">
        <v>294039.54593326122</v>
      </c>
    </row>
    <row r="224" spans="2:17" s="4" customFormat="1" ht="18.600000000000001" customHeight="1" x14ac:dyDescent="0.3">
      <c r="J224" s="82">
        <v>6</v>
      </c>
      <c r="K224" s="78">
        <v>17852090.906256702</v>
      </c>
      <c r="L224" s="78">
        <v>10857286.06490938</v>
      </c>
      <c r="M224" s="78">
        <v>7615978.992618083</v>
      </c>
      <c r="N224" s="78">
        <v>5768402.2661779998</v>
      </c>
      <c r="O224" s="78">
        <v>4133869.7808719771</v>
      </c>
      <c r="P224" s="78">
        <v>2023163.0596894089</v>
      </c>
      <c r="Q224" s="78">
        <v>-763769.91430776671</v>
      </c>
    </row>
    <row r="225" spans="3:17" s="4" customFormat="1" ht="18.600000000000001" customHeight="1" x14ac:dyDescent="0.3">
      <c r="J225" s="82">
        <v>7</v>
      </c>
      <c r="K225" s="78">
        <v>18304390.794823352</v>
      </c>
      <c r="L225" s="78">
        <v>10600591.62850881</v>
      </c>
      <c r="M225" s="78">
        <v>7106542.2759903176</v>
      </c>
      <c r="N225" s="78">
        <v>5139644.2625854444</v>
      </c>
      <c r="O225" s="78">
        <v>3416062.5101108649</v>
      </c>
      <c r="P225" s="78">
        <v>1215615.5852467995</v>
      </c>
      <c r="Q225" s="78">
        <v>-1639829.9773776543</v>
      </c>
    </row>
    <row r="226" spans="3:17" s="4" customFormat="1" ht="18.600000000000001" customHeight="1" x14ac:dyDescent="0.3">
      <c r="J226" s="82">
        <v>8</v>
      </c>
      <c r="K226" s="78">
        <v>18754383.062772069</v>
      </c>
      <c r="L226" s="78">
        <v>10353633.854715047</v>
      </c>
      <c r="M226" s="78">
        <v>6619680.5565479072</v>
      </c>
      <c r="N226" s="78">
        <v>4542671.2065115813</v>
      </c>
      <c r="O226" s="78">
        <v>2739232.9629613888</v>
      </c>
      <c r="P226" s="78">
        <v>462188.31207833975</v>
      </c>
      <c r="Q226" s="78">
        <v>-2442802.568591123</v>
      </c>
    </row>
    <row r="227" spans="3:17" s="4" customFormat="1" ht="18.600000000000001" customHeight="1" x14ac:dyDescent="0.3">
      <c r="J227" s="82">
        <v>9</v>
      </c>
      <c r="K227" s="78">
        <v>18800012.997048225</v>
      </c>
      <c r="L227" s="78">
        <v>9884619.8049406726</v>
      </c>
      <c r="M227" s="78">
        <v>5987400.6159284897</v>
      </c>
      <c r="N227" s="78">
        <v>3841257.6233464531</v>
      </c>
      <c r="O227" s="78">
        <v>1992346.439643567</v>
      </c>
      <c r="P227" s="78">
        <v>-319843.08449178311</v>
      </c>
      <c r="Q227" s="78">
        <v>-3225716.1241878797</v>
      </c>
    </row>
    <row r="228" spans="3:17" s="4" customFormat="1" ht="18.600000000000001" customHeight="1" x14ac:dyDescent="0.3">
      <c r="H228" s="3"/>
      <c r="I228" s="3"/>
      <c r="J228" s="3"/>
      <c r="K228" s="3"/>
      <c r="L228" s="3"/>
      <c r="M228" s="3"/>
      <c r="N228" s="3"/>
      <c r="O228" s="3"/>
    </row>
    <row r="229" spans="3:17" s="4" customFormat="1" ht="18.600000000000001" customHeight="1" x14ac:dyDescent="0.3">
      <c r="H229" s="3"/>
      <c r="I229" s="3"/>
      <c r="J229" s="3"/>
      <c r="K229" s="3"/>
      <c r="L229" s="3"/>
      <c r="M229" s="3"/>
      <c r="N229" s="3"/>
      <c r="O229" s="3"/>
    </row>
    <row r="230" spans="3:17" s="4" customFormat="1" ht="18.600000000000001" customHeight="1" x14ac:dyDescent="0.3">
      <c r="C230" s="74" t="s">
        <v>130</v>
      </c>
      <c r="J230" s="75" t="s">
        <v>126</v>
      </c>
      <c r="K230" s="155" t="s">
        <v>58</v>
      </c>
      <c r="L230" s="155"/>
      <c r="M230" s="155"/>
      <c r="N230" s="155"/>
      <c r="O230" s="155"/>
      <c r="P230" s="155"/>
      <c r="Q230" s="155"/>
    </row>
    <row r="231" spans="3:17" ht="18.600000000000001" customHeight="1" x14ac:dyDescent="0.3">
      <c r="J231" s="76">
        <f>post_tax_npv</f>
        <v>8751869.1891481467</v>
      </c>
      <c r="K231" s="80">
        <v>0.25</v>
      </c>
      <c r="L231" s="77">
        <v>0.27</v>
      </c>
      <c r="M231" s="77">
        <v>0.28999999999999998</v>
      </c>
      <c r="N231" s="77">
        <v>0.31</v>
      </c>
      <c r="O231" s="77">
        <v>0.33</v>
      </c>
      <c r="P231" s="77">
        <v>0.35</v>
      </c>
      <c r="Q231" s="77">
        <v>0.37</v>
      </c>
    </row>
    <row r="232" spans="3:17" ht="18.600000000000001" customHeight="1" x14ac:dyDescent="0.3">
      <c r="J232" s="85">
        <v>25</v>
      </c>
      <c r="K232" s="78">
        <f t="dataTable" ref="K232:Q238" dt2D="1" dtr="1" r1="E10" r2="E38" ca="1"/>
        <v>-10633230.435503319</v>
      </c>
      <c r="L232" s="78">
        <v>-9725369.1744509302</v>
      </c>
      <c r="M232" s="78">
        <v>-8817507.9133985322</v>
      </c>
      <c r="N232" s="78">
        <v>-7909646.6523461398</v>
      </c>
      <c r="O232" s="78">
        <v>-7001785.3912937492</v>
      </c>
      <c r="P232" s="78">
        <v>-6093924.1302413587</v>
      </c>
      <c r="Q232" s="78">
        <v>-5186062.8691889634</v>
      </c>
    </row>
    <row r="233" spans="3:17" ht="18.600000000000001" customHeight="1" x14ac:dyDescent="0.3">
      <c r="J233" s="86">
        <v>37.5</v>
      </c>
      <c r="K233" s="78">
        <v>-4959097.5539258616</v>
      </c>
      <c r="L233" s="78">
        <v>-3597305.6623472739</v>
      </c>
      <c r="M233" s="78">
        <v>-2235513.7707686853</v>
      </c>
      <c r="N233" s="78">
        <v>-873721.8791900957</v>
      </c>
      <c r="O233" s="78">
        <v>449523.434070552</v>
      </c>
      <c r="P233" s="78">
        <v>1710801.4188406933</v>
      </c>
      <c r="Q233" s="78">
        <v>2920992.986135833</v>
      </c>
    </row>
    <row r="234" spans="3:17" ht="18.600000000000001" customHeight="1" x14ac:dyDescent="0.3">
      <c r="J234" s="86">
        <v>45</v>
      </c>
      <c r="K234" s="78">
        <v>-1554617.8249793903</v>
      </c>
      <c r="L234" s="78">
        <v>58779.877756102884</v>
      </c>
      <c r="M234" s="78">
        <v>1587882.9634730835</v>
      </c>
      <c r="N234" s="78">
        <v>3041631.8041291907</v>
      </c>
      <c r="O234" s="78">
        <v>4489297.6200494952</v>
      </c>
      <c r="P234" s="78">
        <v>5936963.4359697849</v>
      </c>
      <c r="Q234" s="78">
        <v>7384629.2518900884</v>
      </c>
    </row>
    <row r="235" spans="3:17" ht="18.600000000000001" customHeight="1" x14ac:dyDescent="0.3">
      <c r="J235" s="86">
        <v>50</v>
      </c>
      <c r="K235" s="78">
        <v>664762.52223120467</v>
      </c>
      <c r="L235" s="78">
        <v>2317798.8961690413</v>
      </c>
      <c r="M235" s="78">
        <v>3926316.4694138179</v>
      </c>
      <c r="N235" s="78">
        <v>5534834.0426585972</v>
      </c>
      <c r="O235" s="78">
        <v>7143351.6159033692</v>
      </c>
      <c r="P235" s="78">
        <v>8751869.1891481467</v>
      </c>
      <c r="Q235" s="78">
        <v>10360386.762392927</v>
      </c>
    </row>
    <row r="236" spans="3:17" ht="18.600000000000001" customHeight="1" x14ac:dyDescent="0.3">
      <c r="J236" s="86">
        <v>55</v>
      </c>
      <c r="K236" s="78">
        <v>2719928.2894802354</v>
      </c>
      <c r="L236" s="78">
        <v>4489297.6200494952</v>
      </c>
      <c r="M236" s="78">
        <v>6258666.9506187467</v>
      </c>
      <c r="N236" s="78">
        <v>8028036.2811879981</v>
      </c>
      <c r="O236" s="78">
        <v>9797405.6117572542</v>
      </c>
      <c r="P236" s="78">
        <v>11566774.942326505</v>
      </c>
      <c r="Q236" s="78">
        <v>13336144.272895761</v>
      </c>
    </row>
    <row r="237" spans="3:17" ht="18.600000000000001" customHeight="1" x14ac:dyDescent="0.3">
      <c r="J237" s="86">
        <v>62.5</v>
      </c>
      <c r="K237" s="78">
        <v>5735898.7393141938</v>
      </c>
      <c r="L237" s="78">
        <v>7746545.7058701608</v>
      </c>
      <c r="M237" s="78">
        <v>9757192.6724261362</v>
      </c>
      <c r="N237" s="78">
        <v>11767839.638982106</v>
      </c>
      <c r="O237" s="78">
        <v>13778486.605538078</v>
      </c>
      <c r="P237" s="78">
        <v>15789133.572094042</v>
      </c>
      <c r="Q237" s="78">
        <v>17799780.538650014</v>
      </c>
    </row>
    <row r="238" spans="3:17" ht="18.600000000000001" customHeight="1" x14ac:dyDescent="0.3">
      <c r="J238" s="86">
        <v>75</v>
      </c>
      <c r="K238" s="78">
        <v>10762516.155704122</v>
      </c>
      <c r="L238" s="78">
        <v>13175292.515571283</v>
      </c>
      <c r="M238" s="78">
        <v>15588068.875438452</v>
      </c>
      <c r="N238" s="78">
        <v>18000845.235305615</v>
      </c>
      <c r="O238" s="78">
        <v>20413621.595172774</v>
      </c>
      <c r="P238" s="78">
        <v>22826397.955039933</v>
      </c>
      <c r="Q238" s="78">
        <v>25239174.314907111</v>
      </c>
    </row>
    <row r="241" spans="3:25" ht="18.600000000000001" customHeight="1" x14ac:dyDescent="0.3">
      <c r="C241" s="74" t="s">
        <v>131</v>
      </c>
      <c r="J241" s="75" t="s">
        <v>104</v>
      </c>
      <c r="K241" s="155" t="s">
        <v>58</v>
      </c>
      <c r="L241" s="155"/>
      <c r="M241" s="155"/>
      <c r="N241" s="155"/>
      <c r="O241" s="155"/>
      <c r="P241" s="155"/>
      <c r="Q241" s="155"/>
    </row>
    <row r="242" spans="3:25" ht="18.600000000000001" customHeight="1" x14ac:dyDescent="0.3">
      <c r="J242" s="76">
        <f>post_tax_npv</f>
        <v>8751869.1891481467</v>
      </c>
      <c r="K242" s="80">
        <v>0.25</v>
      </c>
      <c r="L242" s="77">
        <v>0.27</v>
      </c>
      <c r="M242" s="77">
        <v>0.28999999999999998</v>
      </c>
      <c r="N242" s="77">
        <v>0.31</v>
      </c>
      <c r="O242" s="77">
        <v>0.33</v>
      </c>
      <c r="P242" s="77">
        <v>0.35</v>
      </c>
      <c r="Q242" s="77">
        <v>0.37</v>
      </c>
    </row>
    <row r="243" spans="3:25" ht="18.600000000000001" customHeight="1" x14ac:dyDescent="0.3">
      <c r="J243" s="81">
        <v>3</v>
      </c>
      <c r="K243" s="78">
        <f t="dataTable" ref="K243:Q249" dt2D="1" dtr="1" r1="E10" r2="E14" ca="1"/>
        <v>664762.52223120467</v>
      </c>
      <c r="L243" s="78">
        <v>2317798.8961690413</v>
      </c>
      <c r="M243" s="78">
        <v>3926316.4694138179</v>
      </c>
      <c r="N243" s="78">
        <v>5534834.0426585972</v>
      </c>
      <c r="O243" s="78">
        <v>7143351.6159033692</v>
      </c>
      <c r="P243" s="78">
        <v>8751869.1891481467</v>
      </c>
      <c r="Q243" s="78">
        <v>10360386.762392927</v>
      </c>
      <c r="S243" s="18"/>
      <c r="T243" s="18"/>
      <c r="U243" s="18"/>
      <c r="V243" s="18"/>
      <c r="W243" s="18"/>
      <c r="X243" s="18"/>
      <c r="Y243" s="18"/>
    </row>
    <row r="244" spans="3:25" ht="18.600000000000001" customHeight="1" x14ac:dyDescent="0.3">
      <c r="J244" s="82">
        <v>4</v>
      </c>
      <c r="K244" s="78">
        <v>14530.372964860988</v>
      </c>
      <c r="L244" s="78">
        <v>1570297.975253596</v>
      </c>
      <c r="M244" s="78">
        <v>3104347.1423296314</v>
      </c>
      <c r="N244" s="78">
        <v>4638396.3094056677</v>
      </c>
      <c r="O244" s="78">
        <v>6172445.4764817059</v>
      </c>
      <c r="P244" s="78">
        <v>7706494.6435577394</v>
      </c>
      <c r="Q244" s="78">
        <v>9240543.8106337804</v>
      </c>
    </row>
    <row r="245" spans="3:25" ht="18.600000000000001" customHeight="1" x14ac:dyDescent="0.3">
      <c r="J245" s="82">
        <v>5</v>
      </c>
      <c r="K245" s="78">
        <v>-609559.6458001635</v>
      </c>
      <c r="L245" s="78">
        <v>860774.29149375507</v>
      </c>
      <c r="M245" s="78">
        <v>2323802.6637977529</v>
      </c>
      <c r="N245" s="78">
        <v>3786831.0361017538</v>
      </c>
      <c r="O245" s="78">
        <v>5249859.4084057501</v>
      </c>
      <c r="P245" s="78">
        <v>6712887.7807097435</v>
      </c>
      <c r="Q245" s="78">
        <v>8175916.1530137435</v>
      </c>
    </row>
    <row r="246" spans="3:25" ht="18.600000000000001" customHeight="1" x14ac:dyDescent="0.3">
      <c r="J246" s="82">
        <v>6</v>
      </c>
      <c r="K246" s="78">
        <v>-1208424.3949394876</v>
      </c>
      <c r="L246" s="78">
        <v>187219.95701830561</v>
      </c>
      <c r="M246" s="78">
        <v>1582515.5343082298</v>
      </c>
      <c r="N246" s="78">
        <v>2977811.1115981545</v>
      </c>
      <c r="O246" s="78">
        <v>4373106.6888880795</v>
      </c>
      <c r="P246" s="78">
        <v>5768402.2661779998</v>
      </c>
      <c r="Q246" s="78">
        <v>7163697.8434679266</v>
      </c>
    </row>
    <row r="247" spans="3:25" ht="18.600000000000001" customHeight="1" x14ac:dyDescent="0.3">
      <c r="J247" s="82">
        <v>7</v>
      </c>
      <c r="K247" s="78">
        <v>-1513848.5365285391</v>
      </c>
      <c r="L247" s="78">
        <v>-183149.97670574527</v>
      </c>
      <c r="M247" s="78">
        <v>1147548.5831170543</v>
      </c>
      <c r="N247" s="78">
        <v>2478247.1429398521</v>
      </c>
      <c r="O247" s="78">
        <v>3808945.7027626489</v>
      </c>
      <c r="P247" s="78">
        <v>5139644.2625854444</v>
      </c>
      <c r="Q247" s="78">
        <v>6470342.822408244</v>
      </c>
    </row>
    <row r="248" spans="3:25" ht="18.600000000000001" customHeight="1" x14ac:dyDescent="0.3">
      <c r="J248" s="82">
        <v>8</v>
      </c>
      <c r="K248" s="78">
        <v>-1802789.5185693463</v>
      </c>
      <c r="L248" s="78">
        <v>-533697.37355316011</v>
      </c>
      <c r="M248" s="78">
        <v>735394.77146302466</v>
      </c>
      <c r="N248" s="78">
        <v>2004486.916479212</v>
      </c>
      <c r="O248" s="78">
        <v>3273579.0614954005</v>
      </c>
      <c r="P248" s="78">
        <v>4542671.2065115813</v>
      </c>
      <c r="Q248" s="78">
        <v>5811763.3515277728</v>
      </c>
    </row>
    <row r="249" spans="3:25" ht="18.600000000000001" customHeight="1" x14ac:dyDescent="0.3">
      <c r="J249" s="82">
        <v>9</v>
      </c>
      <c r="K249" s="78">
        <v>-2210431.7718696157</v>
      </c>
      <c r="L249" s="78">
        <v>-1000093.8928263996</v>
      </c>
      <c r="M249" s="78">
        <v>210243.98621681234</v>
      </c>
      <c r="N249" s="78">
        <v>1420581.8652600297</v>
      </c>
      <c r="O249" s="78">
        <v>2630919.7443032446</v>
      </c>
      <c r="P249" s="78">
        <v>3841257.6233464531</v>
      </c>
      <c r="Q249" s="78">
        <v>5051595.5023896731</v>
      </c>
    </row>
    <row r="250" spans="3:25" ht="18.600000000000001" customHeight="1" x14ac:dyDescent="0.3">
      <c r="I250" s="8"/>
    </row>
    <row r="251" spans="3:25" ht="18.600000000000001" customHeight="1" x14ac:dyDescent="0.3">
      <c r="I251" s="8"/>
    </row>
    <row r="252" spans="3:25" ht="18.600000000000001" customHeight="1" x14ac:dyDescent="0.3">
      <c r="C252" s="74" t="s">
        <v>132</v>
      </c>
      <c r="J252" s="75" t="s">
        <v>126</v>
      </c>
      <c r="K252" s="155" t="s">
        <v>105</v>
      </c>
      <c r="L252" s="155"/>
      <c r="M252" s="155"/>
      <c r="N252" s="155"/>
      <c r="O252" s="155"/>
      <c r="P252" s="155"/>
      <c r="Q252" s="155"/>
    </row>
    <row r="253" spans="3:25" ht="18.600000000000001" customHeight="1" x14ac:dyDescent="0.3">
      <c r="J253" s="76">
        <f>post_tax_npv</f>
        <v>8751869.1891481467</v>
      </c>
      <c r="K253" s="92">
        <v>5</v>
      </c>
      <c r="L253" s="93">
        <v>6</v>
      </c>
      <c r="M253" s="93">
        <v>7</v>
      </c>
      <c r="N253" s="93">
        <v>8</v>
      </c>
      <c r="O253" s="93">
        <v>9</v>
      </c>
      <c r="P253" s="93">
        <v>10</v>
      </c>
      <c r="Q253" s="93">
        <v>11</v>
      </c>
    </row>
    <row r="254" spans="3:25" ht="18.600000000000001" customHeight="1" x14ac:dyDescent="0.3">
      <c r="J254" s="85">
        <v>25</v>
      </c>
      <c r="K254" s="78">
        <f t="dataTable" ref="K254:Q260" dt2D="1" dtr="1" r1="E11" r2="E38" ca="1"/>
        <v>-5236943.5225360114</v>
      </c>
      <c r="L254" s="78">
        <v>-5522603.7251044568</v>
      </c>
      <c r="M254" s="78">
        <v>-5808263.9276729021</v>
      </c>
      <c r="N254" s="78">
        <v>-6093924.1302413587</v>
      </c>
      <c r="O254" s="78">
        <v>-6379584.3328098012</v>
      </c>
      <c r="P254" s="78">
        <v>-6665244.5353782522</v>
      </c>
      <c r="Q254" s="78">
        <v>-6950904.7379466956</v>
      </c>
    </row>
    <row r="255" spans="3:25" ht="18.600000000000001" customHeight="1" x14ac:dyDescent="0.3">
      <c r="J255" s="86">
        <v>37.5</v>
      </c>
      <c r="K255" s="78">
        <v>-277463.64665512554</v>
      </c>
      <c r="L255" s="78">
        <v>401824.38497382728</v>
      </c>
      <c r="M255" s="78">
        <v>1063401.3182584085</v>
      </c>
      <c r="N255" s="78">
        <v>1710801.4188406933</v>
      </c>
      <c r="O255" s="78">
        <v>2348044.4031422548</v>
      </c>
      <c r="P255" s="78">
        <v>2981484.0000822549</v>
      </c>
      <c r="Q255" s="78">
        <v>3614923.5970222573</v>
      </c>
    </row>
    <row r="256" spans="3:25" ht="18.600000000000001" customHeight="1" x14ac:dyDescent="0.3">
      <c r="J256" s="86">
        <v>45</v>
      </c>
      <c r="K256" s="78">
        <v>2453260.1589869624</v>
      </c>
      <c r="L256" s="78">
        <v>3614494.5846479065</v>
      </c>
      <c r="M256" s="78">
        <v>4775729.0103088478</v>
      </c>
      <c r="N256" s="78">
        <v>5936963.4359697849</v>
      </c>
      <c r="O256" s="78">
        <v>7098197.8616307378</v>
      </c>
      <c r="P256" s="78">
        <v>8259432.2872916777</v>
      </c>
      <c r="Q256" s="78">
        <v>9420666.7129526213</v>
      </c>
    </row>
    <row r="257" spans="3:17" ht="18.600000000000001" customHeight="1" x14ac:dyDescent="0.3">
      <c r="J257" s="86">
        <v>50</v>
      </c>
      <c r="K257" s="78">
        <v>4212576.2547234371</v>
      </c>
      <c r="L257" s="78">
        <v>5725673.8995316774</v>
      </c>
      <c r="M257" s="78">
        <v>7238771.544339912</v>
      </c>
      <c r="N257" s="78">
        <v>8751869.1891481467</v>
      </c>
      <c r="O257" s="78">
        <v>10264966.833956389</v>
      </c>
      <c r="P257" s="78">
        <v>11778064.478764627</v>
      </c>
      <c r="Q257" s="78">
        <v>13291162.123572864</v>
      </c>
    </row>
    <row r="258" spans="3:17" ht="18.600000000000001" customHeight="1" x14ac:dyDescent="0.3">
      <c r="J258" s="86">
        <v>55</v>
      </c>
      <c r="K258" s="78">
        <v>5971892.3504599119</v>
      </c>
      <c r="L258" s="78">
        <v>7836853.2144154441</v>
      </c>
      <c r="M258" s="78">
        <v>9701814.0783709772</v>
      </c>
      <c r="N258" s="78">
        <v>11566774.942326505</v>
      </c>
      <c r="O258" s="78">
        <v>13431735.806282045</v>
      </c>
      <c r="P258" s="78">
        <v>15296696.670237575</v>
      </c>
      <c r="Q258" s="78">
        <v>17161657.53419311</v>
      </c>
    </row>
    <row r="259" spans="3:17" ht="18.600000000000001" customHeight="1" x14ac:dyDescent="0.3">
      <c r="J259" s="86">
        <v>62.5</v>
      </c>
      <c r="K259" s="78">
        <v>8610866.4940646235</v>
      </c>
      <c r="L259" s="78">
        <v>11003622.186741097</v>
      </c>
      <c r="M259" s="78">
        <v>13396377.87941757</v>
      </c>
      <c r="N259" s="78">
        <v>15789133.572094042</v>
      </c>
      <c r="O259" s="78">
        <v>18181889.264770523</v>
      </c>
      <c r="P259" s="78">
        <v>20574644.957446996</v>
      </c>
      <c r="Q259" s="78">
        <v>22967400.65012347</v>
      </c>
    </row>
    <row r="260" spans="3:17" ht="18.600000000000001" customHeight="1" x14ac:dyDescent="0.3">
      <c r="J260" s="86">
        <v>75</v>
      </c>
      <c r="K260" s="78">
        <v>13009156.733405808</v>
      </c>
      <c r="L260" s="78">
        <v>16281570.473950524</v>
      </c>
      <c r="M260" s="78">
        <v>19553984.214495234</v>
      </c>
      <c r="N260" s="78">
        <v>22826397.955039933</v>
      </c>
      <c r="O260" s="78">
        <v>26098811.695584651</v>
      </c>
      <c r="P260" s="78">
        <v>29371225.436129365</v>
      </c>
      <c r="Q260" s="78">
        <v>32643639.176674083</v>
      </c>
    </row>
    <row r="263" spans="3:17" ht="18.600000000000001" customHeight="1" x14ac:dyDescent="0.3">
      <c r="C263" s="74" t="s">
        <v>133</v>
      </c>
      <c r="J263" s="75" t="s">
        <v>105</v>
      </c>
      <c r="K263" s="155" t="s">
        <v>58</v>
      </c>
      <c r="L263" s="155"/>
      <c r="M263" s="155"/>
      <c r="N263" s="155"/>
      <c r="O263" s="155"/>
      <c r="P263" s="155"/>
      <c r="Q263" s="155"/>
    </row>
    <row r="264" spans="3:17" ht="18.600000000000001" customHeight="1" x14ac:dyDescent="0.3">
      <c r="J264" s="76">
        <f>post_tax_npv</f>
        <v>8751869.1891481467</v>
      </c>
      <c r="K264" s="80">
        <v>0.25</v>
      </c>
      <c r="L264" s="77">
        <v>0.27</v>
      </c>
      <c r="M264" s="77">
        <v>0.28999999999999998</v>
      </c>
      <c r="N264" s="77">
        <v>0.31</v>
      </c>
      <c r="O264" s="77">
        <v>0.33</v>
      </c>
      <c r="P264" s="77">
        <v>0.35</v>
      </c>
      <c r="Q264" s="77">
        <v>0.37</v>
      </c>
    </row>
    <row r="265" spans="3:17" ht="18.600000000000001" customHeight="1" x14ac:dyDescent="0.3">
      <c r="J265" s="92">
        <v>5</v>
      </c>
      <c r="K265" s="78">
        <f t="dataTable" ref="K265:Q271" dt2D="1" dtr="1" r1="E10" r2="E11" ca="1"/>
        <v>-981343.86135291844</v>
      </c>
      <c r="L265" s="78">
        <v>134736.73775834322</v>
      </c>
      <c r="M265" s="78">
        <v>1192813.4768414791</v>
      </c>
      <c r="N265" s="78">
        <v>2201929.2881674678</v>
      </c>
      <c r="O265" s="78">
        <v>3207252.7714454518</v>
      </c>
      <c r="P265" s="78">
        <v>4212576.2547234371</v>
      </c>
      <c r="Q265" s="78">
        <v>5217899.738001422</v>
      </c>
    </row>
    <row r="266" spans="3:17" ht="18.600000000000001" customHeight="1" x14ac:dyDescent="0.3">
      <c r="J266" s="93">
        <v>6</v>
      </c>
      <c r="K266" s="78">
        <v>-419453.76245144277</v>
      </c>
      <c r="L266" s="78">
        <v>881172.05667587277</v>
      </c>
      <c r="M266" s="78">
        <v>2106509.3597309291</v>
      </c>
      <c r="N266" s="78">
        <v>3312897.5396645088</v>
      </c>
      <c r="O266" s="78">
        <v>4519285.7195980931</v>
      </c>
      <c r="P266" s="78">
        <v>5725673.8995316774</v>
      </c>
      <c r="Q266" s="78">
        <v>6932062.0794652589</v>
      </c>
    </row>
    <row r="267" spans="3:17" ht="18.600000000000001" customHeight="1" x14ac:dyDescent="0.3">
      <c r="J267" s="93">
        <v>7</v>
      </c>
      <c r="K267" s="78">
        <v>127775.28348127694</v>
      </c>
      <c r="L267" s="78">
        <v>1606426.8022674127</v>
      </c>
      <c r="M267" s="78">
        <v>3016412.9145723744</v>
      </c>
      <c r="N267" s="78">
        <v>4423865.7911615539</v>
      </c>
      <c r="O267" s="78">
        <v>5831318.6677507358</v>
      </c>
      <c r="P267" s="78">
        <v>7238771.544339912</v>
      </c>
      <c r="Q267" s="78">
        <v>8646224.4209290929</v>
      </c>
    </row>
    <row r="268" spans="3:17" ht="18.600000000000001" customHeight="1" x14ac:dyDescent="0.3">
      <c r="J268" s="93">
        <v>8</v>
      </c>
      <c r="K268" s="78">
        <v>664762.52223120467</v>
      </c>
      <c r="L268" s="78">
        <v>2317798.8961690413</v>
      </c>
      <c r="M268" s="78">
        <v>3926316.4694138179</v>
      </c>
      <c r="N268" s="78">
        <v>5534834.0426585972</v>
      </c>
      <c r="O268" s="78">
        <v>7143351.6159033692</v>
      </c>
      <c r="P268" s="78">
        <v>8751869.1891481467</v>
      </c>
      <c r="Q268" s="78">
        <v>10360386.762392927</v>
      </c>
    </row>
    <row r="269" spans="3:17" ht="18.600000000000001" customHeight="1" x14ac:dyDescent="0.3">
      <c r="J269" s="93">
        <v>9</v>
      </c>
      <c r="K269" s="78">
        <v>1192868.062248244</v>
      </c>
      <c r="L269" s="78">
        <v>3026637.7543548932</v>
      </c>
      <c r="M269" s="78">
        <v>4836220.0242552655</v>
      </c>
      <c r="N269" s="78">
        <v>6645802.2941556377</v>
      </c>
      <c r="O269" s="78">
        <v>8455384.5640560146</v>
      </c>
      <c r="P269" s="78">
        <v>10264966.833956389</v>
      </c>
      <c r="Q269" s="78">
        <v>12074549.103856763</v>
      </c>
    </row>
    <row r="270" spans="3:17" ht="18.600000000000001" customHeight="1" x14ac:dyDescent="0.3">
      <c r="J270" s="93">
        <v>10</v>
      </c>
      <c r="K270" s="78">
        <v>1713668.0372753558</v>
      </c>
      <c r="L270" s="78">
        <v>3735476.6125407452</v>
      </c>
      <c r="M270" s="78">
        <v>5746123.5790967084</v>
      </c>
      <c r="N270" s="78">
        <v>7756770.5456526829</v>
      </c>
      <c r="O270" s="78">
        <v>9767417.5122086573</v>
      </c>
      <c r="P270" s="78">
        <v>11778064.478764627</v>
      </c>
      <c r="Q270" s="78">
        <v>13788711.445320599</v>
      </c>
    </row>
    <row r="271" spans="3:17" ht="18.600000000000001" customHeight="1" x14ac:dyDescent="0.3">
      <c r="J271" s="93">
        <v>11</v>
      </c>
      <c r="K271" s="78">
        <v>2228789.360839915</v>
      </c>
      <c r="L271" s="78">
        <v>4444315.4707266018</v>
      </c>
      <c r="M271" s="78">
        <v>6656027.1339381635</v>
      </c>
      <c r="N271" s="78">
        <v>8867738.797149729</v>
      </c>
      <c r="O271" s="78">
        <v>11079450.460361298</v>
      </c>
      <c r="P271" s="78">
        <v>13291162.123572864</v>
      </c>
      <c r="Q271" s="78">
        <v>15502873.786784433</v>
      </c>
    </row>
    <row r="274" spans="3:17" ht="18.600000000000001" customHeight="1" x14ac:dyDescent="0.3">
      <c r="C274" s="74" t="s">
        <v>134</v>
      </c>
      <c r="J274" s="75" t="s">
        <v>126</v>
      </c>
      <c r="K274" s="155" t="s">
        <v>103</v>
      </c>
      <c r="L274" s="155"/>
      <c r="M274" s="155"/>
      <c r="N274" s="155"/>
      <c r="O274" s="155"/>
      <c r="P274" s="155"/>
      <c r="Q274" s="155"/>
    </row>
    <row r="275" spans="3:17" ht="18.600000000000001" customHeight="1" x14ac:dyDescent="0.3">
      <c r="J275" s="76">
        <f>post_tax_npv</f>
        <v>8751869.1891481467</v>
      </c>
      <c r="K275" s="81">
        <v>3</v>
      </c>
      <c r="L275" s="82">
        <v>4</v>
      </c>
      <c r="M275" s="82">
        <v>5</v>
      </c>
      <c r="N275" s="82">
        <v>6</v>
      </c>
      <c r="O275" s="82">
        <v>7</v>
      </c>
      <c r="P275" s="82">
        <v>8</v>
      </c>
      <c r="Q275" s="82">
        <v>9</v>
      </c>
    </row>
    <row r="276" spans="3:17" ht="18.600000000000001" customHeight="1" x14ac:dyDescent="0.3">
      <c r="J276" s="85">
        <v>25</v>
      </c>
      <c r="K276" s="78">
        <f t="dataTable" ref="K276:Q282" dt2D="1" dtr="1" r1="E14" r2="E38" ca="1"/>
        <v>-6093924.1302413587</v>
      </c>
      <c r="L276" s="78">
        <v>-6406488.8035351932</v>
      </c>
      <c r="M276" s="78">
        <v>-6704582.8901024619</v>
      </c>
      <c r="N276" s="78">
        <v>-6988876.3245138396</v>
      </c>
      <c r="O276" s="78">
        <v>-6990896.5392803103</v>
      </c>
      <c r="P276" s="78">
        <v>-6992823.2255853666</v>
      </c>
      <c r="Q276" s="78">
        <v>-7129216.4567355318</v>
      </c>
    </row>
    <row r="277" spans="3:17" ht="18.600000000000001" customHeight="1" x14ac:dyDescent="0.3">
      <c r="J277" s="86">
        <v>37.5</v>
      </c>
      <c r="K277" s="78">
        <v>1710801.4188406933</v>
      </c>
      <c r="L277" s="78">
        <v>995029.53760007932</v>
      </c>
      <c r="M277" s="78">
        <v>312138.6518797524</v>
      </c>
      <c r="N277" s="78">
        <v>-336015.88446542085</v>
      </c>
      <c r="O277" s="78">
        <v>-682161.93663929473</v>
      </c>
      <c r="P277" s="78">
        <v>-1009606.9279342324</v>
      </c>
      <c r="Q277" s="78">
        <v>-1453970.5974676078</v>
      </c>
    </row>
    <row r="278" spans="3:17" ht="18.600000000000001" customHeight="1" x14ac:dyDescent="0.3">
      <c r="J278" s="86">
        <v>45</v>
      </c>
      <c r="K278" s="78">
        <v>5936963.4359697849</v>
      </c>
      <c r="L278" s="78">
        <v>5021908.601174674</v>
      </c>
      <c r="M278" s="78">
        <v>4152588.1291777464</v>
      </c>
      <c r="N278" s="78">
        <v>3326635.0059206327</v>
      </c>
      <c r="O278" s="78">
        <v>2810921.7828955483</v>
      </c>
      <c r="P278" s="78">
        <v>2321759.9527332578</v>
      </c>
      <c r="Q278" s="78">
        <v>1723166.3350208297</v>
      </c>
    </row>
    <row r="279" spans="3:17" ht="18.600000000000001" customHeight="1" x14ac:dyDescent="0.3">
      <c r="J279" s="86">
        <v>50</v>
      </c>
      <c r="K279" s="78">
        <v>8751869.1891481467</v>
      </c>
      <c r="L279" s="78">
        <v>7706494.6435577394</v>
      </c>
      <c r="M279" s="78">
        <v>6712887.7807097435</v>
      </c>
      <c r="N279" s="78">
        <v>5768402.2661779998</v>
      </c>
      <c r="O279" s="78">
        <v>5139644.2625854444</v>
      </c>
      <c r="P279" s="78">
        <v>4542671.2065115813</v>
      </c>
      <c r="Q279" s="78">
        <v>3841257.6233464531</v>
      </c>
    </row>
    <row r="280" spans="3:17" ht="18.600000000000001" customHeight="1" x14ac:dyDescent="0.3">
      <c r="J280" s="86">
        <v>55</v>
      </c>
      <c r="K280" s="78">
        <v>11566774.942326505</v>
      </c>
      <c r="L280" s="78">
        <v>10391080.685940804</v>
      </c>
      <c r="M280" s="78">
        <v>9273187.4322417378</v>
      </c>
      <c r="N280" s="78">
        <v>8210169.5264353678</v>
      </c>
      <c r="O280" s="78">
        <v>7468366.7422753405</v>
      </c>
      <c r="P280" s="78">
        <v>6763582.4602899114</v>
      </c>
      <c r="Q280" s="78">
        <v>5959348.9116720837</v>
      </c>
    </row>
    <row r="281" spans="3:17" ht="18.600000000000001" customHeight="1" x14ac:dyDescent="0.3">
      <c r="J281" s="86">
        <v>62.5</v>
      </c>
      <c r="K281" s="78">
        <v>15789133.572094042</v>
      </c>
      <c r="L281" s="78">
        <v>14417959.749515403</v>
      </c>
      <c r="M281" s="78">
        <v>13113636.909539733</v>
      </c>
      <c r="N281" s="78">
        <v>11872820.416821415</v>
      </c>
      <c r="O281" s="78">
        <v>10961450.461810183</v>
      </c>
      <c r="P281" s="78">
        <v>10094949.340957401</v>
      </c>
      <c r="Q281" s="78">
        <v>9136485.8441605233</v>
      </c>
    </row>
    <row r="282" spans="3:17" ht="18.600000000000001" customHeight="1" x14ac:dyDescent="0.3">
      <c r="J282" s="86">
        <v>75</v>
      </c>
      <c r="K282" s="78">
        <v>22826397.955039933</v>
      </c>
      <c r="L282" s="78">
        <v>21129424.855473056</v>
      </c>
      <c r="M282" s="78">
        <v>19514386.038369723</v>
      </c>
      <c r="N282" s="78">
        <v>17977238.567464832</v>
      </c>
      <c r="O282" s="78">
        <v>16783256.661034919</v>
      </c>
      <c r="P282" s="78">
        <v>15647227.47540321</v>
      </c>
      <c r="Q282" s="78">
        <v>14431714.064974582</v>
      </c>
    </row>
  </sheetData>
  <mergeCells count="10">
    <mergeCell ref="B2:R4"/>
    <mergeCell ref="K252:Q252"/>
    <mergeCell ref="K263:Q263"/>
    <mergeCell ref="K274:Q274"/>
    <mergeCell ref="B204:R205"/>
    <mergeCell ref="B56:R57"/>
    <mergeCell ref="K208:Q208"/>
    <mergeCell ref="K219:Q219"/>
    <mergeCell ref="K230:Q230"/>
    <mergeCell ref="K241:Q241"/>
  </mergeCells>
  <conditionalFormatting sqref="D62:D68 D80:D86 D98:D104 D116:D122 D134:D140 D152:D158 D170:D176 D188:D194">
    <cfRule type="colorScale" priority="12">
      <colorScale>
        <cfvo type="min"/>
        <cfvo type="num" val="0"/>
        <cfvo type="max"/>
        <color rgb="FFF8696B"/>
        <color rgb="FFFCFCFF"/>
        <color rgb="FF63BE7B"/>
      </colorScale>
    </cfRule>
  </conditionalFormatting>
  <conditionalFormatting sqref="K210:Q216 K221:Q227 K232:Q238 K243:Q249">
    <cfRule type="colorScale" priority="11">
      <colorScale>
        <cfvo type="num" val="-1E-3"/>
        <cfvo type="num" val="0"/>
        <cfvo type="percentile" val="75"/>
        <color rgb="FFF8696B"/>
        <color theme="9" tint="0.79998168889431442"/>
        <color rgb="FF63BE7B"/>
      </colorScale>
    </cfRule>
  </conditionalFormatting>
  <conditionalFormatting sqref="K254:Q260">
    <cfRule type="colorScale" priority="8">
      <colorScale>
        <cfvo type="num" val="-1E-3"/>
        <cfvo type="num" val="0"/>
        <cfvo type="percentile" val="75"/>
        <color rgb="FFF8696B"/>
        <color theme="9" tint="0.79998168889431442"/>
        <color rgb="FF63BE7B"/>
      </colorScale>
    </cfRule>
  </conditionalFormatting>
  <conditionalFormatting sqref="K265:Q271">
    <cfRule type="colorScale" priority="4">
      <colorScale>
        <cfvo type="num" val="-1E-3"/>
        <cfvo type="num" val="0"/>
        <cfvo type="percentile" val="75"/>
        <color rgb="FFF8696B"/>
        <color theme="9" tint="0.79998168889431442"/>
        <color rgb="FF63BE7B"/>
      </colorScale>
    </cfRule>
  </conditionalFormatting>
  <conditionalFormatting sqref="K276:Q282">
    <cfRule type="colorScale" priority="2">
      <colorScale>
        <cfvo type="num" val="-1E-3"/>
        <cfvo type="num" val="0"/>
        <cfvo type="percentile" val="75"/>
        <color rgb="FFF8696B"/>
        <color theme="9" tint="0.79998168889431442"/>
        <color rgb="FF63BE7B"/>
      </colorScale>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cellIs" priority="7" operator="equal" id="{E9BC16F3-3E61-4FF5-B036-F6FEBE4BB5DA}">
            <xm:f>Calculations!$D$51</xm:f>
            <x14:dxf>
              <fill>
                <patternFill>
                  <bgColor theme="0"/>
                </patternFill>
              </fill>
            </x14:dxf>
          </x14:cfRule>
          <xm:sqref>K254:Q260</xm:sqref>
        </x14:conditionalFormatting>
        <x14:conditionalFormatting xmlns:xm="http://schemas.microsoft.com/office/excel/2006/main">
          <x14:cfRule type="cellIs" priority="3" operator="equal" id="{08EF3DF0-8C47-40CC-931B-F34464CF3117}">
            <xm:f>Calculations!$D$51</xm:f>
            <x14:dxf>
              <fill>
                <patternFill>
                  <bgColor theme="0"/>
                </patternFill>
              </fill>
            </x14:dxf>
          </x14:cfRule>
          <xm:sqref>K265:Q271</xm:sqref>
        </x14:conditionalFormatting>
        <x14:conditionalFormatting xmlns:xm="http://schemas.microsoft.com/office/excel/2006/main">
          <x14:cfRule type="cellIs" priority="1" operator="equal" id="{979C1AC6-080A-400C-9CA0-8B0F4938FA78}">
            <xm:f>Calculations!$D$51</xm:f>
            <x14:dxf>
              <fill>
                <patternFill>
                  <bgColor theme="0"/>
                </patternFill>
              </fill>
            </x14:dxf>
          </x14:cfRule>
          <xm:sqref>K276:Q282</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2CA60-1480-4139-9E05-DB9E7C42243D}">
  <dimension ref="B2:AG120"/>
  <sheetViews>
    <sheetView topLeftCell="A41" zoomScale="108" zoomScaleNormal="75" workbookViewId="0">
      <selection activeCell="H55" sqref="H55"/>
    </sheetView>
  </sheetViews>
  <sheetFormatPr defaultRowHeight="18.600000000000001" customHeight="1" x14ac:dyDescent="0.3"/>
  <cols>
    <col min="1" max="1" width="8.88671875" style="38"/>
    <col min="2" max="2" width="65.77734375" style="38" bestFit="1" customWidth="1"/>
    <col min="3" max="3" width="13.21875" style="41" bestFit="1" customWidth="1"/>
    <col min="4" max="5" width="9" style="41" bestFit="1" customWidth="1"/>
    <col min="6" max="7" width="10" style="41" bestFit="1" customWidth="1"/>
    <col min="8" max="10" width="9" style="41" bestFit="1" customWidth="1"/>
    <col min="11" max="11" width="8.5546875" style="41" bestFit="1" customWidth="1"/>
    <col min="12" max="18" width="7.77734375" style="41" bestFit="1" customWidth="1"/>
    <col min="19" max="19" width="8.77734375" style="41" bestFit="1" customWidth="1"/>
    <col min="20" max="20" width="8.33203125" style="41" bestFit="1" customWidth="1"/>
    <col min="21" max="27" width="8.77734375" style="41" bestFit="1" customWidth="1"/>
    <col min="28" max="29" width="9" style="41" bestFit="1" customWidth="1"/>
    <col min="30" max="32" width="8.77734375" style="41" bestFit="1" customWidth="1"/>
    <col min="33" max="33" width="13.5546875" style="38" bestFit="1" customWidth="1"/>
    <col min="34" max="16384" width="8.88671875" style="38"/>
  </cols>
  <sheetData>
    <row r="2" spans="2:32" ht="18.600000000000001" customHeight="1" x14ac:dyDescent="0.3">
      <c r="B2" s="157" t="s">
        <v>68</v>
      </c>
      <c r="C2" s="157"/>
      <c r="D2" s="157"/>
      <c r="E2" s="157"/>
      <c r="F2" s="157"/>
      <c r="G2" s="157"/>
      <c r="H2" s="157"/>
      <c r="I2" s="157"/>
      <c r="J2" s="157"/>
      <c r="K2" s="157"/>
      <c r="L2" s="157"/>
      <c r="M2" s="157"/>
      <c r="N2" s="157"/>
      <c r="O2" s="157"/>
      <c r="P2" s="157"/>
      <c r="Q2" s="157"/>
      <c r="R2" s="157"/>
      <c r="S2" s="157"/>
      <c r="T2" s="157"/>
      <c r="U2" s="157"/>
      <c r="V2" s="157"/>
      <c r="W2" s="157"/>
      <c r="X2" s="157"/>
      <c r="Y2" s="157"/>
      <c r="Z2" s="157"/>
      <c r="AA2" s="157"/>
      <c r="AB2" s="157"/>
      <c r="AC2" s="157"/>
      <c r="AD2" s="157"/>
      <c r="AE2" s="157"/>
      <c r="AF2" s="157"/>
    </row>
    <row r="3" spans="2:32" ht="18.600000000000001" customHeight="1" x14ac:dyDescent="0.3">
      <c r="B3" s="157"/>
      <c r="C3" s="157"/>
      <c r="D3" s="157"/>
      <c r="E3" s="157"/>
      <c r="F3" s="157"/>
      <c r="G3" s="157"/>
      <c r="H3" s="157"/>
      <c r="I3" s="157"/>
      <c r="J3" s="157"/>
      <c r="K3" s="157"/>
      <c r="L3" s="157"/>
      <c r="M3" s="157"/>
      <c r="N3" s="157"/>
      <c r="O3" s="157"/>
      <c r="P3" s="157"/>
      <c r="Q3" s="157"/>
      <c r="R3" s="157"/>
      <c r="S3" s="157"/>
      <c r="T3" s="157"/>
      <c r="U3" s="157"/>
      <c r="V3" s="157"/>
      <c r="W3" s="157"/>
      <c r="X3" s="157"/>
      <c r="Y3" s="157"/>
      <c r="Z3" s="157"/>
      <c r="AA3" s="157"/>
      <c r="AB3" s="157"/>
      <c r="AC3" s="157"/>
      <c r="AD3" s="157"/>
      <c r="AE3" s="157"/>
      <c r="AF3" s="157"/>
    </row>
    <row r="4" spans="2:32" ht="18.600000000000001" customHeight="1" x14ac:dyDescent="0.3">
      <c r="B4" s="157"/>
      <c r="C4" s="157"/>
      <c r="D4" s="157"/>
      <c r="E4" s="157"/>
      <c r="F4" s="157"/>
      <c r="G4" s="157"/>
      <c r="H4" s="157"/>
      <c r="I4" s="157"/>
      <c r="J4" s="157"/>
      <c r="K4" s="157"/>
      <c r="L4" s="157"/>
      <c r="M4" s="157"/>
      <c r="N4" s="157"/>
      <c r="O4" s="157"/>
      <c r="P4" s="157"/>
      <c r="Q4" s="157"/>
      <c r="R4" s="157"/>
      <c r="S4" s="157"/>
      <c r="T4" s="157"/>
      <c r="U4" s="157"/>
      <c r="V4" s="157"/>
      <c r="W4" s="157"/>
      <c r="X4" s="157"/>
      <c r="Y4" s="157"/>
      <c r="Z4" s="157"/>
      <c r="AA4" s="157"/>
      <c r="AB4" s="157"/>
      <c r="AC4" s="157"/>
      <c r="AD4" s="157"/>
      <c r="AE4" s="157"/>
      <c r="AF4" s="157"/>
    </row>
    <row r="5" spans="2:32" ht="18.600000000000001" customHeight="1" x14ac:dyDescent="0.3">
      <c r="B5" s="39"/>
      <c r="C5" s="40"/>
    </row>
    <row r="6" spans="2:32" ht="18.600000000000001" customHeight="1" x14ac:dyDescent="0.3">
      <c r="B6" s="42" t="s">
        <v>26</v>
      </c>
      <c r="C6" s="43"/>
      <c r="D6" s="43">
        <v>0</v>
      </c>
      <c r="E6" s="43">
        <v>1</v>
      </c>
      <c r="F6" s="43">
        <v>2</v>
      </c>
      <c r="G6" s="43">
        <v>3</v>
      </c>
      <c r="H6" s="43">
        <v>4</v>
      </c>
      <c r="I6" s="43">
        <v>5</v>
      </c>
      <c r="J6" s="43">
        <v>6</v>
      </c>
      <c r="K6" s="43">
        <v>7</v>
      </c>
      <c r="L6" s="43">
        <v>8</v>
      </c>
      <c r="M6" s="43">
        <v>9</v>
      </c>
      <c r="N6" s="43">
        <v>10</v>
      </c>
      <c r="O6" s="43">
        <v>11</v>
      </c>
      <c r="P6" s="43">
        <v>12</v>
      </c>
      <c r="Q6" s="43">
        <v>13</v>
      </c>
      <c r="R6" s="43">
        <v>14</v>
      </c>
      <c r="S6" s="43">
        <v>15</v>
      </c>
      <c r="T6" s="43">
        <v>16</v>
      </c>
      <c r="U6" s="43">
        <v>17</v>
      </c>
      <c r="V6" s="43">
        <v>18</v>
      </c>
      <c r="W6" s="43">
        <v>19</v>
      </c>
      <c r="X6" s="43">
        <v>20</v>
      </c>
      <c r="Y6" s="43">
        <v>21</v>
      </c>
      <c r="Z6" s="43">
        <v>22</v>
      </c>
      <c r="AA6" s="43">
        <v>23</v>
      </c>
      <c r="AB6" s="43">
        <v>24</v>
      </c>
      <c r="AC6" s="43">
        <v>25</v>
      </c>
      <c r="AD6" s="43">
        <v>26</v>
      </c>
      <c r="AE6" s="43">
        <v>27</v>
      </c>
      <c r="AF6" s="43">
        <v>28</v>
      </c>
    </row>
    <row r="8" spans="2:32" ht="18.600000000000001" customHeight="1" thickBot="1" x14ac:dyDescent="0.35">
      <c r="B8" s="44" t="s">
        <v>66</v>
      </c>
      <c r="C8" s="45" t="s">
        <v>69</v>
      </c>
      <c r="D8" s="46"/>
      <c r="E8" s="46"/>
      <c r="F8" s="46"/>
      <c r="G8" s="46"/>
      <c r="H8" s="46"/>
      <c r="I8" s="46"/>
      <c r="J8" s="46"/>
      <c r="K8" s="46"/>
      <c r="L8" s="46"/>
      <c r="M8" s="46"/>
      <c r="N8" s="46"/>
      <c r="O8" s="46"/>
      <c r="P8" s="46"/>
      <c r="Q8" s="46"/>
      <c r="R8" s="46"/>
      <c r="S8" s="46"/>
      <c r="T8" s="46"/>
      <c r="U8" s="46"/>
      <c r="V8" s="46"/>
      <c r="W8" s="46"/>
      <c r="X8" s="46"/>
      <c r="Y8" s="46"/>
      <c r="Z8" s="46"/>
      <c r="AA8" s="46"/>
      <c r="AB8" s="46"/>
      <c r="AC8" s="46"/>
      <c r="AD8" s="46"/>
      <c r="AE8" s="46"/>
      <c r="AF8" s="46"/>
    </row>
    <row r="9" spans="2:32" ht="18.600000000000001" customHeight="1" thickTop="1" x14ac:dyDescent="0.3">
      <c r="B9" s="38" t="s">
        <v>29</v>
      </c>
      <c r="C9" s="41" t="str">
        <f>IF(SUM(CapEx_Perc_Years)=100%, "✓", "✗")</f>
        <v>✓</v>
      </c>
      <c r="D9" s="47">
        <f>percentage_of_capital_costs_in_year_zero</f>
        <v>0.5</v>
      </c>
      <c r="E9" s="47">
        <f>percentage_of_capital_costs_in_year_one</f>
        <v>0.25</v>
      </c>
      <c r="F9" s="47">
        <f>percentage_of_capital_costs_in_year_two</f>
        <v>0.25</v>
      </c>
      <c r="G9" s="47">
        <v>0</v>
      </c>
      <c r="H9" s="47">
        <v>0</v>
      </c>
      <c r="I9" s="47">
        <v>0</v>
      </c>
      <c r="J9" s="47">
        <v>0</v>
      </c>
      <c r="K9" s="47">
        <v>0</v>
      </c>
      <c r="L9" s="47">
        <v>0</v>
      </c>
      <c r="M9" s="47">
        <v>0</v>
      </c>
      <c r="N9" s="47">
        <v>0</v>
      </c>
      <c r="O9" s="47">
        <v>0</v>
      </c>
      <c r="P9" s="47">
        <v>0</v>
      </c>
      <c r="Q9" s="47">
        <v>0</v>
      </c>
      <c r="R9" s="47">
        <v>0</v>
      </c>
      <c r="S9" s="47">
        <v>0</v>
      </c>
      <c r="T9" s="47">
        <v>0</v>
      </c>
      <c r="U9" s="47">
        <v>0</v>
      </c>
      <c r="V9" s="47">
        <v>0</v>
      </c>
      <c r="W9" s="47">
        <v>0</v>
      </c>
      <c r="X9" s="47">
        <v>0</v>
      </c>
      <c r="Y9" s="47">
        <v>0</v>
      </c>
      <c r="Z9" s="47">
        <v>0</v>
      </c>
      <c r="AA9" s="47">
        <v>0</v>
      </c>
      <c r="AB9" s="47">
        <v>0</v>
      </c>
      <c r="AC9" s="47">
        <v>0</v>
      </c>
      <c r="AD9" s="47">
        <v>0</v>
      </c>
      <c r="AE9" s="47">
        <v>0</v>
      </c>
      <c r="AF9" s="47">
        <v>0</v>
      </c>
    </row>
    <row r="10" spans="2:32" ht="18.600000000000001" customHeight="1" x14ac:dyDescent="0.3">
      <c r="B10" s="38" t="s">
        <v>30</v>
      </c>
      <c r="C10" s="41" t="str">
        <f>IF(SUM(OpEx_Perc_Years)=100%, "✓", "✗")</f>
        <v>✓</v>
      </c>
      <c r="D10" s="47">
        <f t="shared" ref="D10:AF10" si="0">IF(Year&lt;years_before_turbines_start_operating, 0, IF(Year&lt;(years_before_turbines_start_operating+expected_useful_life_of_turbine),1/expected_useful_life_of_turbine, 0))</f>
        <v>0</v>
      </c>
      <c r="E10" s="47">
        <f t="shared" si="0"/>
        <v>0</v>
      </c>
      <c r="F10" s="47">
        <f t="shared" si="0"/>
        <v>0</v>
      </c>
      <c r="G10" s="47">
        <f t="shared" si="0"/>
        <v>0.05</v>
      </c>
      <c r="H10" s="47">
        <f t="shared" si="0"/>
        <v>0.05</v>
      </c>
      <c r="I10" s="47">
        <f t="shared" si="0"/>
        <v>0.05</v>
      </c>
      <c r="J10" s="47">
        <f t="shared" si="0"/>
        <v>0.05</v>
      </c>
      <c r="K10" s="47">
        <f t="shared" si="0"/>
        <v>0.05</v>
      </c>
      <c r="L10" s="47">
        <f t="shared" si="0"/>
        <v>0.05</v>
      </c>
      <c r="M10" s="47">
        <f t="shared" si="0"/>
        <v>0.05</v>
      </c>
      <c r="N10" s="47">
        <f t="shared" si="0"/>
        <v>0.05</v>
      </c>
      <c r="O10" s="47">
        <f t="shared" si="0"/>
        <v>0.05</v>
      </c>
      <c r="P10" s="47">
        <f t="shared" si="0"/>
        <v>0.05</v>
      </c>
      <c r="Q10" s="47">
        <f t="shared" si="0"/>
        <v>0.05</v>
      </c>
      <c r="R10" s="47">
        <f t="shared" si="0"/>
        <v>0.05</v>
      </c>
      <c r="S10" s="47">
        <f t="shared" si="0"/>
        <v>0.05</v>
      </c>
      <c r="T10" s="47">
        <f t="shared" si="0"/>
        <v>0.05</v>
      </c>
      <c r="U10" s="47">
        <f t="shared" si="0"/>
        <v>0.05</v>
      </c>
      <c r="V10" s="47">
        <f t="shared" si="0"/>
        <v>0.05</v>
      </c>
      <c r="W10" s="47">
        <f t="shared" si="0"/>
        <v>0.05</v>
      </c>
      <c r="X10" s="47">
        <f t="shared" si="0"/>
        <v>0.05</v>
      </c>
      <c r="Y10" s="47">
        <f t="shared" si="0"/>
        <v>0.05</v>
      </c>
      <c r="Z10" s="47">
        <f t="shared" si="0"/>
        <v>0.05</v>
      </c>
      <c r="AA10" s="47">
        <f t="shared" si="0"/>
        <v>0</v>
      </c>
      <c r="AB10" s="47">
        <f t="shared" si="0"/>
        <v>0</v>
      </c>
      <c r="AC10" s="47">
        <f t="shared" si="0"/>
        <v>0</v>
      </c>
      <c r="AD10" s="47">
        <f t="shared" si="0"/>
        <v>0</v>
      </c>
      <c r="AE10" s="47">
        <f t="shared" si="0"/>
        <v>0</v>
      </c>
      <c r="AF10" s="47">
        <f t="shared" si="0"/>
        <v>0</v>
      </c>
    </row>
    <row r="11" spans="2:32" ht="18.600000000000001" customHeight="1" x14ac:dyDescent="0.3">
      <c r="B11" s="38" t="s">
        <v>67</v>
      </c>
      <c r="C11" s="41" t="str">
        <f>IF(SUM(Decomm_Perc_Years)=100%, "✓", "✗")</f>
        <v>✓</v>
      </c>
      <c r="D11" s="47">
        <f t="shared" ref="D11:AF11" si="1">IF(Year&lt;(years_before_turbines_start_operating+expected_useful_life_of_turbine),0,
IF(Year&gt;=(years_before_turbines_start_operating+expected_useful_life_of_turbine+number_of_years_of_decommissioning),0,
IF(Year&lt;(years_before_turbines_start_operating+expected_useful_life_of_turbine+1),percentage_of_decommissioning_costs_in_year_n_1,
IF(Year&lt;(years_before_turbines_start_operating+expected_useful_life_of_turbine+2),percentage_of_decommissioning_costs_in_year_n_2,
percentage_of_decommissioning_costs_in_year_n_3))))</f>
        <v>0</v>
      </c>
      <c r="E11" s="47">
        <f t="shared" si="1"/>
        <v>0</v>
      </c>
      <c r="F11" s="47">
        <f t="shared" si="1"/>
        <v>0</v>
      </c>
      <c r="G11" s="47">
        <f t="shared" si="1"/>
        <v>0</v>
      </c>
      <c r="H11" s="47">
        <f t="shared" si="1"/>
        <v>0</v>
      </c>
      <c r="I11" s="47">
        <f t="shared" si="1"/>
        <v>0</v>
      </c>
      <c r="J11" s="47">
        <f t="shared" si="1"/>
        <v>0</v>
      </c>
      <c r="K11" s="47">
        <f t="shared" si="1"/>
        <v>0</v>
      </c>
      <c r="L11" s="47">
        <f t="shared" si="1"/>
        <v>0</v>
      </c>
      <c r="M11" s="47">
        <f t="shared" si="1"/>
        <v>0</v>
      </c>
      <c r="N11" s="47">
        <f t="shared" si="1"/>
        <v>0</v>
      </c>
      <c r="O11" s="47">
        <f t="shared" si="1"/>
        <v>0</v>
      </c>
      <c r="P11" s="47">
        <f t="shared" si="1"/>
        <v>0</v>
      </c>
      <c r="Q11" s="47">
        <f t="shared" si="1"/>
        <v>0</v>
      </c>
      <c r="R11" s="47">
        <f t="shared" si="1"/>
        <v>0</v>
      </c>
      <c r="S11" s="47">
        <f t="shared" si="1"/>
        <v>0</v>
      </c>
      <c r="T11" s="47">
        <f t="shared" si="1"/>
        <v>0</v>
      </c>
      <c r="U11" s="47">
        <f t="shared" si="1"/>
        <v>0</v>
      </c>
      <c r="V11" s="47">
        <f t="shared" si="1"/>
        <v>0</v>
      </c>
      <c r="W11" s="47">
        <f t="shared" si="1"/>
        <v>0</v>
      </c>
      <c r="X11" s="47">
        <f t="shared" si="1"/>
        <v>0</v>
      </c>
      <c r="Y11" s="47">
        <f t="shared" si="1"/>
        <v>0</v>
      </c>
      <c r="Z11" s="47">
        <f t="shared" si="1"/>
        <v>0</v>
      </c>
      <c r="AA11" s="47">
        <f t="shared" si="1"/>
        <v>0.2</v>
      </c>
      <c r="AB11" s="47">
        <f t="shared" si="1"/>
        <v>0.4</v>
      </c>
      <c r="AC11" s="47">
        <f t="shared" si="1"/>
        <v>0.4</v>
      </c>
      <c r="AD11" s="47">
        <f t="shared" si="1"/>
        <v>0</v>
      </c>
      <c r="AE11" s="47">
        <f t="shared" si="1"/>
        <v>0</v>
      </c>
      <c r="AF11" s="47">
        <f t="shared" si="1"/>
        <v>0</v>
      </c>
    </row>
    <row r="13" spans="2:32" ht="18.600000000000001" customHeight="1" thickBot="1" x14ac:dyDescent="0.35">
      <c r="B13" s="44" t="s">
        <v>93</v>
      </c>
      <c r="C13" s="48"/>
      <c r="D13" s="46"/>
      <c r="E13" s="46"/>
      <c r="F13" s="46"/>
      <c r="G13" s="46"/>
      <c r="H13" s="46"/>
      <c r="I13" s="46"/>
      <c r="J13" s="46"/>
      <c r="K13" s="46"/>
      <c r="L13" s="46"/>
      <c r="M13" s="46"/>
      <c r="N13" s="46"/>
      <c r="O13" s="46"/>
      <c r="P13" s="46"/>
      <c r="Q13" s="46"/>
      <c r="R13" s="46"/>
      <c r="S13" s="46"/>
      <c r="T13" s="46"/>
      <c r="U13" s="46"/>
      <c r="V13" s="46"/>
      <c r="W13" s="46"/>
      <c r="X13" s="46"/>
      <c r="Y13" s="46"/>
      <c r="Z13" s="46"/>
      <c r="AA13" s="46"/>
      <c r="AB13" s="46"/>
      <c r="AC13" s="46"/>
      <c r="AD13" s="46"/>
      <c r="AE13" s="46"/>
      <c r="AF13" s="46"/>
    </row>
    <row r="14" spans="2:32" ht="18.600000000000001" customHeight="1" thickTop="1" x14ac:dyDescent="0.3">
      <c r="B14" s="38" t="s">
        <v>29</v>
      </c>
      <c r="D14" s="49">
        <f t="shared" ref="D14:AF14" si="2">IF(CapEx_Perc_Years=0,0,(total_capital_costs*CapEx_Perc_Years)*((one_plus_inflation_rate)^Year))</f>
        <v>6650000</v>
      </c>
      <c r="E14" s="49">
        <f t="shared" si="2"/>
        <v>3424750</v>
      </c>
      <c r="F14" s="49">
        <f t="shared" si="2"/>
        <v>3527492.5</v>
      </c>
      <c r="G14" s="49">
        <f t="shared" si="2"/>
        <v>0</v>
      </c>
      <c r="H14" s="49">
        <f t="shared" si="2"/>
        <v>0</v>
      </c>
      <c r="I14" s="49">
        <f t="shared" si="2"/>
        <v>0</v>
      </c>
      <c r="J14" s="49">
        <f t="shared" si="2"/>
        <v>0</v>
      </c>
      <c r="K14" s="49">
        <f t="shared" si="2"/>
        <v>0</v>
      </c>
      <c r="L14" s="49">
        <f t="shared" si="2"/>
        <v>0</v>
      </c>
      <c r="M14" s="49">
        <f t="shared" si="2"/>
        <v>0</v>
      </c>
      <c r="N14" s="49">
        <f t="shared" si="2"/>
        <v>0</v>
      </c>
      <c r="O14" s="49">
        <f t="shared" si="2"/>
        <v>0</v>
      </c>
      <c r="P14" s="49">
        <f t="shared" si="2"/>
        <v>0</v>
      </c>
      <c r="Q14" s="49">
        <f t="shared" si="2"/>
        <v>0</v>
      </c>
      <c r="R14" s="49">
        <f t="shared" si="2"/>
        <v>0</v>
      </c>
      <c r="S14" s="49">
        <f t="shared" si="2"/>
        <v>0</v>
      </c>
      <c r="T14" s="49">
        <f t="shared" si="2"/>
        <v>0</v>
      </c>
      <c r="U14" s="49">
        <f t="shared" si="2"/>
        <v>0</v>
      </c>
      <c r="V14" s="49">
        <f t="shared" si="2"/>
        <v>0</v>
      </c>
      <c r="W14" s="49">
        <f t="shared" si="2"/>
        <v>0</v>
      </c>
      <c r="X14" s="49">
        <f t="shared" si="2"/>
        <v>0</v>
      </c>
      <c r="Y14" s="49">
        <f t="shared" si="2"/>
        <v>0</v>
      </c>
      <c r="Z14" s="49">
        <f t="shared" si="2"/>
        <v>0</v>
      </c>
      <c r="AA14" s="49">
        <f t="shared" si="2"/>
        <v>0</v>
      </c>
      <c r="AB14" s="49">
        <f t="shared" si="2"/>
        <v>0</v>
      </c>
      <c r="AC14" s="49">
        <f t="shared" si="2"/>
        <v>0</v>
      </c>
      <c r="AD14" s="49">
        <f t="shared" si="2"/>
        <v>0</v>
      </c>
      <c r="AE14" s="49">
        <f t="shared" si="2"/>
        <v>0</v>
      </c>
      <c r="AF14" s="49">
        <f t="shared" si="2"/>
        <v>0</v>
      </c>
    </row>
    <row r="15" spans="2:32" s="50" customFormat="1" ht="18.600000000000001" customHeight="1" x14ac:dyDescent="0.3">
      <c r="B15" s="50" t="s">
        <v>30</v>
      </c>
      <c r="C15" s="51"/>
      <c r="D15" s="49">
        <f t="shared" ref="D15:AF15" si="3">IF(OpEx_Perc_Years=0,0,OpEx_Perc_Years*(total_opex_per_year*expected_useful_life_of_turbine)*((one_plus_inflation_rate)^Year))</f>
        <v>0</v>
      </c>
      <c r="E15" s="49">
        <f t="shared" si="3"/>
        <v>0</v>
      </c>
      <c r="F15" s="49">
        <f t="shared" si="3"/>
        <v>0</v>
      </c>
      <c r="G15" s="49">
        <f t="shared" si="3"/>
        <v>874181.6</v>
      </c>
      <c r="H15" s="49">
        <f t="shared" si="3"/>
        <v>900407.04799999995</v>
      </c>
      <c r="I15" s="49">
        <f t="shared" si="3"/>
        <v>927419.25943999982</v>
      </c>
      <c r="J15" s="49">
        <f t="shared" si="3"/>
        <v>955241.83722319989</v>
      </c>
      <c r="K15" s="49">
        <f t="shared" si="3"/>
        <v>983899.09233989601</v>
      </c>
      <c r="L15" s="49">
        <f t="shared" si="3"/>
        <v>1013416.0651100927</v>
      </c>
      <c r="M15" s="49">
        <f t="shared" si="3"/>
        <v>1043818.5470633956</v>
      </c>
      <c r="N15" s="49">
        <f t="shared" si="3"/>
        <v>1075133.1034752973</v>
      </c>
      <c r="O15" s="49">
        <f t="shared" si="3"/>
        <v>1107387.0965795564</v>
      </c>
      <c r="P15" s="49">
        <f t="shared" si="3"/>
        <v>1140608.7094769429</v>
      </c>
      <c r="Q15" s="49">
        <f t="shared" si="3"/>
        <v>1174826.9707612512</v>
      </c>
      <c r="R15" s="49">
        <f t="shared" si="3"/>
        <v>1210071.7798840888</v>
      </c>
      <c r="S15" s="49">
        <f t="shared" si="3"/>
        <v>1246373.9332806116</v>
      </c>
      <c r="T15" s="49">
        <f t="shared" si="3"/>
        <v>1283765.1512790297</v>
      </c>
      <c r="U15" s="49">
        <f t="shared" si="3"/>
        <v>1322278.1058174006</v>
      </c>
      <c r="V15" s="49">
        <f t="shared" si="3"/>
        <v>1361946.4489919227</v>
      </c>
      <c r="W15" s="49">
        <f t="shared" si="3"/>
        <v>1402804.8424616803</v>
      </c>
      <c r="X15" s="49">
        <f t="shared" si="3"/>
        <v>1444888.9877355306</v>
      </c>
      <c r="Y15" s="49">
        <f t="shared" si="3"/>
        <v>1488235.6573675964</v>
      </c>
      <c r="Z15" s="49">
        <f t="shared" si="3"/>
        <v>1532882.7270886244</v>
      </c>
      <c r="AA15" s="49">
        <f t="shared" si="3"/>
        <v>0</v>
      </c>
      <c r="AB15" s="49">
        <f t="shared" si="3"/>
        <v>0</v>
      </c>
      <c r="AC15" s="49">
        <f t="shared" si="3"/>
        <v>0</v>
      </c>
      <c r="AD15" s="49">
        <f t="shared" si="3"/>
        <v>0</v>
      </c>
      <c r="AE15" s="49">
        <f t="shared" si="3"/>
        <v>0</v>
      </c>
      <c r="AF15" s="49">
        <f t="shared" si="3"/>
        <v>0</v>
      </c>
    </row>
    <row r="16" spans="2:32" s="50" customFormat="1" ht="18.600000000000001" customHeight="1" x14ac:dyDescent="0.3">
      <c r="B16" s="52" t="s">
        <v>72</v>
      </c>
      <c r="C16" s="53"/>
      <c r="D16" s="49">
        <f t="shared" ref="D16:AF16" si="4">IF(Decomm_Perc_Years=0,0,(total_decommissioning_costs*Decomm_Perc_Years)*((one_plus_inflation_rate)^Year))</f>
        <v>0</v>
      </c>
      <c r="E16" s="49">
        <f t="shared" si="4"/>
        <v>0</v>
      </c>
      <c r="F16" s="49">
        <f t="shared" si="4"/>
        <v>0</v>
      </c>
      <c r="G16" s="49">
        <f t="shared" si="4"/>
        <v>0</v>
      </c>
      <c r="H16" s="49">
        <f t="shared" si="4"/>
        <v>0</v>
      </c>
      <c r="I16" s="49">
        <f t="shared" si="4"/>
        <v>0</v>
      </c>
      <c r="J16" s="49">
        <f t="shared" si="4"/>
        <v>0</v>
      </c>
      <c r="K16" s="49">
        <f t="shared" si="4"/>
        <v>0</v>
      </c>
      <c r="L16" s="49">
        <f t="shared" si="4"/>
        <v>0</v>
      </c>
      <c r="M16" s="49">
        <f t="shared" si="4"/>
        <v>0</v>
      </c>
      <c r="N16" s="49">
        <f t="shared" si="4"/>
        <v>0</v>
      </c>
      <c r="O16" s="49">
        <f t="shared" si="4"/>
        <v>0</v>
      </c>
      <c r="P16" s="49">
        <f t="shared" si="4"/>
        <v>0</v>
      </c>
      <c r="Q16" s="49">
        <f t="shared" si="4"/>
        <v>0</v>
      </c>
      <c r="R16" s="49">
        <f t="shared" si="4"/>
        <v>0</v>
      </c>
      <c r="S16" s="49">
        <f t="shared" si="4"/>
        <v>0</v>
      </c>
      <c r="T16" s="49">
        <f t="shared" si="4"/>
        <v>0</v>
      </c>
      <c r="U16" s="49">
        <f t="shared" si="4"/>
        <v>0</v>
      </c>
      <c r="V16" s="49">
        <f t="shared" si="4"/>
        <v>0</v>
      </c>
      <c r="W16" s="49">
        <f t="shared" si="4"/>
        <v>0</v>
      </c>
      <c r="X16" s="49">
        <f t="shared" si="4"/>
        <v>0</v>
      </c>
      <c r="Y16" s="49">
        <f t="shared" si="4"/>
        <v>0</v>
      </c>
      <c r="Z16" s="49">
        <f t="shared" si="4"/>
        <v>0</v>
      </c>
      <c r="AA16" s="49">
        <f t="shared" si="4"/>
        <v>1049948.0239193533</v>
      </c>
      <c r="AB16" s="49">
        <f t="shared" si="4"/>
        <v>2162892.9292738675</v>
      </c>
      <c r="AC16" s="49">
        <f t="shared" si="4"/>
        <v>2227779.7171520833</v>
      </c>
      <c r="AD16" s="49">
        <f t="shared" si="4"/>
        <v>0</v>
      </c>
      <c r="AE16" s="49">
        <f t="shared" si="4"/>
        <v>0</v>
      </c>
      <c r="AF16" s="49">
        <f t="shared" si="4"/>
        <v>0</v>
      </c>
    </row>
    <row r="17" spans="2:32" s="50" customFormat="1" ht="18.600000000000001" customHeight="1" x14ac:dyDescent="0.3">
      <c r="B17" s="50" t="s">
        <v>71</v>
      </c>
      <c r="C17" s="51"/>
      <c r="D17" s="54">
        <f t="shared" ref="D17:AF17" si="5">Capex+Opex+Decommissioning_Costs</f>
        <v>6650000</v>
      </c>
      <c r="E17" s="54">
        <f t="shared" si="5"/>
        <v>3424750</v>
      </c>
      <c r="F17" s="54">
        <f t="shared" si="5"/>
        <v>3527492.5</v>
      </c>
      <c r="G17" s="54">
        <f t="shared" si="5"/>
        <v>874181.6</v>
      </c>
      <c r="H17" s="54">
        <f t="shared" si="5"/>
        <v>900407.04799999995</v>
      </c>
      <c r="I17" s="54">
        <f t="shared" si="5"/>
        <v>927419.25943999982</v>
      </c>
      <c r="J17" s="54">
        <f t="shared" si="5"/>
        <v>955241.83722319989</v>
      </c>
      <c r="K17" s="54">
        <f t="shared" si="5"/>
        <v>983899.09233989601</v>
      </c>
      <c r="L17" s="54">
        <f t="shared" si="5"/>
        <v>1013416.0651100927</v>
      </c>
      <c r="M17" s="54">
        <f t="shared" si="5"/>
        <v>1043818.5470633956</v>
      </c>
      <c r="N17" s="54">
        <f t="shared" si="5"/>
        <v>1075133.1034752973</v>
      </c>
      <c r="O17" s="54">
        <f t="shared" si="5"/>
        <v>1107387.0965795564</v>
      </c>
      <c r="P17" s="54">
        <f t="shared" si="5"/>
        <v>1140608.7094769429</v>
      </c>
      <c r="Q17" s="54">
        <f t="shared" si="5"/>
        <v>1174826.9707612512</v>
      </c>
      <c r="R17" s="54">
        <f t="shared" si="5"/>
        <v>1210071.7798840888</v>
      </c>
      <c r="S17" s="54">
        <f t="shared" si="5"/>
        <v>1246373.9332806116</v>
      </c>
      <c r="T17" s="54">
        <f t="shared" si="5"/>
        <v>1283765.1512790297</v>
      </c>
      <c r="U17" s="54">
        <f t="shared" si="5"/>
        <v>1322278.1058174006</v>
      </c>
      <c r="V17" s="54">
        <f t="shared" si="5"/>
        <v>1361946.4489919227</v>
      </c>
      <c r="W17" s="54">
        <f t="shared" si="5"/>
        <v>1402804.8424616803</v>
      </c>
      <c r="X17" s="54">
        <f t="shared" si="5"/>
        <v>1444888.9877355306</v>
      </c>
      <c r="Y17" s="54">
        <f t="shared" si="5"/>
        <v>1488235.6573675964</v>
      </c>
      <c r="Z17" s="54">
        <f t="shared" si="5"/>
        <v>1532882.7270886244</v>
      </c>
      <c r="AA17" s="54">
        <f t="shared" si="5"/>
        <v>1049948.0239193533</v>
      </c>
      <c r="AB17" s="54">
        <f t="shared" si="5"/>
        <v>2162892.9292738675</v>
      </c>
      <c r="AC17" s="54">
        <f t="shared" si="5"/>
        <v>2227779.7171520833</v>
      </c>
      <c r="AD17" s="54">
        <f t="shared" si="5"/>
        <v>0</v>
      </c>
      <c r="AE17" s="54">
        <f t="shared" si="5"/>
        <v>0</v>
      </c>
      <c r="AF17" s="54">
        <f t="shared" si="5"/>
        <v>0</v>
      </c>
    </row>
    <row r="18" spans="2:32" s="50" customFormat="1" ht="18.600000000000001" customHeight="1" x14ac:dyDescent="0.3">
      <c r="B18" s="55" t="s">
        <v>70</v>
      </c>
      <c r="C18" s="56"/>
      <c r="D18" s="57">
        <f t="shared" ref="D18:AE18" si="6">Total_Expenditure_Undiscounted/((one_plus_discount_rate)^Year)</f>
        <v>6650000</v>
      </c>
      <c r="E18" s="57">
        <f t="shared" si="6"/>
        <v>3171064.8148148148</v>
      </c>
      <c r="F18" s="57">
        <f t="shared" si="6"/>
        <v>3024256.2585733877</v>
      </c>
      <c r="G18" s="57">
        <f t="shared" si="6"/>
        <v>693953.53858659742</v>
      </c>
      <c r="H18" s="57">
        <f t="shared" si="6"/>
        <v>661826.059948329</v>
      </c>
      <c r="I18" s="57">
        <f t="shared" si="6"/>
        <v>631185.96458035067</v>
      </c>
      <c r="J18" s="57">
        <f t="shared" si="6"/>
        <v>601964.39214607514</v>
      </c>
      <c r="K18" s="57">
        <f t="shared" si="6"/>
        <v>574095.67028746067</v>
      </c>
      <c r="L18" s="57">
        <f t="shared" si="6"/>
        <v>547517.16703341145</v>
      </c>
      <c r="M18" s="57">
        <f t="shared" si="6"/>
        <v>522169.15004112391</v>
      </c>
      <c r="N18" s="57">
        <f t="shared" si="6"/>
        <v>497994.65235403471</v>
      </c>
      <c r="O18" s="57">
        <f t="shared" si="6"/>
        <v>474939.3443746813</v>
      </c>
      <c r="P18" s="57">
        <f t="shared" si="6"/>
        <v>452951.41176474228</v>
      </c>
      <c r="Q18" s="57">
        <f t="shared" si="6"/>
        <v>431981.43899785605</v>
      </c>
      <c r="R18" s="57">
        <f t="shared" si="6"/>
        <v>411982.29830351082</v>
      </c>
      <c r="S18" s="57">
        <f t="shared" si="6"/>
        <v>392909.04375242238</v>
      </c>
      <c r="T18" s="57">
        <f t="shared" si="6"/>
        <v>374718.81024536572</v>
      </c>
      <c r="U18" s="57">
        <f t="shared" si="6"/>
        <v>357370.71717845066</v>
      </c>
      <c r="V18" s="57">
        <f t="shared" si="6"/>
        <v>340825.77656833717</v>
      </c>
      <c r="W18" s="57">
        <f t="shared" si="6"/>
        <v>325046.8054309141</v>
      </c>
      <c r="X18" s="57">
        <f t="shared" si="6"/>
        <v>309998.34221651993</v>
      </c>
      <c r="Y18" s="57">
        <f t="shared" si="6"/>
        <v>295646.56711390323</v>
      </c>
      <c r="Z18" s="57">
        <f t="shared" si="6"/>
        <v>281959.22604381508</v>
      </c>
      <c r="AA18" s="57">
        <f t="shared" si="6"/>
        <v>178822.19618399179</v>
      </c>
      <c r="AB18" s="57">
        <f t="shared" si="6"/>
        <v>341086.78161020653</v>
      </c>
      <c r="AC18" s="57">
        <f t="shared" si="6"/>
        <v>325295.72690603021</v>
      </c>
      <c r="AD18" s="57">
        <f t="shared" si="6"/>
        <v>0</v>
      </c>
      <c r="AE18" s="57">
        <f t="shared" si="6"/>
        <v>0</v>
      </c>
      <c r="AF18" s="57">
        <f>IFERROR(Total_Expenditure_Undiscounted/((one_plus_discount_rate)^Year),0)</f>
        <v>0</v>
      </c>
    </row>
    <row r="19" spans="2:32" ht="18.600000000000001" customHeight="1" x14ac:dyDescent="0.3">
      <c r="D19" s="54"/>
      <c r="E19" s="54"/>
      <c r="F19" s="54"/>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row>
    <row r="20" spans="2:32" ht="18.600000000000001" customHeight="1" thickBot="1" x14ac:dyDescent="0.35">
      <c r="B20" s="44" t="s">
        <v>92</v>
      </c>
      <c r="C20" s="48"/>
      <c r="D20" s="58"/>
      <c r="E20" s="58"/>
      <c r="F20" s="58"/>
      <c r="G20" s="58"/>
      <c r="H20" s="58"/>
      <c r="I20" s="58"/>
      <c r="J20" s="58"/>
      <c r="K20" s="58"/>
      <c r="L20" s="58"/>
      <c r="M20" s="58"/>
      <c r="N20" s="58"/>
      <c r="O20" s="58"/>
      <c r="P20" s="58"/>
      <c r="Q20" s="58"/>
      <c r="R20" s="58"/>
      <c r="S20" s="58"/>
      <c r="T20" s="58"/>
      <c r="U20" s="58"/>
      <c r="V20" s="58"/>
      <c r="W20" s="58"/>
      <c r="X20" s="58"/>
      <c r="Y20" s="58"/>
      <c r="Z20" s="58"/>
      <c r="AA20" s="58"/>
      <c r="AB20" s="58"/>
      <c r="AC20" s="58"/>
      <c r="AD20" s="58"/>
      <c r="AE20" s="58"/>
      <c r="AF20" s="58"/>
    </row>
    <row r="21" spans="2:32" ht="18.600000000000001" customHeight="1" thickTop="1" x14ac:dyDescent="0.3">
      <c r="B21" s="38" t="s">
        <v>31</v>
      </c>
      <c r="D21" s="54">
        <f t="shared" ref="D21:AF21" si="7">IF(Year&lt;years_before_turbines_start_operating,0,IF(Year&lt;(years_before_turbines_start_operating+expected_useful_life_of_turbine),actual__expected__output_of_all_wind_turbines__mWh_yr*average_electricity_price*(one_plus_inflation_rate^Year),0))</f>
        <v>0</v>
      </c>
      <c r="E21" s="54">
        <f t="shared" si="7"/>
        <v>0</v>
      </c>
      <c r="F21" s="54">
        <f t="shared" si="7"/>
        <v>0</v>
      </c>
      <c r="G21" s="54">
        <f t="shared" si="7"/>
        <v>3350300.9819999994</v>
      </c>
      <c r="H21" s="54">
        <f t="shared" si="7"/>
        <v>3450810.0114599993</v>
      </c>
      <c r="I21" s="54">
        <f t="shared" si="7"/>
        <v>3554334.3118037991</v>
      </c>
      <c r="J21" s="54">
        <f t="shared" si="7"/>
        <v>3660964.3411579132</v>
      </c>
      <c r="K21" s="54">
        <f t="shared" si="7"/>
        <v>3770793.2713926509</v>
      </c>
      <c r="L21" s="54">
        <f t="shared" si="7"/>
        <v>3883917.0695344298</v>
      </c>
      <c r="M21" s="54">
        <f t="shared" si="7"/>
        <v>4000434.5816204627</v>
      </c>
      <c r="N21" s="54">
        <f t="shared" si="7"/>
        <v>4120447.6190690766</v>
      </c>
      <c r="O21" s="54">
        <f t="shared" si="7"/>
        <v>4244061.0476411488</v>
      </c>
      <c r="P21" s="54">
        <f t="shared" si="7"/>
        <v>4371382.8790703826</v>
      </c>
      <c r="Q21" s="54">
        <f t="shared" si="7"/>
        <v>4502524.3654424939</v>
      </c>
      <c r="R21" s="54">
        <f t="shared" si="7"/>
        <v>4637600.0964057697</v>
      </c>
      <c r="S21" s="54">
        <f t="shared" si="7"/>
        <v>4776728.0992979426</v>
      </c>
      <c r="T21" s="54">
        <f t="shared" si="7"/>
        <v>4920029.9422768801</v>
      </c>
      <c r="U21" s="54">
        <f t="shared" si="7"/>
        <v>5067630.8405451868</v>
      </c>
      <c r="V21" s="54">
        <f t="shared" si="7"/>
        <v>5219659.7657615421</v>
      </c>
      <c r="W21" s="54">
        <f t="shared" si="7"/>
        <v>5376249.558734389</v>
      </c>
      <c r="X21" s="54">
        <f t="shared" si="7"/>
        <v>5537537.04549642</v>
      </c>
      <c r="Y21" s="54">
        <f t="shared" si="7"/>
        <v>5703663.1568613118</v>
      </c>
      <c r="Z21" s="54">
        <f t="shared" si="7"/>
        <v>5874773.0515671521</v>
      </c>
      <c r="AA21" s="54">
        <f t="shared" si="7"/>
        <v>0</v>
      </c>
      <c r="AB21" s="54">
        <f t="shared" si="7"/>
        <v>0</v>
      </c>
      <c r="AC21" s="54">
        <f t="shared" si="7"/>
        <v>0</v>
      </c>
      <c r="AD21" s="54">
        <f t="shared" si="7"/>
        <v>0</v>
      </c>
      <c r="AE21" s="54">
        <f t="shared" si="7"/>
        <v>0</v>
      </c>
      <c r="AF21" s="54">
        <f t="shared" si="7"/>
        <v>0</v>
      </c>
    </row>
    <row r="22" spans="2:32" ht="18.600000000000001" customHeight="1" x14ac:dyDescent="0.3">
      <c r="B22" s="59" t="s">
        <v>73</v>
      </c>
      <c r="C22" s="60"/>
      <c r="D22" s="57">
        <f t="shared" ref="D22:AF22" si="8">Total_Sales_Undiscounted/((one_plus_discount_rate)^Year)</f>
        <v>0</v>
      </c>
      <c r="E22" s="57">
        <f t="shared" si="8"/>
        <v>0</v>
      </c>
      <c r="F22" s="57">
        <f t="shared" si="8"/>
        <v>0</v>
      </c>
      <c r="G22" s="57">
        <f t="shared" si="8"/>
        <v>2659576.9366331343</v>
      </c>
      <c r="H22" s="57">
        <f t="shared" si="8"/>
        <v>2536448.3747519706</v>
      </c>
      <c r="I22" s="57">
        <f t="shared" si="8"/>
        <v>2419020.2092541941</v>
      </c>
      <c r="J22" s="57">
        <f t="shared" si="8"/>
        <v>2307028.5328998328</v>
      </c>
      <c r="K22" s="57">
        <f t="shared" si="8"/>
        <v>2200221.6563766925</v>
      </c>
      <c r="L22" s="57">
        <f t="shared" si="8"/>
        <v>2098359.542655549</v>
      </c>
      <c r="M22" s="57">
        <f t="shared" si="8"/>
        <v>2001213.2675326068</v>
      </c>
      <c r="N22" s="57">
        <f t="shared" si="8"/>
        <v>1908564.505146838</v>
      </c>
      <c r="O22" s="57">
        <f t="shared" si="8"/>
        <v>1820205.0373159659</v>
      </c>
      <c r="P22" s="57">
        <f t="shared" si="8"/>
        <v>1735936.2855883744</v>
      </c>
      <c r="Q22" s="57">
        <f t="shared" si="8"/>
        <v>1655568.8649592828</v>
      </c>
      <c r="R22" s="57">
        <f t="shared" si="8"/>
        <v>1578922.158248205</v>
      </c>
      <c r="S22" s="57">
        <f t="shared" si="8"/>
        <v>1505823.9101811582</v>
      </c>
      <c r="T22" s="57">
        <f t="shared" si="8"/>
        <v>1436109.8402653637</v>
      </c>
      <c r="U22" s="57">
        <f t="shared" si="8"/>
        <v>1369623.2735864117</v>
      </c>
      <c r="V22" s="57">
        <f t="shared" si="8"/>
        <v>1306214.7886981517</v>
      </c>
      <c r="W22" s="57">
        <f t="shared" si="8"/>
        <v>1245741.8818139781</v>
      </c>
      <c r="X22" s="57">
        <f t="shared" si="8"/>
        <v>1188068.6465448125</v>
      </c>
      <c r="Y22" s="57">
        <f t="shared" si="8"/>
        <v>1133065.4684640339</v>
      </c>
      <c r="Z22" s="57">
        <f t="shared" si="8"/>
        <v>1080608.7338129212</v>
      </c>
      <c r="AA22" s="57">
        <f t="shared" si="8"/>
        <v>0</v>
      </c>
      <c r="AB22" s="57">
        <f t="shared" si="8"/>
        <v>0</v>
      </c>
      <c r="AC22" s="57">
        <f t="shared" si="8"/>
        <v>0</v>
      </c>
      <c r="AD22" s="57">
        <f t="shared" si="8"/>
        <v>0</v>
      </c>
      <c r="AE22" s="57">
        <f t="shared" si="8"/>
        <v>0</v>
      </c>
      <c r="AF22" s="57">
        <f t="shared" si="8"/>
        <v>0</v>
      </c>
    </row>
    <row r="23" spans="2:32" ht="18.600000000000001" customHeight="1" x14ac:dyDescent="0.3">
      <c r="D23" s="54"/>
      <c r="E23" s="54"/>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row>
    <row r="24" spans="2:32" ht="18.600000000000001" customHeight="1" thickBot="1" x14ac:dyDescent="0.35">
      <c r="B24" s="44" t="s">
        <v>94</v>
      </c>
      <c r="C24" s="48"/>
      <c r="D24" s="58"/>
      <c r="E24" s="58"/>
      <c r="F24" s="58"/>
      <c r="G24" s="58"/>
      <c r="H24" s="58"/>
      <c r="I24" s="58"/>
      <c r="J24" s="58"/>
      <c r="K24" s="58"/>
      <c r="L24" s="58"/>
      <c r="M24" s="58"/>
      <c r="N24" s="58"/>
      <c r="O24" s="58"/>
      <c r="P24" s="58"/>
      <c r="Q24" s="58"/>
      <c r="R24" s="58"/>
      <c r="S24" s="58"/>
      <c r="T24" s="58"/>
      <c r="U24" s="58"/>
      <c r="V24" s="58"/>
      <c r="W24" s="58"/>
      <c r="X24" s="58"/>
      <c r="Y24" s="58"/>
      <c r="Z24" s="58"/>
      <c r="AA24" s="58"/>
      <c r="AB24" s="58"/>
      <c r="AC24" s="58"/>
      <c r="AD24" s="58"/>
      <c r="AE24" s="58"/>
      <c r="AF24" s="58"/>
    </row>
    <row r="25" spans="2:32" s="50" customFormat="1" ht="18.600000000000001" customHeight="1" thickTop="1" x14ac:dyDescent="0.3">
      <c r="B25" s="50" t="s">
        <v>74</v>
      </c>
      <c r="C25" s="51"/>
      <c r="D25" s="54">
        <f t="shared" ref="D25:AF25" si="9">Total_Sales_Undiscounted-Total_Expenditure_Undiscounted</f>
        <v>-6650000</v>
      </c>
      <c r="E25" s="54">
        <f t="shared" si="9"/>
        <v>-3424750</v>
      </c>
      <c r="F25" s="54">
        <f t="shared" si="9"/>
        <v>-3527492.5</v>
      </c>
      <c r="G25" s="54">
        <f t="shared" si="9"/>
        <v>2476119.3819999993</v>
      </c>
      <c r="H25" s="54">
        <f t="shared" si="9"/>
        <v>2550402.9634599993</v>
      </c>
      <c r="I25" s="54">
        <f t="shared" si="9"/>
        <v>2626915.0523637994</v>
      </c>
      <c r="J25" s="54">
        <f t="shared" si="9"/>
        <v>2705722.5039347131</v>
      </c>
      <c r="K25" s="54">
        <f t="shared" si="9"/>
        <v>2786894.1790527548</v>
      </c>
      <c r="L25" s="54">
        <f t="shared" si="9"/>
        <v>2870501.0044243373</v>
      </c>
      <c r="M25" s="54">
        <f t="shared" si="9"/>
        <v>2956616.0345570669</v>
      </c>
      <c r="N25" s="54">
        <f t="shared" si="9"/>
        <v>3045314.5155937793</v>
      </c>
      <c r="O25" s="54">
        <f t="shared" si="9"/>
        <v>3136673.9510615924</v>
      </c>
      <c r="P25" s="54">
        <f t="shared" si="9"/>
        <v>3230774.1695934394</v>
      </c>
      <c r="Q25" s="54">
        <f t="shared" si="9"/>
        <v>3327697.3946812428</v>
      </c>
      <c r="R25" s="54">
        <f t="shared" si="9"/>
        <v>3427528.3165216809</v>
      </c>
      <c r="S25" s="54">
        <f t="shared" si="9"/>
        <v>3530354.1660173312</v>
      </c>
      <c r="T25" s="54">
        <f t="shared" si="9"/>
        <v>3636264.7909978507</v>
      </c>
      <c r="U25" s="54">
        <f t="shared" si="9"/>
        <v>3745352.7347277859</v>
      </c>
      <c r="V25" s="54">
        <f t="shared" si="9"/>
        <v>3857713.3167696195</v>
      </c>
      <c r="W25" s="54">
        <f t="shared" si="9"/>
        <v>3973444.716272709</v>
      </c>
      <c r="X25" s="54">
        <f t="shared" si="9"/>
        <v>4092648.0577608896</v>
      </c>
      <c r="Y25" s="54">
        <f t="shared" si="9"/>
        <v>4215427.4994937154</v>
      </c>
      <c r="Z25" s="54">
        <f t="shared" si="9"/>
        <v>4341890.3244785275</v>
      </c>
      <c r="AA25" s="54">
        <f t="shared" si="9"/>
        <v>-1049948.0239193533</v>
      </c>
      <c r="AB25" s="54">
        <f t="shared" si="9"/>
        <v>-2162892.9292738675</v>
      </c>
      <c r="AC25" s="54">
        <f t="shared" si="9"/>
        <v>-2227779.7171520833</v>
      </c>
      <c r="AD25" s="54">
        <f t="shared" si="9"/>
        <v>0</v>
      </c>
      <c r="AE25" s="54">
        <f t="shared" si="9"/>
        <v>0</v>
      </c>
      <c r="AF25" s="54">
        <f t="shared" si="9"/>
        <v>0</v>
      </c>
    </row>
    <row r="26" spans="2:32" s="50" customFormat="1" ht="18.600000000000001" customHeight="1" x14ac:dyDescent="0.3">
      <c r="B26" s="50" t="s">
        <v>79</v>
      </c>
      <c r="C26" s="51"/>
      <c r="D26" s="54">
        <f t="shared" ref="D26:AF26" si="10">Pre_Tax_Net_Cash_Flow_Undiscounted/((one_plus_discount_rate)^Year)</f>
        <v>-6650000</v>
      </c>
      <c r="E26" s="54">
        <f t="shared" si="10"/>
        <v>-3171064.8148148148</v>
      </c>
      <c r="F26" s="54">
        <f t="shared" si="10"/>
        <v>-3024256.2585733877</v>
      </c>
      <c r="G26" s="54">
        <f t="shared" si="10"/>
        <v>1965623.3980465368</v>
      </c>
      <c r="H26" s="54">
        <f t="shared" si="10"/>
        <v>1874622.3148036415</v>
      </c>
      <c r="I26" s="54">
        <f t="shared" si="10"/>
        <v>1787834.2446738433</v>
      </c>
      <c r="J26" s="54">
        <f t="shared" si="10"/>
        <v>1705064.1407537577</v>
      </c>
      <c r="K26" s="54">
        <f t="shared" si="10"/>
        <v>1626125.9860892319</v>
      </c>
      <c r="L26" s="54">
        <f t="shared" si="10"/>
        <v>1550842.3756221377</v>
      </c>
      <c r="M26" s="54">
        <f t="shared" si="10"/>
        <v>1479044.1174914828</v>
      </c>
      <c r="N26" s="54">
        <f t="shared" si="10"/>
        <v>1410569.8527928032</v>
      </c>
      <c r="O26" s="54">
        <f t="shared" si="10"/>
        <v>1345265.6929412845</v>
      </c>
      <c r="P26" s="54">
        <f t="shared" si="10"/>
        <v>1282984.873823632</v>
      </c>
      <c r="Q26" s="54">
        <f t="shared" si="10"/>
        <v>1223587.4259614269</v>
      </c>
      <c r="R26" s="54">
        <f t="shared" si="10"/>
        <v>1166939.8599446942</v>
      </c>
      <c r="S26" s="54">
        <f t="shared" si="10"/>
        <v>1112914.8664287359</v>
      </c>
      <c r="T26" s="54">
        <f t="shared" si="10"/>
        <v>1061391.0300199981</v>
      </c>
      <c r="U26" s="54">
        <f t="shared" si="10"/>
        <v>1012252.5564079611</v>
      </c>
      <c r="V26" s="54">
        <f t="shared" si="10"/>
        <v>965389.0121298146</v>
      </c>
      <c r="W26" s="54">
        <f t="shared" si="10"/>
        <v>920695.07638306404</v>
      </c>
      <c r="X26" s="54">
        <f t="shared" si="10"/>
        <v>878070.30432829249</v>
      </c>
      <c r="Y26" s="54">
        <f t="shared" si="10"/>
        <v>837418.90135013056</v>
      </c>
      <c r="Z26" s="54">
        <f t="shared" si="10"/>
        <v>798649.50776910607</v>
      </c>
      <c r="AA26" s="54">
        <f t="shared" si="10"/>
        <v>-178822.19618399179</v>
      </c>
      <c r="AB26" s="54">
        <f t="shared" si="10"/>
        <v>-341086.78161020653</v>
      </c>
      <c r="AC26" s="54">
        <f t="shared" si="10"/>
        <v>-325295.72690603021</v>
      </c>
      <c r="AD26" s="54">
        <f t="shared" si="10"/>
        <v>0</v>
      </c>
      <c r="AE26" s="54">
        <f t="shared" si="10"/>
        <v>0</v>
      </c>
      <c r="AF26" s="54">
        <f t="shared" si="10"/>
        <v>0</v>
      </c>
    </row>
    <row r="27" spans="2:32" s="50" customFormat="1" ht="18.600000000000001" customHeight="1" x14ac:dyDescent="0.3">
      <c r="B27" s="52" t="s">
        <v>37</v>
      </c>
      <c r="C27" s="53"/>
      <c r="D27" s="54">
        <f t="shared" ref="D27:AF27" si="11">IF(Year&lt;years_before_turbines_start_operating,0,IF(Year&gt;=(depreciation_allowance_years+years_before_turbines_start_operating),0,(total_capital_costs/depreciation_allowance_years)))</f>
        <v>0</v>
      </c>
      <c r="E27" s="54">
        <f t="shared" si="11"/>
        <v>0</v>
      </c>
      <c r="F27" s="54">
        <f t="shared" si="11"/>
        <v>0</v>
      </c>
      <c r="G27" s="54">
        <f t="shared" si="11"/>
        <v>1662500</v>
      </c>
      <c r="H27" s="54">
        <f t="shared" si="11"/>
        <v>1662500</v>
      </c>
      <c r="I27" s="54">
        <f t="shared" si="11"/>
        <v>1662500</v>
      </c>
      <c r="J27" s="54">
        <f t="shared" si="11"/>
        <v>1662500</v>
      </c>
      <c r="K27" s="54">
        <f t="shared" si="11"/>
        <v>1662500</v>
      </c>
      <c r="L27" s="54">
        <f t="shared" si="11"/>
        <v>1662500</v>
      </c>
      <c r="M27" s="54">
        <f t="shared" si="11"/>
        <v>1662500</v>
      </c>
      <c r="N27" s="54">
        <f t="shared" si="11"/>
        <v>1662500</v>
      </c>
      <c r="O27" s="54">
        <f t="shared" si="11"/>
        <v>0</v>
      </c>
      <c r="P27" s="54">
        <f t="shared" si="11"/>
        <v>0</v>
      </c>
      <c r="Q27" s="54">
        <f t="shared" si="11"/>
        <v>0</v>
      </c>
      <c r="R27" s="54">
        <f t="shared" si="11"/>
        <v>0</v>
      </c>
      <c r="S27" s="54">
        <f t="shared" si="11"/>
        <v>0</v>
      </c>
      <c r="T27" s="54">
        <f t="shared" si="11"/>
        <v>0</v>
      </c>
      <c r="U27" s="54">
        <f t="shared" si="11"/>
        <v>0</v>
      </c>
      <c r="V27" s="54">
        <f t="shared" si="11"/>
        <v>0</v>
      </c>
      <c r="W27" s="54">
        <f t="shared" si="11"/>
        <v>0</v>
      </c>
      <c r="X27" s="54">
        <f t="shared" si="11"/>
        <v>0</v>
      </c>
      <c r="Y27" s="54">
        <f t="shared" si="11"/>
        <v>0</v>
      </c>
      <c r="Z27" s="54">
        <f t="shared" si="11"/>
        <v>0</v>
      </c>
      <c r="AA27" s="54">
        <f t="shared" si="11"/>
        <v>0</v>
      </c>
      <c r="AB27" s="54">
        <f t="shared" si="11"/>
        <v>0</v>
      </c>
      <c r="AC27" s="54">
        <f t="shared" si="11"/>
        <v>0</v>
      </c>
      <c r="AD27" s="54">
        <f t="shared" si="11"/>
        <v>0</v>
      </c>
      <c r="AE27" s="54">
        <f t="shared" si="11"/>
        <v>0</v>
      </c>
      <c r="AF27" s="54">
        <f t="shared" si="11"/>
        <v>0</v>
      </c>
    </row>
    <row r="28" spans="2:32" s="50" customFormat="1" ht="18.600000000000001" customHeight="1" x14ac:dyDescent="0.3">
      <c r="B28" s="52" t="s">
        <v>38</v>
      </c>
      <c r="C28" s="53"/>
      <c r="D28" s="54">
        <f t="shared" ref="D28:AF28" si="12">Decommissioning_Costs</f>
        <v>0</v>
      </c>
      <c r="E28" s="54">
        <f t="shared" si="12"/>
        <v>0</v>
      </c>
      <c r="F28" s="54">
        <f t="shared" si="12"/>
        <v>0</v>
      </c>
      <c r="G28" s="54">
        <f t="shared" si="12"/>
        <v>0</v>
      </c>
      <c r="H28" s="54">
        <f t="shared" si="12"/>
        <v>0</v>
      </c>
      <c r="I28" s="54">
        <f t="shared" si="12"/>
        <v>0</v>
      </c>
      <c r="J28" s="54">
        <f t="shared" si="12"/>
        <v>0</v>
      </c>
      <c r="K28" s="54">
        <f t="shared" si="12"/>
        <v>0</v>
      </c>
      <c r="L28" s="54">
        <f t="shared" si="12"/>
        <v>0</v>
      </c>
      <c r="M28" s="54">
        <f t="shared" si="12"/>
        <v>0</v>
      </c>
      <c r="N28" s="54">
        <f t="shared" si="12"/>
        <v>0</v>
      </c>
      <c r="O28" s="54">
        <f t="shared" si="12"/>
        <v>0</v>
      </c>
      <c r="P28" s="54">
        <f t="shared" si="12"/>
        <v>0</v>
      </c>
      <c r="Q28" s="54">
        <f t="shared" si="12"/>
        <v>0</v>
      </c>
      <c r="R28" s="54">
        <f t="shared" si="12"/>
        <v>0</v>
      </c>
      <c r="S28" s="54">
        <f t="shared" si="12"/>
        <v>0</v>
      </c>
      <c r="T28" s="54">
        <f t="shared" si="12"/>
        <v>0</v>
      </c>
      <c r="U28" s="54">
        <f t="shared" si="12"/>
        <v>0</v>
      </c>
      <c r="V28" s="54">
        <f t="shared" si="12"/>
        <v>0</v>
      </c>
      <c r="W28" s="54">
        <f t="shared" si="12"/>
        <v>0</v>
      </c>
      <c r="X28" s="54">
        <f t="shared" si="12"/>
        <v>0</v>
      </c>
      <c r="Y28" s="54">
        <f t="shared" si="12"/>
        <v>0</v>
      </c>
      <c r="Z28" s="54">
        <f t="shared" si="12"/>
        <v>0</v>
      </c>
      <c r="AA28" s="54">
        <f t="shared" si="12"/>
        <v>1049948.0239193533</v>
      </c>
      <c r="AB28" s="54">
        <f t="shared" si="12"/>
        <v>2162892.9292738675</v>
      </c>
      <c r="AC28" s="54">
        <f t="shared" si="12"/>
        <v>2227779.7171520833</v>
      </c>
      <c r="AD28" s="54">
        <f t="shared" si="12"/>
        <v>0</v>
      </c>
      <c r="AE28" s="54">
        <f t="shared" si="12"/>
        <v>0</v>
      </c>
      <c r="AF28" s="54">
        <f t="shared" si="12"/>
        <v>0</v>
      </c>
    </row>
    <row r="29" spans="2:32" s="50" customFormat="1" ht="18.600000000000001" customHeight="1" x14ac:dyDescent="0.3">
      <c r="B29" s="52" t="s">
        <v>75</v>
      </c>
      <c r="C29" s="53"/>
      <c r="D29" s="54">
        <f t="shared" ref="D29:AF29" si="13">MAX(Pre_Tax_Net_Cash_Flow_Undiscounted-Depreciation_Allowance-Decommissioning_Cost_Allowance,0)</f>
        <v>0</v>
      </c>
      <c r="E29" s="54">
        <f t="shared" si="13"/>
        <v>0</v>
      </c>
      <c r="F29" s="54">
        <f t="shared" si="13"/>
        <v>0</v>
      </c>
      <c r="G29" s="54">
        <f t="shared" si="13"/>
        <v>813619.38199999928</v>
      </c>
      <c r="H29" s="54">
        <f t="shared" si="13"/>
        <v>887902.9634599993</v>
      </c>
      <c r="I29" s="54">
        <f t="shared" si="13"/>
        <v>964415.05236379942</v>
      </c>
      <c r="J29" s="54">
        <f t="shared" si="13"/>
        <v>1043222.5039347131</v>
      </c>
      <c r="K29" s="54">
        <f t="shared" si="13"/>
        <v>1124394.1790527548</v>
      </c>
      <c r="L29" s="54">
        <f t="shared" si="13"/>
        <v>1208001.0044243373</v>
      </c>
      <c r="M29" s="54">
        <f t="shared" si="13"/>
        <v>1294116.0345570669</v>
      </c>
      <c r="N29" s="54">
        <f t="shared" si="13"/>
        <v>1382814.5155937793</v>
      </c>
      <c r="O29" s="54">
        <f t="shared" si="13"/>
        <v>3136673.9510615924</v>
      </c>
      <c r="P29" s="54">
        <f t="shared" si="13"/>
        <v>3230774.1695934394</v>
      </c>
      <c r="Q29" s="54">
        <f t="shared" si="13"/>
        <v>3327697.3946812428</v>
      </c>
      <c r="R29" s="54">
        <f t="shared" si="13"/>
        <v>3427528.3165216809</v>
      </c>
      <c r="S29" s="54">
        <f t="shared" si="13"/>
        <v>3530354.1660173312</v>
      </c>
      <c r="T29" s="54">
        <f t="shared" si="13"/>
        <v>3636264.7909978507</v>
      </c>
      <c r="U29" s="54">
        <f t="shared" si="13"/>
        <v>3745352.7347277859</v>
      </c>
      <c r="V29" s="54">
        <f t="shared" si="13"/>
        <v>3857713.3167696195</v>
      </c>
      <c r="W29" s="54">
        <f t="shared" si="13"/>
        <v>3973444.716272709</v>
      </c>
      <c r="X29" s="54">
        <f t="shared" si="13"/>
        <v>4092648.0577608896</v>
      </c>
      <c r="Y29" s="54">
        <f t="shared" si="13"/>
        <v>4215427.4994937154</v>
      </c>
      <c r="Z29" s="54">
        <f t="shared" si="13"/>
        <v>4341890.3244785275</v>
      </c>
      <c r="AA29" s="54">
        <f t="shared" si="13"/>
        <v>0</v>
      </c>
      <c r="AB29" s="54">
        <f t="shared" si="13"/>
        <v>0</v>
      </c>
      <c r="AC29" s="54">
        <f t="shared" si="13"/>
        <v>0</v>
      </c>
      <c r="AD29" s="54">
        <f t="shared" si="13"/>
        <v>0</v>
      </c>
      <c r="AE29" s="54">
        <f t="shared" si="13"/>
        <v>0</v>
      </c>
      <c r="AF29" s="54">
        <f t="shared" si="13"/>
        <v>0</v>
      </c>
    </row>
    <row r="30" spans="2:32" s="50" customFormat="1" ht="18.600000000000001" customHeight="1" x14ac:dyDescent="0.3">
      <c r="B30" s="52" t="s">
        <v>76</v>
      </c>
      <c r="C30" s="53"/>
      <c r="D30" s="54">
        <f t="shared" ref="D30:AF30" si="14">corporation_tax_rate*Taxable_Cash_Flow</f>
        <v>0</v>
      </c>
      <c r="E30" s="54">
        <f t="shared" si="14"/>
        <v>0</v>
      </c>
      <c r="F30" s="54">
        <f t="shared" si="14"/>
        <v>0</v>
      </c>
      <c r="G30" s="54">
        <f t="shared" si="14"/>
        <v>162723.87639999986</v>
      </c>
      <c r="H30" s="54">
        <f t="shared" si="14"/>
        <v>177580.59269199986</v>
      </c>
      <c r="I30" s="54">
        <f t="shared" si="14"/>
        <v>192883.0104727599</v>
      </c>
      <c r="J30" s="54">
        <f t="shared" si="14"/>
        <v>208644.50078694263</v>
      </c>
      <c r="K30" s="54">
        <f t="shared" si="14"/>
        <v>224878.83581055095</v>
      </c>
      <c r="L30" s="54">
        <f t="shared" si="14"/>
        <v>241600.20088486746</v>
      </c>
      <c r="M30" s="54">
        <f t="shared" si="14"/>
        <v>258823.20691141338</v>
      </c>
      <c r="N30" s="54">
        <f t="shared" si="14"/>
        <v>276562.90311875584</v>
      </c>
      <c r="O30" s="54">
        <f t="shared" si="14"/>
        <v>627334.79021231853</v>
      </c>
      <c r="P30" s="54">
        <f t="shared" si="14"/>
        <v>646154.83391868789</v>
      </c>
      <c r="Q30" s="54">
        <f t="shared" si="14"/>
        <v>665539.47893624858</v>
      </c>
      <c r="R30" s="54">
        <f t="shared" si="14"/>
        <v>685505.66330433625</v>
      </c>
      <c r="S30" s="54">
        <f t="shared" si="14"/>
        <v>706070.83320346626</v>
      </c>
      <c r="T30" s="54">
        <f t="shared" si="14"/>
        <v>727252.95819957019</v>
      </c>
      <c r="U30" s="54">
        <f t="shared" si="14"/>
        <v>749070.54694555723</v>
      </c>
      <c r="V30" s="54">
        <f t="shared" si="14"/>
        <v>771542.66335392394</v>
      </c>
      <c r="W30" s="54">
        <f t="shared" si="14"/>
        <v>794688.94325454184</v>
      </c>
      <c r="X30" s="54">
        <f t="shared" si="14"/>
        <v>818529.61155217793</v>
      </c>
      <c r="Y30" s="54">
        <f t="shared" si="14"/>
        <v>843085.49989874312</v>
      </c>
      <c r="Z30" s="54">
        <f t="shared" si="14"/>
        <v>868378.06489570555</v>
      </c>
      <c r="AA30" s="54">
        <f t="shared" si="14"/>
        <v>0</v>
      </c>
      <c r="AB30" s="54">
        <f t="shared" si="14"/>
        <v>0</v>
      </c>
      <c r="AC30" s="54">
        <f t="shared" si="14"/>
        <v>0</v>
      </c>
      <c r="AD30" s="54">
        <f t="shared" si="14"/>
        <v>0</v>
      </c>
      <c r="AE30" s="54">
        <f t="shared" si="14"/>
        <v>0</v>
      </c>
      <c r="AF30" s="54">
        <f t="shared" si="14"/>
        <v>0</v>
      </c>
    </row>
    <row r="31" spans="2:32" s="50" customFormat="1" ht="18.600000000000001" customHeight="1" x14ac:dyDescent="0.3">
      <c r="B31" s="52" t="s">
        <v>77</v>
      </c>
      <c r="C31" s="53"/>
      <c r="D31" s="54">
        <f t="shared" ref="D31:AF31" si="15">Pre_Tax_Net_Cash_Flow_Undiscounted-Tax_Paid</f>
        <v>-6650000</v>
      </c>
      <c r="E31" s="54">
        <f t="shared" si="15"/>
        <v>-3424750</v>
      </c>
      <c r="F31" s="54">
        <f t="shared" si="15"/>
        <v>-3527492.5</v>
      </c>
      <c r="G31" s="54">
        <f t="shared" si="15"/>
        <v>2313395.5055999993</v>
      </c>
      <c r="H31" s="54">
        <f t="shared" si="15"/>
        <v>2372822.3707679994</v>
      </c>
      <c r="I31" s="54">
        <f t="shared" si="15"/>
        <v>2434032.0418910393</v>
      </c>
      <c r="J31" s="54">
        <f t="shared" si="15"/>
        <v>2497078.0031477707</v>
      </c>
      <c r="K31" s="54">
        <f t="shared" si="15"/>
        <v>2562015.3432422038</v>
      </c>
      <c r="L31" s="54">
        <f t="shared" si="15"/>
        <v>2628900.8035394698</v>
      </c>
      <c r="M31" s="54">
        <f t="shared" si="15"/>
        <v>2697792.8276456534</v>
      </c>
      <c r="N31" s="54">
        <f t="shared" si="15"/>
        <v>2768751.6124750236</v>
      </c>
      <c r="O31" s="54">
        <f t="shared" si="15"/>
        <v>2509339.1608492741</v>
      </c>
      <c r="P31" s="54">
        <f t="shared" si="15"/>
        <v>2584619.3356747515</v>
      </c>
      <c r="Q31" s="54">
        <f t="shared" si="15"/>
        <v>2662157.9157449943</v>
      </c>
      <c r="R31" s="54">
        <f t="shared" si="15"/>
        <v>2742022.6532173445</v>
      </c>
      <c r="S31" s="54">
        <f t="shared" si="15"/>
        <v>2824283.332813865</v>
      </c>
      <c r="T31" s="54">
        <f t="shared" si="15"/>
        <v>2909011.8327982808</v>
      </c>
      <c r="U31" s="54">
        <f t="shared" si="15"/>
        <v>2996282.1877822289</v>
      </c>
      <c r="V31" s="54">
        <f t="shared" si="15"/>
        <v>3086170.6534156958</v>
      </c>
      <c r="W31" s="54">
        <f t="shared" si="15"/>
        <v>3178755.7730181674</v>
      </c>
      <c r="X31" s="54">
        <f t="shared" si="15"/>
        <v>3274118.4462087117</v>
      </c>
      <c r="Y31" s="54">
        <f t="shared" si="15"/>
        <v>3372341.9995949725</v>
      </c>
      <c r="Z31" s="54">
        <f t="shared" si="15"/>
        <v>3473512.2595828222</v>
      </c>
      <c r="AA31" s="54">
        <f t="shared" si="15"/>
        <v>-1049948.0239193533</v>
      </c>
      <c r="AB31" s="54">
        <f t="shared" si="15"/>
        <v>-2162892.9292738675</v>
      </c>
      <c r="AC31" s="54">
        <f t="shared" si="15"/>
        <v>-2227779.7171520833</v>
      </c>
      <c r="AD31" s="54">
        <f t="shared" si="15"/>
        <v>0</v>
      </c>
      <c r="AE31" s="54">
        <f t="shared" si="15"/>
        <v>0</v>
      </c>
      <c r="AF31" s="54">
        <f t="shared" si="15"/>
        <v>0</v>
      </c>
    </row>
    <row r="32" spans="2:32" s="50" customFormat="1" ht="18.600000000000001" customHeight="1" x14ac:dyDescent="0.3">
      <c r="B32" s="61" t="s">
        <v>78</v>
      </c>
      <c r="C32" s="62"/>
      <c r="D32" s="57">
        <f t="shared" ref="D32:AF32" si="16">Post_Tax_Net_Cash_Flow_Undiscounted/((one_plus_discount_rate)^Year)</f>
        <v>-6650000</v>
      </c>
      <c r="E32" s="57">
        <f t="shared" si="16"/>
        <v>-3171064.8148148148</v>
      </c>
      <c r="F32" s="57">
        <f t="shared" si="16"/>
        <v>-3024256.2585733877</v>
      </c>
      <c r="G32" s="57">
        <f t="shared" si="16"/>
        <v>1836447.9385764357</v>
      </c>
      <c r="H32" s="57">
        <f t="shared" si="16"/>
        <v>1744095.277897734</v>
      </c>
      <c r="I32" s="57">
        <f t="shared" si="16"/>
        <v>1656561.3087527973</v>
      </c>
      <c r="J32" s="57">
        <f t="shared" si="16"/>
        <v>1573582.7135416383</v>
      </c>
      <c r="K32" s="57">
        <f t="shared" si="16"/>
        <v>1494911.3452960451</v>
      </c>
      <c r="L32" s="57">
        <f t="shared" si="16"/>
        <v>1420313.3045946171</v>
      </c>
      <c r="M32" s="57">
        <f t="shared" si="16"/>
        <v>1349568.0755643963</v>
      </c>
      <c r="N32" s="57">
        <f t="shared" si="16"/>
        <v>1282467.7170224001</v>
      </c>
      <c r="O32" s="57">
        <f t="shared" si="16"/>
        <v>1076212.5543530276</v>
      </c>
      <c r="P32" s="57">
        <f t="shared" si="16"/>
        <v>1026387.8990589055</v>
      </c>
      <c r="Q32" s="57">
        <f t="shared" si="16"/>
        <v>978869.94076914154</v>
      </c>
      <c r="R32" s="57">
        <f t="shared" si="16"/>
        <v>933551.88795575534</v>
      </c>
      <c r="S32" s="57">
        <f t="shared" si="16"/>
        <v>890331.89314298879</v>
      </c>
      <c r="T32" s="57">
        <f t="shared" si="16"/>
        <v>849112.82401599863</v>
      </c>
      <c r="U32" s="57">
        <f t="shared" si="16"/>
        <v>809802.04512636887</v>
      </c>
      <c r="V32" s="57">
        <f t="shared" si="16"/>
        <v>772311.20970385172</v>
      </c>
      <c r="W32" s="57">
        <f t="shared" si="16"/>
        <v>736556.06110645132</v>
      </c>
      <c r="X32" s="57">
        <f t="shared" si="16"/>
        <v>702456.24346263404</v>
      </c>
      <c r="Y32" s="57">
        <f t="shared" si="16"/>
        <v>669935.12108010449</v>
      </c>
      <c r="Z32" s="57">
        <f t="shared" si="16"/>
        <v>638919.6062152849</v>
      </c>
      <c r="AA32" s="57">
        <f t="shared" si="16"/>
        <v>-178822.19618399179</v>
      </c>
      <c r="AB32" s="57">
        <f t="shared" si="16"/>
        <v>-341086.78161020653</v>
      </c>
      <c r="AC32" s="57">
        <f t="shared" si="16"/>
        <v>-325295.72690603021</v>
      </c>
      <c r="AD32" s="57">
        <f t="shared" si="16"/>
        <v>0</v>
      </c>
      <c r="AE32" s="57">
        <f t="shared" si="16"/>
        <v>0</v>
      </c>
      <c r="AF32" s="57">
        <f t="shared" si="16"/>
        <v>0</v>
      </c>
    </row>
    <row r="33" spans="2:33" ht="18.600000000000001" customHeight="1" x14ac:dyDescent="0.3">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row>
    <row r="34" spans="2:33" ht="18.600000000000001" customHeight="1" thickBot="1" x14ac:dyDescent="0.35">
      <c r="B34" s="63" t="s">
        <v>39</v>
      </c>
      <c r="C34" s="64"/>
      <c r="D34" s="58"/>
      <c r="E34" s="58"/>
      <c r="F34" s="58"/>
      <c r="G34" s="58"/>
      <c r="H34" s="58"/>
      <c r="I34" s="58"/>
      <c r="J34" s="58"/>
      <c r="K34" s="58"/>
      <c r="L34" s="58"/>
      <c r="M34" s="58"/>
      <c r="N34" s="58"/>
      <c r="O34" s="58"/>
      <c r="P34" s="58"/>
      <c r="Q34" s="58"/>
      <c r="R34" s="58"/>
      <c r="S34" s="58"/>
      <c r="T34" s="58"/>
      <c r="U34" s="58"/>
      <c r="V34" s="58"/>
      <c r="W34" s="58"/>
      <c r="X34" s="58"/>
      <c r="Y34" s="58"/>
      <c r="Z34" s="58"/>
      <c r="AA34" s="58"/>
      <c r="AB34" s="58"/>
      <c r="AC34" s="58"/>
      <c r="AD34" s="58"/>
      <c r="AE34" s="58"/>
      <c r="AF34" s="58"/>
    </row>
    <row r="35" spans="2:33" ht="18.600000000000001" customHeight="1" thickTop="1" x14ac:dyDescent="0.3">
      <c r="B35" s="50" t="s">
        <v>90</v>
      </c>
      <c r="C35" s="51"/>
      <c r="D35" s="54">
        <f>SUM(Post_Tax_Net_Cash_Flow_Undiscounted todate)</f>
        <v>-6650000</v>
      </c>
      <c r="E35" s="54">
        <f>SUM(Post_Tax_Net_Cash_Flow_Undiscounted todate)</f>
        <v>-10074750</v>
      </c>
      <c r="F35" s="54">
        <f>SUM(Post_Tax_Net_Cash_Flow_Undiscounted todate)</f>
        <v>-13602242.5</v>
      </c>
      <c r="G35" s="54">
        <f>SUM(Post_Tax_Net_Cash_Flow_Undiscounted todate)</f>
        <v>-11288846.9944</v>
      </c>
      <c r="H35" s="54">
        <f>SUM(Post_Tax_Net_Cash_Flow_Undiscounted todate)</f>
        <v>-8916024.6236320008</v>
      </c>
      <c r="I35" s="54">
        <f>SUM(Post_Tax_Net_Cash_Flow_Undiscounted todate)</f>
        <v>-6481992.5817409614</v>
      </c>
      <c r="J35" s="54">
        <f>SUM(Post_Tax_Net_Cash_Flow_Undiscounted todate)</f>
        <v>-3984914.5785931908</v>
      </c>
      <c r="K35" s="54">
        <f>SUM(Post_Tax_Net_Cash_Flow_Undiscounted todate)</f>
        <v>-1422899.2353509869</v>
      </c>
      <c r="L35" s="54">
        <f>SUM(Post_Tax_Net_Cash_Flow_Undiscounted todate)</f>
        <v>1206001.5681884829</v>
      </c>
      <c r="M35" s="54">
        <f>SUM(Post_Tax_Net_Cash_Flow_Undiscounted todate)</f>
        <v>3903794.3958341363</v>
      </c>
      <c r="N35" s="54">
        <f>SUM(Post_Tax_Net_Cash_Flow_Undiscounted todate)</f>
        <v>6672546.0083091594</v>
      </c>
      <c r="O35" s="54">
        <f>SUM(Post_Tax_Net_Cash_Flow_Undiscounted todate)</f>
        <v>9181885.1691584326</v>
      </c>
      <c r="P35" s="54">
        <f>SUM(Post_Tax_Net_Cash_Flow_Undiscounted todate)</f>
        <v>11766504.504833184</v>
      </c>
      <c r="Q35" s="54">
        <f>SUM(Post_Tax_Net_Cash_Flow_Undiscounted todate)</f>
        <v>14428662.420578178</v>
      </c>
      <c r="R35" s="54">
        <f>SUM(Post_Tax_Net_Cash_Flow_Undiscounted todate)</f>
        <v>17170685.073795523</v>
      </c>
      <c r="S35" s="54">
        <f>SUM(Post_Tax_Net_Cash_Flow_Undiscounted todate)</f>
        <v>19994968.40660939</v>
      </c>
      <c r="T35" s="54">
        <f>SUM(Post_Tax_Net_Cash_Flow_Undiscounted todate)</f>
        <v>22903980.23940767</v>
      </c>
      <c r="U35" s="54">
        <f>SUM(Post_Tax_Net_Cash_Flow_Undiscounted todate)</f>
        <v>25900262.427189898</v>
      </c>
      <c r="V35" s="54">
        <f>SUM(Post_Tax_Net_Cash_Flow_Undiscounted todate)</f>
        <v>28986433.080605593</v>
      </c>
      <c r="W35" s="54">
        <f>SUM(Post_Tax_Net_Cash_Flow_Undiscounted todate)</f>
        <v>32165188.853623759</v>
      </c>
      <c r="X35" s="54">
        <f>SUM(Post_Tax_Net_Cash_Flow_Undiscounted todate)</f>
        <v>35439307.299832471</v>
      </c>
      <c r="Y35" s="54">
        <f>SUM(Post_Tax_Net_Cash_Flow_Undiscounted todate)</f>
        <v>38811649.299427442</v>
      </c>
      <c r="Z35" s="54">
        <f>SUM(Post_Tax_Net_Cash_Flow_Undiscounted todate)</f>
        <v>42285161.559010267</v>
      </c>
      <c r="AA35" s="54">
        <f>SUM(Post_Tax_Net_Cash_Flow_Undiscounted todate)</f>
        <v>41235213.535090916</v>
      </c>
      <c r="AB35" s="54">
        <f>SUM(Post_Tax_Net_Cash_Flow_Undiscounted todate)</f>
        <v>39072320.60581705</v>
      </c>
      <c r="AC35" s="54">
        <f>SUM(Post_Tax_Net_Cash_Flow_Undiscounted todate)</f>
        <v>36844540.888664968</v>
      </c>
      <c r="AD35" s="54">
        <f>SUM(Post_Tax_Net_Cash_Flow_Undiscounted todate)</f>
        <v>36844540.888664968</v>
      </c>
      <c r="AE35" s="54">
        <f>SUM(Post_Tax_Net_Cash_Flow_Undiscounted todate)</f>
        <v>36844540.888664968</v>
      </c>
      <c r="AF35" s="54">
        <f>SUM(Post_Tax_Net_Cash_Flow_Undiscounted todate)</f>
        <v>36844540.888664968</v>
      </c>
    </row>
    <row r="36" spans="2:33" ht="18.600000000000001" customHeight="1" x14ac:dyDescent="0.3">
      <c r="B36" s="55" t="s">
        <v>91</v>
      </c>
      <c r="C36" s="56"/>
      <c r="D36" s="57">
        <f>SUM(Post_Tax_Net_Cash_Flow_Discounted todate)</f>
        <v>-6650000</v>
      </c>
      <c r="E36" s="57">
        <f>SUM(Post_Tax_Net_Cash_Flow_Discounted todate)</f>
        <v>-9821064.8148148153</v>
      </c>
      <c r="F36" s="57">
        <f>SUM(Post_Tax_Net_Cash_Flow_Discounted todate)</f>
        <v>-12845321.073388204</v>
      </c>
      <c r="G36" s="57">
        <f>SUM(Post_Tax_Net_Cash_Flow_Discounted todate)</f>
        <v>-11008873.134811768</v>
      </c>
      <c r="H36" s="57">
        <f>SUM(Post_Tax_Net_Cash_Flow_Discounted todate)</f>
        <v>-9264777.8569140341</v>
      </c>
      <c r="I36" s="57">
        <f>SUM(Post_Tax_Net_Cash_Flow_Discounted todate)</f>
        <v>-7608216.5481612366</v>
      </c>
      <c r="J36" s="57">
        <f>SUM(Post_Tax_Net_Cash_Flow_Discounted todate)</f>
        <v>-6034633.8346195985</v>
      </c>
      <c r="K36" s="57">
        <f>SUM(Post_Tax_Net_Cash_Flow_Discounted todate)</f>
        <v>-4539722.4893235536</v>
      </c>
      <c r="L36" s="57">
        <f>SUM(Post_Tax_Net_Cash_Flow_Discounted todate)</f>
        <v>-3119409.1847289363</v>
      </c>
      <c r="M36" s="57">
        <f>SUM(Post_Tax_Net_Cash_Flow_Discounted todate)</f>
        <v>-1769841.10916454</v>
      </c>
      <c r="N36" s="57">
        <f>SUM(Post_Tax_Net_Cash_Flow_Discounted todate)</f>
        <v>-487373.39214213984</v>
      </c>
      <c r="O36" s="57">
        <f>SUM(Post_Tax_Net_Cash_Flow_Discounted todate)</f>
        <v>588839.16221088776</v>
      </c>
      <c r="P36" s="57">
        <f>SUM(Post_Tax_Net_Cash_Flow_Discounted todate)</f>
        <v>1615227.0612697932</v>
      </c>
      <c r="Q36" s="57">
        <f>SUM(Post_Tax_Net_Cash_Flow_Discounted todate)</f>
        <v>2594097.0020389347</v>
      </c>
      <c r="R36" s="57">
        <f>SUM(Post_Tax_Net_Cash_Flow_Discounted todate)</f>
        <v>3527648.8899946902</v>
      </c>
      <c r="S36" s="57">
        <f>SUM(Post_Tax_Net_Cash_Flow_Discounted todate)</f>
        <v>4417980.7831376791</v>
      </c>
      <c r="T36" s="57">
        <f>SUM(Post_Tax_Net_Cash_Flow_Discounted todate)</f>
        <v>5267093.6071536774</v>
      </c>
      <c r="U36" s="57">
        <f>SUM(Post_Tax_Net_Cash_Flow_Discounted todate)</f>
        <v>6076895.6522800466</v>
      </c>
      <c r="V36" s="57">
        <f>SUM(Post_Tax_Net_Cash_Flow_Discounted todate)</f>
        <v>6849206.8619838981</v>
      </c>
      <c r="W36" s="57">
        <f>SUM(Post_Tax_Net_Cash_Flow_Discounted todate)</f>
        <v>7585762.9230903499</v>
      </c>
      <c r="X36" s="57">
        <f>SUM(Post_Tax_Net_Cash_Flow_Discounted todate)</f>
        <v>8288219.1665529842</v>
      </c>
      <c r="Y36" s="57">
        <f>SUM(Post_Tax_Net_Cash_Flow_Discounted todate)</f>
        <v>8958154.2876330893</v>
      </c>
      <c r="Z36" s="57">
        <f>SUM(Post_Tax_Net_Cash_Flow_Discounted todate)</f>
        <v>9597073.8938483745</v>
      </c>
      <c r="AA36" s="57">
        <f>SUM(Post_Tax_Net_Cash_Flow_Discounted todate)</f>
        <v>9418251.6976643819</v>
      </c>
      <c r="AB36" s="57">
        <f>SUM(Post_Tax_Net_Cash_Flow_Discounted todate)</f>
        <v>9077164.9160541762</v>
      </c>
      <c r="AC36" s="57">
        <f>SUM(Post_Tax_Net_Cash_Flow_Discounted todate)</f>
        <v>8751869.1891481467</v>
      </c>
      <c r="AD36" s="57">
        <f>SUM(Post_Tax_Net_Cash_Flow_Discounted todate)</f>
        <v>8751869.1891481467</v>
      </c>
      <c r="AE36" s="57">
        <f>SUM(Post_Tax_Net_Cash_Flow_Discounted todate)</f>
        <v>8751869.1891481467</v>
      </c>
      <c r="AF36" s="57">
        <f>SUM(Post_Tax_Net_Cash_Flow_Discounted todate)</f>
        <v>8751869.1891481467</v>
      </c>
    </row>
    <row r="37" spans="2:33" ht="18.600000000000001" customHeight="1" x14ac:dyDescent="0.3">
      <c r="B37" s="50" t="s">
        <v>81</v>
      </c>
      <c r="C37" s="51"/>
      <c r="D37" s="51">
        <f t="shared" ref="D37:AF37" si="17">IF(Cumulative_Net_Cash_Flow_Undiscounted&gt;0,1,0)</f>
        <v>0</v>
      </c>
      <c r="E37" s="51">
        <f t="shared" si="17"/>
        <v>0</v>
      </c>
      <c r="F37" s="51">
        <f t="shared" si="17"/>
        <v>0</v>
      </c>
      <c r="G37" s="51">
        <f t="shared" si="17"/>
        <v>0</v>
      </c>
      <c r="H37" s="51">
        <f t="shared" si="17"/>
        <v>0</v>
      </c>
      <c r="I37" s="51">
        <f t="shared" si="17"/>
        <v>0</v>
      </c>
      <c r="J37" s="51">
        <f t="shared" si="17"/>
        <v>0</v>
      </c>
      <c r="K37" s="51">
        <f t="shared" si="17"/>
        <v>0</v>
      </c>
      <c r="L37" s="51">
        <f t="shared" si="17"/>
        <v>1</v>
      </c>
      <c r="M37" s="51">
        <f t="shared" si="17"/>
        <v>1</v>
      </c>
      <c r="N37" s="51">
        <f t="shared" si="17"/>
        <v>1</v>
      </c>
      <c r="O37" s="51">
        <f t="shared" si="17"/>
        <v>1</v>
      </c>
      <c r="P37" s="51">
        <f t="shared" si="17"/>
        <v>1</v>
      </c>
      <c r="Q37" s="51">
        <f t="shared" si="17"/>
        <v>1</v>
      </c>
      <c r="R37" s="51">
        <f t="shared" si="17"/>
        <v>1</v>
      </c>
      <c r="S37" s="51">
        <f t="shared" si="17"/>
        <v>1</v>
      </c>
      <c r="T37" s="51">
        <f t="shared" si="17"/>
        <v>1</v>
      </c>
      <c r="U37" s="51">
        <f t="shared" si="17"/>
        <v>1</v>
      </c>
      <c r="V37" s="51">
        <f t="shared" si="17"/>
        <v>1</v>
      </c>
      <c r="W37" s="51">
        <f t="shared" si="17"/>
        <v>1</v>
      </c>
      <c r="X37" s="51">
        <f t="shared" si="17"/>
        <v>1</v>
      </c>
      <c r="Y37" s="51">
        <f t="shared" si="17"/>
        <v>1</v>
      </c>
      <c r="Z37" s="51">
        <f t="shared" si="17"/>
        <v>1</v>
      </c>
      <c r="AA37" s="51">
        <f t="shared" si="17"/>
        <v>1</v>
      </c>
      <c r="AB37" s="51">
        <f t="shared" si="17"/>
        <v>1</v>
      </c>
      <c r="AC37" s="51">
        <f t="shared" si="17"/>
        <v>1</v>
      </c>
      <c r="AD37" s="51">
        <f t="shared" si="17"/>
        <v>1</v>
      </c>
      <c r="AE37" s="51">
        <f t="shared" si="17"/>
        <v>1</v>
      </c>
      <c r="AF37" s="51">
        <f t="shared" si="17"/>
        <v>1</v>
      </c>
    </row>
    <row r="38" spans="2:33" ht="18.600000000000001" customHeight="1" x14ac:dyDescent="0.3">
      <c r="B38" s="50" t="s">
        <v>82</v>
      </c>
      <c r="C38" s="51"/>
      <c r="D38" s="51"/>
      <c r="E38" s="51" cm="1">
        <f t="array" ref="E38">Cumulative_Net_Cash_Flow_Positive_Indicator lag</f>
        <v>0</v>
      </c>
      <c r="F38" s="51" cm="1">
        <f t="array" ref="F38">Cumulative_Net_Cash_Flow_Positive_Indicator lag</f>
        <v>0</v>
      </c>
      <c r="G38" s="51" cm="1">
        <f t="array" ref="G38">Cumulative_Net_Cash_Flow_Positive_Indicator lag</f>
        <v>0</v>
      </c>
      <c r="H38" s="51" cm="1">
        <f t="array" ref="H38">Cumulative_Net_Cash_Flow_Positive_Indicator lag</f>
        <v>0</v>
      </c>
      <c r="I38" s="51" cm="1">
        <f t="array" ref="I38">Cumulative_Net_Cash_Flow_Positive_Indicator lag</f>
        <v>0</v>
      </c>
      <c r="J38" s="51" cm="1">
        <f t="array" ref="J38">Cumulative_Net_Cash_Flow_Positive_Indicator lag</f>
        <v>0</v>
      </c>
      <c r="K38" s="51" cm="1">
        <f t="array" ref="K38">Cumulative_Net_Cash_Flow_Positive_Indicator lag</f>
        <v>0</v>
      </c>
      <c r="L38" s="51" cm="1">
        <f t="array" ref="L38">Cumulative_Net_Cash_Flow_Positive_Indicator lag</f>
        <v>0</v>
      </c>
      <c r="M38" s="51" cm="1">
        <f t="array" ref="M38">Cumulative_Net_Cash_Flow_Positive_Indicator lag</f>
        <v>1</v>
      </c>
      <c r="N38" s="51" cm="1">
        <f t="array" ref="N38">Cumulative_Net_Cash_Flow_Positive_Indicator lag</f>
        <v>1</v>
      </c>
      <c r="O38" s="51" cm="1">
        <f t="array" ref="O38">Cumulative_Net_Cash_Flow_Positive_Indicator lag</f>
        <v>1</v>
      </c>
      <c r="P38" s="51" cm="1">
        <f t="array" ref="P38">Cumulative_Net_Cash_Flow_Positive_Indicator lag</f>
        <v>1</v>
      </c>
      <c r="Q38" s="51" cm="1">
        <f t="array" ref="Q38">Cumulative_Net_Cash_Flow_Positive_Indicator lag</f>
        <v>1</v>
      </c>
      <c r="R38" s="51" cm="1">
        <f t="array" ref="R38">Cumulative_Net_Cash_Flow_Positive_Indicator lag</f>
        <v>1</v>
      </c>
      <c r="S38" s="51" cm="1">
        <f t="array" ref="S38">Cumulative_Net_Cash_Flow_Positive_Indicator lag</f>
        <v>1</v>
      </c>
      <c r="T38" s="51" cm="1">
        <f t="array" ref="T38">Cumulative_Net_Cash_Flow_Positive_Indicator lag</f>
        <v>1</v>
      </c>
      <c r="U38" s="51" cm="1">
        <f t="array" ref="U38">Cumulative_Net_Cash_Flow_Positive_Indicator lag</f>
        <v>1</v>
      </c>
      <c r="V38" s="51" cm="1">
        <f t="array" ref="V38">Cumulative_Net_Cash_Flow_Positive_Indicator lag</f>
        <v>1</v>
      </c>
      <c r="W38" s="51" cm="1">
        <f t="array" ref="W38">Cumulative_Net_Cash_Flow_Positive_Indicator lag</f>
        <v>1</v>
      </c>
      <c r="X38" s="51" cm="1">
        <f t="array" ref="X38">Cumulative_Net_Cash_Flow_Positive_Indicator lag</f>
        <v>1</v>
      </c>
      <c r="Y38" s="51" cm="1">
        <f t="array" ref="Y38">Cumulative_Net_Cash_Flow_Positive_Indicator lag</f>
        <v>1</v>
      </c>
      <c r="Z38" s="51" cm="1">
        <f t="array" ref="Z38">Cumulative_Net_Cash_Flow_Positive_Indicator lag</f>
        <v>1</v>
      </c>
      <c r="AA38" s="51" cm="1">
        <f t="array" ref="AA38">Cumulative_Net_Cash_Flow_Positive_Indicator lag</f>
        <v>1</v>
      </c>
      <c r="AB38" s="51" cm="1">
        <f t="array" ref="AB38">Cumulative_Net_Cash_Flow_Positive_Indicator lag</f>
        <v>1</v>
      </c>
      <c r="AC38" s="51" cm="1">
        <f t="array" ref="AC38">Cumulative_Net_Cash_Flow_Positive_Indicator lag</f>
        <v>1</v>
      </c>
      <c r="AD38" s="51" cm="1">
        <f t="array" ref="AD38">Cumulative_Net_Cash_Flow_Positive_Indicator lag</f>
        <v>1</v>
      </c>
      <c r="AE38" s="51" cm="1">
        <f t="array" ref="AE38">Cumulative_Net_Cash_Flow_Positive_Indicator lag</f>
        <v>1</v>
      </c>
      <c r="AF38" s="51" cm="1">
        <f t="array" ref="AF38">Cumulative_Net_Cash_Flow_Positive_Indicator lag</f>
        <v>1</v>
      </c>
    </row>
    <row r="39" spans="2:33" ht="18.600000000000001" customHeight="1" x14ac:dyDescent="0.3">
      <c r="B39" s="50" t="s">
        <v>80</v>
      </c>
      <c r="C39" s="51"/>
      <c r="D39" s="51">
        <f t="shared" ref="D39:AF39" si="18">(Cumulative_Net_Cash_Flow_Positive_Indicator-Lagged_Cumulative_Net_Cash_Flow_Positive_Indicator)*Year</f>
        <v>0</v>
      </c>
      <c r="E39" s="51">
        <f t="shared" si="18"/>
        <v>0</v>
      </c>
      <c r="F39" s="51">
        <f t="shared" si="18"/>
        <v>0</v>
      </c>
      <c r="G39" s="51">
        <f t="shared" si="18"/>
        <v>0</v>
      </c>
      <c r="H39" s="51">
        <f t="shared" si="18"/>
        <v>0</v>
      </c>
      <c r="I39" s="51">
        <f t="shared" si="18"/>
        <v>0</v>
      </c>
      <c r="J39" s="51">
        <f t="shared" si="18"/>
        <v>0</v>
      </c>
      <c r="K39" s="51">
        <f t="shared" si="18"/>
        <v>0</v>
      </c>
      <c r="L39" s="51">
        <f t="shared" si="18"/>
        <v>8</v>
      </c>
      <c r="M39" s="51">
        <f t="shared" si="18"/>
        <v>0</v>
      </c>
      <c r="N39" s="51">
        <f t="shared" si="18"/>
        <v>0</v>
      </c>
      <c r="O39" s="51">
        <f t="shared" si="18"/>
        <v>0</v>
      </c>
      <c r="P39" s="51">
        <f t="shared" si="18"/>
        <v>0</v>
      </c>
      <c r="Q39" s="51">
        <f t="shared" si="18"/>
        <v>0</v>
      </c>
      <c r="R39" s="51">
        <f t="shared" si="18"/>
        <v>0</v>
      </c>
      <c r="S39" s="51">
        <f t="shared" si="18"/>
        <v>0</v>
      </c>
      <c r="T39" s="51">
        <f t="shared" si="18"/>
        <v>0</v>
      </c>
      <c r="U39" s="51">
        <f t="shared" si="18"/>
        <v>0</v>
      </c>
      <c r="V39" s="51">
        <f t="shared" si="18"/>
        <v>0</v>
      </c>
      <c r="W39" s="51">
        <f t="shared" si="18"/>
        <v>0</v>
      </c>
      <c r="X39" s="51">
        <f t="shared" si="18"/>
        <v>0</v>
      </c>
      <c r="Y39" s="51">
        <f t="shared" si="18"/>
        <v>0</v>
      </c>
      <c r="Z39" s="51">
        <f t="shared" si="18"/>
        <v>0</v>
      </c>
      <c r="AA39" s="51">
        <f t="shared" si="18"/>
        <v>0</v>
      </c>
      <c r="AB39" s="51">
        <f t="shared" si="18"/>
        <v>0</v>
      </c>
      <c r="AC39" s="51">
        <f t="shared" si="18"/>
        <v>0</v>
      </c>
      <c r="AD39" s="51">
        <f t="shared" si="18"/>
        <v>0</v>
      </c>
      <c r="AE39" s="51">
        <f t="shared" si="18"/>
        <v>0</v>
      </c>
      <c r="AF39" s="51">
        <f t="shared" si="18"/>
        <v>0</v>
      </c>
    </row>
    <row r="40" spans="2:33" ht="18.600000000000001" customHeight="1" x14ac:dyDescent="0.3">
      <c r="B40" s="50" t="s">
        <v>83</v>
      </c>
      <c r="C40" s="51"/>
      <c r="D40" s="41">
        <f t="shared" ref="D40:AF40" si="19">IF(Cumulative_Net_Cash_Flow_Discounted&gt;0,1,0)</f>
        <v>0</v>
      </c>
      <c r="E40" s="41">
        <f t="shared" si="19"/>
        <v>0</v>
      </c>
      <c r="F40" s="41">
        <f t="shared" si="19"/>
        <v>0</v>
      </c>
      <c r="G40" s="41">
        <f t="shared" si="19"/>
        <v>0</v>
      </c>
      <c r="H40" s="41">
        <f t="shared" si="19"/>
        <v>0</v>
      </c>
      <c r="I40" s="41">
        <f t="shared" si="19"/>
        <v>0</v>
      </c>
      <c r="J40" s="41">
        <f t="shared" si="19"/>
        <v>0</v>
      </c>
      <c r="K40" s="41">
        <f t="shared" si="19"/>
        <v>0</v>
      </c>
      <c r="L40" s="41">
        <f t="shared" si="19"/>
        <v>0</v>
      </c>
      <c r="M40" s="41">
        <f t="shared" si="19"/>
        <v>0</v>
      </c>
      <c r="N40" s="41">
        <f t="shared" si="19"/>
        <v>0</v>
      </c>
      <c r="O40" s="41">
        <f t="shared" si="19"/>
        <v>1</v>
      </c>
      <c r="P40" s="41">
        <f t="shared" si="19"/>
        <v>1</v>
      </c>
      <c r="Q40" s="41">
        <f t="shared" si="19"/>
        <v>1</v>
      </c>
      <c r="R40" s="41">
        <f t="shared" si="19"/>
        <v>1</v>
      </c>
      <c r="S40" s="41">
        <f t="shared" si="19"/>
        <v>1</v>
      </c>
      <c r="T40" s="41">
        <f t="shared" si="19"/>
        <v>1</v>
      </c>
      <c r="U40" s="41">
        <f t="shared" si="19"/>
        <v>1</v>
      </c>
      <c r="V40" s="41">
        <f t="shared" si="19"/>
        <v>1</v>
      </c>
      <c r="W40" s="41">
        <f t="shared" si="19"/>
        <v>1</v>
      </c>
      <c r="X40" s="41">
        <f t="shared" si="19"/>
        <v>1</v>
      </c>
      <c r="Y40" s="41">
        <f t="shared" si="19"/>
        <v>1</v>
      </c>
      <c r="Z40" s="41">
        <f t="shared" si="19"/>
        <v>1</v>
      </c>
      <c r="AA40" s="41">
        <f t="shared" si="19"/>
        <v>1</v>
      </c>
      <c r="AB40" s="41">
        <f t="shared" si="19"/>
        <v>1</v>
      </c>
      <c r="AC40" s="41">
        <f t="shared" si="19"/>
        <v>1</v>
      </c>
      <c r="AD40" s="41">
        <f t="shared" si="19"/>
        <v>1</v>
      </c>
      <c r="AE40" s="41">
        <f t="shared" si="19"/>
        <v>1</v>
      </c>
      <c r="AF40" s="41">
        <f t="shared" si="19"/>
        <v>1</v>
      </c>
    </row>
    <row r="41" spans="2:33" ht="18.600000000000001" customHeight="1" x14ac:dyDescent="0.3">
      <c r="B41" s="50" t="s">
        <v>84</v>
      </c>
      <c r="C41" s="51"/>
      <c r="E41" s="51" cm="1">
        <f t="array" ref="E41">Cumulative_Net_Cash_Flow_Discounted_Positive_Indicator lag</f>
        <v>0</v>
      </c>
      <c r="F41" s="51" cm="1">
        <f t="array" ref="F41">Cumulative_Net_Cash_Flow_Discounted_Positive_Indicator lag</f>
        <v>0</v>
      </c>
      <c r="G41" s="51" cm="1">
        <f t="array" ref="G41">Cumulative_Net_Cash_Flow_Discounted_Positive_Indicator lag</f>
        <v>0</v>
      </c>
      <c r="H41" s="51" cm="1">
        <f t="array" ref="H41">Cumulative_Net_Cash_Flow_Discounted_Positive_Indicator lag</f>
        <v>0</v>
      </c>
      <c r="I41" s="51" cm="1">
        <f t="array" ref="I41">Cumulative_Net_Cash_Flow_Discounted_Positive_Indicator lag</f>
        <v>0</v>
      </c>
      <c r="J41" s="51" cm="1">
        <f t="array" ref="J41">Cumulative_Net_Cash_Flow_Discounted_Positive_Indicator lag</f>
        <v>0</v>
      </c>
      <c r="K41" s="51" cm="1">
        <f t="array" ref="K41">Cumulative_Net_Cash_Flow_Discounted_Positive_Indicator lag</f>
        <v>0</v>
      </c>
      <c r="L41" s="51" cm="1">
        <f t="array" ref="L41">Cumulative_Net_Cash_Flow_Discounted_Positive_Indicator lag</f>
        <v>0</v>
      </c>
      <c r="M41" s="51" cm="1">
        <f t="array" ref="M41">Cumulative_Net_Cash_Flow_Discounted_Positive_Indicator lag</f>
        <v>0</v>
      </c>
      <c r="N41" s="51" cm="1">
        <f t="array" ref="N41">Cumulative_Net_Cash_Flow_Discounted_Positive_Indicator lag</f>
        <v>0</v>
      </c>
      <c r="O41" s="51" cm="1">
        <f t="array" ref="O41">Cumulative_Net_Cash_Flow_Discounted_Positive_Indicator lag</f>
        <v>0</v>
      </c>
      <c r="P41" s="51" cm="1">
        <f t="array" ref="P41">Cumulative_Net_Cash_Flow_Discounted_Positive_Indicator lag</f>
        <v>1</v>
      </c>
      <c r="Q41" s="51" cm="1">
        <f t="array" ref="Q41">Cumulative_Net_Cash_Flow_Discounted_Positive_Indicator lag</f>
        <v>1</v>
      </c>
      <c r="R41" s="51" cm="1">
        <f t="array" ref="R41">Cumulative_Net_Cash_Flow_Discounted_Positive_Indicator lag</f>
        <v>1</v>
      </c>
      <c r="S41" s="51" cm="1">
        <f t="array" ref="S41">Cumulative_Net_Cash_Flow_Discounted_Positive_Indicator lag</f>
        <v>1</v>
      </c>
      <c r="T41" s="51" cm="1">
        <f t="array" ref="T41">Cumulative_Net_Cash_Flow_Discounted_Positive_Indicator lag</f>
        <v>1</v>
      </c>
      <c r="U41" s="51" cm="1">
        <f t="array" ref="U41">Cumulative_Net_Cash_Flow_Discounted_Positive_Indicator lag</f>
        <v>1</v>
      </c>
      <c r="V41" s="51" cm="1">
        <f t="array" ref="V41">Cumulative_Net_Cash_Flow_Discounted_Positive_Indicator lag</f>
        <v>1</v>
      </c>
      <c r="W41" s="51" cm="1">
        <f t="array" ref="W41">Cumulative_Net_Cash_Flow_Discounted_Positive_Indicator lag</f>
        <v>1</v>
      </c>
      <c r="X41" s="51" cm="1">
        <f t="array" ref="X41">Cumulative_Net_Cash_Flow_Discounted_Positive_Indicator lag</f>
        <v>1</v>
      </c>
      <c r="Y41" s="51" cm="1">
        <f t="array" ref="Y41">Cumulative_Net_Cash_Flow_Discounted_Positive_Indicator lag</f>
        <v>1</v>
      </c>
      <c r="Z41" s="51" cm="1">
        <f t="array" ref="Z41">Cumulative_Net_Cash_Flow_Discounted_Positive_Indicator lag</f>
        <v>1</v>
      </c>
      <c r="AA41" s="51" cm="1">
        <f t="array" ref="AA41">Cumulative_Net_Cash_Flow_Discounted_Positive_Indicator lag</f>
        <v>1</v>
      </c>
      <c r="AB41" s="51" cm="1">
        <f t="array" ref="AB41">Cumulative_Net_Cash_Flow_Discounted_Positive_Indicator lag</f>
        <v>1</v>
      </c>
      <c r="AC41" s="51" cm="1">
        <f t="array" ref="AC41">Cumulative_Net_Cash_Flow_Discounted_Positive_Indicator lag</f>
        <v>1</v>
      </c>
      <c r="AD41" s="51" cm="1">
        <f t="array" ref="AD41">Cumulative_Net_Cash_Flow_Discounted_Positive_Indicator lag</f>
        <v>1</v>
      </c>
      <c r="AE41" s="51" cm="1">
        <f t="array" ref="AE41">Cumulative_Net_Cash_Flow_Discounted_Positive_Indicator lag</f>
        <v>1</v>
      </c>
      <c r="AF41" s="51" cm="1">
        <f t="array" ref="AF41">Cumulative_Net_Cash_Flow_Discounted_Positive_Indicator lag</f>
        <v>1</v>
      </c>
    </row>
    <row r="42" spans="2:33" ht="18.600000000000001" customHeight="1" x14ac:dyDescent="0.3">
      <c r="B42" s="59" t="s">
        <v>85</v>
      </c>
      <c r="C42" s="60"/>
      <c r="D42" s="60">
        <f t="shared" ref="D42:AF42" si="20">(Cumulative_Net_Cash_Flow_Discounted_Positive_Indicator-Lagged_Cumulative_Net_Cash_Flow_Discounted_Positive_Indicator)*Year</f>
        <v>0</v>
      </c>
      <c r="E42" s="60">
        <f t="shared" si="20"/>
        <v>0</v>
      </c>
      <c r="F42" s="60">
        <f t="shared" si="20"/>
        <v>0</v>
      </c>
      <c r="G42" s="60">
        <f t="shared" si="20"/>
        <v>0</v>
      </c>
      <c r="H42" s="60">
        <f t="shared" si="20"/>
        <v>0</v>
      </c>
      <c r="I42" s="60">
        <f t="shared" si="20"/>
        <v>0</v>
      </c>
      <c r="J42" s="60">
        <f t="shared" si="20"/>
        <v>0</v>
      </c>
      <c r="K42" s="60">
        <f t="shared" si="20"/>
        <v>0</v>
      </c>
      <c r="L42" s="60">
        <f t="shared" si="20"/>
        <v>0</v>
      </c>
      <c r="M42" s="60">
        <f t="shared" si="20"/>
        <v>0</v>
      </c>
      <c r="N42" s="60">
        <f t="shared" si="20"/>
        <v>0</v>
      </c>
      <c r="O42" s="60">
        <f t="shared" si="20"/>
        <v>11</v>
      </c>
      <c r="P42" s="60">
        <f t="shared" si="20"/>
        <v>0</v>
      </c>
      <c r="Q42" s="60">
        <f t="shared" si="20"/>
        <v>0</v>
      </c>
      <c r="R42" s="60">
        <f t="shared" si="20"/>
        <v>0</v>
      </c>
      <c r="S42" s="60">
        <f t="shared" si="20"/>
        <v>0</v>
      </c>
      <c r="T42" s="60">
        <f t="shared" si="20"/>
        <v>0</v>
      </c>
      <c r="U42" s="60">
        <f t="shared" si="20"/>
        <v>0</v>
      </c>
      <c r="V42" s="60">
        <f t="shared" si="20"/>
        <v>0</v>
      </c>
      <c r="W42" s="60">
        <f t="shared" si="20"/>
        <v>0</v>
      </c>
      <c r="X42" s="60">
        <f t="shared" si="20"/>
        <v>0</v>
      </c>
      <c r="Y42" s="60">
        <f t="shared" si="20"/>
        <v>0</v>
      </c>
      <c r="Z42" s="60">
        <f t="shared" si="20"/>
        <v>0</v>
      </c>
      <c r="AA42" s="60">
        <f t="shared" si="20"/>
        <v>0</v>
      </c>
      <c r="AB42" s="60">
        <f t="shared" si="20"/>
        <v>0</v>
      </c>
      <c r="AC42" s="60">
        <f t="shared" si="20"/>
        <v>0</v>
      </c>
      <c r="AD42" s="60">
        <f t="shared" si="20"/>
        <v>0</v>
      </c>
      <c r="AE42" s="60">
        <f t="shared" si="20"/>
        <v>0</v>
      </c>
      <c r="AF42" s="60">
        <f t="shared" si="20"/>
        <v>0</v>
      </c>
    </row>
    <row r="44" spans="2:33" ht="18.600000000000001" customHeight="1" thickBot="1" x14ac:dyDescent="0.35">
      <c r="B44" s="63" t="s">
        <v>95</v>
      </c>
      <c r="C44" s="64"/>
      <c r="D44" s="58"/>
      <c r="E44" s="58"/>
      <c r="F44" s="58"/>
      <c r="G44" s="58"/>
      <c r="H44" s="58"/>
      <c r="I44" s="58"/>
      <c r="J44" s="58"/>
      <c r="K44" s="58"/>
      <c r="L44" s="58"/>
      <c r="M44" s="58"/>
      <c r="N44" s="58"/>
      <c r="O44" s="58"/>
      <c r="P44" s="58"/>
      <c r="Q44" s="58"/>
      <c r="R44" s="58"/>
      <c r="S44" s="58"/>
      <c r="T44" s="58"/>
      <c r="U44" s="58"/>
      <c r="V44" s="58"/>
      <c r="W44" s="58"/>
      <c r="X44" s="58"/>
      <c r="Y44" s="58"/>
      <c r="Z44" s="58"/>
      <c r="AA44" s="58"/>
      <c r="AB44" s="58"/>
      <c r="AC44" s="58"/>
      <c r="AD44" s="58"/>
      <c r="AE44" s="58"/>
      <c r="AF44" s="58"/>
    </row>
    <row r="45" spans="2:33" ht="18.600000000000001" customHeight="1" thickTop="1" x14ac:dyDescent="0.3">
      <c r="B45" s="38" t="s">
        <v>96</v>
      </c>
      <c r="D45" s="54">
        <f t="shared" ref="D45:AF45" si="21">IFERROR(Total_Expenditure_Discounted,0)</f>
        <v>6650000</v>
      </c>
      <c r="E45" s="54">
        <f t="shared" si="21"/>
        <v>3171064.8148148148</v>
      </c>
      <c r="F45" s="54">
        <f t="shared" si="21"/>
        <v>3024256.2585733877</v>
      </c>
      <c r="G45" s="54">
        <f t="shared" si="21"/>
        <v>693953.53858659742</v>
      </c>
      <c r="H45" s="54">
        <f t="shared" si="21"/>
        <v>661826.059948329</v>
      </c>
      <c r="I45" s="54">
        <f t="shared" si="21"/>
        <v>631185.96458035067</v>
      </c>
      <c r="J45" s="54">
        <f t="shared" si="21"/>
        <v>601964.39214607514</v>
      </c>
      <c r="K45" s="54">
        <f t="shared" si="21"/>
        <v>574095.67028746067</v>
      </c>
      <c r="L45" s="54">
        <f t="shared" si="21"/>
        <v>547517.16703341145</v>
      </c>
      <c r="M45" s="54">
        <f t="shared" si="21"/>
        <v>522169.15004112391</v>
      </c>
      <c r="N45" s="54">
        <f t="shared" si="21"/>
        <v>497994.65235403471</v>
      </c>
      <c r="O45" s="54">
        <f t="shared" si="21"/>
        <v>474939.3443746813</v>
      </c>
      <c r="P45" s="54">
        <f t="shared" si="21"/>
        <v>452951.41176474228</v>
      </c>
      <c r="Q45" s="54">
        <f t="shared" si="21"/>
        <v>431981.43899785605</v>
      </c>
      <c r="R45" s="54">
        <f t="shared" si="21"/>
        <v>411982.29830351082</v>
      </c>
      <c r="S45" s="54">
        <f t="shared" si="21"/>
        <v>392909.04375242238</v>
      </c>
      <c r="T45" s="54">
        <f t="shared" si="21"/>
        <v>374718.81024536572</v>
      </c>
      <c r="U45" s="54">
        <f t="shared" si="21"/>
        <v>357370.71717845066</v>
      </c>
      <c r="V45" s="54">
        <f t="shared" si="21"/>
        <v>340825.77656833717</v>
      </c>
      <c r="W45" s="54">
        <f t="shared" si="21"/>
        <v>325046.8054309141</v>
      </c>
      <c r="X45" s="54">
        <f t="shared" si="21"/>
        <v>309998.34221651993</v>
      </c>
      <c r="Y45" s="54">
        <f t="shared" si="21"/>
        <v>295646.56711390323</v>
      </c>
      <c r="Z45" s="54">
        <f t="shared" si="21"/>
        <v>281959.22604381508</v>
      </c>
      <c r="AA45" s="54">
        <f t="shared" si="21"/>
        <v>178822.19618399179</v>
      </c>
      <c r="AB45" s="54">
        <f t="shared" si="21"/>
        <v>341086.78161020653</v>
      </c>
      <c r="AC45" s="54">
        <f t="shared" si="21"/>
        <v>325295.72690603021</v>
      </c>
      <c r="AD45" s="54">
        <f t="shared" si="21"/>
        <v>0</v>
      </c>
      <c r="AE45" s="54">
        <f t="shared" si="21"/>
        <v>0</v>
      </c>
      <c r="AF45" s="54">
        <f t="shared" si="21"/>
        <v>0</v>
      </c>
      <c r="AG45" s="65"/>
    </row>
    <row r="46" spans="2:33" ht="18.600000000000001" customHeight="1" x14ac:dyDescent="0.3">
      <c r="B46" s="38" t="s">
        <v>97</v>
      </c>
      <c r="D46" s="66">
        <f t="shared" ref="D46:AF46" si="22">IF(OpEx_Perc_Years=0,0,((actual__expected__output_of_all_wind_turbines__mWh_yr/(one_plus_discount_rate^Year)/10^3)))</f>
        <v>0</v>
      </c>
      <c r="E46" s="66">
        <f t="shared" si="22"/>
        <v>0</v>
      </c>
      <c r="F46" s="66">
        <f t="shared" si="22"/>
        <v>0</v>
      </c>
      <c r="G46" s="66">
        <f t="shared" si="22"/>
        <v>48.677793019356798</v>
      </c>
      <c r="H46" s="66">
        <f t="shared" si="22"/>
        <v>45.072030573478507</v>
      </c>
      <c r="I46" s="66">
        <f t="shared" si="22"/>
        <v>41.733361642109735</v>
      </c>
      <c r="J46" s="66">
        <f t="shared" si="22"/>
        <v>38.642001520471965</v>
      </c>
      <c r="K46" s="66">
        <f t="shared" si="22"/>
        <v>35.77963103747404</v>
      </c>
      <c r="L46" s="66">
        <f t="shared" si="22"/>
        <v>33.129287997661152</v>
      </c>
      <c r="M46" s="66">
        <f t="shared" si="22"/>
        <v>30.675266664501063</v>
      </c>
      <c r="N46" s="66">
        <f t="shared" si="22"/>
        <v>28.403024689352836</v>
      </c>
      <c r="O46" s="66">
        <f t="shared" si="22"/>
        <v>26.299096934585961</v>
      </c>
      <c r="P46" s="66">
        <f t="shared" si="22"/>
        <v>24.351015680172182</v>
      </c>
      <c r="Q46" s="66">
        <f t="shared" si="22"/>
        <v>22.547236740900168</v>
      </c>
      <c r="R46" s="66">
        <f t="shared" si="22"/>
        <v>20.877071056389042</v>
      </c>
      <c r="S46" s="66">
        <f t="shared" si="22"/>
        <v>19.33062134850837</v>
      </c>
      <c r="T46" s="66">
        <f t="shared" si="22"/>
        <v>17.898723470841084</v>
      </c>
      <c r="U46" s="66">
        <f t="shared" si="22"/>
        <v>16.572892102630636</v>
      </c>
      <c r="V46" s="66">
        <f t="shared" si="22"/>
        <v>15.345270465398732</v>
      </c>
      <c r="W46" s="66">
        <f t="shared" si="22"/>
        <v>14.208583764258085</v>
      </c>
      <c r="X46" s="66">
        <f t="shared" si="22"/>
        <v>13.156096078016747</v>
      </c>
      <c r="Y46" s="66">
        <f t="shared" si="22"/>
        <v>12.181570442608097</v>
      </c>
      <c r="Z46" s="66">
        <f t="shared" si="22"/>
        <v>11.279231891303793</v>
      </c>
      <c r="AA46" s="66">
        <f t="shared" si="22"/>
        <v>0</v>
      </c>
      <c r="AB46" s="66">
        <f t="shared" si="22"/>
        <v>0</v>
      </c>
      <c r="AC46" s="66">
        <f t="shared" si="22"/>
        <v>0</v>
      </c>
      <c r="AD46" s="66">
        <f t="shared" si="22"/>
        <v>0</v>
      </c>
      <c r="AE46" s="66">
        <f t="shared" si="22"/>
        <v>0</v>
      </c>
      <c r="AF46" s="66">
        <f t="shared" si="22"/>
        <v>0</v>
      </c>
    </row>
    <row r="47" spans="2:33" ht="18.600000000000001" customHeight="1" x14ac:dyDescent="0.3">
      <c r="B47" s="38" t="s">
        <v>98</v>
      </c>
      <c r="D47" s="67" cm="1">
        <f t="array" ref="D47">SUM((NPV_Total_Cost)*10^6)/(SUM(NPV_Total_Energy)*10^3)</f>
        <v>44311009.57409139</v>
      </c>
      <c r="E47" s="66"/>
      <c r="F47" s="66"/>
      <c r="G47" s="66"/>
      <c r="H47" s="66"/>
      <c r="I47" s="66"/>
      <c r="J47" s="66"/>
      <c r="K47" s="66"/>
      <c r="L47" s="66"/>
      <c r="M47" s="66"/>
      <c r="N47" s="66"/>
      <c r="O47" s="66"/>
      <c r="P47" s="66"/>
      <c r="Q47" s="66"/>
      <c r="R47" s="66"/>
      <c r="S47" s="66"/>
      <c r="T47" s="66"/>
      <c r="U47" s="66"/>
      <c r="V47" s="66"/>
      <c r="W47" s="66"/>
      <c r="X47" s="66"/>
      <c r="Y47" s="66"/>
      <c r="Z47" s="66"/>
      <c r="AA47" s="66"/>
      <c r="AB47" s="66"/>
      <c r="AC47" s="66"/>
      <c r="AD47" s="66"/>
      <c r="AE47" s="66"/>
      <c r="AF47" s="66"/>
    </row>
    <row r="49" spans="2:32" ht="18.600000000000001" customHeight="1" thickBot="1" x14ac:dyDescent="0.35">
      <c r="B49" s="68" t="s">
        <v>86</v>
      </c>
      <c r="C49" s="69"/>
      <c r="D49" s="46"/>
    </row>
    <row r="50" spans="2:32" ht="18.600000000000001" customHeight="1" thickTop="1" x14ac:dyDescent="0.3">
      <c r="B50" s="38" t="s">
        <v>88</v>
      </c>
      <c r="D50" s="54">
        <f>SUM(Net_Cash_Flow_Pre_Tax_Discounted)</f>
        <v>12314759.759673145</v>
      </c>
      <c r="E50" s="41" t="str">
        <f>IF((NPV(discount_rate_r,Pre_Tax_Net_Cash_Flow_Undiscounted)*(1+discount_rate_r))-(SUM(Net_Cash_Flow_Pre_Tax_Discounted)&lt;1),"✓", "✗")</f>
        <v>✓</v>
      </c>
    </row>
    <row r="51" spans="2:32" ht="18.600000000000001" customHeight="1" x14ac:dyDescent="0.3">
      <c r="B51" s="38" t="s">
        <v>182</v>
      </c>
      <c r="D51" s="54">
        <f>SUM(Post_Tax_Net_Cash_Flow_Discounted)</f>
        <v>8751869.1891481467</v>
      </c>
      <c r="E51" s="41" t="str">
        <f>IF((NPV(discount_rate_r,Post_Tax_Net_Cash_Flow_Undiscounted)*(1+discount_rate_r))-(SUM(Post_Tax_Net_Cash_Flow_Discounted)&lt;1),"✓", "✗")</f>
        <v>✓</v>
      </c>
    </row>
    <row r="52" spans="2:32" ht="18.600000000000001" customHeight="1" x14ac:dyDescent="0.3">
      <c r="B52" s="38" t="s">
        <v>149</v>
      </c>
      <c r="D52" s="70">
        <f>IRR(Post_Tax_Net_Cash_Flow_Undiscounted)</f>
        <v>0.14704222100614017</v>
      </c>
    </row>
    <row r="53" spans="2:32" ht="18.600000000000001" customHeight="1" x14ac:dyDescent="0.3">
      <c r="B53" s="38" t="s">
        <v>89</v>
      </c>
      <c r="D53" s="49">
        <f>(NPV(discount_rate_r,Capex)*(1+discount_rate_r))</f>
        <v>12845321.073388204</v>
      </c>
      <c r="E53" s="51"/>
    </row>
    <row r="54" spans="2:32" ht="18.600000000000001" customHeight="1" x14ac:dyDescent="0.3">
      <c r="B54" s="38" t="s">
        <v>61</v>
      </c>
      <c r="D54" s="54">
        <f>lcoe_mwh</f>
        <v>44311009.57409139</v>
      </c>
    </row>
    <row r="55" spans="2:32" ht="18.600000000000001" customHeight="1" x14ac:dyDescent="0.3">
      <c r="B55" s="38" t="s">
        <v>87</v>
      </c>
      <c r="D55" s="47">
        <f>post_tax_npv/npv_capex</f>
        <v>0.68132739844701062</v>
      </c>
    </row>
    <row r="59" spans="2:32" ht="18.600000000000001" customHeight="1" x14ac:dyDescent="0.3">
      <c r="B59" s="158" t="s">
        <v>107</v>
      </c>
      <c r="C59" s="158"/>
      <c r="D59" s="158"/>
      <c r="E59" s="158"/>
      <c r="F59" s="158"/>
      <c r="G59" s="158"/>
      <c r="H59" s="158"/>
      <c r="I59" s="158"/>
      <c r="J59" s="158"/>
      <c r="K59" s="158"/>
      <c r="L59" s="158"/>
      <c r="M59" s="158"/>
      <c r="N59" s="158"/>
      <c r="O59" s="158"/>
      <c r="P59" s="158"/>
      <c r="Q59" s="158"/>
      <c r="R59" s="158"/>
      <c r="S59" s="158"/>
      <c r="T59" s="158"/>
      <c r="U59" s="158"/>
      <c r="V59" s="158"/>
      <c r="W59" s="158"/>
      <c r="X59" s="158"/>
      <c r="Y59" s="158"/>
      <c r="Z59" s="158"/>
      <c r="AA59" s="158"/>
      <c r="AB59" s="158"/>
      <c r="AC59" s="158"/>
      <c r="AD59" s="158"/>
      <c r="AE59" s="158"/>
      <c r="AF59" s="158"/>
    </row>
    <row r="60" spans="2:32" ht="18.600000000000001" customHeight="1" x14ac:dyDescent="0.3">
      <c r="B60" s="158"/>
      <c r="C60" s="158"/>
      <c r="D60" s="158"/>
      <c r="E60" s="158"/>
      <c r="F60" s="158"/>
      <c r="G60" s="158"/>
      <c r="H60" s="158"/>
      <c r="I60" s="158"/>
      <c r="J60" s="158"/>
      <c r="K60" s="158"/>
      <c r="L60" s="158"/>
      <c r="M60" s="158"/>
      <c r="N60" s="158"/>
      <c r="O60" s="158"/>
      <c r="P60" s="158"/>
      <c r="Q60" s="158"/>
      <c r="R60" s="158"/>
      <c r="S60" s="158"/>
      <c r="T60" s="158"/>
      <c r="U60" s="158"/>
      <c r="V60" s="158"/>
      <c r="W60" s="158"/>
      <c r="X60" s="158"/>
      <c r="Y60" s="158"/>
      <c r="Z60" s="158"/>
      <c r="AA60" s="158"/>
      <c r="AB60" s="158"/>
      <c r="AC60" s="158"/>
      <c r="AD60" s="158"/>
      <c r="AE60" s="158"/>
      <c r="AF60" s="158"/>
    </row>
    <row r="112" spans="3:4" ht="18.600000000000001" customHeight="1" x14ac:dyDescent="0.3">
      <c r="C112" s="8"/>
      <c r="D112" s="8"/>
    </row>
    <row r="113" spans="3:4" ht="18.600000000000001" customHeight="1" x14ac:dyDescent="0.3">
      <c r="C113" s="3"/>
      <c r="D113" s="91"/>
    </row>
    <row r="114" spans="3:4" ht="18.600000000000001" customHeight="1" x14ac:dyDescent="0.3">
      <c r="C114" s="3"/>
      <c r="D114" s="9"/>
    </row>
    <row r="115" spans="3:4" ht="18.600000000000001" customHeight="1" x14ac:dyDescent="0.3">
      <c r="C115" s="3"/>
      <c r="D115" s="9"/>
    </row>
    <row r="116" spans="3:4" ht="18.600000000000001" customHeight="1" x14ac:dyDescent="0.3">
      <c r="C116" s="3"/>
      <c r="D116" s="9"/>
    </row>
    <row r="117" spans="3:4" ht="18.600000000000001" customHeight="1" x14ac:dyDescent="0.3">
      <c r="C117" s="3"/>
      <c r="D117" s="9"/>
    </row>
    <row r="118" spans="3:4" ht="18.600000000000001" customHeight="1" x14ac:dyDescent="0.3">
      <c r="C118" s="3"/>
      <c r="D118" s="9"/>
    </row>
    <row r="119" spans="3:4" ht="18.600000000000001" customHeight="1" x14ac:dyDescent="0.3">
      <c r="C119" s="3"/>
      <c r="D119" s="9"/>
    </row>
    <row r="120" spans="3:4" ht="18.600000000000001" customHeight="1" x14ac:dyDescent="0.3">
      <c r="C120" s="3"/>
      <c r="D120" s="9"/>
    </row>
  </sheetData>
  <mergeCells count="2">
    <mergeCell ref="B2:AF4"/>
    <mergeCell ref="B59:AF60"/>
  </mergeCells>
  <conditionalFormatting sqref="D50">
    <cfRule type="colorScale" priority="2">
      <colorScale>
        <cfvo type="min"/>
        <cfvo type="num" val="0"/>
        <cfvo type="max"/>
        <color rgb="FFF8696B"/>
        <color rgb="FFFCFCFF"/>
        <color rgb="FF63BE7B"/>
      </colorScale>
    </cfRule>
  </conditionalFormatting>
  <conditionalFormatting sqref="D51">
    <cfRule type="colorScale" priority="4">
      <colorScale>
        <cfvo type="min"/>
        <cfvo type="num" val="0"/>
        <cfvo type="max"/>
        <color rgb="FFF8696B"/>
        <color rgb="FFFCFCFF"/>
        <color rgb="FF63BE7B"/>
      </colorScale>
    </cfRule>
  </conditionalFormatting>
  <conditionalFormatting sqref="D55">
    <cfRule type="colorScale" priority="3">
      <colorScale>
        <cfvo type="min"/>
        <cfvo type="num" val="0"/>
        <cfvo type="max"/>
        <color rgb="FFF8696B"/>
        <color rgb="FFFCFCFF"/>
        <color rgb="FF63BE7B"/>
      </colorScale>
    </cfRule>
  </conditionalFormatting>
  <conditionalFormatting sqref="D114:D120">
    <cfRule type="colorScale" priority="1">
      <colorScale>
        <cfvo type="min"/>
        <cfvo type="num" val="0"/>
        <cfvo type="max"/>
        <color rgb="FFF8696B"/>
        <color rgb="FFFCFCFF"/>
        <color rgb="FF63BE7B"/>
      </colorScale>
    </cfRule>
  </conditionalFormatting>
  <conditionalFormatting sqref="D9:AF9">
    <cfRule type="dataBar" priority="21">
      <dataBar>
        <cfvo type="min"/>
        <cfvo type="num" val="0.7"/>
        <color theme="9" tint="0.39997558519241921"/>
      </dataBar>
      <extLst>
        <ext xmlns:x14="http://schemas.microsoft.com/office/spreadsheetml/2009/9/main" uri="{B025F937-C7B1-47D3-B67F-A62EFF666E3E}">
          <x14:id>{21EDD741-4D04-4C8C-A6B2-82612E98DA2D}</x14:id>
        </ext>
      </extLst>
    </cfRule>
  </conditionalFormatting>
  <conditionalFormatting sqref="D9:AF47">
    <cfRule type="cellIs" dxfId="2" priority="9" operator="equal">
      <formula>0</formula>
    </cfRule>
  </conditionalFormatting>
  <conditionalFormatting sqref="D10:AF10">
    <cfRule type="dataBar" priority="20">
      <dataBar>
        <cfvo type="min"/>
        <cfvo type="num" val="0.3"/>
        <color theme="9" tint="0.39997558519241921"/>
      </dataBar>
      <extLst>
        <ext xmlns:x14="http://schemas.microsoft.com/office/spreadsheetml/2009/9/main" uri="{B025F937-C7B1-47D3-B67F-A62EFF666E3E}">
          <x14:id>{5A1662EE-DCD2-42E2-98CA-1A1FBA717776}</x14:id>
        </ext>
      </extLst>
    </cfRule>
  </conditionalFormatting>
  <conditionalFormatting sqref="D11:AF11">
    <cfRule type="dataBar" priority="19">
      <dataBar>
        <cfvo type="min"/>
        <cfvo type="num" val="0.85"/>
        <color theme="9" tint="0.39997558519241921"/>
      </dataBar>
      <extLst>
        <ext xmlns:x14="http://schemas.microsoft.com/office/spreadsheetml/2009/9/main" uri="{B025F937-C7B1-47D3-B67F-A62EFF666E3E}">
          <x14:id>{0C3302D7-F324-48C5-964F-E0953E2561EF}</x14:id>
        </ext>
      </extLst>
    </cfRule>
  </conditionalFormatting>
  <conditionalFormatting sqref="D18:AF18">
    <cfRule type="dataBar" priority="8">
      <dataBar>
        <cfvo type="min"/>
        <cfvo type="max"/>
        <color rgb="FFFF5B5B"/>
      </dataBar>
      <extLst>
        <ext xmlns:x14="http://schemas.microsoft.com/office/spreadsheetml/2009/9/main" uri="{B025F937-C7B1-47D3-B67F-A62EFF666E3E}">
          <x14:id>{643D6CF3-66C6-4DE4-92A7-0799336637E3}</x14:id>
        </ext>
      </extLst>
    </cfRule>
  </conditionalFormatting>
  <conditionalFormatting sqref="D21:AF22">
    <cfRule type="dataBar" priority="16">
      <dataBar>
        <cfvo type="min"/>
        <cfvo type="max"/>
        <color rgb="FF63C384"/>
      </dataBar>
      <extLst>
        <ext xmlns:x14="http://schemas.microsoft.com/office/spreadsheetml/2009/9/main" uri="{B025F937-C7B1-47D3-B67F-A62EFF666E3E}">
          <x14:id>{114B7510-C4CE-4C85-AA21-1D21E029A851}</x14:id>
        </ext>
      </extLst>
    </cfRule>
  </conditionalFormatting>
  <conditionalFormatting sqref="D25:AF26">
    <cfRule type="colorScale" priority="15">
      <colorScale>
        <cfvo type="min"/>
        <cfvo type="num" val="0"/>
        <cfvo type="max"/>
        <color rgb="FFF8696B"/>
        <color rgb="FFFCFCFF"/>
        <color rgb="FF63BE7B"/>
      </colorScale>
    </cfRule>
  </conditionalFormatting>
  <conditionalFormatting sqref="D31:AF31">
    <cfRule type="colorScale" priority="14">
      <colorScale>
        <cfvo type="min"/>
        <cfvo type="num" val="0"/>
        <cfvo type="max"/>
        <color rgb="FFF8696B"/>
        <color rgb="FFFCFCFF"/>
        <color rgb="FF63BE7B"/>
      </colorScale>
    </cfRule>
  </conditionalFormatting>
  <conditionalFormatting sqref="D32:AF32">
    <cfRule type="colorScale" priority="12">
      <colorScale>
        <cfvo type="min"/>
        <cfvo type="num" val="0"/>
        <cfvo type="max"/>
        <color rgb="FFF8696B"/>
        <color rgb="FFFCFCFF"/>
        <color rgb="FF63BE7B"/>
      </colorScale>
    </cfRule>
  </conditionalFormatting>
  <conditionalFormatting sqref="D35:AF36">
    <cfRule type="colorScale" priority="13">
      <colorScale>
        <cfvo type="min"/>
        <cfvo type="num" val="0"/>
        <cfvo type="max"/>
        <color rgb="FFF8696B"/>
        <color rgb="FFFCFCFF"/>
        <color rgb="FF63BE7B"/>
      </colorScale>
    </cfRule>
  </conditionalFormatting>
  <conditionalFormatting sqref="D39:AF39">
    <cfRule type="cellIs" dxfId="1" priority="11" operator="greaterThan">
      <formula>0</formula>
    </cfRule>
  </conditionalFormatting>
  <conditionalFormatting sqref="D42:AF42">
    <cfRule type="cellIs" dxfId="0" priority="10" operator="greaterThan">
      <formula>0</formula>
    </cfRule>
  </conditionalFormatting>
  <conditionalFormatting sqref="D45:AF45">
    <cfRule type="dataBar" priority="17">
      <dataBar>
        <cfvo type="min"/>
        <cfvo type="max"/>
        <color rgb="FFFF5B5B"/>
      </dataBar>
      <extLst>
        <ext xmlns:x14="http://schemas.microsoft.com/office/spreadsheetml/2009/9/main" uri="{B025F937-C7B1-47D3-B67F-A62EFF666E3E}">
          <x14:id>{5ADC18D2-36CE-4FC3-BA1A-2BF6BD36749A}</x14:id>
        </ext>
      </extLst>
    </cfRule>
  </conditionalFormatting>
  <conditionalFormatting sqref="D46:AF46">
    <cfRule type="dataBar" priority="6">
      <dataBar>
        <cfvo type="min"/>
        <cfvo type="max"/>
        <color rgb="FFFFB628"/>
      </dataBar>
      <extLst>
        <ext xmlns:x14="http://schemas.microsoft.com/office/spreadsheetml/2009/9/main" uri="{B025F937-C7B1-47D3-B67F-A62EFF666E3E}">
          <x14:id>{AB94BD88-49D1-4AF2-91DF-95BFB36AF767}</x14:id>
        </ext>
      </extLst>
    </cfRule>
    <cfRule type="dataBar" priority="7">
      <dataBar>
        <cfvo type="min"/>
        <cfvo type="max"/>
        <color rgb="FFFFB628"/>
      </dataBar>
      <extLst>
        <ext xmlns:x14="http://schemas.microsoft.com/office/spreadsheetml/2009/9/main" uri="{B025F937-C7B1-47D3-B67F-A62EFF666E3E}">
          <x14:id>{DD6BF784-FAC1-4062-9104-713841BAC966}</x14:id>
        </ext>
      </extLst>
    </cfRule>
  </conditionalFormatting>
  <pageMargins left="0.7" right="0.7" top="0.75" bottom="0.75" header="0.3" footer="0.3"/>
  <pageSetup paperSize="9"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dataBar" id="{21EDD741-4D04-4C8C-A6B2-82612E98DA2D}">
            <x14:dataBar minLength="0" maxLength="100" border="1" gradient="0" negativeBarBorderColorSameAsPositive="0">
              <x14:cfvo type="autoMin"/>
              <x14:cfvo type="num">
                <xm:f>0.7</xm:f>
              </x14:cfvo>
              <x14:borderColor theme="0"/>
              <x14:negativeFillColor rgb="FFFF0000"/>
              <x14:negativeBorderColor rgb="FFFF0000"/>
              <x14:axisColor rgb="FF000000"/>
            </x14:dataBar>
          </x14:cfRule>
          <xm:sqref>D9:AF9</xm:sqref>
        </x14:conditionalFormatting>
        <x14:conditionalFormatting xmlns:xm="http://schemas.microsoft.com/office/excel/2006/main">
          <x14:cfRule type="dataBar" id="{5A1662EE-DCD2-42E2-98CA-1A1FBA717776}">
            <x14:dataBar minLength="0" maxLength="100" border="1" gradient="0" negativeBarBorderColorSameAsPositive="0">
              <x14:cfvo type="autoMin"/>
              <x14:cfvo type="num">
                <xm:f>0.3</xm:f>
              </x14:cfvo>
              <x14:borderColor theme="0"/>
              <x14:negativeFillColor rgb="FFFF0000"/>
              <x14:negativeBorderColor rgb="FFFF0000"/>
              <x14:axisColor rgb="FF000000"/>
            </x14:dataBar>
          </x14:cfRule>
          <xm:sqref>D10:AF10</xm:sqref>
        </x14:conditionalFormatting>
        <x14:conditionalFormatting xmlns:xm="http://schemas.microsoft.com/office/excel/2006/main">
          <x14:cfRule type="dataBar" id="{0C3302D7-F324-48C5-964F-E0953E2561EF}">
            <x14:dataBar minLength="0" maxLength="100" border="1" gradient="0" negativeBarBorderColorSameAsPositive="0">
              <x14:cfvo type="autoMin"/>
              <x14:cfvo type="num">
                <xm:f>0.85</xm:f>
              </x14:cfvo>
              <x14:borderColor theme="0"/>
              <x14:negativeFillColor rgb="FFFF0000"/>
              <x14:negativeBorderColor rgb="FFFF0000"/>
              <x14:axisColor rgb="FF000000"/>
            </x14:dataBar>
          </x14:cfRule>
          <xm:sqref>D11:AF11</xm:sqref>
        </x14:conditionalFormatting>
        <x14:conditionalFormatting xmlns:xm="http://schemas.microsoft.com/office/excel/2006/main">
          <x14:cfRule type="dataBar" id="{643D6CF3-66C6-4DE4-92A7-0799336637E3}">
            <x14:dataBar minLength="0" maxLength="100" border="1" gradient="0" negativeBarBorderColorSameAsPositive="0">
              <x14:cfvo type="autoMin"/>
              <x14:cfvo type="autoMax"/>
              <x14:borderColor theme="0"/>
              <x14:negativeFillColor rgb="FFFF0000"/>
              <x14:negativeBorderColor rgb="FFFF0000"/>
              <x14:axisColor rgb="FF000000"/>
            </x14:dataBar>
          </x14:cfRule>
          <xm:sqref>D18:AF18</xm:sqref>
        </x14:conditionalFormatting>
        <x14:conditionalFormatting xmlns:xm="http://schemas.microsoft.com/office/excel/2006/main">
          <x14:cfRule type="dataBar" id="{114B7510-C4CE-4C85-AA21-1D21E029A851}">
            <x14:dataBar minLength="0" maxLength="100" gradient="0">
              <x14:cfvo type="autoMin"/>
              <x14:cfvo type="autoMax"/>
              <x14:negativeFillColor rgb="FFFF0000"/>
              <x14:axisColor rgb="FF000000"/>
            </x14:dataBar>
          </x14:cfRule>
          <xm:sqref>D21:AF22</xm:sqref>
        </x14:conditionalFormatting>
        <x14:conditionalFormatting xmlns:xm="http://schemas.microsoft.com/office/excel/2006/main">
          <x14:cfRule type="dataBar" id="{5ADC18D2-36CE-4FC3-BA1A-2BF6BD36749A}">
            <x14:dataBar minLength="0" maxLength="100" border="1" gradient="0" negativeBarBorderColorSameAsPositive="0">
              <x14:cfvo type="autoMin"/>
              <x14:cfvo type="autoMax"/>
              <x14:borderColor theme="0"/>
              <x14:negativeFillColor rgb="FFFF0000"/>
              <x14:negativeBorderColor rgb="FFFF0000"/>
              <x14:axisColor rgb="FF000000"/>
            </x14:dataBar>
          </x14:cfRule>
          <xm:sqref>D45:AF45</xm:sqref>
        </x14:conditionalFormatting>
        <x14:conditionalFormatting xmlns:xm="http://schemas.microsoft.com/office/excel/2006/main">
          <x14:cfRule type="dataBar" id="{AB94BD88-49D1-4AF2-91DF-95BFB36AF767}">
            <x14:dataBar minLength="0" maxLength="100" gradient="0">
              <x14:cfvo type="autoMin"/>
              <x14:cfvo type="autoMax"/>
              <x14:negativeFillColor rgb="FFFF0000"/>
              <x14:axisColor rgb="FF000000"/>
            </x14:dataBar>
          </x14:cfRule>
          <x14:cfRule type="dataBar" id="{DD6BF784-FAC1-4062-9104-713841BAC966}">
            <x14:dataBar minLength="0" maxLength="100" gradient="0">
              <x14:cfvo type="autoMin"/>
              <x14:cfvo type="autoMax"/>
              <x14:negativeFillColor rgb="FFFF0000"/>
              <x14:axisColor rgb="FF000000"/>
            </x14:dataBar>
          </x14:cfRule>
          <xm:sqref>D46:AF46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97FDA-F816-4545-971B-8515533EB335}">
  <dimension ref="A1"/>
  <sheetViews>
    <sheetView zoomScale="66" workbookViewId="0">
      <selection activeCell="Z24" sqref="Z24"/>
    </sheetView>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1"/>
  <sheetViews>
    <sheetView workbookViewId="0"/>
  </sheetViews>
  <sheetFormatPr defaultColWidth="8.88671875" defaultRowHeight="14.4" x14ac:dyDescent="0.3"/>
  <cols>
    <col min="1" max="3" width="36.6640625" customWidth="1"/>
    <col min="4" max="4" width="36.88671875" customWidth="1"/>
  </cols>
  <sheetData>
    <row r="1" spans="1:4" x14ac:dyDescent="0.3">
      <c r="A1" s="1" t="s">
        <v>1</v>
      </c>
    </row>
    <row r="3" spans="1:4" x14ac:dyDescent="0.3">
      <c r="A3" t="s">
        <v>2</v>
      </c>
      <c r="B3" t="s">
        <v>3</v>
      </c>
      <c r="C3">
        <v>0</v>
      </c>
    </row>
    <row r="4" spans="1:4" x14ac:dyDescent="0.3">
      <c r="A4" t="s">
        <v>4</v>
      </c>
    </row>
    <row r="5" spans="1:4" x14ac:dyDescent="0.3">
      <c r="A5" t="s">
        <v>5</v>
      </c>
    </row>
    <row r="7" spans="1:4" x14ac:dyDescent="0.3">
      <c r="A7" s="1" t="s">
        <v>6</v>
      </c>
      <c r="B7" t="s">
        <v>7</v>
      </c>
    </row>
    <row r="8" spans="1:4" x14ac:dyDescent="0.3">
      <c r="B8">
        <v>4</v>
      </c>
    </row>
    <row r="10" spans="1:4" x14ac:dyDescent="0.3">
      <c r="A10" t="s">
        <v>8</v>
      </c>
    </row>
    <row r="11" spans="1:4" x14ac:dyDescent="0.3">
      <c r="A11" t="e">
        <f>CB_DATA_!#REF!</f>
        <v>#REF!</v>
      </c>
      <c r="C11" t="e">
        <f>'Input Data (+SSA)'!#REF!</f>
        <v>#REF!</v>
      </c>
      <c r="D11" t="e">
        <f>#REF!</f>
        <v>#REF!</v>
      </c>
    </row>
    <row r="13" spans="1:4" x14ac:dyDescent="0.3">
      <c r="A13" t="s">
        <v>9</v>
      </c>
    </row>
    <row r="14" spans="1:4" x14ac:dyDescent="0.3">
      <c r="A14" t="s">
        <v>13</v>
      </c>
      <c r="C14" t="s">
        <v>18</v>
      </c>
      <c r="D14" t="s">
        <v>19</v>
      </c>
    </row>
    <row r="16" spans="1:4" x14ac:dyDescent="0.3">
      <c r="A16" t="s">
        <v>10</v>
      </c>
    </row>
    <row r="17" spans="1:4" x14ac:dyDescent="0.3">
      <c r="D17">
        <v>3</v>
      </c>
    </row>
    <row r="19" spans="1:4" x14ac:dyDescent="0.3">
      <c r="A19" t="s">
        <v>11</v>
      </c>
    </row>
    <row r="20" spans="1:4" x14ac:dyDescent="0.3">
      <c r="A20">
        <v>28</v>
      </c>
      <c r="C20">
        <v>26</v>
      </c>
      <c r="D20">
        <v>31</v>
      </c>
    </row>
    <row r="25" spans="1:4" x14ac:dyDescent="0.3">
      <c r="A25" s="1" t="s">
        <v>12</v>
      </c>
    </row>
    <row r="26" spans="1:4" x14ac:dyDescent="0.3">
      <c r="A26" s="2" t="s">
        <v>14</v>
      </c>
      <c r="D26" s="2" t="s">
        <v>17</v>
      </c>
    </row>
    <row r="27" spans="1:4" x14ac:dyDescent="0.3">
      <c r="A27" t="s">
        <v>15</v>
      </c>
      <c r="D27" t="s">
        <v>21</v>
      </c>
    </row>
    <row r="28" spans="1:4" x14ac:dyDescent="0.3">
      <c r="A28" s="2" t="s">
        <v>16</v>
      </c>
      <c r="D28" s="2" t="s">
        <v>16</v>
      </c>
    </row>
    <row r="29" spans="1:4" x14ac:dyDescent="0.3">
      <c r="D29" s="2" t="s">
        <v>14</v>
      </c>
    </row>
    <row r="30" spans="1:4" x14ac:dyDescent="0.3">
      <c r="D30" t="s">
        <v>20</v>
      </c>
    </row>
    <row r="31" spans="1:4" x14ac:dyDescent="0.3">
      <c r="D31" s="2" t="s">
        <v>16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6CB8C80-07C4-494E-9C98-A3B13F69244C}">
  <ds:schemaRefs>
    <ds:schemaRef ds:uri="http://schemas.microsoft.com/DataMashup"/>
  </ds:schemaRefs>
</ds:datastoreItem>
</file>

<file path=docMetadata/LabelInfo.xml><?xml version="1.0" encoding="utf-8"?>
<clbl:labelList xmlns:clbl="http://schemas.microsoft.com/office/2020/mipLabelMetadata">
  <clbl:label id="{58b0b9cd-9e5b-476d-81c5-d33d4f29b317}" enabled="0" method="" siteId="{58b0b9cd-9e5b-476d-81c5-d33d4f29b317}"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81</vt:i4>
      </vt:variant>
    </vt:vector>
  </HeadingPairs>
  <TitlesOfParts>
    <vt:vector size="86" baseType="lpstr">
      <vt:lpstr>Dashboard</vt:lpstr>
      <vt:lpstr>Further analysis</vt:lpstr>
      <vt:lpstr>Input Data (+SSA)</vt:lpstr>
      <vt:lpstr>Calculations</vt:lpstr>
      <vt:lpstr>Sheet1</vt:lpstr>
      <vt:lpstr>_∆_NPV</vt:lpstr>
      <vt:lpstr>actual__expected__output_of_all_wind_turbines__mWh_yr</vt:lpstr>
      <vt:lpstr>actual__expected__output_of_one_wind_turbine__mWh_yr</vt:lpstr>
      <vt:lpstr>annual_expected_power</vt:lpstr>
      <vt:lpstr>average_electricity_price</vt:lpstr>
      <vt:lpstr>capacity_factor_percent</vt:lpstr>
      <vt:lpstr>Capex</vt:lpstr>
      <vt:lpstr>CapEx_Perc_Years</vt:lpstr>
      <vt:lpstr>corporation_tax_rate</vt:lpstr>
      <vt:lpstr>Cumulative_Net_Cash_Flow_Discounted</vt:lpstr>
      <vt:lpstr>Cumulative_Net_Cash_Flow_Discounted_Positive_Indicator</vt:lpstr>
      <vt:lpstr>Cumulative_Net_Cash_Flow_Positive_Indicator</vt:lpstr>
      <vt:lpstr>Cumulative_Net_Cash_Flow_Undiscounted</vt:lpstr>
      <vt:lpstr>Decomm_Perc_Years</vt:lpstr>
      <vt:lpstr>Decommissioning_Cost_Allowance</vt:lpstr>
      <vt:lpstr>Decommissioning_Costs</vt:lpstr>
      <vt:lpstr>decommissioning_costs_percentage</vt:lpstr>
      <vt:lpstr>Depreciation_Allowance</vt:lpstr>
      <vt:lpstr>depreciation_allowance_years</vt:lpstr>
      <vt:lpstr>discount_rate_r</vt:lpstr>
      <vt:lpstr>expected_useful_life_of_turbine</vt:lpstr>
      <vt:lpstr>grid_connection_costs</vt:lpstr>
      <vt:lpstr>inflation</vt:lpstr>
      <vt:lpstr>irr_post_tax</vt:lpstr>
      <vt:lpstr>lag</vt:lpstr>
      <vt:lpstr>Lagged_Cumulative_Net_Cash_Flow_Discounted_Positive_Indicator</vt:lpstr>
      <vt:lpstr>Lagged_Cumulative_Net_Cash_Flow_Positive_Indicator</vt:lpstr>
      <vt:lpstr>lcoe_mwh</vt:lpstr>
      <vt:lpstr>levelised_cost_of_electricity____MWh</vt:lpstr>
      <vt:lpstr>Max_NPV</vt:lpstr>
      <vt:lpstr>maximum_possible_output_of_all_wind_turbines_mWh_yr</vt:lpstr>
      <vt:lpstr>maximum_possible_output_of_one_wind_turbine__mWh_yr</vt:lpstr>
      <vt:lpstr>Min_NPV</vt:lpstr>
      <vt:lpstr>Net_Cash_Flow_Pre_Tax_Discounted</vt:lpstr>
      <vt:lpstr>npv_capex</vt:lpstr>
      <vt:lpstr>NPV_Impact_Capacity_Factor</vt:lpstr>
      <vt:lpstr>NPV_Impact_Discount_Rate</vt:lpstr>
      <vt:lpstr>NPV_Impact_Electricity_Price</vt:lpstr>
      <vt:lpstr>NPV_Impact_Inflation</vt:lpstr>
      <vt:lpstr>NPV_Impact_Number_Of_Turbines</vt:lpstr>
      <vt:lpstr>NPV_Impact_OpEx_Per_Turbine</vt:lpstr>
      <vt:lpstr>NPV_Impact_Turbine_Lifetime</vt:lpstr>
      <vt:lpstr>NPV_Impact_Years_Before_Turbines_Operate</vt:lpstr>
      <vt:lpstr>NPV_Total_Cost</vt:lpstr>
      <vt:lpstr>NPV_Total_Energy</vt:lpstr>
      <vt:lpstr>number_of_turbines</vt:lpstr>
      <vt:lpstr>number_of_years_of_decommissioning</vt:lpstr>
      <vt:lpstr>one_plus_discount_rate</vt:lpstr>
      <vt:lpstr>one_plus_inflation_rate</vt:lpstr>
      <vt:lpstr>Opex</vt:lpstr>
      <vt:lpstr>OpEx_Perc_Years</vt:lpstr>
      <vt:lpstr>other_capital_costs</vt:lpstr>
      <vt:lpstr>Payback_Year</vt:lpstr>
      <vt:lpstr>percentage_of_capital_costs_in_year_one</vt:lpstr>
      <vt:lpstr>percentage_of_capital_costs_in_year_two</vt:lpstr>
      <vt:lpstr>percentage_of_capital_costs_in_year_zero</vt:lpstr>
      <vt:lpstr>percentage_of_decommissioning_costs_in_year_n_1</vt:lpstr>
      <vt:lpstr>percentage_of_decommissioning_costs_in_year_n_2</vt:lpstr>
      <vt:lpstr>percentage_of_decommissioning_costs_in_year_n_3</vt:lpstr>
      <vt:lpstr>Post_Tax_Net_Cash_Flow_Discounted</vt:lpstr>
      <vt:lpstr>Post_Tax_Net_Cash_Flow_Undiscounted</vt:lpstr>
      <vt:lpstr>post_tax_npv</vt:lpstr>
      <vt:lpstr>post_tax_npv_capex_ratio__profitability_index</vt:lpstr>
      <vt:lpstr>Pre_Tax_Net_Cash_Flow_Undiscounted</vt:lpstr>
      <vt:lpstr>pre_tax_npv</vt:lpstr>
      <vt:lpstr>Tax_Paid</vt:lpstr>
      <vt:lpstr>Taxable_Cash_Flow</vt:lpstr>
      <vt:lpstr>todate</vt:lpstr>
      <vt:lpstr>total_capacity_of_all_turbines__mW</vt:lpstr>
      <vt:lpstr>total_capital_costs</vt:lpstr>
      <vt:lpstr>total_cost_of_construction_per_turbine</vt:lpstr>
      <vt:lpstr>total_decommissioning_costs</vt:lpstr>
      <vt:lpstr>Total_Expenditure_Discounted</vt:lpstr>
      <vt:lpstr>Total_Expenditure_Undiscounted</vt:lpstr>
      <vt:lpstr>total_hours_of_potential_operation_yearly</vt:lpstr>
      <vt:lpstr>total_opex_per_year</vt:lpstr>
      <vt:lpstr>Total_Sales_Undiscounted</vt:lpstr>
      <vt:lpstr>turbine_capacity_mW</vt:lpstr>
      <vt:lpstr>Year</vt:lpstr>
      <vt:lpstr>yearly_operation_and_maintenance_costs_per_turbine</vt:lpstr>
      <vt:lpstr>years_before_turbines_start_operating</vt:lpstr>
    </vt:vector>
  </TitlesOfParts>
  <Company>University of Aberdeen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fac044</dc:creator>
  <cp:lastModifiedBy>DAVIES, JAMES (PGT)</cp:lastModifiedBy>
  <dcterms:created xsi:type="dcterms:W3CDTF">2011-08-16T00:51:40Z</dcterms:created>
  <dcterms:modified xsi:type="dcterms:W3CDTF">2025-03-04T16:45:14Z</dcterms:modified>
</cp:coreProperties>
</file>