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Ex2.xml" ContentType="application/vnd.ms-office.chartex+xml"/>
  <Override PartName="/xl/charts/style22.xml" ContentType="application/vnd.ms-office.chartstyle+xml"/>
  <Override PartName="/xl/charts/colors22.xml" ContentType="application/vnd.ms-office.chartcolorstyle+xml"/>
  <Override PartName="/xl/charts/chartEx3.xml" ContentType="application/vnd.ms-office.chartex+xml"/>
  <Override PartName="/xl/charts/style23.xml" ContentType="application/vnd.ms-office.chartstyle+xml"/>
  <Override PartName="/xl/charts/colors23.xml" ContentType="application/vnd.ms-office.chartcolorstyle+xml"/>
  <Override PartName="/xl/charts/chart21.xml" ContentType="application/vnd.openxmlformats-officedocument.drawingml.chart+xml"/>
  <Override PartName="/xl/charts/style24.xml" ContentType="application/vnd.ms-office.chartstyle+xml"/>
  <Override PartName="/xl/charts/colors24.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https://365abdn-my.sharepoint.com/personal/t12jd22_abdn_ac_uk/Documents/01 - Turing College/01 - GitHub portfolio/DCF model - wind turbines/"/>
    </mc:Choice>
  </mc:AlternateContent>
  <xr:revisionPtr revIDLastSave="4866" documentId="8_{D5B73881-E8AC-4AEC-BC26-94D9C0E6608B}" xr6:coauthVersionLast="47" xr6:coauthVersionMax="47" xr10:uidLastSave="{DF0432E4-57EE-4FA4-8DBE-AFCADA8C027F}"/>
  <bookViews>
    <workbookView xWindow="-108" yWindow="-108" windowWidth="23256" windowHeight="12456" tabRatio="738" xr2:uid="{00000000-000D-0000-FFFF-FFFF00000000}"/>
  </bookViews>
  <sheets>
    <sheet name="Dashboard" sheetId="14" r:id="rId1"/>
    <sheet name="Further analysis" sheetId="12" r:id="rId2"/>
    <sheet name="Input Data (+SSA)" sheetId="1" r:id="rId3"/>
    <sheet name="Calculations" sheetId="8" r:id="rId4"/>
    <sheet name="Sheet1" sheetId="15" r:id="rId5"/>
    <sheet name="CB_DATA_" sheetId="6" state="veryHidden" r:id="rId6"/>
  </sheets>
  <definedNames>
    <definedName name="_∆_NPV">'Further analysis'!$G$10:$G$16</definedName>
    <definedName name="_xlchart.v1.0" hidden="1">Calculations!$B$32</definedName>
    <definedName name="_xlchart.v1.1" hidden="1">Calculations!$D$32:$AC$32</definedName>
    <definedName name="_xlchart.v1.2" hidden="1">Calculations!$D$6:$AC$6</definedName>
    <definedName name="_xlchart.v1.3" hidden="1">Calculations!$D$31:$AC$31</definedName>
    <definedName name="_xlchart.v1.4" hidden="1">Calculations!$D$6:$AC$6</definedName>
    <definedName name="_xlchart.v1.5" hidden="1">Calculations!$B$32</definedName>
    <definedName name="_xlchart.v1.6" hidden="1">Calculations!$D$32:$AC$32</definedName>
    <definedName name="_xlchart.v1.7" hidden="1">Calculations!$D$6:$AC$6</definedName>
    <definedName name="actual__expected__output_of_all_wind_turbines__mWh_yr">'Input Data (+SSA)'!$E$51</definedName>
    <definedName name="actual__expected__output_of_one_wind_turbine__mWh_yr">'Input Data (+SSA)'!$E$50</definedName>
    <definedName name="annual_expected_power">'Input Data (+SSA)'!$E$12</definedName>
    <definedName name="approximate_simple_payback__years">Calculations!#REF!</definedName>
    <definedName name="average_electricity_price">'Input Data (+SSA)'!$E$38</definedName>
    <definedName name="capacity_factor_percent">'Input Data (+SSA)'!$E$10</definedName>
    <definedName name="Capex">Calculations!$D$14:$AF$14</definedName>
    <definedName name="CapEx_Perc_Years">Calculations!$D$9:$AF$9</definedName>
    <definedName name="CB_Block_00000000000000000000000000000000" localSheetId="2" hidden="1">"'7.0.0.0"</definedName>
    <definedName name="CB_Block_00000000000000000000000000000001" localSheetId="5" hidden="1">"'634653461715418904"</definedName>
    <definedName name="CB_Block_00000000000000000000000000000001" localSheetId="2" hidden="1">"'634653403757896242"</definedName>
    <definedName name="CB_Block_00000000000000000000000000000003" localSheetId="2" hidden="1">"'11.1.2391.0"</definedName>
    <definedName name="CB_BlockExt_00000000000000000000000000000003" localSheetId="2" hidden="1">"'11.1.2.1.000"</definedName>
    <definedName name="CBWorkbookPriority" localSheetId="5" hidden="1">-154541182</definedName>
    <definedName name="CBx_2f9ae1423f944791bf6d6211e8ce3734" localSheetId="5" hidden="1">"'Input Data'!$A$1"</definedName>
    <definedName name="CBx_5292947177e54a30b2d77b8231c239cb" localSheetId="5" hidden="1">"'Capture'!$A$1"</definedName>
    <definedName name="CBx_551ab216ca7549a0b1a5e32288747636" localSheetId="5" hidden="1">"'CB_DATA_'!$A$1"</definedName>
    <definedName name="CBx_9c32164055984a4c926193bc90f08e09" localSheetId="5" hidden="1">"'Calculations'!$A$1"</definedName>
    <definedName name="CBx_Sheet_Guid" localSheetId="5" hidden="1">"'551ab216-ca75-49a0-b1a5-e32288747636"</definedName>
    <definedName name="CBx_Sheet_Guid" localSheetId="2" hidden="1">"'2f9ae142-3f94-4791-bf6d-6211e8ce3734"</definedName>
    <definedName name="CBx_SheetRef" localSheetId="5" hidden="1">CB_DATA_!$A$14</definedName>
    <definedName name="CBx_SheetRef" localSheetId="2" hidden="1">CB_DATA_!$C$14</definedName>
    <definedName name="CBx_StorageType" localSheetId="5" hidden="1">2</definedName>
    <definedName name="CBx_StorageType" localSheetId="2" hidden="1">2</definedName>
    <definedName name="corporation_tax_rate">'Input Data (+SSA)'!$E$41</definedName>
    <definedName name="Cumulative_Net_Cash_Flow_Discounted">Calculations!$D$36:$AF$36</definedName>
    <definedName name="Cumulative_Net_Cash_Flow_Discounted_Positive_Indicator">Calculations!$D$40:$AF$40</definedName>
    <definedName name="Cumulative_Net_Cash_Flow_Positive_Indicator">Calculations!$D$37:$AF$37</definedName>
    <definedName name="Cumulative_Net_Cash_Flow_Undiscounted">Calculations!$D$35:$AF$35</definedName>
    <definedName name="Decomm_Perc_Years">Calculations!$D$11:$AF$11</definedName>
    <definedName name="Decommissioning_Cost_Allowance">Calculations!$D$28:$AF$28</definedName>
    <definedName name="Decommissioning_Costs">Calculations!$D$16:$AF$16</definedName>
    <definedName name="decommissioning_costs_percentage">'Input Data (+SSA)'!$E$26</definedName>
    <definedName name="Depreciation_Allowance" comment="This is calculated using the following: (total capital costs + total decommissioning costs) / expected useful life of the project. From the IF formula entered into the cell, you can see that this is applied only in operational years allowed by dep.">Calculations!$D$27:$AF$27</definedName>
    <definedName name="depreciation_allowance_years">'Input Data (+SSA)'!$E$42</definedName>
    <definedName name="discount_rate_r">'Input Data (+SSA)'!$E$34</definedName>
    <definedName name="expected_useful_life_of_turbine">'Input Data (+SSA)'!$E$8</definedName>
    <definedName name="grid_connection_costs">'Input Data (+SSA)'!$E$19</definedName>
    <definedName name="inflation">'Input Data (+SSA)'!$E$35</definedName>
    <definedName name="irr_post_tax">Calculations!$D$52</definedName>
    <definedName name="lag">Calculations!XFD:XFD</definedName>
    <definedName name="Lagged_Cumulative_Net_Cash_Flow_Discounted_Positive_Indicator">Calculations!$D$41:$AF$41</definedName>
    <definedName name="Lagged_Cumulative_Net_Cash_Flow_Positive_Indicator">Calculations!$D$38:$AF$38</definedName>
    <definedName name="lcoe_mwh">Calculations!$D$47</definedName>
    <definedName name="levelised_cost_of_electricity">Calculations!#REF!</definedName>
    <definedName name="levelised_cost_of_electricity____MWh">Calculations!$D$54</definedName>
    <definedName name="Max_NPV">'Further analysis'!$F$10:$F$16</definedName>
    <definedName name="maximum_possible_output_of_all_wind_turbines_mWh_yr">'Input Data (+SSA)'!$E$49</definedName>
    <definedName name="maximum_possible_output_of_one_wind_turbine__mWh_yr">'Input Data (+SSA)'!$E$48</definedName>
    <definedName name="Min_NPV">'Further analysis'!$C$10:$C$16</definedName>
    <definedName name="Net_Cash_Flow_Pre_Tax_Discounted">Calculations!$D$26:$AF$26</definedName>
    <definedName name="npv_capex">Calculations!$D$53</definedName>
    <definedName name="npv_electricity_output">Calculations!#REF!</definedName>
    <definedName name="NPV_Impact_Capacity_Factor">'Input Data (+SSA)'!$D$98:$D$104</definedName>
    <definedName name="NPV_Impact_Discount_Rate">'Input Data (+SSA)'!$D$116:$D$122</definedName>
    <definedName name="NPV_Impact_Electricity_Price">'Input Data (+SSA)'!$D$62:$D$68</definedName>
    <definedName name="NPV_Impact_Inflation">'Input Data (+SSA)'!$D$170:$D$176</definedName>
    <definedName name="NPV_Impact_Number_Of_Turbines">'Input Data (+SSA)'!$D$152:$D$158</definedName>
    <definedName name="NPV_Impact_OpEx_Per_Turbine">'Input Data (+SSA)'!$D$134:$D$140</definedName>
    <definedName name="NPV_Impact_Turbine_Lifetime">'Input Data (+SSA)'!$D$80:$D$86</definedName>
    <definedName name="NPV_Impact_Years_Before_Turbines_Operate">'Input Data (+SSA)'!$D$188:$D$194</definedName>
    <definedName name="NPV_Total_Cost">Calculations!$D$45:$AF$45</definedName>
    <definedName name="npv_total_costs">Calculations!#REF!</definedName>
    <definedName name="NPV_Total_Energy">Calculations!$D$46:$AF$46</definedName>
    <definedName name="number_of_turbines">'Input Data (+SSA)'!$E$11</definedName>
    <definedName name="number_of_years_of_decommissioning">'Input Data (+SSA)'!$E$27</definedName>
    <definedName name="one_plus_discount_rate">'Input Data (+SSA)'!$E$46</definedName>
    <definedName name="one_plus_inflation_rate">'Input Data (+SSA)'!$E$45</definedName>
    <definedName name="Opex">Calculations!$D$15:$AF$15</definedName>
    <definedName name="OpEx_Perc_Years">Calculations!$D$10:$AF$10</definedName>
    <definedName name="other_capital_costs">'Input Data (+SSA)'!$E$20</definedName>
    <definedName name="Payback_Year">Calculations!$D$39:$AF$39</definedName>
    <definedName name="percentage_of_capital_costs_in_year_one">'Input Data (+SSA)'!$E$16</definedName>
    <definedName name="percentage_of_capital_costs_in_year_two">'Input Data (+SSA)'!$E$17</definedName>
    <definedName name="percentage_of_capital_costs_in_year_zero">'Input Data (+SSA)'!$E$15</definedName>
    <definedName name="percentage_of_decommissioning_costs_in_year_n_1">'Input Data (+SSA)'!$E$28</definedName>
    <definedName name="percentage_of_decommissioning_costs_in_year_n_2">'Input Data (+SSA)'!$E$29</definedName>
    <definedName name="percentage_of_decommissioning_costs_in_year_n_3">'Input Data (+SSA)'!$E$30</definedName>
    <definedName name="Post_Tax_Net_Cash_Flow_Discounted">Calculations!$D$32:$AF$32</definedName>
    <definedName name="Post_Tax_Net_Cash_Flow_Undiscounted">Calculations!$D$31:$AF$31</definedName>
    <definedName name="post_tax_npv">Calculations!$D$51</definedName>
    <definedName name="post_tax_npv_capex_ratio__profitability_index">Calculations!$D$55</definedName>
    <definedName name="Pre_Tax_Net_Cash_Flow_Undiscounted">Calculations!$D$25:$AF$25</definedName>
    <definedName name="pre_tax_npv">Calculations!$D$50</definedName>
    <definedName name="pre_tax_npv_capex_ratio__profitability_Index">Calculations!#REF!</definedName>
    <definedName name="Tax_Paid">Calculations!$D$30:$AF$30</definedName>
    <definedName name="Taxable_Cash_Flow">Calculations!$D$29:$AF$29</definedName>
    <definedName name="todate">Calculations!$D$5:A$1048576</definedName>
    <definedName name="total_capacity_of_all_turbines__mW">'Input Data (+SSA)'!$E$47</definedName>
    <definedName name="total_capital_costs">'Input Data (+SSA)'!$E$21</definedName>
    <definedName name="total_cost_of_construction_for_all_turbines">'Input Data (+SSA)'!#REF!</definedName>
    <definedName name="total_cost_of_construction_per_turbine">'Input Data (+SSA)'!$E$18</definedName>
    <definedName name="total_decommissioning_costs">'Input Data (+SSA)'!$E$31</definedName>
    <definedName name="Total_Expenditure_Discounted">Calculations!$D$18:$AC$18</definedName>
    <definedName name="Total_Expenditure_Undiscounted">Calculations!$D$17:$AF$17</definedName>
    <definedName name="total_hours_of_potential_operation_yearly">'Input Data (+SSA)'!$E$9</definedName>
    <definedName name="total_opex_per_year">'Input Data (+SSA)'!$E$24</definedName>
    <definedName name="Total_Sales_Undiscounted">Calculations!$D$21:$AF$21</definedName>
    <definedName name="turbine_capacity_mW">'Input Data (+SSA)'!$E$7</definedName>
    <definedName name="turbine_economic_lifetime_years">'Input Data (+SSA)'!#REF!</definedName>
    <definedName name="Year">Calculations!$D$6:$AF$6</definedName>
    <definedName name="yearly_operation_and_maintenance_costs_per_turbine">'Input Data (+SSA)'!$E$23</definedName>
    <definedName name="years_before_turbines_start_operating" comment="This is to help calculate the depreciation allowance. ">'Input Data (+SSA)'!$E$14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12" l="1"/>
  <c r="K16" i="12"/>
  <c r="M15" i="12"/>
  <c r="C10" i="12" l="1"/>
  <c r="D10" i="12"/>
  <c r="E10" i="12"/>
  <c r="F10" i="12"/>
  <c r="E11" i="12"/>
  <c r="D13" i="12"/>
  <c r="E13" i="12"/>
  <c r="E15" i="12"/>
  <c r="E16" i="12"/>
  <c r="E12" i="12"/>
  <c r="E14" i="12"/>
  <c r="D11" i="12"/>
  <c r="D15" i="12"/>
  <c r="D16" i="12"/>
  <c r="D12" i="12"/>
  <c r="D14" i="12"/>
  <c r="G10" i="12" l="1"/>
  <c r="B189" i="1"/>
  <c r="B190" i="1"/>
  <c r="B191" i="1"/>
  <c r="B192" i="1"/>
  <c r="B193" i="1"/>
  <c r="B194" i="1"/>
  <c r="B188" i="1"/>
  <c r="B152" i="1"/>
  <c r="B153" i="1"/>
  <c r="B154" i="1"/>
  <c r="B156" i="1"/>
  <c r="B157" i="1"/>
  <c r="B158" i="1"/>
  <c r="B155" i="1"/>
  <c r="B104" i="1"/>
  <c r="B98" i="1"/>
  <c r="B99" i="1"/>
  <c r="B100" i="1"/>
  <c r="B101" i="1"/>
  <c r="B102" i="1"/>
  <c r="B103" i="1"/>
  <c r="C11" i="12"/>
  <c r="F11" i="12"/>
  <c r="F13" i="12"/>
  <c r="C13" i="12"/>
  <c r="F15" i="12"/>
  <c r="C15" i="12"/>
  <c r="F16" i="12"/>
  <c r="C16" i="12"/>
  <c r="F12" i="12"/>
  <c r="C12" i="12"/>
  <c r="F14" i="12"/>
  <c r="C14" i="12"/>
  <c r="G11" i="12" l="1"/>
  <c r="G16" i="12"/>
  <c r="G15" i="12"/>
  <c r="G12" i="12"/>
  <c r="G13" i="12"/>
  <c r="G14" i="12"/>
  <c r="C140" i="1"/>
  <c r="B140" i="1" s="1"/>
  <c r="C139" i="1"/>
  <c r="B139" i="1" s="1"/>
  <c r="C138" i="1"/>
  <c r="B138" i="1" s="1"/>
  <c r="C134" i="1"/>
  <c r="B134" i="1" s="1"/>
  <c r="C135" i="1"/>
  <c r="B135" i="1" s="1"/>
  <c r="C136" i="1"/>
  <c r="B136" i="1" s="1"/>
  <c r="B137" i="1"/>
  <c r="B83" i="1"/>
  <c r="B86" i="1"/>
  <c r="B85" i="1"/>
  <c r="B84" i="1"/>
  <c r="B80" i="1"/>
  <c r="B81" i="1"/>
  <c r="B82" i="1"/>
  <c r="C176" i="1"/>
  <c r="B176" i="1" s="1"/>
  <c r="C175" i="1"/>
  <c r="B175" i="1" s="1"/>
  <c r="C174" i="1"/>
  <c r="B174" i="1" s="1"/>
  <c r="C170" i="1"/>
  <c r="B170" i="1" s="1"/>
  <c r="C171" i="1"/>
  <c r="B171" i="1" s="1"/>
  <c r="C172" i="1"/>
  <c r="B172" i="1" s="1"/>
  <c r="B173" i="1"/>
  <c r="B119" i="1"/>
  <c r="B68" i="1"/>
  <c r="B67" i="1"/>
  <c r="B66" i="1"/>
  <c r="B62" i="1"/>
  <c r="B63" i="1"/>
  <c r="B64" i="1"/>
  <c r="B65" i="1"/>
  <c r="H10" i="12" l="1"/>
  <c r="H15" i="12"/>
  <c r="H14" i="12"/>
  <c r="H11" i="12"/>
  <c r="H16" i="12"/>
  <c r="H12" i="12"/>
  <c r="H13" i="12"/>
  <c r="C118" i="1"/>
  <c r="B118" i="1" s="1"/>
  <c r="B122" i="1"/>
  <c r="B121" i="1"/>
  <c r="B120" i="1"/>
  <c r="B117" i="1"/>
  <c r="B116" i="1"/>
  <c r="AD45" i="8" l="1"/>
  <c r="AE45" i="8"/>
  <c r="AF45" i="8"/>
  <c r="E27" i="8"/>
  <c r="F27" i="8"/>
  <c r="P27" i="8"/>
  <c r="Q27" i="8"/>
  <c r="R27" i="8"/>
  <c r="S27" i="8"/>
  <c r="T27" i="8"/>
  <c r="U27" i="8"/>
  <c r="V27" i="8"/>
  <c r="W27" i="8"/>
  <c r="X27" i="8"/>
  <c r="Y27" i="8"/>
  <c r="Z27" i="8"/>
  <c r="AA27" i="8"/>
  <c r="AB27" i="8"/>
  <c r="AC27" i="8"/>
  <c r="AD27" i="8"/>
  <c r="AE27" i="8"/>
  <c r="AF27" i="8"/>
  <c r="D27" i="8"/>
  <c r="G14" i="8"/>
  <c r="H14" i="8"/>
  <c r="I14" i="8"/>
  <c r="J14" i="8"/>
  <c r="K14" i="8"/>
  <c r="L14" i="8"/>
  <c r="M14" i="8"/>
  <c r="N14" i="8"/>
  <c r="O14" i="8"/>
  <c r="P14" i="8"/>
  <c r="Q14" i="8"/>
  <c r="R14" i="8"/>
  <c r="S14" i="8"/>
  <c r="T14" i="8"/>
  <c r="U14" i="8"/>
  <c r="V14" i="8"/>
  <c r="W14" i="8"/>
  <c r="X14" i="8"/>
  <c r="Y14" i="8"/>
  <c r="Z14" i="8"/>
  <c r="AA14" i="8"/>
  <c r="AB14" i="8"/>
  <c r="AC14" i="8"/>
  <c r="AD14" i="8"/>
  <c r="AE14" i="8"/>
  <c r="AF14" i="8"/>
  <c r="E11" i="8"/>
  <c r="E16" i="8" s="1"/>
  <c r="F11" i="8"/>
  <c r="F16" i="8" s="1"/>
  <c r="G11" i="8"/>
  <c r="G16" i="8" s="1"/>
  <c r="H11" i="8"/>
  <c r="H16" i="8" s="1"/>
  <c r="I11" i="8"/>
  <c r="I16" i="8" s="1"/>
  <c r="J11" i="8"/>
  <c r="J16" i="8" s="1"/>
  <c r="K11" i="8"/>
  <c r="K16" i="8" s="1"/>
  <c r="L11" i="8"/>
  <c r="L16" i="8" s="1"/>
  <c r="M11" i="8"/>
  <c r="M16" i="8" s="1"/>
  <c r="N11" i="8"/>
  <c r="N16" i="8" s="1"/>
  <c r="O11" i="8"/>
  <c r="O16" i="8" s="1"/>
  <c r="P11" i="8"/>
  <c r="P16" i="8" s="1"/>
  <c r="Q11" i="8"/>
  <c r="Q16" i="8" s="1"/>
  <c r="R11" i="8"/>
  <c r="R16" i="8" s="1"/>
  <c r="S11" i="8"/>
  <c r="S16" i="8" s="1"/>
  <c r="T11" i="8"/>
  <c r="T16" i="8" s="1"/>
  <c r="U11" i="8"/>
  <c r="U16" i="8" s="1"/>
  <c r="V11" i="8"/>
  <c r="V16" i="8" s="1"/>
  <c r="W11" i="8"/>
  <c r="W16" i="8" s="1"/>
  <c r="X11" i="8"/>
  <c r="X16" i="8" s="1"/>
  <c r="Y11" i="8"/>
  <c r="Y16" i="8" s="1"/>
  <c r="Z11" i="8"/>
  <c r="Z16" i="8" s="1"/>
  <c r="AA11" i="8"/>
  <c r="AB11" i="8"/>
  <c r="AC11" i="8"/>
  <c r="AD11" i="8"/>
  <c r="AE11" i="8"/>
  <c r="AE16" i="8" s="1"/>
  <c r="AF11" i="8"/>
  <c r="AF16" i="8" s="1"/>
  <c r="D11" i="8"/>
  <c r="D16" i="8" s="1"/>
  <c r="E10" i="8"/>
  <c r="E15" i="8" s="1"/>
  <c r="F10" i="8"/>
  <c r="F15" i="8" s="1"/>
  <c r="G10" i="8"/>
  <c r="H10" i="8"/>
  <c r="I10" i="8"/>
  <c r="J10" i="8"/>
  <c r="K10" i="8"/>
  <c r="L10" i="8"/>
  <c r="M10" i="8"/>
  <c r="N10" i="8"/>
  <c r="O10" i="8"/>
  <c r="P10" i="8"/>
  <c r="Q10" i="8"/>
  <c r="R10" i="8"/>
  <c r="S10" i="8"/>
  <c r="T10" i="8"/>
  <c r="U10" i="8"/>
  <c r="V10" i="8"/>
  <c r="W10" i="8"/>
  <c r="X10" i="8"/>
  <c r="Y10" i="8"/>
  <c r="Z10" i="8"/>
  <c r="AA10" i="8"/>
  <c r="AB10" i="8"/>
  <c r="AB15" i="8" s="1"/>
  <c r="AC10" i="8"/>
  <c r="AC15" i="8" s="1"/>
  <c r="AD10" i="8"/>
  <c r="AD15" i="8" s="1"/>
  <c r="AE10" i="8"/>
  <c r="AE15" i="8" s="1"/>
  <c r="AF10" i="8"/>
  <c r="AF15" i="8" s="1"/>
  <c r="D10" i="8"/>
  <c r="D15" i="8" s="1"/>
  <c r="AF46" i="8" l="1"/>
  <c r="AD46" i="8"/>
  <c r="AB46" i="8"/>
  <c r="AE46" i="8"/>
  <c r="AC46" i="8"/>
  <c r="F46" i="8"/>
  <c r="E46" i="8"/>
  <c r="D46" i="8"/>
  <c r="C11" i="8"/>
  <c r="C10" i="8"/>
  <c r="E24" i="1" l="1"/>
  <c r="E21" i="1" l="1"/>
  <c r="O27" i="8" s="1"/>
  <c r="E12" i="1"/>
  <c r="E31" i="1" l="1"/>
  <c r="H27" i="8"/>
  <c r="I27" i="8"/>
  <c r="J27" i="8"/>
  <c r="K27" i="8"/>
  <c r="M27" i="8"/>
  <c r="L27" i="8"/>
  <c r="N27" i="8"/>
  <c r="G27" i="8"/>
  <c r="E45" i="1"/>
  <c r="AA15" i="8" s="1"/>
  <c r="E46" i="1"/>
  <c r="AD16" i="8" l="1"/>
  <c r="AD28" i="8" s="1"/>
  <c r="T15" i="8"/>
  <c r="U15" i="8"/>
  <c r="I15" i="8"/>
  <c r="N15" i="8"/>
  <c r="S15" i="8"/>
  <c r="R15" i="8"/>
  <c r="X15" i="8"/>
  <c r="J15" i="8"/>
  <c r="Q15" i="8"/>
  <c r="P15" i="8"/>
  <c r="K15" i="8"/>
  <c r="V15" i="8"/>
  <c r="L15" i="8"/>
  <c r="Y15" i="8"/>
  <c r="G15" i="8"/>
  <c r="M15" i="8"/>
  <c r="Z15" i="8"/>
  <c r="O15" i="8"/>
  <c r="H15" i="8"/>
  <c r="W15" i="8"/>
  <c r="AB16" i="8"/>
  <c r="AC16" i="8"/>
  <c r="AC28" i="8" s="1"/>
  <c r="AA16" i="8"/>
  <c r="D28" i="8"/>
  <c r="E28" i="8"/>
  <c r="F28" i="8"/>
  <c r="H28" i="8"/>
  <c r="I28" i="8"/>
  <c r="J28" i="8"/>
  <c r="L28" i="8"/>
  <c r="M28" i="8"/>
  <c r="N28" i="8"/>
  <c r="O28" i="8"/>
  <c r="Q28" i="8"/>
  <c r="R28" i="8"/>
  <c r="T28" i="8"/>
  <c r="U28" i="8"/>
  <c r="V28" i="8"/>
  <c r="Y28" i="8"/>
  <c r="Z28" i="8"/>
  <c r="D21" i="8"/>
  <c r="E21" i="8"/>
  <c r="F21" i="8"/>
  <c r="E15" i="1"/>
  <c r="D9" i="8" s="1"/>
  <c r="D14" i="8" l="1"/>
  <c r="F22" i="8"/>
  <c r="E22" i="8"/>
  <c r="D22" i="8"/>
  <c r="X28" i="8"/>
  <c r="W28" i="8"/>
  <c r="G28" i="8"/>
  <c r="AE28" i="8"/>
  <c r="AB28" i="8"/>
  <c r="AA28" i="8"/>
  <c r="S28" i="8"/>
  <c r="K28" i="8"/>
  <c r="P28" i="8"/>
  <c r="E48" i="1"/>
  <c r="E17" i="1"/>
  <c r="F9" i="8" s="1"/>
  <c r="F14" i="8" s="1"/>
  <c r="E16" i="1"/>
  <c r="E9" i="8" s="1"/>
  <c r="E14" i="8" s="1"/>
  <c r="D53" i="8" l="1"/>
  <c r="D17" i="8"/>
  <c r="C9" i="8"/>
  <c r="M17" i="8"/>
  <c r="M18" i="8" s="1"/>
  <c r="M45" i="8" s="1"/>
  <c r="U17" i="8"/>
  <c r="U18" i="8" s="1"/>
  <c r="U45" i="8" s="1"/>
  <c r="AC17" i="8"/>
  <c r="AC18" i="8" s="1"/>
  <c r="AC45" i="8" s="1"/>
  <c r="N17" i="8"/>
  <c r="N18" i="8" s="1"/>
  <c r="N45" i="8" s="1"/>
  <c r="AD17" i="8"/>
  <c r="AD18" i="8" s="1"/>
  <c r="O17" i="8"/>
  <c r="O18" i="8" s="1"/>
  <c r="O45" i="8" s="1"/>
  <c r="AE17" i="8"/>
  <c r="AE18" i="8" s="1"/>
  <c r="H17" i="8"/>
  <c r="H18" i="8" s="1"/>
  <c r="H45" i="8" s="1"/>
  <c r="X17" i="8"/>
  <c r="X18" i="8" s="1"/>
  <c r="X45" i="8" s="1"/>
  <c r="Q17" i="8"/>
  <c r="Q18" i="8" s="1"/>
  <c r="Q45" i="8" s="1"/>
  <c r="J17" i="8"/>
  <c r="J18" i="8" s="1"/>
  <c r="J45" i="8" s="1"/>
  <c r="R17" i="8"/>
  <c r="R18" i="8" s="1"/>
  <c r="R45" i="8" s="1"/>
  <c r="Z17" i="8"/>
  <c r="Z18" i="8" s="1"/>
  <c r="Z45" i="8" s="1"/>
  <c r="K17" i="8"/>
  <c r="K18" i="8" s="1"/>
  <c r="K45" i="8" s="1"/>
  <c r="S17" i="8"/>
  <c r="S18" i="8" s="1"/>
  <c r="S45" i="8" s="1"/>
  <c r="AA17" i="8"/>
  <c r="AA18" i="8" s="1"/>
  <c r="AA45" i="8" s="1"/>
  <c r="P17" i="8"/>
  <c r="P18" i="8" s="1"/>
  <c r="P45" i="8" s="1"/>
  <c r="Y17" i="8"/>
  <c r="Y18" i="8" s="1"/>
  <c r="Y45" i="8" s="1"/>
  <c r="I17" i="8"/>
  <c r="I18" i="8" s="1"/>
  <c r="I45" i="8" s="1"/>
  <c r="L17" i="8"/>
  <c r="L18" i="8" s="1"/>
  <c r="L45" i="8" s="1"/>
  <c r="T17" i="8"/>
  <c r="T18" i="8" s="1"/>
  <c r="T45" i="8" s="1"/>
  <c r="AB17" i="8"/>
  <c r="AB18" i="8" s="1"/>
  <c r="AB45" i="8" s="1"/>
  <c r="V17" i="8"/>
  <c r="V18" i="8" s="1"/>
  <c r="V45" i="8" s="1"/>
  <c r="G17" i="8"/>
  <c r="G18" i="8" s="1"/>
  <c r="G45" i="8" s="1"/>
  <c r="W17" i="8"/>
  <c r="W18" i="8" s="1"/>
  <c r="W45" i="8" s="1"/>
  <c r="E49" i="1"/>
  <c r="E51" i="1" s="1"/>
  <c r="AA46" i="8" s="1"/>
  <c r="E50" i="1"/>
  <c r="E47" i="1"/>
  <c r="D18" i="8" l="1"/>
  <c r="D45" i="8" s="1"/>
  <c r="D25" i="8"/>
  <c r="J46" i="8"/>
  <c r="Q46" i="8"/>
  <c r="I46" i="8"/>
  <c r="P46" i="8"/>
  <c r="O46" i="8"/>
  <c r="N46" i="8"/>
  <c r="T46" i="8"/>
  <c r="M46" i="8"/>
  <c r="H46" i="8"/>
  <c r="G46" i="8"/>
  <c r="V46" i="8"/>
  <c r="S46" i="8"/>
  <c r="R46" i="8"/>
  <c r="Y46" i="8"/>
  <c r="L46" i="8"/>
  <c r="K46" i="8"/>
  <c r="Z46" i="8"/>
  <c r="W46" i="8"/>
  <c r="U46" i="8"/>
  <c r="X46" i="8"/>
  <c r="K21" i="8"/>
  <c r="S21" i="8"/>
  <c r="AA21" i="8"/>
  <c r="T21" i="8"/>
  <c r="AC21" i="8"/>
  <c r="N21" i="8"/>
  <c r="AD21" i="8"/>
  <c r="W21" i="8"/>
  <c r="AE21" i="8"/>
  <c r="G21" i="8"/>
  <c r="G25" i="8" s="1"/>
  <c r="H21" i="8"/>
  <c r="P21" i="8"/>
  <c r="X21" i="8"/>
  <c r="AF21" i="8"/>
  <c r="I21" i="8"/>
  <c r="Q21" i="8"/>
  <c r="Y21" i="8"/>
  <c r="V21" i="8"/>
  <c r="O21" i="8"/>
  <c r="J21" i="8"/>
  <c r="R21" i="8"/>
  <c r="Z21" i="8"/>
  <c r="L21" i="8"/>
  <c r="AB21" i="8"/>
  <c r="M21" i="8"/>
  <c r="U21" i="8"/>
  <c r="D11" i="6"/>
  <c r="D29" i="8" l="1"/>
  <c r="D26" i="8"/>
  <c r="G29" i="8"/>
  <c r="G26" i="8"/>
  <c r="AD22" i="8"/>
  <c r="AD25" i="8"/>
  <c r="X22" i="8"/>
  <c r="X25" i="8"/>
  <c r="X26" i="8" s="1"/>
  <c r="H22" i="8"/>
  <c r="H25" i="8"/>
  <c r="AE22" i="8"/>
  <c r="AE25" i="8"/>
  <c r="AE26" i="8" s="1"/>
  <c r="AB22" i="8"/>
  <c r="AB25" i="8"/>
  <c r="AB26" i="8" s="1"/>
  <c r="W22" i="8"/>
  <c r="W25" i="8"/>
  <c r="W26" i="8" s="1"/>
  <c r="Z22" i="8"/>
  <c r="Z25" i="8"/>
  <c r="Z26" i="8" s="1"/>
  <c r="N22" i="8"/>
  <c r="N25" i="8"/>
  <c r="N26" i="8" s="1"/>
  <c r="I22" i="8"/>
  <c r="I25" i="8"/>
  <c r="M22" i="8"/>
  <c r="M25" i="8"/>
  <c r="M26" i="8" s="1"/>
  <c r="L22" i="8"/>
  <c r="L25" i="8"/>
  <c r="L26" i="8" s="1"/>
  <c r="R22" i="8"/>
  <c r="R25" i="8"/>
  <c r="R26" i="8" s="1"/>
  <c r="AC22" i="8"/>
  <c r="AC25" i="8"/>
  <c r="AC26" i="8" s="1"/>
  <c r="T22" i="8"/>
  <c r="T25" i="8"/>
  <c r="T26" i="8" s="1"/>
  <c r="O22" i="8"/>
  <c r="O25" i="8"/>
  <c r="O26" i="8" s="1"/>
  <c r="U22" i="8"/>
  <c r="U25" i="8"/>
  <c r="U26" i="8" s="1"/>
  <c r="S22" i="8"/>
  <c r="S25" i="8"/>
  <c r="S26" i="8" s="1"/>
  <c r="K22" i="8"/>
  <c r="K25" i="8"/>
  <c r="K26" i="8" s="1"/>
  <c r="P22" i="8"/>
  <c r="P25" i="8"/>
  <c r="P26" i="8" s="1"/>
  <c r="J22" i="8"/>
  <c r="J25" i="8"/>
  <c r="J26" i="8" s="1"/>
  <c r="AA22" i="8"/>
  <c r="AA25" i="8"/>
  <c r="AA26" i="8" s="1"/>
  <c r="V22" i="8"/>
  <c r="V25" i="8"/>
  <c r="V26" i="8" s="1"/>
  <c r="Y22" i="8"/>
  <c r="Y25" i="8"/>
  <c r="Y26" i="8" s="1"/>
  <c r="Q22" i="8"/>
  <c r="Q25" i="8"/>
  <c r="Q26" i="8" s="1"/>
  <c r="AF22" i="8"/>
  <c r="G22" i="8"/>
  <c r="E17" i="8"/>
  <c r="E25" i="8" s="1"/>
  <c r="F17" i="8"/>
  <c r="F25" i="8" s="1"/>
  <c r="C11" i="6"/>
  <c r="A11" i="6"/>
  <c r="E26" i="8" l="1"/>
  <c r="H29" i="8"/>
  <c r="H30" i="8" s="1"/>
  <c r="H31" i="8" s="1"/>
  <c r="H26" i="8"/>
  <c r="I29" i="8"/>
  <c r="I30" i="8" s="1"/>
  <c r="I31" i="8" s="1"/>
  <c r="I26" i="8"/>
  <c r="F29" i="8"/>
  <c r="F26" i="8"/>
  <c r="AD29" i="8"/>
  <c r="AD30" i="8" s="1"/>
  <c r="AD31" i="8" s="1"/>
  <c r="AD26" i="8"/>
  <c r="E29" i="8"/>
  <c r="Q29" i="8"/>
  <c r="Q30" i="8" s="1"/>
  <c r="Q31" i="8" s="1"/>
  <c r="W29" i="8"/>
  <c r="W30" i="8" s="1"/>
  <c r="W31" i="8" s="1"/>
  <c r="AB29" i="8"/>
  <c r="AB30" i="8" s="1"/>
  <c r="AB31" i="8" s="1"/>
  <c r="L29" i="8"/>
  <c r="L30" i="8" s="1"/>
  <c r="L31" i="8" s="1"/>
  <c r="N29" i="8"/>
  <c r="N30" i="8" s="1"/>
  <c r="N31" i="8" s="1"/>
  <c r="V29" i="8"/>
  <c r="V30" i="8" s="1"/>
  <c r="V31" i="8" s="1"/>
  <c r="AC29" i="8"/>
  <c r="AC30" i="8" s="1"/>
  <c r="AC31" i="8" s="1"/>
  <c r="Y29" i="8"/>
  <c r="Y30" i="8" s="1"/>
  <c r="Y31" i="8" s="1"/>
  <c r="AA29" i="8"/>
  <c r="AA30" i="8" s="1"/>
  <c r="AA31" i="8" s="1"/>
  <c r="U29" i="8"/>
  <c r="U30" i="8" s="1"/>
  <c r="U31" i="8" s="1"/>
  <c r="O29" i="8"/>
  <c r="O30" i="8" s="1"/>
  <c r="O31" i="8" s="1"/>
  <c r="J29" i="8"/>
  <c r="J30" i="8" s="1"/>
  <c r="J31" i="8" s="1"/>
  <c r="AE29" i="8"/>
  <c r="AE30" i="8" s="1"/>
  <c r="AE31" i="8" s="1"/>
  <c r="P29" i="8"/>
  <c r="P30" i="8" s="1"/>
  <c r="P31" i="8" s="1"/>
  <c r="K29" i="8"/>
  <c r="K30" i="8" s="1"/>
  <c r="K31" i="8" s="1"/>
  <c r="M29" i="8"/>
  <c r="M30" i="8" s="1"/>
  <c r="M31" i="8" s="1"/>
  <c r="X29" i="8"/>
  <c r="X30" i="8" s="1"/>
  <c r="X31" i="8" s="1"/>
  <c r="Z29" i="8"/>
  <c r="Z30" i="8" s="1"/>
  <c r="Z31" i="8" s="1"/>
  <c r="T29" i="8"/>
  <c r="T30" i="8" s="1"/>
  <c r="T31" i="8" s="1"/>
  <c r="R29" i="8"/>
  <c r="R30" i="8" s="1"/>
  <c r="R31" i="8" s="1"/>
  <c r="S29" i="8"/>
  <c r="S30" i="8" s="1"/>
  <c r="S31" i="8" s="1"/>
  <c r="F18" i="8"/>
  <c r="F45" i="8" s="1"/>
  <c r="E18" i="8"/>
  <c r="E45" i="8" s="1"/>
  <c r="G30" i="8"/>
  <c r="G31" i="8" s="1"/>
  <c r="AF28" i="8"/>
  <c r="AF17" i="8"/>
  <c r="D30" i="8"/>
  <c r="D31" i="8" s="1"/>
  <c r="D47" i="8" l="1" a="1"/>
  <c r="D47" i="8" s="1"/>
  <c r="I10" i="14" s="1"/>
  <c r="AF25" i="8"/>
  <c r="AF26" i="8" s="1"/>
  <c r="E50" i="8" s="1"/>
  <c r="AF18" i="8"/>
  <c r="D32" i="8"/>
  <c r="V32" i="8"/>
  <c r="M32" i="8"/>
  <c r="N32" i="8"/>
  <c r="AB32" i="8"/>
  <c r="P32" i="8"/>
  <c r="R32" i="8"/>
  <c r="W32" i="8"/>
  <c r="K32" i="8"/>
  <c r="S32" i="8"/>
  <c r="H32" i="8"/>
  <c r="T32" i="8"/>
  <c r="U32" i="8"/>
  <c r="Q32" i="8"/>
  <c r="AC32" i="8"/>
  <c r="AE32" i="8"/>
  <c r="O32" i="8"/>
  <c r="AD32" i="8"/>
  <c r="Z32" i="8"/>
  <c r="G32" i="8"/>
  <c r="I32" i="8"/>
  <c r="AA32" i="8"/>
  <c r="L32" i="8"/>
  <c r="X32" i="8"/>
  <c r="J32" i="8"/>
  <c r="Y32" i="8"/>
  <c r="E30" i="8"/>
  <c r="E31" i="8" s="1"/>
  <c r="F30" i="8"/>
  <c r="F31" i="8" s="1"/>
  <c r="D35" i="8"/>
  <c r="M19" i="12" l="1"/>
  <c r="F10" i="14"/>
  <c r="D54" i="8"/>
  <c r="D36" i="8"/>
  <c r="D40" i="8" s="1"/>
  <c r="D42" i="8" s="1"/>
  <c r="AF29" i="8"/>
  <c r="AF30" i="8" s="1"/>
  <c r="AF31" i="8" s="1"/>
  <c r="F9" i="14" s="1"/>
  <c r="D50" i="8"/>
  <c r="D37" i="8"/>
  <c r="F32" i="8"/>
  <c r="E32" i="8"/>
  <c r="N35" i="8"/>
  <c r="F35" i="8"/>
  <c r="Z35" i="8"/>
  <c r="J35" i="8"/>
  <c r="AC35" i="8"/>
  <c r="K35" i="8"/>
  <c r="H35" i="8"/>
  <c r="U35" i="8"/>
  <c r="V35" i="8"/>
  <c r="E35" i="8"/>
  <c r="L35" i="8"/>
  <c r="M35" i="8"/>
  <c r="Q35" i="8"/>
  <c r="X35" i="8"/>
  <c r="P35" i="8"/>
  <c r="R35" i="8"/>
  <c r="AE35" i="8"/>
  <c r="Y35" i="8"/>
  <c r="W35" i="8"/>
  <c r="AB35" i="8"/>
  <c r="O35" i="8"/>
  <c r="T35" i="8"/>
  <c r="G35" i="8"/>
  <c r="AA35" i="8"/>
  <c r="I35" i="8"/>
  <c r="S35" i="8"/>
  <c r="AD35" i="8"/>
  <c r="E41" i="8" l="1" a="1"/>
  <c r="E41" i="8" s="1"/>
  <c r="D39" i="8"/>
  <c r="L36" i="8"/>
  <c r="L40" i="8" s="1"/>
  <c r="U36" i="8"/>
  <c r="U40" i="8" s="1"/>
  <c r="AE36" i="8"/>
  <c r="AE40" i="8" s="1"/>
  <c r="W36" i="8"/>
  <c r="W40" i="8" s="1"/>
  <c r="M36" i="8"/>
  <c r="M40" i="8" s="1"/>
  <c r="Q36" i="8"/>
  <c r="Q40" i="8" s="1"/>
  <c r="G36" i="8"/>
  <c r="G40" i="8" s="1"/>
  <c r="H36" i="8"/>
  <c r="H40" i="8" s="1"/>
  <c r="J36" i="8"/>
  <c r="J40" i="8" s="1"/>
  <c r="E36" i="8"/>
  <c r="E40" i="8" s="1"/>
  <c r="AB36" i="8"/>
  <c r="AB40" i="8" s="1"/>
  <c r="AC36" i="8"/>
  <c r="AC40" i="8" s="1"/>
  <c r="X36" i="8"/>
  <c r="X40" i="8" s="1"/>
  <c r="Z36" i="8"/>
  <c r="Z40" i="8" s="1"/>
  <c r="AA36" i="8"/>
  <c r="AA40" i="8" s="1"/>
  <c r="AD36" i="8"/>
  <c r="AD40" i="8" s="1"/>
  <c r="Y36" i="8"/>
  <c r="Y40" i="8" s="1"/>
  <c r="T36" i="8"/>
  <c r="T40" i="8" s="1"/>
  <c r="F36" i="8"/>
  <c r="F40" i="8" s="1"/>
  <c r="N36" i="8"/>
  <c r="N40" i="8" s="1"/>
  <c r="V36" i="8"/>
  <c r="V40" i="8" s="1"/>
  <c r="P36" i="8"/>
  <c r="P40" i="8" s="1"/>
  <c r="S36" i="8"/>
  <c r="S40" i="8" s="1"/>
  <c r="O36" i="8"/>
  <c r="O40" i="8" s="1"/>
  <c r="I36" i="8"/>
  <c r="I40" i="8" s="1"/>
  <c r="K36" i="8"/>
  <c r="K40" i="8" s="1"/>
  <c r="R36" i="8"/>
  <c r="R40" i="8" s="1"/>
  <c r="E38" i="8" a="1"/>
  <c r="E38" i="8" s="1"/>
  <c r="G37" i="8"/>
  <c r="M37" i="8"/>
  <c r="AC37" i="8"/>
  <c r="T37" i="8"/>
  <c r="O37" i="8"/>
  <c r="U37" i="8"/>
  <c r="H37" i="8"/>
  <c r="AE37" i="8"/>
  <c r="J37" i="8"/>
  <c r="E37" i="8"/>
  <c r="AB37" i="8"/>
  <c r="Y37" i="8"/>
  <c r="Z37" i="8"/>
  <c r="P37" i="8"/>
  <c r="AA37" i="8"/>
  <c r="X37" i="8"/>
  <c r="Q37" i="8"/>
  <c r="L37" i="8"/>
  <c r="V37" i="8"/>
  <c r="W37" i="8"/>
  <c r="K37" i="8"/>
  <c r="R37" i="8"/>
  <c r="F37" i="8"/>
  <c r="N37" i="8"/>
  <c r="AD37" i="8"/>
  <c r="S37" i="8"/>
  <c r="I37" i="8"/>
  <c r="AF32" i="8"/>
  <c r="AF36" i="8" s="1"/>
  <c r="AF40" i="8" s="1"/>
  <c r="D52" i="8"/>
  <c r="AF35" i="8"/>
  <c r="F8" i="14" l="1"/>
  <c r="E39" i="8"/>
  <c r="E51" i="8"/>
  <c r="D51" i="8"/>
  <c r="Y41" i="8" a="1"/>
  <c r="Y41" i="8" s="1"/>
  <c r="Y42" i="8" s="1"/>
  <c r="F41" i="8" a="1"/>
  <c r="F41" i="8" s="1"/>
  <c r="F42" i="8" s="1"/>
  <c r="E42" i="8"/>
  <c r="AA41" i="8" a="1"/>
  <c r="AA41" i="8" s="1"/>
  <c r="AA42" i="8" s="1"/>
  <c r="I41" i="8" a="1"/>
  <c r="I41" i="8" s="1"/>
  <c r="I42" i="8" s="1"/>
  <c r="T41" i="8" a="1"/>
  <c r="T41" i="8" s="1"/>
  <c r="T42" i="8" s="1"/>
  <c r="H41" i="8" a="1"/>
  <c r="H41" i="8" s="1"/>
  <c r="H42" i="8" s="1"/>
  <c r="L41" i="8" a="1"/>
  <c r="L41" i="8" s="1"/>
  <c r="L42" i="8" s="1"/>
  <c r="Q41" i="8" a="1"/>
  <c r="Q41" i="8" s="1"/>
  <c r="Q42" i="8" s="1"/>
  <c r="R41" i="8" a="1"/>
  <c r="R41" i="8" s="1"/>
  <c r="R42" i="8" s="1"/>
  <c r="AD41" i="8" a="1"/>
  <c r="AD41" i="8" s="1"/>
  <c r="AD42" i="8" s="1"/>
  <c r="W41" i="8" a="1"/>
  <c r="W41" i="8" s="1"/>
  <c r="W42" i="8" s="1"/>
  <c r="N41" i="8" a="1"/>
  <c r="N41" i="8" s="1"/>
  <c r="N42" i="8" s="1"/>
  <c r="AC41" i="8" a="1"/>
  <c r="AC41" i="8" s="1"/>
  <c r="AC42" i="8" s="1"/>
  <c r="O41" i="8" a="1"/>
  <c r="O41" i="8" s="1"/>
  <c r="O42" i="8" s="1"/>
  <c r="X41" i="8" a="1"/>
  <c r="X41" i="8" s="1"/>
  <c r="X42" i="8" s="1"/>
  <c r="AE41" i="8" a="1"/>
  <c r="AE41" i="8" s="1"/>
  <c r="AE42" i="8" s="1"/>
  <c r="K41" i="8" a="1"/>
  <c r="K41" i="8" s="1"/>
  <c r="K42" i="8" s="1"/>
  <c r="AF41" i="8" a="1"/>
  <c r="AF41" i="8" s="1"/>
  <c r="AF42" i="8" s="1"/>
  <c r="AB41" i="8" a="1"/>
  <c r="AB41" i="8" s="1"/>
  <c r="AB42" i="8" s="1"/>
  <c r="S41" i="8" a="1"/>
  <c r="S41" i="8" s="1"/>
  <c r="S42" i="8" s="1"/>
  <c r="P41" i="8" a="1"/>
  <c r="P41" i="8" s="1"/>
  <c r="P42" i="8" s="1"/>
  <c r="G41" i="8" a="1"/>
  <c r="G41" i="8" s="1"/>
  <c r="G42" i="8" s="1"/>
  <c r="U41" i="8" a="1"/>
  <c r="U41" i="8" s="1"/>
  <c r="U42" i="8" s="1"/>
  <c r="V41" i="8" a="1"/>
  <c r="V41" i="8" s="1"/>
  <c r="V42" i="8" s="1"/>
  <c r="J41" i="8" a="1"/>
  <c r="J41" i="8" s="1"/>
  <c r="J42" i="8" s="1"/>
  <c r="Z41" i="8" a="1"/>
  <c r="Z41" i="8" s="1"/>
  <c r="Z42" i="8" s="1"/>
  <c r="M41" i="8" a="1"/>
  <c r="M41" i="8" s="1"/>
  <c r="M42" i="8" s="1"/>
  <c r="W38" i="8" a="1"/>
  <c r="W38" i="8" s="1"/>
  <c r="W39" i="8" s="1"/>
  <c r="M38" i="8" a="1"/>
  <c r="M38" i="8" s="1"/>
  <c r="M39" i="8" s="1"/>
  <c r="R38" i="8" a="1"/>
  <c r="R38" i="8" s="1"/>
  <c r="R39" i="8" s="1"/>
  <c r="H38" i="8" a="1"/>
  <c r="H38" i="8" s="1"/>
  <c r="H39" i="8" s="1"/>
  <c r="Y38" i="8" a="1"/>
  <c r="Y38" i="8" s="1"/>
  <c r="Y39" i="8" s="1"/>
  <c r="AA38" i="8" a="1"/>
  <c r="AA38" i="8" s="1"/>
  <c r="AA39" i="8" s="1"/>
  <c r="J38" i="8" a="1"/>
  <c r="J38" i="8" s="1"/>
  <c r="J39" i="8" s="1"/>
  <c r="AB38" i="8" a="1"/>
  <c r="AB38" i="8" s="1"/>
  <c r="AB39" i="8" s="1"/>
  <c r="F38" i="8" a="1"/>
  <c r="F38" i="8" s="1"/>
  <c r="F39" i="8" s="1"/>
  <c r="Q38" i="8" a="1"/>
  <c r="Q38" i="8" s="1"/>
  <c r="Q39" i="8" s="1"/>
  <c r="AE38" i="8" a="1"/>
  <c r="AE38" i="8" s="1"/>
  <c r="AE39" i="8" s="1"/>
  <c r="K38" i="8" a="1"/>
  <c r="K38" i="8" s="1"/>
  <c r="K39" i="8" s="1"/>
  <c r="Z38" i="8" a="1"/>
  <c r="Z38" i="8" s="1"/>
  <c r="Z39" i="8" s="1"/>
  <c r="AC38" i="8" a="1"/>
  <c r="AC38" i="8" s="1"/>
  <c r="AC39" i="8" s="1"/>
  <c r="T38" i="8" a="1"/>
  <c r="T38" i="8" s="1"/>
  <c r="T39" i="8" s="1"/>
  <c r="AF38" i="8" a="1"/>
  <c r="AF38" i="8" s="1"/>
  <c r="S38" i="8" a="1"/>
  <c r="S38" i="8" s="1"/>
  <c r="S39" i="8" s="1"/>
  <c r="V38" i="8" a="1"/>
  <c r="V38" i="8" s="1"/>
  <c r="V39" i="8" s="1"/>
  <c r="L38" i="8" a="1"/>
  <c r="L38" i="8" s="1"/>
  <c r="L39" i="8" s="1"/>
  <c r="P38" i="8" a="1"/>
  <c r="P38" i="8" s="1"/>
  <c r="P39" i="8" s="1"/>
  <c r="AD38" i="8" a="1"/>
  <c r="AD38" i="8" s="1"/>
  <c r="AD39" i="8" s="1"/>
  <c r="N38" i="8" a="1"/>
  <c r="N38" i="8" s="1"/>
  <c r="N39" i="8" s="1"/>
  <c r="O38" i="8" a="1"/>
  <c r="O38" i="8" s="1"/>
  <c r="O39" i="8" s="1"/>
  <c r="G38" i="8" a="1"/>
  <c r="G38" i="8" s="1"/>
  <c r="G39" i="8" s="1"/>
  <c r="I38" i="8" a="1"/>
  <c r="I38" i="8" s="1"/>
  <c r="I39" i="8" s="1"/>
  <c r="X38" i="8" a="1"/>
  <c r="X38" i="8" s="1"/>
  <c r="X39" i="8" s="1"/>
  <c r="U38" i="8" a="1"/>
  <c r="U38" i="8" s="1"/>
  <c r="U39" i="8" s="1"/>
  <c r="AF37" i="8"/>
  <c r="F11" i="14" l="1"/>
  <c r="J264" i="1"/>
  <c r="J275" i="1"/>
  <c r="J253" i="1"/>
  <c r="D97" i="1"/>
  <c r="D151" i="1"/>
  <c r="D133" i="1"/>
  <c r="D187" i="1"/>
  <c r="D169" i="1"/>
  <c r="D79" i="1"/>
  <c r="D115" i="1"/>
  <c r="D61" i="1"/>
  <c r="J209" i="1"/>
  <c r="J231" i="1"/>
  <c r="D55" i="8"/>
  <c r="J242" i="1"/>
  <c r="J220" i="1"/>
  <c r="AF3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tc={895CF2E9-3AFD-4EF4-B4E7-C55FE92BBD7C}</author>
    <author>tc={3DEB06E2-7BBF-4CA0-8B2C-AA8A3156B285}</author>
  </authors>
  <commentList>
    <comment ref="D9" authorId="0" shapeId="0" xr:uid="{895CF2E9-3AFD-4EF4-B4E7-C55FE92BBD7C}">
      <text>
        <t>[Threaded comment]
Your version of Excel allows you to read this threaded comment; however, any edits to it will get removed if the file is opened in a newer version of Excel. Learn more: https://go.microsoft.com/fwlink/?linkid=870924
Comment:
    Costs +10%; revenues -10% vs. base, except where these values are not available. Then own judgement used.</t>
      </text>
    </comment>
    <comment ref="E9" authorId="1" shapeId="0" xr:uid="{3DEB06E2-7BBF-4CA0-8B2C-AA8A3156B285}">
      <text>
        <t xml:space="preserve">[Threaded comment]
Your version of Excel allows you to read this threaded comment; however, any edits to it will get removed if the file is opened in a newer version of Excel. Learn more: https://go.microsoft.com/fwlink/?linkid=870924
Comment:
    Costs -10%; revenues +10% vs. base, except where these values are not available. Then own judgement used.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tc={346C37F8-A034-48D4-A995-669C54DB6DFE}</author>
  </authors>
  <commentList>
    <comment ref="B28" authorId="0" shapeId="0" xr:uid="{346C37F8-A034-48D4-A995-669C54DB6DFE}">
      <text>
        <t>[Threaded comment]
Your version of Excel allows you to read this threaded comment; however, any edits to it will get removed if the file is opened in a newer version of Excel. Learn more: https://go.microsoft.com/fwlink/?linkid=870924
Comment:
    Decommissioning costs are tax deductible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<sst xmlns="http://schemas.openxmlformats.org/spreadsheetml/2006/main" count="243" uniqueCount="183">
  <si>
    <t>Inputs</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</si>
  <si>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</si>
  <si>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</si>
  <si>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</si>
  <si>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</si>
  <si>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</si>
  <si>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</si>
  <si>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</si>
  <si>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</si>
  <si>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</si>
  <si>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</si>
  <si>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</si>
  <si>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</si>
  <si>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551ab216-ca75-49a0-b1a5-e32288747636</t>
  </si>
  <si>
    <t>CB_Block_0</t>
  </si>
  <si>
    <t>㜸〱敤㕣㕢㙣ㅣ㔷ㄹ摥ㄹ敦慣㜷搶㜶散挶改㈵扤扡㌷㘸敢㘸ㅢ愷㑤㉦㤴㤰晡㤲㕢㥢㡢ㅢ㍢㈹㔵㈹摢昱敥ㄹ㝢㤲㤹㔹㜷㘶搶㠹㑢㠱ㄴ㑡㑢戹〸戵㍣㐰戹㔶ㄵ慡㐰㐸㈰㄰慡捡敤〱〹〹㠴㕡搴㠷ち〹㈴㔰㈹〸ㅥ㐰㈸ㄲ㉦㝤愸㔴扥敦捣捣敥散慥㜷散㙥㕢㜰㤱㈷搹㍦㘷捥晤㥣晦㝡晥晦㑣㌲㑡㈶㤳㜹〳て晦攵㤳㘵攲攲㤹㘵㍦㄰㑥㜱戲㙡摢愲ㅣ㔸㔵搷㉦㡥㝢㥥戱㝣搰昲㠳ㅥ㔴挸㤵㉣㤴晢㕡挹户ㅥㄴ昹搲㤲昰㝣㔴搲㌲㤹㝣㕥㔷㔱捥㑥昸ㅢ㡡㕦㜴戶敡捦〲捣㑥㑥ㅣ㤹㍢㠱㕥㘷㠲慡㈷戶㡤ㅣて摢敥ㅡㅢ㉢㡥ㄵ㜷摣㜰敢㔸㜱晢戶㤱挹㥡ㅤ搴㍣戱换ㄵ戵挰㌳散㙤㈳搳戵㌹摢㉡摦㈹㤶㘷慢㈷㠵扢㑢捣㙤扦㘱捥戸昱㤶戱ㅢ㜷敥㌴㙦扤昵㤶㝥っ㥤㌹㍣㌹㌱敤〹搳㝦㥢晡搴㌸攵ㅢ愷㐴搹攲摡㠴昰㉣㜷扥㌸㌹㠱扦㠹昹攳敤收攲捣㠲㄰〱㠷ㄶ㥥㜰换挲搷搱戰捦ㄹ昷晤㥡戳挸捤搳㥤扤㔸㙡搹昰〳捤㤹ㄴ戶慤㍢㜱慦㜹攷〸昶捥㌶㤶晢㥤ㄹ攱晡㔶㘰㉤㔹挱㜲捥㤹㐵㐷㤵〱攷㤸㉦㡥ㅡ敥扣㌸㙣㌸㐲㜳昶搵慣㑡㌶㝣㌲㍤敦㡤扢㐸㑥㑣㉥扦㌸敥㍢㤳ぢ㠶㈷㘷攴㜳㘳㔲敡敥昵捡捤㜵慦散摣㉦愷㉥㐷㘰㥦㔷㜷慥㠷㤲攳㠶㔷慦㌹摡戹㘶戴昸收ㄹ㕣摦戹㝥㘲㡦㥡摢㕣摢戹㡤摣捡收摡㑡㕦㐴摦㜲㐷戱ㄸ㍤㐷搰㑢㤰㈷㈰〲昵〲㐱ㅦ㐱㍦㠰㤲晤㌷戸㈴搹㤰㐵㙡挹㔰㑢㜳㙡愹慣㤶㉡㙡㐹愸㈵㔳㉤捤慢愵〵戵㘴愹愵ㄳ㙡改㈴敡挴㑦扥户㔷㡤㥥昲搸㑤摦昹敥㕦晥㜴攸晢昶㡦㉥㌸㍤昰㠷㤷晡㌷愱搲㕤搱愴愶㍣攳ㄴ㐸慤㐱挵㍢㡡摢昹㘷㜵慥〰㔳㤸㍢捤㥢捤戱戱捡捥敤挶つ㠶挶㘵愵㈰扦㠹㔰㠶㔰户摦扣摢㜲㉢搵㔳ㄲ㜷ㄷ㑦ㄸ扥㘸㙣摣㘸㔴㌶㔱慤戹ㄵ晦愲㤵ぢ㘷〲㈳㄰ㄷ戶㤶㌵㍡㘹㙢㌶〳戶ㄲ扥ㅣ敦搲搶㘶挷つ扢㈶挶㑦㕢㘱昱㈵㉤挵捥戴㔷㥤敢㕣扡搷ㄳて搴㑢摢㘶㌴づ愱戶㈴晢㙥㕢㘵㔸ㄴ捥㙢㘴㜲愱敡ぢ㔷㑥㙦搴㤹戶捡㈷㠵㌷㈳㈸ㄲ㐵㐵㉥昵㕣ㄶ㐵㕣㍦㝡挴挵㐲挱慤㤵㉢㤲戹收㥥搳〱㤸㔹㔴㌰摦㐵攱〵换戳挶㥣㉤捥㙢慡ㄲ㡥㠹㠲慤㑤搹㝢慢攵㥡㍦㔹㜵〳慦㙡㌷㤷㡣㔷㤶っ㐸㥡捡愱㙡㐵㘴戳ㄹ㈹ㄴ㈰㜰㝢㝡ㄴ㈵㜳㕤㘷㕥㤰㠸㐸愰㤸㡣㝣㐱㌳搹ㄵ㡦㘲㜵㔸㠵㉤㐸㤳敡㔵慢㜴挶昹㑡ㄹ㤳挲㠱㠹㌵㔱㝦㜰搰㙢㔶改戶㡥戹㜷戶戲慡づ㐷慢摦戳㈴摣㘰扦攱㔶㙣攱愵㙡㍦㠵㌳搲〷〱戴戳㄰〸ㅤ㜷㡦慡㑥㌹慤㉣㙢愷慣㑡戰㤰㕢㄰搶晣㐲㠰㍣㘸挸㝣㥥㕢摢昶攸攷㈰㑢摦㑣㌰っ㔰㈸㘴㜲㕢㔸㈹㔷挰㤳搱㈸㥤㔲㜸戹㐹㤰戳㕤ㄳ㉦昷㥢㝢㉤㍢㄰愱㔰ㅥ㌴㠱㤱㔰慢㐹昴つ㤰㐴㍤愳ㅣ㉡㡣㉤收㈴愸搴戰摣㘰戹挱户㙤㕣ㄲㄲ搱㠶㉣㔸㜷戲㠰愲愰㔹ㅥ愴昰ㅡ㠸愶㐵ㅡ愴㔷㑥㄰ㄱ搹㈰㐵戳愳攷㘶㈲㘳晤ㄴㄹ㠱晡㐹㈲㘴敤敤㥤㘵〴㠹扤㥤㐸搹愸㈳㍦㙥㐸戳㤵㙣昹㔰㥡㥤㡢㡤搳捦㈳㌸㥦攰〲㠲慤〰捡摦㈰攱㈸攵㤰㙥㝥昴㡢昰慥㕦㑣㜰〹〰攴㤳㑥㤹ㄳ㠹㉡摡㔰㙢戱㈳㔹㙦〰㜶戲㌴㡡㐳㔱㐴换戸㙥㘷づ㌸ㄲ搱㤱搵戹㍥㜴㙤㔶敡搸昷㜴愶捤攴㜲㐸㤱㈹㔵㤳㙢㕤愵㙡㜲㈳㔸戵㑢扤㜵ㄹ㥡敡㈳〴㤷〳㠴㡡㠵挶敥摡慣㜹㥡㤳敦ち㤳㈸㌴㠴扡㔴敥ㄱㄱ搳晣㑦ㄱ㜰㙤㐷㤷つ晢㤹愶攰愸昹慥户㥦户㜵收敤〸改㉤㍡㜳㐳攷搰㔷昴㈶㉤攸㉢挰㕥捡ㅦ㍢敡㤷慢㔰慣㕦㑤昰ㅥ㠰ㄶ晤挲㤳昷㥢昵ㄲ㐸㤳搸㐹㘰㙥㌳㍤㉥搲挲㥤㕤㕥ㄴ㔲晢昴㥢戳㠶㌷㉦〲㜸㉦づ㑣挱づ慥㝡㥥戰㜱愰慤挸っ㥥㕤捥㙦捥昴昷㝡㔵㠷昹ㅢ昶戱晦慥㔰っ搹慣摡㤳㘹戱㡦㔳散捣㠴扦㈹㐱㌹搴扦㌷㜴ㄶㄲ㠹㐶捤攴挵㜶改㘷换つ㐹搲㠵㈴戹〶摢慡㕦ぢ〰㈹愱晣慥愳㐴ㄹ㘵戵㙤戲㕡戳戵㑡敦㕥捡挹愴挵㝦搸㈶㐷晡㐲㘷敤〴㝣〷晥㠰㌳㘳㌹㜵㘱搱攷㑣ぢ慦っ扦㠲㘵㡢㐲攸㤲愵愸搹㤰ㄵ敦ㄲ㔹搱搳搳㜶㤶㑥昱慤㐹㍡㘹㤱ㄲ愹摣㥥㕡㤸㜲づ㙦㄰ㄵ㕤㤰ㄴ㉡㈹㙥愱扡〴㈲攵戱敥㠶㠸改㐲挴ㄴ戱㜱晡昵〴摢〹挶〰戴摦㐲搲慣㜵攳ㄹち敢㕤愲㍢扢㔴捡攴㠹〶改ㅥ㝣戱愳戰扡㤱挳散㈴戸〹愰挵晣愱昳㌱㠵㄰㈵捡ㄳ㠴㐸㙢㐹㌷㡦㕢攲ㄴ㘹㘰㤳㠹愰搲㘴捤て慡づ愳㑡〳收㔴昵㜰㌵㤸戲晣㐵㐴愱㠶捤㈸㜱昷㠲㜰㐱㕤ㅥ㙣㥦㤶扣敡攲愲愸攸收㑣戵〶搱㜶㘰㙡㍤ㅣ捡戱㍥搸㤲昲㕣慥㉡㜸扡㍢ㅢ愳ぢ㐵㥥㠸攱㙢愵㈷㜶㑤㥥㙦ㅥ晡〶ㅢ㍢㍡㙢〵戶攸㌳㐳愶㘳㍡㙦㘲ㄷㄱ㌵愸昴㥡戳ぢ㥥㄰㔳〳收㍥捦慡搸㤶㉢㠸っ搸㤸っ搴ㅤㄴ昳㠸㄰㑣㔷ㄹ晦慢扡〳收慣㘷戸晥愲挱㘰攲昲收愶㌷ㄹㄲ搱捣〹换昵㌱㡣挴㈲搳㠳收捣㐲昵ㄴ愲戵㌵挷摤㘷㉣晡敢〲㉢㈴晡昰㤱愸㔱㔴㐵㔵㤵扣㥡敦ㄶ㍦㍣㤰㘷㌲㍢昰换ㄲ㐸㕣㘵㌴晡换㔳戴㌷敤晡㈸㍥㐳㍢㥤㜳敡㐷攴愸㥥搹㤳㉡㠵挹愹晡㉤㙣㜳㉢挰ㅤ晢㡥ㅤ㘸㐴攵摥㔲扣㕡愳㠷㍦㐵挶㑢戲愸〷㐱攸㥦摢ㄴ㤲ち昳㐸㌹攰㐰㘰㥣㙦慤攴㔷㌰㘵ㅤ㔲摦愶㐶㜲㉦愲㐸晤收㐱㘳㑥搸㠸㐵㍢㐶戰㈹㝣愱ㄹ敢ㄸ戶ㅦ㤵㑤㔶ㅤ挷㈰㘹㤱㉣㘷捡〶㈹㜸扣ㄶ㔴て㔹慥㙥〲㐸晡㡢戲㡣搳挸㌲㑥换慣㝥昳㈸挳㠲㌲捤扥慡昳㠶㘷〵ぢ㡥㔵捥昳㠵愱扢㜵㐱㤳㘰㜲㑡摥昸㠹㘵挶㐸㡢㌵㝦っ㈶㥢㕦〴扡㡢㤰愳摣㍡愲ㅦ㤴慢㉡㌹晣㔱扡㜴㉣㐱挰㐸㉦愹㝥ㅢ㝡搳攴捤〸㠸ㅣ昹㥣㡤敦㕦㥣晤㌸㜲㐲扦ㅣ戱㥥㐲㈲昰〸㈶㠴㍣摤摢㌹昳㤸㙢〵挰ㅥ㌱戶搷ち愶㝣愰ㅣ〰㐹㜹扣扤㔰㘲㌵搱㘸戴慥ㄵ㉥㙢㉦㙡㔲ㄳ㤷戶㤷㈷昵挶㔵㉢ㄴ㠷ㅡ㈵愱㐸㔶慢㈴㌵换ち㜳㕣㑦慡㐶㤱㡡㍢搶㌶㑡㥡摢戴戱敦㤴㈲㙦㐱㌱㐹㥡挹攸扢㈴愱㈰挸㑢敡㠰㡥愲扦㍥㥤㍣ㄲ搱ㅡ摡〰〵敡愹㌰㙦㈰ち〷ㅥ挰㤵㤳㡡㈸㐴㙦攰敦㑤㔱昲㐸㉤㘸㉡㌱㑥て㐷㈵攳戶㝤挴㠵㤵㔰㌶扣捡㍡㘱㘹慣㉤搴㌰㤲㍢扢搵晥攱昶㈶ㄸ㌱㘲㐳㠶㐴㔲晣挰㘰㐳㌰㔷㈲㥡㑡敢㙣㠰㕢㕤捦捥昳敤㤰㌰㕣㠹㠱㤹愰㌲㈵㤶愴ㄹ搶戰攴㠷㘵㠳晡㘹㔱捡㔱摤ㅣ㥦昳愱搲〳捡昱㈸㈵ㄹ㕣㌷㡦搲㉤㠵ぢっ㄰扢㔱㙡扡ㅣ㈰慣㕢敦㠰㈷㠳昵㠳ㅤ散㐸ㄸ㌶愱㜵㐶〹㥡㑢㈱摣收㐵㤰㜷扡挴㈸〴愹㈹㥦㝦敤㔶扥昲ㄴ㥦敦散捥挴㠹㠸㠹ㄸ敡㑡戱ㅥ㠰摣㘴㔴㤲㕣㌴ㅣ〷换㐳挹㈶㠵㔶㝦㥣㐷ㄳ㘳㠰㈶㥦ㄷ攰〶て攳㔸㠳㘴ㅢㅢ㜷摣〲ぢ摡搴㕥摥㘴ㅥ㜰换㜶慤㈲愴㉡㡥㘵戵搴挸敢〲㕦昲晡㕦挸㑤㈹晢ㄲ㙤捡〱ㅣ愵戸㘴㈲愹㝢扢㕢晦〰㥡㑢㈱㠷㍥㐲搹挶攰㘳㡡㕢㑥〶挳摡敥㈸搰㍥摣摣戸扣㈰㉦捥㐱愴戵㘵㔱㤶ㅤ挴㕤扣㝡〴㔹㜲㕢愲摡挱敡挱㉡㙤昶㐴搶㝥㉢捣㕡ㄷ㌸挲㍡㐳㠱㤷换挱ㄸ改㤲㍢搸㐹收㙣ㄴ搹㍤晢㜱昹㥡㌹扢㍢㌲㍥ㄴ挶㜷㜹ち捡㘰㔷挱㐸㌴戸搵㠶搵慤㌰昲㑢换㕢扦ㅤ㐰㘱〸㤸〶㉤㙡㠶〶捥〴搲慢ㅢ㌸っ㐶愶㐴㐷㤳㠱㔴挶㈸㠷攱戰〷搲挰㑤㍣㐸捦㔶愱㠴㠲㉤昲㔲㔸㝣㉦㜱搴挱ㄱ愸敡㥤搷㤲㌹㙤〴戸晡攲㙥㙤挹ㅥ慦㔴㘸敥挲㍦户㉥戰㡡㙢ㅢ愱㌹扡愵攵㐲㤶㕣ㄳ敤扢㉢㕢ち愲㡢㠲㍢愶㡡晢㡤愰扣㌰ㄳ㉣㠷㤷戶扡㈵〹敤攷昰㐷慣㌸㍡㙤收慣换㑢愸㑢摣晢挲㐹户㝡捡㤵昳搲㝣摥昸愳ㄵ慢昷昶㜲㤲㠵捣ㅢ昸㈳ㅦ㌵愳晤っ㍤慥㘵摡散愰攱㈰㘱㍦昲〹愵挱〸搲㈹㜴〲摢扤㝥㘳㠰㜴戲愵㠵㑥愴㈰搸㈰ㄴ㜷晥㙤㈳ㄴ攵愷㐰㉢㠹㈵㍣㤲㘳捦㥦〵敢㉢㍦㐱づㄱ㡥昷㐸㡣㘸㤷㈳㤵㠲㍡㈹挸愳敢ㅤ扣っ昲晦㠳愵㤸㥢㔷㘴愷晦〲㌳㉢㍦㙥㐵搱愵㐴搱昳敤㈸㘲㈰昶㑤㠵扣㌹晢㡤愳收㍢㝥慤昷㝦㜸搴扣〳ㄸ收㈳慤㌱〴搵ㄸ㡣慦ㅢ〳㍤㙤挶挰搵㈸㤶挶挰㥤㙣挳㜸㝤㘸っ㐴摥㡥㐳挸㔸摤ㄸ㘰ㄴ㉦挵攴㑢〴㔵ㄳづっ㥥戵捥㜳攸〹摢㡦敢戵挲㐷攴ㅥ敡挹㥦㠴敦改晣昶散㘹挳㌳㥣慤㌲㝦㥦㈷愰戶扣㔹摣搷㤶㑤搸攲挲ㄵ㑢㘴愳ㄵ扣ㄲ戱㍦㝤挳㜳戲戶㕢敡挰㔴昸㠴㡥㝡㈵慦攴摥㠲㑦㐴攱〹㈱昳㤱㉤摦摢昷攷〷ㅦ搹捤㝢㘹ㄱ慤㙡っ〴㜷ㄳ㥣愷攵㠰昰㙤攲㑡挸戹晣晣收㄰㍥㐴戲ㄶ㙤㌱㘱㜸搲摥昱㜵㈷㑥㠶㠴㤷㈰捣㤰昸搶㠳㌱㠹ㅢづ愱㌱㔹㙣㜱㙣捡捦㤷愴㌳戰㤸㤸戸昴摥挵〱㐲愵愳捡敡搲慥搴㝥〸愵昳㈶㈷搲㙣て昲㝣挹㐷㔱㝥搰慡搵㜶㔲慢㐹㌳㔱ㄹ㐵㡤㔸㑡㈱搲㐰ち㐹ㅥ㔹ㄸ晡㤷㔲㙡ㅡ〹慤〸㤰ㄲ㐳㙢つ收昲攴扦㈱〴㐴晤㝡㕦㤷㥦慡㘰ㄷ㠱挵搸敢摥敤搹㤵㔶㘷慣㥡ㄸ㤴㤵愷㡦扢㤰㤰挷ㄴ㘶㌰㑡㉢㜳㡦㈲ㄱ㍦摡ㄸ㔲㙢㜶㍣㜱㤰〱㈷っ戱㠵㡣慤㌹昴慡ㄵ㥣㍤㙥つ㜷㍣愰㘷㜲㔲㘱戸㥢㤹㡤愳愷㡣挶㠵㔵ぢ㘱ㄶ攱㘰㤸慣㌷敡㡢㡡愰戳摣慤㌸㝦㈲捣挷敦㠱㔸㍥摡攸晡摣搶ㄲ敡㌸户ㄷぢ攴て昶搷愵㈹㡣㡤㔱挹㌱㤰戰㙢慡㤵て㉦㠱捦愰㠹戴攷ㄵ扤㤱攴㔸㡡挲㘸㜴捣㔹㍤㙡㥢晥㘷㥣㕡㜲搶㉣㙢㌳㘰摤愴晦㡦㈳㘳㔵晤慦㌰捡㈶㔱㜶㜷㤴攰㡢挶㐸挹慡挱ㄹ敥〸㝣搸〸搳挸㈳戰㉥㤳っ㙥㠷愹ㄹ㝣愲ㅡㄶ㑢〹づて㔷戶昵ㄲ㐴扤㉤㙤摢扥㡥〲㤰㔱㈰敤摢㄰㐱ㅤ摢㜳搲敤攷搸摣㍤挸摥㜲挸㉡㝢㔵扦㙡〶㈳㌳〸敦㡥昰ぢ㌳ㄳ㌶捦戸昲㙣慢㔰扢ㄲ㍢搱㝦㉦摡ㅣ㍥〲㠱㝤㔸〴㙦㔷搴㤱㌱㠴戵挵㉣昸戵搱㔰㈲㤰㐴敤攰㥦㘳摥㔵㌳㙣㝣愰㝡〴㕥捤㠰㔹敢㐲搹㠵扥攵搶扢ㄸ摣㍡摣挶扡ㄳ㥥ㅦ㘱ㄷㄱ〶㤳㑢戸昷㍥敥㙢敢ㅥ㌴搷㡤搶收戳㘶㜷摥戵㠲昶㉤攰㜴㙤愳㌴㤳っ挷攴㜷挷〵晤㍥㐲挴㜹攸ㅤ㕤扢㉢㤶扤つ㠳捥愳捦戶改昲ㅡ戵攱㈸㕢㐳㥣晢挳㘸慡摣㑥㠰㥦㕥㡡ㄲ㝣㔱攸捦扢㡤㠹愷戱㉣㌲〰搲㤹㥣〱搰㤹慡扦戱ㄲ㔵㉢㍣㕡㤰ちぢ捡搷㔱捥㕤ち㔷㕢㘱ㅥ㡥ㅡ昲〸㠱戴㉥〰攲㐷攱ㄱ㐲㡥晦ㄵ㌴愸㡦㍦㡦摣捥攳㝦㜹挵昱愹晣攵晡㤲晤て挵捡㐳㍦㠱㘲晤㈴㠱㑤攰〰っ挵㍡㘴㤰㘲㤱戲㈶ㄷ〶ㄱ㝥扣ㅢ㘹㍣㉦㐵晦扥戲晢挵ㄷ昸晣㜳户㈲〵㈱㡡㥡㔷㐱㐱㈸㔷昱㐴㜲ㄵ㡢挸敤扣㡡㉦慣戴㡡㈱捡㐸捥㐴昷〰〶㝡ㄴ搲㡡㕣㤵㡦〴㌷㤴㍦㐵㈲ㄴ㠹愶㔹っㄱ戱戲㙤つ〹戴攵捥换戶㑢㐸挴㙤㠷攲敤搱戸㈳㈹摦昲㐸㐳㠹㜷ㅦ改扥挹㠵晥搷㕣愸ㅥ昳㑥攴㜸㕤ㄷ㐲〲㙢攳挷戱ㅤ㘵㝢慥换愰扥昲㜸㡣愱晤晢攳て愵搴㈸捣〴ち〹㑤㔳㔲ㄴ㌷㔲昹㜴㕣昹〷捦㌵扣愴㈸挰〳㌲ち㉢㤳昲㘴攵挷攲捡㍢昰ㄱ㤶慣㤳攱愵〱㍥慦挴㤵㐹愱戲昲愳㜱攵㝦散搸㕡慦ㅣㄳ㘴搸戳㐶㙡㐹㌱㝡攵㌱㈰昱㐱㌶㑦搷㥡㐹㐵摡㘷㠶搹ㄴ愱㌲㕡㙣㑢㔵摡㡦晢ㅦㅥ㍥㠹㍥㠸敢㑣戸昵〱㘹ㅢ晥捦〸〷㜰捤㘹捡〸っ㝣昱扣㠴昸戲愷换㌷㌶捥㤹㐷㍣㘴昴㥡〷㝣ㅣ慥㉡敢㡡㐴㘰ㄷ㘴挳晤㕤挵て㥦㘲㐳㌶昶㈳㡥㡢愹扣㌶搲㥤ㄶ㤱戱㤴慣昲㐸㡣搹捣㤹〶捤攸ㅦ〵㜲㈰㉦〱㤹搰㍦〶ㄸ挶㕥戶㌰㘳㠸㠲㐰㜲昹ㄹ㈴昴㠷〹㍥〱㔰㔰挸昵愴㠳摣㈷〱〶攳晦㤷㘲㘴㐹㍡㑥㔴攵愱㜸戰㈴ㄹ改㥦㘲㠳㐷〱㝡攰戱㔵㈲㈲㉣攸㡦㈱㈷㌹㈸㈵㠸ㅣ昴㜱ㄶ㝣㠶攰戳〰〵㡤㤳㕤昳慥㜱㑤㕤慡戰捦愱愹挲慤㤰〲敤昳㔱㠲㉦摡ㄹ㠰摢㍡ㅢ捤㍣ㄳ挷摦昱㈳扡搹昴挱晥ㅥ㝣㠰扦捣㐵昷攰晦ㅦ搱愴㠵㥦㔵摦搷㕤㕦㘴〲㡤昳攱捦挳㘶扦㠵㝥戸慥㠶戱挹ㅥ摦㡦㕦㕥捤㈹て攳摦㌳昸㈹て㘰〴㡥㐲㤵㥢㠷扦㠵㌴㈰ぢㄶ愳〲敡㉥晤〹〰㠵㌸㈶㥥昴㈷昹㐶搴戲㝦晤㡢㔱㠲㉦ち昱㝡㠶〹㍢㙡ㅥて㐸㕣换㠲㤳㉤〳ㄲ晦戲攰㐴㜲挰㉦㈱㔷㤱挸㐲愲㔹㍤ㄱ㘹㔹收㍥〵㌰搰㌳挸戹㔱摤愹愷㤵昲晤㤵晢敦㝦㙤㌰㍢㜲㘱昶㠳户昷㍦昵捡㙦㕥㝤昲攵て敤晡晢敢㕦晢摡换㝦㝤昲㠵搷㝦㌶户敢㔷捦㍣昳换㍢扥昹挲慢㥢捤愷搵攷㕥㍢昸昴㐳㘳㈷ㅦ㝡挰㍣㜶摤扥㠷敥㌹㜱搷搸昴㌹愳㍤㍤扤扤敦ㅤ晥昵〵搷っ㥤㜹攰㜹攵ㄷ扦㍦摦㔵攴㜲㌹愰〰㠸㥦㈱㉥㕢㑥攳慢㐸㘰ㅡ㥣昱㍢㍡つ㉥昷っ㝥㑡㈵摡愸〹扣攴攱摣攰〴㘴㐱戹戹愰敦㍦㘰搴戳㜸</t>
  </si>
  <si>
    <t>Decisioneering:7.0.0.0</t>
  </si>
  <si>
    <t>CB_Block_7.0.0.0:1</t>
  </si>
  <si>
    <t>2f9ae142-3f94-4791-bf6d-6211e8ce3734</t>
  </si>
  <si>
    <t>9c321640-5598-4a4c-9261-93bc90f08e09</t>
  </si>
  <si>
    <t>㜸〱敤㕣㕢㡣㈴㔵ㄹ敥慡敥敡改敡㤹搹ㄹ㜶㜶㠱攵㍡摣㉦戳㘹㜶ㄶ㔶㐰㕣㤷戹戰ㄷ搸换戰㌳扢㐸㄰㥢㥡敥㔳㌳戵摢㔵㍤㔴㔵捦敥㈰捡愲〸攲㈵ち㈶㉡㠸㑡㠸㈱晡㘲㠲て〴ㄴㅦ㑣㑣㌴ち挶㄰㘲攲㠳〹㄰㠲てㅡ戳㠹㉦㍣㤰攰昷㥤慡敡慥敥㥥慥ㄹㅡ搰挱㑣敤昶扦愷捥晤㥣晦㝡晥晦搴愶㤴㔴㉡昵ㅥㅥ晥换㈷挳挴㜹搳㑢㥥㉦散挲㐴戵㔲ㄱ㈵摦慡㍡㕥㘱捣㜵㡤愵晤㤶攷愷㔱㈱㕢戴㔰敥㘹㐵捦扡㑦攴㡡㡢挲昵㔰㐹㑢愵㜲㌹㕤㐵㌹㍢攱㙦㌰㝡搱搹慡㉦〳㌰㌳㌱㝥㘸昶ㄸ㝡㥤昶慢慥搸㍡㝣㌴㘸扢㜳㜴戴㌰㕡搸㝥敤㡤愳㠵㙤㕢㠷㈷㙡ㄵ扦收㡡㥤㡥愸昹慥㔱搹㍡㍣㔵㥢慤㔸愵摢挴搲㑣昵戸㜰㜶㡡搹㙤搷捥ㅡ搷摤㌰㝡摤㡥ㅤ收㡤㌷摥搰㠷愱㔳〷㈷挶愷㕣㘱㝡ㅦ㔲㥦ㅡ愷㝣摤愴㈸㔹㕣㥢㄰慥攵捣ㄵ㈶挶昱㌷㌶㝦扣㕤㕦㤸㥥ㄷ挲攷搰挲ㄵ㑥㐹㜸㍡ㅡ昶摡㘳㥥㔷戳ㄷ戸㜹扡扤ㅢ㑢㉤ㄹ㥥慦搹ㄳ愲㔲搱敤愸搷㥣㝤〸㝢㔷㌱㤶晡散㘹攱㜸㤶㙦㉤㕡晥㔲搶㥥㐱㐷攵㝥晢㠸㈷づㅢ捥㥣㌸㘸搸㐲戳昷搴慣㜲㈶㜸㔲改㉢愲㉥攲ㄳ㤳换㉦㡣㜹昶挴扣攱捡ㄹ㜹摣㤸㠴扡扢摤㔲㜳摤㑢㍡昷换愹换ㄱ搸攷㘵㥤敢愱攴愸攱搶㙢㡥㜴慥ㄹ㉥扥㜹〶搷㜴慥ㅦ摢愳收㌶㔷㜵㙥㈳户戲戹戶搲ㅢ搲户摣㔱㉣㐶捦ㄲ昴㄰攴〸㠸㐰㍤㑦搰㑢搰〷愰㘴晥つ㉥㠹㌷㘴㤱㕡㌴搴攲慣㕡㉣愹挵戲㕡ㄴ㙡搱㔴㡢㜳㙡㜱㕥㉤㕡㙡昱㤸㕡㍣㡥㍡搱㤳敢改㔱挳㈷扤昹㡤㔷晦㜸㜶攱挰攳㤷扣昴摤户㕥㝤晢摢㝤ㅢ㔰改昶㜰㔲㤳慥㜱〲愴搶愰攲敤㠵㙤晣戳㌲㔷㠰㈹捣ㅤ收昵收攸㘸㜹挷㌶攳㕡㐳攳戲ㄲ㤰摦㐴㈸㠳愸摢㘷摥㘱㌹攵敡〹㠹扢昳挶つ㑦㌴㌶㙥㈴㉣ㅢ慦搶㥣戲㜷敥昲㠵搳扥攱㡢㜳㕡换ㅡ㥤戴㌵㥢〶㕢〹㑦㡥㜷㐱㙢戳愳㐶愵㈶挶㑥㕡㐱昱昹㉤挵昶㤴㕢㥤敤㕣扡摢ㄵ昷搶㑢摢㘶㌴〶愱戶㈸晢㙥㕢㘵㔰ㄴ捣㙢㜸㘲扥敡〹㐷㑥㙦挴㥥戲㑡挷㠵㍢㉤㈸ㄲ㐵㔹㉥㜵㌳㡢㐲慥ㅦ㌹攴㘰愱攰搶昲挵昱㕣昳㤶㤳㍥㤸㔹㤴㌱摦〵攱晡㑢㌳挶㙣㐵㥣搹㔴㈵ㄸㄳ〵㕢㥡戲㜷㔷㑢㌵㙦愲敡昸㙥戵搲㕣㌲㔶㕥㌴㈰㘹捡〷慡㘵㤱挹愴愴㔰㠰挰㑤愷ㄵ㈵㜵㜵㘷㕥㤰㠸㠸愱㤸㡣㝣㜶㌳搹ㄵづ㘳㜵㔸㐵㐵㤰㈶搵㑢㔷攸㡣昳㤵㌲㈶㠱〳㘳㙢愲晥攰愰㔷慥搰㙤ㅤ㜳ㅦ㙤㘵㔵ㅤち㔷㝦换愲㜰晣扤㠶㔳慥〸㌷㔱晢㈹㥣㤱㍥〰愰㥤㠶㐰攸戸㝢㔴㜵捡㐹㘵㐹㍢㘱㤵晤昹散扣戰收收㝤攴㐱㐳收㜲摣摡戶㐷㍦〳㔹晡㐶㠲㈱㠰㝣㍥㤵摤挴㑡搹㍣㥥㤴㐶改㤴挰换㑤㠲㥣敤㥡㜸戹捦摣㙤㔵㝣ㄱ〸攵〱ㄳㄸ〹戴㥡㐴㕦㍦㐹搴㌵㑡㠱挲搸㘴㑥㠰㑡つ换昱㤷ㅡ㝣摢挶㈵〱ㄱ慤换㠲㌵㈷ぢ㈸ち㥡攵㐱〲慦㠱㘸㕡愴㐱㜲攵ㄸㄱ㤱つㄲ㌴㍢㝡㙥㈶㌲搶㑦㤰ㄱ愸ㅦ㈷㐲搶摥搶㔹㐶㤰搸摢㠹㤴㡤㍡昲攳扡㌴㕢捥㤶て愴搹㘶㙣㥣㝥㈶挱㔹〴㘷ㄳ㙣〱㔰摥㠶㠴愳㤴㐳扡昹搱捦挵扢㝥ㅥ挱昹〰㤰㑦㍡㘵㑥㈸慡㘸㐳慤挶㡥㘴扤㝥搸挹搲㈸づ㐴ㄱ㉤攳扡㥤搹㙦㑢㐴㠷㔶攷摡搰戵ㄹ愹㘳㉦敦㑣㥢昱攵㤰㈲ㄳ慡挶搷扡㐲搵昸㐶戰㙡㤷㝡敢㐲㌴搵㠷〹㉥〲〸ㄴぢ㡤摤搵㔹昳㌴㈷㍦ㄶ㈶㔱㘰〸㜵愹摣㐳㈲愶昹㥦㈰攰摡㡥㉥敢昶㌳㑤挱ㄱ昳㘳㙦㍦㙦敤捣摢㈱搲㕢㜴收扡捥愱慦攸㝤㕡搰ㄷ㠳扤㤴扦㜵搴㉦㤷愲㔸扦㡣攰㜲㠰ㄶ晤挲㤳昷晢昵ㄲ㐸㤳搸㡥㘱㙥㈳㍤㉥搲挲㥤㔹㕡㄰㔲晢昴㤹㌳㠶㍢㈷㝣㜸㉦昶㑤挲づ慥扡慥愸攰㐰㕢㤶ㄹ㍣扢㥣搵㥣改敤㜶慢㌶昳搷敤㘳敦㘳愱ㄸ㌲ㄹ㌵㥤㙡戱㡦ㄳ散捣㤸扦㈹㐶㌹搴扦搷㜶ㄶㄲ戱㐶捤攴挵㜶挹㘷换㜵㐹搲㠵㈴戹ㄲ摢慡㕦〵〰㈹愱晣愵愳㐴ㄹ㘱戵慤戲㕡戳戵㑡敦㕥挲挹愴挵㝦搸㈶㐷㝡〳㘷敤㌸㝣〷㕥扦㍤㙤搹㜵㘱搱㙢㑦〹户〴扦㠲㔵ㄱ昹挰㈵㑢㔱戳㉥㉢㍥㈶戲㈲㥤㙥㍢㑢㈷昸搶㈴㥤戴㐸㠹㐴㙥㑦㉣㑣㌸㠷㌷㠸㡡㉥㐸ち㤵〴户㔰㕤〲㤱昲㔸㜷㕤挴㜴㈱㘲ち搸㌸晤ㅡ㠲㙤〴愳〰摡㥦㈰㘹㔶扢昱っ㠵昵㉣搲㥤㕤㉣愶㜲㐴㠳㜴て扥搲㔱㔸㕤挷㘱㜶㄰㝣〲愰挵晣愱昳㌱㠱㄰㈵捡㘳㠴㐸㙢㐹㌷㡦㕡攲〴㘹㘰㠳㠹愰搲㐴捤昳慢㌶愳㑡晤收㘴昵㘰搵㥦戴扣〵㐴愱㠶捣㌰㜱挷扣㜰㐰㕤㉥㙣㥦㤶扣敡挲㠲㈸敢收㜴戵〶搱戶㙦㜲㉤ㅣ捡戱㍥搸㤲昲㕣慥㉡㜸扡㍢ㅢ愳ぢ㐵㥥㠸攱㙢愵㈷㜶㔵㥥㙦ㅥ晡〶ㅡ㍢㍡㘳昹ㄵ搱㙢〶㑣挷㜴捥挴㉥㈲㙡㔰敥㌱㘷收㕤㈱㈶晢捤㍤慥㔵慥㔸㡥㈰㌲㘰㘳㌲㔰户㕦捣㈱㐲㌰㔵㘵晣慦敡昴㥢㌳慥攱㜸ぢ〶㠳㠹㑢ㅢ㥢摥㘴㐸㐴㌳挷㉤挷挳㌰ㄲ㡢㑣て㤸搳昳搵ㄳ㠸搶搶㙣㘷㡦戱攰慤〹慣㤰攸㠳㐷愲㐶㔱ㄵ㔵㔵㜲㙡慥㕢晣昰㐰㥥㑡㙤挷㉦㐳㈰㜱㤵搲攸㉦㑦搰摥戴敢挳昸っ敤㜴捥愹て㤱愳㝡㘶㍡㔱ち㤳㔳昵ㅢ搸收㐶㠰㕢昷ㅣ搹搷㠸捡㝤愰㜸戵㐶て㝦㠲㡣㤷㘴㔱て㠲搰㍦户㈱㈰ㄵ收㤱㜲挰㠱挰㌸摦㕡挹㉦㙦捡㍡愴扥つ㡤攴㙥㐴㤱晡捣晤挶慣愸㈰ㄶ㙤ㅢ晥㠶攰㠵㘶慣㙤㔴扣戰㙣愲㙡摢〶㐹㡢㘴㌹㕤㌲㐸挱㘳㌵扦㝡挰㜲㜴ㄳ㐰搲㕦㤸㘵㥣㐴㤶㜱㔲㘶昵㤹㠷ㄹㄶ㤴㘹昶㔵㥤㌳㕣换㥦户慤㔲㡥㉦っ摤慤〹㥡〴㤳㔳昲㐶㑦㈴㌳㠶㕢慣昹㈳㌰搹扣〲搰㕤㠰ㅣ攵搶ㄱ晤愰㕣㔵挹攲㡦搲愵㘳〹〲㐶㝡㐹昵㥢搰㥢㈶㙦㐶㐰攴挸攷㜴㜴晦攲昴〳挸〹晣㜲挴㝡〲㠹挰㈳ㄸㄳ昲㜴㙦㘷捤㈳㡥攵〳㝢挴搸㙥换㥦昴㠰㜲〰㈴攵昱昶ㅣ㠹搵㔸愳㤱扡㔶戸戰扤愸㐹㑤㕣搰㕥ㅥ搷ㅢ㤷㉥㔳ㅣ㘸㤴㤸㈲㔹愹㤲搴㉣换捣㜱㉤愹ㅡ㐵㉡敥㐸摢㈸㐹㙥搳挶扥㔳㡡㝣〰挵㈴㘹㈶愵敦㤴㠴㠲㈰㉦愹〳㍡㡡晥晡㘴昲㠸㐵㙢㘸〳攴愹愷㠲扣晥㌰ㅣ戸て㔷㑥捡㈲ㅦ扥㠱扦㌷㠴挹㐳㌵扦愹挴㌸㌹ㄴ㤶㡣㔵㉡㠷ㅣ㔸〹㈵挳㉤慦ㄱ㤶挶摡〲つ㈳戹戳㕢敤ㅦ㙣㙦㡣ㄱ㐳㌶㘴㐸㈴挱てっ㌶〴㜳挵愲愹戴捥晡戹搵昵散ㅣ摦づ〸挳㤱ㄸ㤸昶换㤳㘲㔱㥡㘱つ㑢㝥㐸㌶愸㥦ㄶ愵ㅣ搵捤戱㔹て㉡摤愷ㅣて㔳㤲挱㜵昳㌰摤㔲戸挰〰戱ㅢ愶愶㑡㍥挲扡昵づ㜸㌲㔸㍢搸挱㡥〴㘱ㄳ㕡㘷㤴愰搹〴挲㙤㕥〴㜹愷㑢㡣㐲㤰㥡昲昹搷㉥攵挹㈷昸晣㙣㔷㉡㑡㠴㑣挴㔰㔷㠲昵〰攴挶愳㤲攴愲愱㈸㔸ㅥ㐸㌶㈹戴晡愲㍣㥡ㄸ晤㌴昹㕣ㅦ㌷㜸ㄸ挷ㅡ㈰摢㔴㜰挷捤户愰㑤㉢㑢ㅢ捣㝤㑥愹㔲㉢ぢ愹㡡㈳㔹㉤㌵昲㥡挰㤷扣晥ㄷ㜰㔳挲扥㠴㥢戲て㐷㈹㉥㤹㐸敡摥敥搶㍦㡤收㔲挸愱㡦㐰戶㌱昸㤸攰㤶㤳挱戰戶㍢ち戴て㌷㌶㉥㉦挸㡢㜳㄰㘹㙤㔹㤴㘵晢㜱ㄷ慦ㅥ㐱㤶摣ㄶ慢戶扦扡扦㑡㥢㍤㤶戵搷ち戲搶〴㡥戰捥㐰攰㘵戳㌰㐶扡攴づ㜶㤲㍡ㅤ㐶㜶㑦㍦㈰㕦㔳愷㜷㠵挶㠷挲昸㉥㑦㐱㈹散㉡ㄸ㠹〶户摡戰扡ㄵ㐶㝥㘹㜹敢㌷〳㈸っ〱搳愰㐵捤挰挰ㄹ㐷㝡㘵〳㠷挱挸㠴攸㘸㍣㤰捡ㄸ攵㄰ㅣ昶㐰ㅡ戸㠹〷改㤹㉡㤴㤰扦㐹㕥ち㡢敥㈵㡥搸㌸〲㔵摤㌳㕢㌲愷っㅦ㔷㕦㥣㉤㉤搹㘳攵㌲捤㕤昸攷搶〴㔶㜱㙤㈳㌰㐷㌷戵㕣挸㤲㙢愲㝤㜷㐹㑢㐱㜸㔱㜰晢㘴㘱慦攱㤷收愷晤愵攰搲㔶户㈴愱晤ㅡ晥㠸㘵㐷愷捤㥣㜱㜸〹㜵㤱㝢㥦㍦敥㔴㑦㌸㜲㕥㥡挷ㅢ㝦戴㘲昵㥥ㅥ㑥㌲㥦㝡て㝦攴愳愶戴㤷搰攳㙡愶捤づㅡづㄲ昶㈳㥦㐰ㅡっ㈳㥤㐰㈷戰摤敢㌷〶㐸㈷㥢㕡攸㐴ち㠲㜵㐲㜱收㍥㌴㐲㔱㝥〵戴㤲㔸㠲㈳㌹昶晣㔹戰扥昲㑢攴㄰攱㜸て挵㠸㜶ㄱ㔲〹愸㤳㠲㍣扣摥挱换㈰晦㍦㔸㡡戸㜹㔹㜶晡㉦㌰戳昲㘲㉢㡡㉥㈰㡡㕥㘸㐷ㄱ〳戱敦㉢攴捤搹慦ㅦ㌵㍦昲㙢扤晦挳愳收慤挰㌰ㅦ㘹㡤㈱愸挶㘰㝣摤ㄸ㐸户ㄹ〳㤷愱㔸ㅡ〳户戱つ攳昵㠱㌱㄰㝡㍢づ㈰㘳㘵㘳㠰㔱扣〴㤳㉦ㄶ㔴㡤㌹㌰㜸搶㍡搳愶㈷㙣㉦慥搷ちて㤱㝢愸㈷㙦〲扥愷戳摡戳愷っ搷戰户挸晣㍤慥㠰摡㜲㘷㜰㕦㕢㌶㘱㡢㜳㤶㉤㤱㡤㤶昱㑡㐴晥昴㜵捦挹敡㙥愹〳㔳挱ㄳ㌸敡㤵㥣㤲晤〰㍥ㄱ㠵㈷㠴搴攷㌷晤㝣捦ㅢ昷㍤戴㡢昷搲㐲㕡搵ㄸ〸敥㈶㌸㑦换〱攱摢搸㤵㤰捤晣晣收〰㍥㐴戲ㄶ㉡㘲摣㜰愵扤攳改㜶㤴っ〸㉦㐶㤸〱昱慤〵㘳ㄲ㌷ㅣ〲㘳戲搰攲搸㤴㥦㉦㐹㘷㘰㈱㌶㜱改扤㡢〲㠴㑡㐷㤵搵愵㕤愹晤〲㑡攷㝤㑥愴搹ㅥ攴昹㤲㡦愲㍣搷慡搵㜶㔰慢㐹㌳㔱ㄹ㐱㡤㐸㑡㈱搲㐰ち㠹ㅦ㔹ㄸ晡㤷㔲㙡ち〹慤〰㤰㄰㐳㙢つ收昲攴扦㉥〴㐴晤㝡㕦㤷㥦慡㘰ㄷ㠱挵挸敢摥敤搹㤵㔶㘷愴㥡ㄸ㤴㤵愷㡦摢㤱㤰挷ㄴ㘶㌰㑡㉢㜳て㈳ㄱ㍤摡㈸㔲慢㜶㍣㜱㤰㝥㍢〸戱〵㡣慤搹昴慡攵敤㕢㥣ㅡ敥㜸㐰捦㘴愵挲㜰㌶㌲ㅢ㐷㑦ㄹ㡤ぢ慡收㠳㉣挲㠱㈰㔹㙦搴ㅢㄶ㐱㘷㌹㕢㜰晥㐴㤸㡦摦〳戱㝣愴搱昵收搶ㄲ敡㌸愷〷ぢ攴て昶搷〵〹㡣㡤㔱挹㌱㤰戰慢慡㤵ぢ㉥㠱㑦愳㠹戴攷ㄵ扤㤱攴㔸㡡挲㘸㜴挴㔹㘹戵㑤晦㌳㑥㉤㌹㙢㠶戵ㄹ戰㙥搲晦㐷㤱戱愲晥㔷ㄸ㘵㤳㈸扢㈳㑣昰㐵㘳愴㘴挵攰っ㜷〴㍥㙣㠴㘹攴ㄱ㔸㤷㐹〶户㠳搴㌴㍥㔱つ㡡愵〴㠷㠷㉢搳㝡〹愲摥㤶戶㙤㙦㐷〱挸㈸㤰昶㔳㠸愰㡥敤㌹改昶㜳㙣昶㑥㘴㙦㍡㘰㤵摣慡㔷㌵晤攱㘹㠴㜷㠷昹㠵㤹〹㥢㘷㑣㜹戶㔵愸㕤㠲㥤攸扢ぢ㙤づㅥ㠲挰㍥㈸晣て㉢敡挸ㄸ挲敡㘲ㄶ晣摡㘸㌰ㄶ㐸愲㜶昰捥㌰㙦慦ㄹㄵ㝣愰㝡〸㕥㑤㥦㔹㙢㐲搹〵扥攵搶扢ㄸ摣㍡摣挶扡つ㥥ㅦ㔱㈹㈰っ㈶㤷㜰搷摤摣搷搶㍤㘸慥ㅢ慥捤㘳捤敥扣㙢㜹敤㈷挰改敡㐶㘹㈶ㄹ㡥挹敦㡥昳晡摤㠴㠸昳搰㍢扡㝡㔷㉣㝢ㅢ〲㥤㠷㥦㙤搳攵㌵㔲㠱愳㙣ㄵ㜱敥捦愱愹㜲㌳〱㝥㝡㌱㑣昰㐵愱㍦敦㈶㈶㥥挶戲挸〰㐸愷戲〶㐰㘷慡晥搱㜲㔴慤昰㘸㐱㉡捣㉢㍦㐴㌹㜷㈹㔸㙤㤹㜹㌸㙡挸㈳〴搲扡〰㠸ㅥ㠵㐷〸㌹晥㤳㘸㔰ㅦ㝦づ戹㥤挷晦晥戲攳㔳昹换昵挵晢ㅦ㡣㤴㠷㝥っ挵晡㜱㠲ち㠱つ㌰ㄸ改㤰〱㡡㐵捡㥡㙣㄰㐴㜸㜱ㄷ搲㜸晥ㅣ晥晢晡慥㔷㕥收昳捦㕤㡡ㄴ㠴㈸㙡㕥〵〵愱㕣挵㘳昱㔵㉣㈰户昳㉡扥戵摣㉡〶㈹㈳㌹ㄳ摤〵攸㑦㉢愴ㄵ戹㉡て〹㙥㈸㝦㡡㐴㈸ㄲ㑤戳ㄸ㈴㘲㘵摢ㅡㄲ㘸换㥤㤷㙤ㄷ㤱㠸摡づ㐶摢愳㜱㐷ㄲ扥攵㤱㠶ㄲ敦㍥搲㝤㤳つ晣慦搹㐰㍤收散搰昱扡㈶㠴〴搶挶㡦㘳㍢捡昶㙣㤷㐱㝤攵搱〸㐳㝢昷㐶ㅦ㑡愹㘱㤸〹ㄴㄲ㤸愶愴㈸㙥愴昲搵愸昲㜳捦㌷扣愴㈸挰〳㌲ち㉡㤳昲㘴攵㐷愲捡摢昱ㄱ㤶慣㤳攲愵〱㍥慦㐷㤵㐹愱戲昲挳㔱攵㝦㙣摦㔲慦ㅣㄱ㘴搰戳㐶㙡㐹㌰㝡攵㌱㈰昶㐱㌶㑦搷㥡㐹㐵摡㙢〶搹ㄴ愱㌲㕡㕣㤱慡戴て昷㍦㕣㝣ㄲ扤ㅦ搷㤹㜰敢〳搲㌶昸㥦ㄱ昶攱㥡搳愴攱ㅢ昸攲㜹ㄱ昱㘵㔷㤷㙦㙣㥣㌵て戹挸攸㌱昷㜹㌸㕣㤵搷ㄴ㠹挰㉥挸〴晢扢㠲ㅦ㍥挱㠶㙣散㐷ㄴㄷ㔳㜹㙤愴㍢㉤㈲㘳㈹ㄹ攵愱〸戳愹㔳つ㥡搱扦〰攴㐰㕥〲㌲愱㝦ㄱ㌰㠸扤㙣㘲挶㈰〵㠱攴昲㔳㐸攸てㄲ㝣〹㈰慦㤰敢㐹〷搹㉦〳っ㐴晦㉦挵昰愲㜴㥣愸捡晤搱㘰㜱㌲搲扦挲〶て〳愴攱戱㔵㐲㈲捣敢㡦㈰㈷㍥㈸㈵㠸ㅣ昴㔱ㄶ㝣㡤攰敢〰㜹㡤㤳㕤昵慥㜱㑤㕤慡戰㙦愰愹挲慤㤰〲敤㥢㘱㠲㉦摡㈹㠰㥢㍡ㅢ捤㍣ㄳ㐷摦昱㈳扡搹昴挱晥㉤昸〰㝦㠹㡢㑥攳晦ㅦ搱愴㠵㥦㔱㍦搹㕤㕦㘴〲㡤昳攱捦挵㘶㝦㠰㝥戸慥㠶戱挹ㅥ㍦㠵㕦㑥捤㉡て攲摦㔳昸㈹昷㘲〴㡥㐲㤵㥢㠳扦㠵㌴㈰ぢㄶ挲〲敡㉥晤㌱〰㠵㌸㈶㥥昴挷昹㐶搴戲㝦晤㍢㘱㠲㉦ち昱㝡㡡㠹㑡搸㍣ㅡ㤰戸㤶〵挷㕢〶㈴晥㘵挱戱昸㠰摦㐳慥㈲㤱㠵㐴戳㝡㈲搲㌲捣㝤〲愰㍦㍤挰戹㔱摤愹㈷㤵搲㍤攵㝢敥㜹㘷㈰㌳㝣㑥收㌳㌷昷㍤昱晡ㅦ摥㝣晣戵捦敥晣晢扢㑦㍤昵摡㕢㡦扦晣敥㑢戳㍢㝦昷捣㌳扦扤昵挷㉦扦戹搱㝣㕡㝤晥㥤晤㑦摦㍦㝡晣晥㝢捤㈳㔷敦戹晦捥㘳户㡦㑥㥤㌱㤲㑥昷昴㕣㌱昴晢戳慦ㅣ㍣㜵敦ぢ捡㙦晥㝡㤶愳挸攵㜲㐰〱㄰㍤㠳㕣戶㥣挶て㤰挰㌴㌸攳㡦㜴ㅡ㕣敥㈹晣㤴㜲戸㔱攳㜸挹挱戹挱〹挸㠲㔲㜳㐱敦㝦〰㐷攷戳㤲</t>
  </si>
  <si>
    <t>㜸〱捤㔹㕢㙣ㅣ㔷ㄹ摥㤹摤㔹敦慣㜷敤捤愵㘹㥢摥㕣㘸㥡戶㙥㔶㜱搲㌴㐹㑢㤴搸敢㌸㜱攲挴㑥搶㐹㐰㙤戵ㄹ敦㥥㠹㈷㥥㡢㍢㌳㥢搸愸愲扣昰挲〳㠲昲㐰㡢ち㉤ㄵ㉡ㄴ㈱㜸㐱〸㐴㕦㐰㐸㈰ㄴ㈴㉡㔵攲㈲㔵㐲ㄵ㔲㠵愸㔰㄰㔲搵㠷㑡攵晢捥捣慥㜷搷敢㑤敡〶挹挷昲扦攷㍥攷晣户昳㥤晦㈴㤴㐴㈲昱㌱ㄲ㝦㤹㔲捣摣㕤㕥づ㐲攱ㄴ㑢㥥㙤㡢㙡㘸㜹㙥㔰ㅣ昵㝤㘳㜹捡ち挲㈴㍡愴㉢ㄶ摡〳慤ㄲ㔸㕦ㄴ㤹捡ㄵ攱〷攸愴㈵ㄲ㤹㡣慥愲㥤㤳昰扦搰㈸攸ㅣ㤵㑢㠱捣㤶挶愶攷㉥㘳搶㜲攸昹攲搱愱昳搱搸㐳㈳㈳挵㤱攲㥥扤〷㐷㡡扢ㅦㅤ㉡搵敤戰敥㡢㐳慥愸㠷扥㘱㍦㍡㌴㔳㥦戳慤敡㐹戱㍣敢㉤〸昷㤰㤸摢扤㜷捥㜸散挰挸㘳晢昶㤹〷てㅥ挸攱搳㠹搳愵戱ㄹ㕦㤸挱慤㥡㌳捤㌹愷㑢㘳挵搳㈲扣㔵㜳昶㘱㑥㑣㌹敥㌹㠶攵摥愲㐹㌵昲㜶敦戸愸㕡ㄴ㠲㄰扥攵㕥㉡㘲搹㙤㡣㐶㘹㝦㜱〲ㅣ慦ㅡ㐱㔸ㄲ戶㝤㔶㤸㕣㑣捥㈱捦㠴㉦摣慡〸〶㥣愳㑢㔵㘱挷捤㐱挶㌹㙦昸愷つ㐷愴㤸ㄹ㜴㈲戹㑤搶㠴ㅢ㕡攱㜲摥㌹ㄷ㠸戳㠶㝢㐹戰㡢收ㅣ慢㕢戵㔴㑡㐹愵ㄲ挹㥤摤ㄶ㈳㘵㔳㥣昰慢愵㜹挳て㘵㠹㔲ㅢ改搶户㐵㐳攴挲摢㤶㐵㉤ㅡ敡ㄸ㐵㌱㤵㉤攷愴昰㕤㘱昳㈳ㄴ摥㜰㐷㈷挹㤳㠸昵㑤收㌴㜶㐳㕥㈸晤戱摥换慤愰㐲捦㤰攸㈰改㉣㐸晦改㤹昳㤵愳㌳㤵捡㠴㌵慢昷戳㈹〷愲愴晥ぢ晢㘹ㅤ捡㈶戵㘲愸㤵㌹戵㔲㔵㉢㌵戵㈲搴㡡愹㔶㉥愹㤵㜹戵㘲愹㤵换㙡㘵〱㝤ㅡ㈹搳搷愷挶挹晦扥昸搹ㄹ昱搴搸㑦晥昶㤵㥤慦㝦昰挳挷㜳〳攸㜴㈶㕥搶戸㙦㕣㠵㙣㔷搴㘶㑦㜱㌷晦㙥㙣㉦㌰ㄷ㜳㥦戹摦ㅣㄹ愹敤摢㙤散㌵㌴㙥散㘶愵戴ㄵ㝤㜳收〵换慤㜹㔷愵搸㜲收㠴㘵㠷挲㤷㠵㐱ㄳ㍦㤱敡挹㜲摥㍣扡〴㥢慤㐶ㄲ摥㙡㤶㠴ㅦ㐲搷挳攵ㄵ戱摦㍤㘶〴㘲愵㌸ㅣ捦㍤收搵摤㕡㜰㔷昷挶㜲㘸㠴㘲㝢㘷摢捡㈴慢㠶㤵㘱〷㈲㤰㑢扡户㜳搸㜹挳慥㡢搱㈵㉢㙡扥愷愳ㄹㄶ攱捤慤摤㍡攱㡢㘷㥢慤慢㔶㌴ち㜷㜹㐵捥扤㙡㤷㔱㔳戴慥愱搲扣ㄷ〸㔷㉥㙦搸㤹戱慡ぢ挲㉦ぢ㍡㕢㔱㤳㕢扤㡤㑤戱㔹づ㑦扢搸㈸っ慤昶㤹搶㕡㌲㕡戸㌵㔱挳㝡ㄷ挱攵攵㔹㘳捥ㄶ摢摡扡㐴摦㐴挳㥤㙤搵ㄳ㕥戵ㅥ㤴㍣㌷昴㍤扢扤㘵戴㜶挵㠰㉢愸㥤昲㙡㈲㈵㔳㈲愲㑡㈲㤹㔴㤴挴㐳摤㙣㡡㜳〷戴扡ㄶ㈵愱㙤昷敥摣愲㐴散摣搵㕡㥢㌳㈳搳愲㘴散晦㜰捦㤵戴㉡㈱㝢敦敥搹扢㡢㤲㜲搰ㅤ敤㠶㔷㍣ぢ昹㐰づ戶愰㔵慡て慣㍤攵㡡㕥摥㘰愵㉤㔲攱搹捡摥㍤㤸㈶愷㙤敡摥晦户戳慡㙥㠹㜷㝦昴ちㅣ晥㜱挳慤搹挲敦㠹っㄴ慥㐸ㅦ㈴㈹㤰㙣㈲搹㑣戲〵㐴㝢ㅦ㙥㜲㑤㡥搲愹㉢㑢捡戲㜶搵慡㠵昳改㜹㘱㕤㥡て㔱〷㐴㤱挹㤰摤ㅦ㘰戴㡤㕦つㅦ〹〸㉢昴摢㐸戶㤱摣づ㤲捤㈶搲㜷攰ㄷ慥㕡扦㤳㍦摢㐱〶ㅢ㈷摥㔰愴㤹搹㠴㐶㙦晥挹捦ㅣ昹㐱㜹挴〱㠳〴㥡㠳㜹㠳㘴戲ㅢ㌷㡥ㅢ挱㝣㐸㐳散搹挸敤敡㜷㤱摣つ㤲扢〷攴昴㜱㘱挳㡣㙦ㄵ㝣搱㜸ち摤昰㤸愴㜴戶㌹攵㘵户㍡敦㝢㉥挰摣戸ㄱㅡ愳㔵㘰㠱㐰㌱搲捥㤴㔷慡㠷㘹攷戸㠵㥦㥣㜳㔶㉣ち㈳㉣挱㑤㠷㜹㘷ち㌸㐲晡搱挹摡㤲收㐴㄰㘰㕣〴㔵㥤㔸㘱ㄲ㙥㘹㈹㡤ㅣ晣㙣捥愱愳ㄱ㑢㈱愷敥㜳㘶っ㘰㡤㔰㐷愷㘱㌹㉡捡㜱㘴㕥搶㌵㐶㘷攳ㄲ㘶㈸挸㙣换㉣晤戲㈲㥡㈹㐱㔶㈶攰㤹ㄲ挹㔴㑣㍢㉤攸㕣㘸搹㐱㌱㘶㙦㜱摣〳㤶ㄴㄲ捥㤲敤改㌴ㄴ㉣摤㔳㔸㥤㠶㑥戰㌱㕤㥤㡢愶挵㔲㡥昹㕥㝤㤱㠰攳㔶捤挳戹ㄲ晡扤㈰慦晣攷㐷㑦敥昸捥㑦㍦㡥㝦㥦㠷ㄱ挸愴ㄳ㡦攸搴㜷ㄶ昱㈳㤳㝥㍦㝥戲扤摡㌴㈲㤶慥㥥㜶つ㕣㐴㤳捥㌹搸敤慣㉦㈴搰换挸挲昲愲挸㍢ㄷ㍣㝦㘱捥昳ㄶ㈸晣〱㔹ち收㠵〸㠹㥥晡㘳戰挸扣愲㈸挹㘴ㅢ㍥㙡㠱㔹挴㕤改ㅤ㈰昹㔱摢ㅥ㙡捣ㄸ愴ㅦ㐴㔵㤲㌸㙥㈷㌲摢㘸扤扢㠰扡㜶㔱㠷㜶〵㥥㕤㕣戲㠳㈵攵㉦搸㍢挱搷㤱㙤㝢㕥㝥昱摣搴㠹ㄷ㡣㙦扥昹昵敢㕦搳㤵㍦挷つ㥤㜰㑡愳㜳敡㔴て〹ぢ㥢〷㑤换ㄱ㐶户㤳㌶捦戹㔶ㄸ昴㥢愳昵搰㥢戰挲昱㈰捣㤹㈰挸捡㈱摢愵㑦㙥ㄹ㌴㙣㥥户挴搵㔹㌰攸扥搵㑤㐰捣愵㝡㄰㝡㔲昳敦㕤摤㍥敥㥤昶挲㜱㉢㔸戴㡤攵〷扡㌴㐷㉤ㄷ收㠵ぢ㤰攰〳㉢摣愸㤳户戸㈸㙡㕤搶㔸昶敡㝥㔵㑣㡥㙦〴㤸愱㐴㈶㥣㠰㤶挰㠰㤵ㅤ㙢ㅦ慢㉤㝣愷㕥慡搰㉣㘵㥤愷㤴㍣㉡昴㘱捣㠲㡢慡㠲搳㐳㝦ㄴ㔹ㅣ㈲ㅡ㡦慥摥㉡搲〲㕣攸㘴戳㈶挴ㅡ搵攵㘳㘴㍣改〶㔶㑤㘴攳搲㈹换ㅤ㠸戳搳昵戰慤挵㔸摡ㄲ户㐰晤愷㕤㠸扥㙡昸戵㡤㈰ㄵ㙣っ㈹ㄲ㠹㤲挶摦晡ㄸㅤ㑤㤳㐸㕣㙦㐴ㄸ慥㍦てて戵ぢ搵攴㌵ㄱ㐲㔷㙦搴㌴㐷㘴㕡㜰ㅦ捤㌷㑦㜶㌷慢㌳㉣㥤ㄲ㠶㉢愵㔰づ㙢攳攲捡㠰散㈱愰攰戸愸摡㘲㑢㝢㔱ㅥ㑡扡㌹㍡〷㌷㔲て挵㐰㌳㈷つ㕤㌷捦ち摢㈰㠶捦㌵㜳㌳搵㄰户㥣收㝣挴攷ㅢ㐷㐲攰㐸㉡㤶㤲㈲攵㤴敥愱扣敤㥢愰つ慤㔳慡㌸㙥㑤㤹晥㝤㔸昹昶㑢㑣㙦ㅣ㑥㌴㌲㔹愶㠴㐶㙣㜱昳㈰㥤㤶戴愵㜱㜷㡣㍣㥣㜴㕥戹㐶ㅤ昱㜱摥㤴㝥て㤷㘰挶㈸〶㘹㍡㌶〲㐸愱㔵㌵㙣㝢㜹挰㥣㜴慢㜶扤㈶愶㡣㌹㘱㌷㝣戶攷㍢ㅢ㐴㕥㌲戶ㄶ挹慡〷㕦攲㥢换㈴〲㙣㡤㉢挱扡摤㕣㐲㉦㠲慤ㄲ㈷㘰㡥慣扥ㅢ㈵㡡㠶㜸晣ㄳ摦㠸〸㌹㌶慦摣攷㘵攸〷慥㙤㔵ㄵ㝤ㅡ搱㘱昳㔲㈵㉤慥愵摢㤴㌷攵攱挲㕢㙢愹㍡㙥㐵㔵ㅢ挶慥愴㤸搲改昴㝡てㄸ昰ち改㝡ㄳ㥡敤㍦晣攱ㄳ㈷晦昴搶攱㠴ㄲㄹ〷㉦㉦㥤戸戲〵㠸挸戳㕦㍡㐱ㅥ㐷㠳昴㘰ㄱ㜰㤸戵㐲㕢昴㥢戲㕤收㌳㌴〹㜲戳捦㥣㥤〷㐶ㅢ捦㥢挷㝣慢㘶㕢慥㈰〸㐱〰㠶攱戶㈹㜱〹愱㠲ㄹ㉦戰ㄸ捤捤㥢戳扥攱〶㡢㠴攲搵攵捤㙤㈵㈹㉣捤ㅣ戳㕣ㄸ㔰昴㑤收〷捤昲扣㜷ㄵ〱攱扡攳ㅥ㌳ㄶ㠳つ㈱㈸㠶㤸愳ㄴ㔹㤵慡愸慡㤲㔱㌳敢㍤慢㈴㜲㈶㈰㐸散挱戴㉡〹捣㠵〶挳㙢㘶て㥢愵愴攲㘰つ㙤㤶敢㙡ぢ慣㜶扤㈹㌶㈳敡昴挳㍡㍦㤶摢ぢ㜲攲搸戹挹㤵㄰摦愷ち㡢㙢扣ㄸ昷㌸づ愴㙡㌴攳〹㔴挹㠱㐸㕤㔸㐷敤搱愵搴㔹敡㔴挱慣㈹晢㔰ㅢ㜱㠲戲㍢戳ㄳ戸改攵㘰晣㜰扦戸㈱挳敦づ㐴〵㐲㍡挷戰㠳戸慤攴㌹㡥㐱昵愲㙡㤶攱扢㐵㐶攲㙢㜸ㄳ摤〴㤱㍡ㄸ㔷ㄹ㑢愸㌲㤶㘴ㄵ㡥㘴挶〸㘵㥥㜳㜹㤷っ摦ち攷ㅤ慢㥡㘱㠱㜱扣つ愱㤷㔰㈱㜹㉢〵㐳㤹愴㜲〲慣㜶摥挶愳ぢ㈴挴㕤挴晤㠱慣愳昸愱扤慡㍣挷㤵㜵〶㘰愰扥搲攱敢晢㌰㥢㈶ㅦ㘰㜸㉦㘶㙡〱㘱愸㤱㥡慤㌰㔶挲㘶晤昱㌸挳㐲㡡愱㠹㥥㜷㘲摥摢戲㔳㥥㔱㥢㐰愸搷昳晢攲㘷㥣っ㐴㑢户攲ㄷㄸ〷㈹㈱㠸㠸攰攴ㄵ㘰㘱㍦挳㡡㌲㈲っ㈹㐶㔰搲㤱っ挹ㅢ㐴㜴晡㌳摤扥㌵搹㤸敢㠱昸扥搸晡ㅣ㌵戹㙡晥昷捦ㅣ㌸㡣㐵㘱㕢㠴ㄲ晡㝥㤲〳㈰ち㈳㉣摣㑦㐷㠷㠳散昰〴㠸挶㡢㜶愷㤵慣ㄹ㌳攰㘳㡢收昰ㅥ㥡㜱戸ㅤ㐰㡥㌴㈲ㅣ㠸㠹㠰㈵改晥っ㘳ち晡㤳㈰㝦扣㜶敤㄰㝥ㄲ捡晤㈰㡤敦㑢戶㐵ぢ晣ㅣ慡㜵昶搰㜸ぢ戹戹㕢て㠷ㄷ㕡慥愲戴搱㘰㤳㜹愶㙥搸㜸㤱㤹〶ㅥち㔹戵ㄱ㡣㈰ㄵ愱搲捥㐷㠶昶㠷ㅡ㕣攸攴ㄶ㥥㝡㠶㈱㡦㑥ㅥ戴昷㡤昷ㄶ戰攷晡㔰㙢㔶晢つ攲〲㌷昷ㄵ㕡㐱摦ㄵ挶慦㉡ㄵ挴㜵㔰愲攰戳㍡㔵っ〷㠲挲摢愲㌴㥢㈳挸搰挸愴愱昱㕥㈳㙢㐷㤱㘹㈴㡤ㄸ慣挷攱搱〱昸㌸㝥换㡡慡搳愹つ摢㝣㜷敤㘶㈳敤㘷挸ㄸ㠶㉡挴㜸慢搶愰昰㜸㤱戵攳㜱㐶敡㌱㕤挴つ扤ㄲ㕤ㄹ慥戲昰㑦攵㜰搹挶㤹挰㉣㘳㍥㔱㡥㐶㄰㌵㘳搱㥥て㤰㥢敡㡣昲㌶挷㌲愲搲扦戵㈳慡㉥㠷戱㠵敥㑦晢ㄵ㐴戴收㜸敥㘰㐵㉡ㅣ挳㤴㥥〰搹㝡捡慡晡㕥攰㤹攱㔰ㄹ搸㘶㠸敦㉣㈶㔰敥愸昶㑢捣搸昵㥢摣㔸捡攵攳愵ㄴ㜴㜶挱昵慥扡㜲㌵㕡挰攷㈶挹慦扥㍥㝥㠶搸㔷愶捦㠲㡢〵扡㑡づ搶㡦㠳攴㤳〵晡ㅡ愶〲晤つ㔳㠱捥㠵愹㐰〷挳㌴㐸㤷挰㔹愸㑡户㌴ㄵ攸㐸㈸捤昴㈴挸愶搲㔸愵晤㥤㌶㝤〲搵㌹㔴㑢㤷㝢ㄶ㉦㌵改㤳愸ㄹ㐰㑤ぢ㙣㈹搰ㄳ㜱ㄶ㝤㡡㠴㔱㜲昹晡愹㔰攱㈵㈳愶㤱㘱〷晥ㄷ㡥㠰㐸づ捣㈰愳㥦〱挹慢㠵㔱晣㌰㈹㔲て㤱搱㥢㌵㈸ㄴ挶㐱攴㤸㌲㌲昹愴㐶收㍤戹㜶戰愷㘵㜱挳㌰㤱戶㤷慥愳㜸戹㕡愶挵㈵㜱㤸㘸㜲㘳㈹昵㠹昵捤㐵〷㐴〴㈶晦㝦っ㕤昹ㄴ昳㤰㔱㉢晡挹ㄹ敦挳扦㝥づ㐴㈱㕦㜳㉣敤㈰㜹㤰㘴㈷㠸昲〳㝣戲㙢㄰昳昵戸愱㌳㠸㔹愰㈴㈴㈳㥦攲㈴㑦㤳㍣〳㤲㔵㈸っ㜲㔵㜹つ㐳戹㤵㠷㔰挸攰收㐷〱挹㠶敦挵つて愳㐲扦〸愲㔱ㄸ㡦慣捤戹〸愲慤扣愵㌲〲愳㤹戴晥㝥㌳㝡捡㈴晦㘴愴换㤶愶㤳〳㕡昳昱㥡㌹㠵ぢ〸㌰ㅡㅥ攵㘳㜵挴挵㠴愷㘶〳て攸戲挴挱㘹㜳摡〷㐰攸㌳㈷〳㕣㜳㙡ㄹ㍣ㄱ㠴㜸㕤㜶㌷挲㈹〶㘷㤶愲㥥㐱搳ㄸ㥣㔴扢晡ㄱ㍡㠸㑥晣搰㜲㤷㕢攱㐷攳㍥慦ㄲ攴慤敦っ㑢ㅢ昸搸捡戳㤶㜴㕣㠱慡㝣ㄷ㜲愵㥦换晥㙢捦㥤ㅦ㜳戹㍣㤰昴㉡㝥搲㌵㄰㐶搲ㄵ戹て㠴㍡㜵㠱㥡〸㈲捡㈸愸㐶昵散摣ㄸ扤晡〴㐷㜴㍣挸昵昷㜳户㙦ㅣ晥攷㤱㉦ㅤ昹敡愸㐲つ㤴㡡昵㔲慣㔸㜴㐶ㄹ㌵慤㔰㉢㘵挳㡢㜱〳晤㑢〶㈰㤸㥡㉡ㅢ扥ㄵ㌷搰挱攸㤷㐱〶㉦㠲搰㐲晡摥㔲ㄵ愰挲㐰摤㥣ち搴昷㤲搷ㄳ敦挰慥摥㔱㠰ㄴ戹愱㥢收㌴㡤㜱㥤〷改〲㠶㉡㘴ㄳ攷搰敤㌸挳挲㈰㔷㝡〱晦敡㤲㔲扤㔸扢㜸昱挳挱搴搰昶搴攷㡦攴㕥晡晢ㅦ摥㝤攱敤愷て扤昷搱换㉦扦晤㡦ㄷ慥㝤昴收摣愱摦扤昶摡㙦㑦扣㜲敤摤捤收慢敡捦㍦㥣㝡昵戹㤱㠵攷㥥㌵捦㍤㜲散戹㉦㕣㍥㌳㌲戳㘹㌸㤹散敢摢戹攵昷㜷㍣㔴昸昲戳扦㔰㝥晤搷摢㕤㐵㝥ㅢㅦ㘸㍡㑦攴ㄳ〵慥㐱摡扣㡢㑣㍥愹昰㐷戲昱ㅢ㌱ㅢ挷㔰㤱㔱ㄲ晤晦〳〸㌳㠸〶</t>
  </si>
  <si>
    <t>Maximum number of hours in any particular year in which each turbine could operate.</t>
  </si>
  <si>
    <t>Corporate tax rate</t>
  </si>
  <si>
    <t>Number of turbines approved for construction</t>
  </si>
  <si>
    <t>Maximum depreciation allowances - maximum of 1/6 of total nominal capex can be set against taxable income in each of the first 6 years of operation of the windfarm</t>
  </si>
  <si>
    <t>Year</t>
  </si>
  <si>
    <t>Discount rate</t>
  </si>
  <si>
    <t xml:space="preserve">Inflation </t>
  </si>
  <si>
    <t>Capex</t>
  </si>
  <si>
    <t>Opex</t>
  </si>
  <si>
    <t>Sales</t>
  </si>
  <si>
    <t>Percentage of capital costs in year one</t>
  </si>
  <si>
    <t>Percentage of capital costs in year two</t>
  </si>
  <si>
    <t>Inflation rate (1+inflation)</t>
  </si>
  <si>
    <t>Discount rate (1+discount_rate)</t>
  </si>
  <si>
    <t>Production capacity of each turbine measured in in megawatts.</t>
  </si>
  <si>
    <t>Depreciation allowance</t>
  </si>
  <si>
    <t>Decommissioning cost allowance</t>
  </si>
  <si>
    <t>Payback Calculations</t>
  </si>
  <si>
    <t>Percentage of decommissioning costs in year n+1</t>
  </si>
  <si>
    <t>Percentage of decommissioning costs in year n+2</t>
  </si>
  <si>
    <t>Percentage of decommissioning costs in year n+3</t>
  </si>
  <si>
    <t>Number of years of decommissioning</t>
  </si>
  <si>
    <t>Inflation</t>
  </si>
  <si>
    <t>Rank</t>
  </si>
  <si>
    <t>Additional Inputs</t>
  </si>
  <si>
    <t xml:space="preserve">Total Cost in real terms of building each turbine </t>
  </si>
  <si>
    <t>Equivalent to the opportunity cost of capital</t>
  </si>
  <si>
    <t>Rate of inflation per year</t>
  </si>
  <si>
    <t>Average electricity price per megawatt hour</t>
  </si>
  <si>
    <t>The percentage of decommissioning costs incurred in the first year after the end of the turbines' useful life</t>
  </si>
  <si>
    <t>The percentage of decommissioning costs incurred in the second year after the end of the turbines' useful life</t>
  </si>
  <si>
    <t>The percentage of decommissioning costs incurred in the third year after the end of the turbines' useful life</t>
  </si>
  <si>
    <t>Decommissioning costs are tax deductible</t>
  </si>
  <si>
    <t>This is calculated by multiplying the capacity of each turbine by the number of turbines</t>
  </si>
  <si>
    <t>This is calculated by multiplying the capacity of each turbine by the total hours of potential operation per year</t>
  </si>
  <si>
    <t>This is calculated by multiplying the maximum possible output of one wind turbine by the number of turbines</t>
  </si>
  <si>
    <t>Capacity factor</t>
  </si>
  <si>
    <t>This is calculated by multiplying the maximum possible output of one wind turbine by the capacity factor</t>
  </si>
  <si>
    <t>This is calculated by multiplying the maximum possible output of all wind turbines by the capacity factor</t>
  </si>
  <si>
    <t>Levelised Cost of Electricity (£/MWh)</t>
  </si>
  <si>
    <t>Comments</t>
  </si>
  <si>
    <t>Annual expected power (MWh)</t>
  </si>
  <si>
    <t>INPUTS</t>
  </si>
  <si>
    <t>Percentage of capital costs in year zero</t>
  </si>
  <si>
    <t>Phasing of expenditure</t>
  </si>
  <si>
    <t>Decommissioning</t>
  </si>
  <si>
    <t>CALCULATIONS</t>
  </si>
  <si>
    <t>Validation</t>
  </si>
  <si>
    <t>Total expenditure (discounted)</t>
  </si>
  <si>
    <t>Total expenditure</t>
  </si>
  <si>
    <t>Decommissioning costs</t>
  </si>
  <si>
    <t>Total sales (discounted)</t>
  </si>
  <si>
    <t>Pre-tax net cash flow</t>
  </si>
  <si>
    <t>Taxable cash flow</t>
  </si>
  <si>
    <t>Tax paid</t>
  </si>
  <si>
    <t>Post-tax net cash flow</t>
  </si>
  <si>
    <t>Post tax net cash flow (discounted)</t>
  </si>
  <si>
    <t>Pre-tax net cash flow (discounted)</t>
  </si>
  <si>
    <t>Payback year</t>
  </si>
  <si>
    <t>Cumulative NCF (post-tax), positive indicator</t>
  </si>
  <si>
    <t>Cumulative NCF (post-tax), positive indicator, lagged</t>
  </si>
  <si>
    <t>Cumulative NCF (post-tax; discounted), positive indicator</t>
  </si>
  <si>
    <t>Cumulative NCF (post-tax; discounted), positive indicator, lagged</t>
  </si>
  <si>
    <t>Payback year (discounted)</t>
  </si>
  <si>
    <t>Summary</t>
  </si>
  <si>
    <t>Profitability Index (ROI)</t>
  </si>
  <si>
    <t>NPV (pre-tax; £M)</t>
  </si>
  <si>
    <t>NPV Capex (£M)</t>
  </si>
  <si>
    <t>Cumulative net cash flow (£M; undiscounted)</t>
  </si>
  <si>
    <t>Cumulative net cash flow (£M; discounted)</t>
  </si>
  <si>
    <t>Revenue (£M)</t>
  </si>
  <si>
    <t>Expenditure (£M)</t>
  </si>
  <si>
    <t>Net cash flows (£M)</t>
  </si>
  <si>
    <t>LCOE (£/MWh)</t>
  </si>
  <si>
    <t>NPV of total cost (£M)</t>
  </si>
  <si>
    <t>NPV of total energy (GWh)</t>
  </si>
  <si>
    <t>LCOE = NPV of total cost / NPV of total energy (£/MWh)</t>
  </si>
  <si>
    <t>± Base case</t>
  </si>
  <si>
    <t>Average electricity price (£/MWh)</t>
  </si>
  <si>
    <t>Post-tax NPV (£M)</t>
  </si>
  <si>
    <t>OpEx per turbine (£)</t>
  </si>
  <si>
    <t>Years before turbines operate</t>
  </si>
  <si>
    <t>Years</t>
  </si>
  <si>
    <t>No. of turbines</t>
  </si>
  <si>
    <t>Expected turbine lifetime (years)</t>
  </si>
  <si>
    <t>Cash flow analysis</t>
  </si>
  <si>
    <t>OpEx per turbine</t>
  </si>
  <si>
    <t>Turbine lifetime</t>
  </si>
  <si>
    <t>Average price</t>
  </si>
  <si>
    <t>Multi-factor sensitivity analysis</t>
  </si>
  <si>
    <t>Single-factor sensitivity analysis</t>
  </si>
  <si>
    <t>Number of years that turbines are expected to be able to produce electricity (exc. years when turbines are being built)</t>
  </si>
  <si>
    <t>% of the maximum total operating hours (actual output as a percentage of total potential output)</t>
  </si>
  <si>
    <t>Years before the wind turbines start to produce electricity. (Also first year in which opex and revenue are calculated)</t>
  </si>
  <si>
    <t>Percentage of total capital expenditure in year 1</t>
  </si>
  <si>
    <t>Percentage of total capital expenditure in year 0 (does not consider inflation, so actual costs vary slightly)</t>
  </si>
  <si>
    <t>Percentage of total capital expenditure in year 2</t>
  </si>
  <si>
    <t>Cost to connect wind farm to grid (independent of number of turbines)</t>
  </si>
  <si>
    <t>Other capital costs--e.g. site preparation (independent of number of turbines)</t>
  </si>
  <si>
    <t xml:space="preserve">Total cost of construction for all turbines plus grid connection costs and other capital costs </t>
  </si>
  <si>
    <t>Annual operation and maintenance cost of all turbines</t>
  </si>
  <si>
    <t xml:space="preserve">Annual cost of maintaining and operating each turbine (Opex) </t>
  </si>
  <si>
    <t>Represented as a percentage of total capital costs</t>
  </si>
  <si>
    <t>Years of decommissioning after the end of the turbines' useful life</t>
  </si>
  <si>
    <t>Avg. elec. price (£/MWh)</t>
  </si>
  <si>
    <t>Electricity price vs. Discount rate</t>
  </si>
  <si>
    <t>Years before turbines operate vs. Discount rate</t>
  </si>
  <si>
    <t xml:space="preserve">Years </t>
  </si>
  <si>
    <t>Electricity price vs. Capacity factor</t>
  </si>
  <si>
    <t>Years before turbines operate vs. Capacity factor</t>
  </si>
  <si>
    <t>Electricity price vs. Number of turbines</t>
  </si>
  <si>
    <t>Number of turbines vs. Capacity factor</t>
  </si>
  <si>
    <t>Electricity price vs. Years before turbines operate</t>
  </si>
  <si>
    <t>Average electricity price  (£/MWh)</t>
  </si>
  <si>
    <t>Expected useful life of turbines</t>
  </si>
  <si>
    <t>Years before turbines start operating</t>
  </si>
  <si>
    <t>Variable</t>
  </si>
  <si>
    <t>Min NPV (£M)</t>
  </si>
  <si>
    <t>Realistic bad (£M)</t>
  </si>
  <si>
    <t>Realistic good (£M)</t>
  </si>
  <si>
    <t>Max NPV (£M)</t>
  </si>
  <si>
    <t>∆ NPV (£M)</t>
  </si>
  <si>
    <t>OpEx costs (£) per turbine</t>
  </si>
  <si>
    <t>Tornado analysis</t>
  </si>
  <si>
    <t>Scenario analysis</t>
  </si>
  <si>
    <t>Base case</t>
  </si>
  <si>
    <t>IRR (%)</t>
  </si>
  <si>
    <t>Internal Rate of Return (IRR)</t>
  </si>
  <si>
    <t>Worse</t>
  </si>
  <si>
    <t>Better</t>
  </si>
  <si>
    <t>ROI (%)</t>
  </si>
  <si>
    <t>FURTHER ANALYSIS</t>
  </si>
  <si>
    <t>DASHBOARD</t>
  </si>
  <si>
    <t>Turbine capacity (MW)</t>
  </si>
  <si>
    <t>Expected useful life of turbine (years)</t>
  </si>
  <si>
    <t>Total hours of potential operation (yearly)</t>
  </si>
  <si>
    <t xml:space="preserve">Capacity factor (% of potential time operated) </t>
  </si>
  <si>
    <t>Number of turbines</t>
  </si>
  <si>
    <t>Total cost of construction (£) per turbine</t>
  </si>
  <si>
    <t xml:space="preserve">Grid connnection costs </t>
  </si>
  <si>
    <t xml:space="preserve">Other capital costs </t>
  </si>
  <si>
    <t>Total capital costs (CapEx)</t>
  </si>
  <si>
    <t>Yearly operation and maintenance costs (£) per turbine</t>
  </si>
  <si>
    <t>Total yearly operating costs (OpEx)</t>
  </si>
  <si>
    <t>Decommissioning costs (%)</t>
  </si>
  <si>
    <t>Total decommissioning costs</t>
  </si>
  <si>
    <t>Cost of capital</t>
  </si>
  <si>
    <t>Electricity prices</t>
  </si>
  <si>
    <t>Average market price (£/MWh)</t>
  </si>
  <si>
    <t>Tax information</t>
  </si>
  <si>
    <t>Corporation tax rate</t>
  </si>
  <si>
    <t xml:space="preserve">Depreciation allowances (years) </t>
  </si>
  <si>
    <t>Total capacity of all turbines (MW)</t>
  </si>
  <si>
    <t>Maximum possible output of one wind turbine (MWh/yr)</t>
  </si>
  <si>
    <t>Maximum possible output of all wind turbines (MWh/yr)</t>
  </si>
  <si>
    <t>Actual (expected) output of one wind turbine (MWh/yr)</t>
  </si>
  <si>
    <t>Actual (expected) output of all wind turbines (MWh/yr)</t>
  </si>
  <si>
    <t>Worse case</t>
  </si>
  <si>
    <t>Better case</t>
  </si>
  <si>
    <t>NPV (post-tax; £M)</t>
  </si>
  <si>
    <t>Primary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</si>
</sst>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 #,##0_-;_-* &quot;-&quot;_-;_-@_-"/>
    <numFmt numFmtId="44" formatCode="_-&quot;£&quot;* #,##0.00_-;\-&quot;£&quot;* #,##0.00_-;_-&quot;£&quot;* &quot;-&quot;??_-;_-@_-"/>
    <numFmt numFmtId="43" formatCode="_-* #,##0.00_-;\-* #,##0.00_-;_-* &quot;-&quot;??_-;_-@_-"/>
    <numFmt numFmtId="164" formatCode="0.0%"/>
    <numFmt numFmtId="165" formatCode="_-* #,##0_-;\-* #,##0_-;_-* &quot;-&quot;??_-;_-@_-"/>
    <numFmt numFmtId="166" formatCode="#,##0_ ;\-#,##0\ "/>
    <numFmt numFmtId="167" formatCode="#,##0;#,##0;0"/>
    <numFmt numFmtId="168" formatCode="_-* #,##0.0_-;\-* #,##0.0_-;_-* &quot;-&quot;??_-;_-@_-"/>
    <numFmt numFmtId="169" formatCode="#,##0.00,,\ "/>
    <numFmt numFmtId="170" formatCode="#,##0.0"/>
    <numFmt numFmtId="171" formatCode="0.0"/>
  </numFmts>
  <fonts count="27" x14ac:knownFonts="1">
    <font>
      <sz val="11"/>
      <color theme="1"/>
      <name val="Calibri"/>
      <family val="2"/>
      <scheme val="minor"/>
    </font>
    <font>
      <b/>
      <sz val="11"/>
      <color theme="1"/>
      <name val="Calibri"/>
      <family val="2"/>
      <scheme val="minor"/>
    </font>
    <font>
      <sz val="11"/>
      <color theme="1"/>
      <name val="Calibri"/>
      <family val="2"/>
      <scheme val="minor"/>
    </font>
    <font>
      <b/>
      <sz val="16"/>
      <color theme="1"/>
      <name val="Garamond"/>
      <family val="1"/>
    </font>
    <font>
      <sz val="11"/>
      <color theme="1"/>
      <name val="Garamond"/>
      <family val="1"/>
    </font>
    <font>
      <b/>
      <sz val="14"/>
      <color theme="1"/>
      <name val="Garamond"/>
      <family val="1"/>
    </font>
    <font>
      <sz val="14"/>
      <color theme="1"/>
      <name val="Garamond"/>
      <family val="1"/>
    </font>
    <font>
      <sz val="11"/>
      <name val="Garamond"/>
      <family val="1"/>
    </font>
    <font>
      <b/>
      <sz val="11"/>
      <color theme="1"/>
      <name val="Garamond"/>
      <family val="1"/>
    </font>
    <font>
      <sz val="11"/>
      <color rgb="FFFF0000"/>
      <name val="Garamond"/>
      <family val="1"/>
    </font>
    <font>
      <b/>
      <sz val="11"/>
      <name val="Garamond"/>
      <family val="1"/>
    </font>
    <font>
      <i/>
      <sz val="11"/>
      <color theme="1"/>
      <name val="Garamond"/>
      <family val="1"/>
    </font>
    <font>
      <b/>
      <sz val="20"/>
      <color theme="0"/>
      <name val="Sorts Mill Goudy"/>
    </font>
    <font>
      <b/>
      <sz val="24"/>
      <color theme="0"/>
      <name val="Sorts Mill Goudy"/>
    </font>
    <font>
      <b/>
      <sz val="11"/>
      <color theme="0"/>
      <name val="Garamond"/>
      <family val="1"/>
    </font>
    <font>
      <sz val="11"/>
      <color theme="0"/>
      <name val="Garamond"/>
      <family val="1"/>
    </font>
    <font>
      <b/>
      <sz val="12"/>
      <color theme="0"/>
      <name val="Garamond"/>
      <family val="1"/>
    </font>
    <font>
      <b/>
      <sz val="14"/>
      <color theme="3"/>
      <name val="Garamond"/>
      <family val="1"/>
    </font>
    <font>
      <sz val="11"/>
      <color theme="4"/>
      <name val="Garamond"/>
      <family val="1"/>
    </font>
    <font>
      <b/>
      <sz val="24"/>
      <color theme="0"/>
      <name val="Garamond"/>
      <family val="1"/>
    </font>
    <font>
      <b/>
      <sz val="20"/>
      <color theme="0"/>
      <name val="Garamond"/>
      <family val="1"/>
    </font>
    <font>
      <b/>
      <sz val="16"/>
      <color theme="0"/>
      <name val="Sorts Mill Goudy"/>
    </font>
    <font>
      <i/>
      <sz val="11"/>
      <color theme="1"/>
      <name val="Calibri"/>
      <family val="2"/>
      <scheme val="minor"/>
    </font>
    <font>
      <i/>
      <sz val="16"/>
      <color theme="1"/>
      <name val="Garamond"/>
      <family val="1"/>
    </font>
    <font>
      <sz val="16"/>
      <color theme="1"/>
      <name val="Calibri"/>
      <family val="2"/>
      <scheme val="minor"/>
    </font>
    <font>
      <sz val="16"/>
      <color theme="3"/>
      <name val="Garamond"/>
      <family val="1"/>
    </font>
    <font>
      <sz val="16"/>
      <color theme="1"/>
      <name val="Garamond"/>
      <family val="1"/>
    </font>
  </fonts>
  <fills count="1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3399FF"/>
        <bgColor indexed="64"/>
      </patternFill>
    </fill>
    <fill>
      <patternFill patternType="solid">
        <fgColor theme="6" tint="-0.249977111117893"/>
        <bgColor indexed="64"/>
      </patternFill>
    </fill>
    <fill>
      <patternFill patternType="solid">
        <fgColor theme="2"/>
        <bgColor indexed="64"/>
      </patternFill>
    </fill>
    <fill>
      <patternFill patternType="solid">
        <fgColor theme="4"/>
        <bgColor indexed="64"/>
      </patternFill>
    </fill>
    <fill>
      <patternFill patternType="solid">
        <fgColor rgb="FFC00000"/>
        <bgColor indexed="64"/>
      </patternFill>
    </fill>
    <fill>
      <patternFill patternType="solid">
        <fgColor theme="3" tint="-0.249977111117893"/>
        <bgColor indexed="64"/>
      </patternFill>
    </fill>
    <fill>
      <patternFill patternType="solid">
        <fgColor rgb="FF4F81BD"/>
        <bgColor indexed="64"/>
      </patternFill>
    </fill>
    <fill>
      <patternFill patternType="solid">
        <fgColor theme="3"/>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A1E7A1"/>
        <bgColor indexed="64"/>
      </patternFill>
    </fill>
  </fills>
  <borders count="12">
    <border>
      <left/>
      <right/>
      <top/>
      <bottom/>
      <diagonal/>
    </border>
    <border>
      <left/>
      <right/>
      <top/>
      <bottom style="thick">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right/>
      <top style="thin">
        <color indexed="64"/>
      </top>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s>
  <cellStyleXfs count="5">
    <xf numFmtId="0" fontId="0" fillId="0" borderId="0"/>
    <xf numFmtId="9"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44" fontId="2" fillId="0" borderId="0" applyFont="0" applyFill="0" applyBorder="0" applyAlignment="0" applyProtection="0"/>
  </cellStyleXfs>
  <cellXfs count="161">
    <xf numFmtId="0" fontId="0" fillId="0" borderId="0" xfId="0"/>
    <xf numFmtId="0" fontId="1" fillId="0" borderId="0" xfId="0" applyFont="1"/>
    <xf numFmtId="0" fontId="0" fillId="0" borderId="0" xfId="0" quotePrefix="1"/>
    <xf numFmtId="0" fontId="4" fillId="2" borderId="0" xfId="0" applyFont="1" applyFill="1" applyAlignment="1">
      <alignment vertical="center"/>
    </xf>
    <xf numFmtId="0" fontId="9" fillId="2" borderId="0" xfId="0" applyFont="1" applyFill="1" applyAlignment="1">
      <alignment vertical="center"/>
    </xf>
    <xf numFmtId="3" fontId="4" fillId="2" borderId="0" xfId="0" applyNumberFormat="1" applyFont="1" applyFill="1" applyAlignment="1">
      <alignment vertical="center"/>
    </xf>
    <xf numFmtId="3" fontId="8" fillId="2" borderId="0" xfId="0" applyNumberFormat="1" applyFont="1" applyFill="1" applyAlignment="1">
      <alignment vertical="center"/>
    </xf>
    <xf numFmtId="0" fontId="4" fillId="2" borderId="0" xfId="0" applyFont="1" applyFill="1" applyAlignment="1">
      <alignment horizontal="center" vertical="center"/>
    </xf>
    <xf numFmtId="0" fontId="8" fillId="2" borderId="0" xfId="0" applyFont="1" applyFill="1" applyAlignment="1">
      <alignment vertical="center"/>
    </xf>
    <xf numFmtId="169" fontId="4" fillId="2" borderId="0" xfId="0" applyNumberFormat="1" applyFont="1" applyFill="1" applyAlignment="1">
      <alignment vertical="center"/>
    </xf>
    <xf numFmtId="0" fontId="16" fillId="7" borderId="0" xfId="0" applyFont="1" applyFill="1" applyAlignment="1">
      <alignment vertical="center"/>
    </xf>
    <xf numFmtId="0" fontId="4" fillId="7" borderId="0" xfId="0" applyFont="1" applyFill="1" applyAlignment="1">
      <alignment vertical="center"/>
    </xf>
    <xf numFmtId="0" fontId="15" fillId="7" borderId="0" xfId="0" applyFont="1" applyFill="1" applyAlignment="1">
      <alignment vertical="center"/>
    </xf>
    <xf numFmtId="0" fontId="6" fillId="2" borderId="0" xfId="0" applyFont="1" applyFill="1" applyAlignment="1">
      <alignment vertical="center"/>
    </xf>
    <xf numFmtId="168" fontId="4" fillId="2" borderId="0" xfId="2" applyNumberFormat="1" applyFont="1" applyFill="1" applyAlignment="1">
      <alignment vertical="center"/>
    </xf>
    <xf numFmtId="0" fontId="7" fillId="2" borderId="0" xfId="0" applyFont="1" applyFill="1" applyAlignment="1">
      <alignment vertical="center"/>
    </xf>
    <xf numFmtId="165" fontId="7" fillId="2" borderId="0" xfId="2" applyNumberFormat="1" applyFont="1" applyFill="1" applyAlignment="1">
      <alignment vertical="center"/>
    </xf>
    <xf numFmtId="165" fontId="4" fillId="2" borderId="0" xfId="2" applyNumberFormat="1" applyFont="1" applyFill="1" applyAlignment="1">
      <alignment vertical="center"/>
    </xf>
    <xf numFmtId="9" fontId="4" fillId="2" borderId="0" xfId="1" applyFont="1" applyFill="1" applyAlignment="1">
      <alignment vertical="center"/>
    </xf>
    <xf numFmtId="165" fontId="8" fillId="2" borderId="0" xfId="2" applyNumberFormat="1" applyFont="1" applyFill="1" applyAlignment="1">
      <alignment vertical="center"/>
    </xf>
    <xf numFmtId="0" fontId="4" fillId="3" borderId="0" xfId="0" applyFont="1" applyFill="1" applyAlignment="1">
      <alignment vertical="center"/>
    </xf>
    <xf numFmtId="1" fontId="7" fillId="2" borderId="0" xfId="1" applyNumberFormat="1" applyFont="1" applyFill="1" applyAlignment="1">
      <alignment vertical="center"/>
    </xf>
    <xf numFmtId="9" fontId="7" fillId="2" borderId="0" xfId="1" applyFont="1" applyFill="1" applyAlignment="1">
      <alignment vertical="center"/>
    </xf>
    <xf numFmtId="0" fontId="10" fillId="2" borderId="0" xfId="0" applyFont="1" applyFill="1" applyAlignment="1">
      <alignment vertical="center"/>
    </xf>
    <xf numFmtId="0" fontId="8" fillId="3" borderId="0" xfId="0" applyFont="1" applyFill="1" applyAlignment="1">
      <alignment vertical="center"/>
    </xf>
    <xf numFmtId="3" fontId="8" fillId="3" borderId="0" xfId="0" applyNumberFormat="1" applyFont="1" applyFill="1" applyAlignment="1">
      <alignment vertical="center"/>
    </xf>
    <xf numFmtId="0" fontId="7" fillId="3" borderId="0" xfId="0" applyFont="1" applyFill="1" applyAlignment="1">
      <alignment vertical="center"/>
    </xf>
    <xf numFmtId="9" fontId="7" fillId="2" borderId="0" xfId="0" applyNumberFormat="1" applyFont="1" applyFill="1" applyAlignment="1">
      <alignment vertical="center"/>
    </xf>
    <xf numFmtId="9" fontId="4" fillId="2" borderId="0" xfId="0" applyNumberFormat="1" applyFont="1" applyFill="1" applyAlignment="1">
      <alignment vertical="center"/>
    </xf>
    <xf numFmtId="2" fontId="4" fillId="3" borderId="0" xfId="0" applyNumberFormat="1" applyFont="1" applyFill="1" applyAlignment="1">
      <alignment vertical="center"/>
    </xf>
    <xf numFmtId="164" fontId="4" fillId="2" borderId="0" xfId="0" applyNumberFormat="1" applyFont="1" applyFill="1" applyAlignment="1">
      <alignment vertical="center"/>
    </xf>
    <xf numFmtId="2" fontId="4" fillId="2" borderId="0" xfId="1" applyNumberFormat="1" applyFont="1" applyFill="1" applyAlignment="1">
      <alignment vertical="center"/>
    </xf>
    <xf numFmtId="166" fontId="4" fillId="2" borderId="0" xfId="3" applyNumberFormat="1" applyFont="1" applyFill="1" applyAlignment="1">
      <alignment vertical="center"/>
    </xf>
    <xf numFmtId="3" fontId="10" fillId="2" borderId="0" xfId="2" applyNumberFormat="1" applyFont="1" applyFill="1" applyAlignment="1">
      <alignment vertical="center"/>
    </xf>
    <xf numFmtId="0" fontId="0" fillId="2" borderId="0" xfId="0" applyFill="1" applyAlignment="1">
      <alignment vertical="center"/>
    </xf>
    <xf numFmtId="3" fontId="4" fillId="2" borderId="0" xfId="2" applyNumberFormat="1" applyFont="1" applyFill="1" applyAlignment="1">
      <alignment vertical="center"/>
    </xf>
    <xf numFmtId="3" fontId="9" fillId="2" borderId="0" xfId="0" applyNumberFormat="1" applyFont="1" applyFill="1" applyAlignment="1">
      <alignment vertical="center"/>
    </xf>
    <xf numFmtId="0" fontId="5" fillId="2" borderId="0" xfId="0" applyFont="1" applyFill="1" applyAlignment="1">
      <alignment vertical="center"/>
    </xf>
    <xf numFmtId="0" fontId="4" fillId="2" borderId="0" xfId="0" applyFont="1" applyFill="1" applyAlignment="1">
      <alignment vertical="top"/>
    </xf>
    <xf numFmtId="0" fontId="9" fillId="2" borderId="0" xfId="0" applyFont="1" applyFill="1" applyAlignment="1">
      <alignment vertical="top"/>
    </xf>
    <xf numFmtId="0" fontId="9" fillId="2" borderId="0" xfId="0" applyFont="1" applyFill="1" applyAlignment="1">
      <alignment horizontal="center" vertical="top"/>
    </xf>
    <xf numFmtId="0" fontId="4" fillId="2" borderId="0" xfId="0" applyFont="1" applyFill="1" applyAlignment="1">
      <alignment horizontal="center" vertical="top"/>
    </xf>
    <xf numFmtId="0" fontId="14" fillId="4" borderId="0" xfId="0" applyFont="1" applyFill="1" applyAlignment="1">
      <alignment vertical="top"/>
    </xf>
    <xf numFmtId="0" fontId="14" fillId="4" borderId="0" xfId="0" applyFont="1" applyFill="1" applyAlignment="1">
      <alignment horizontal="center" vertical="top"/>
    </xf>
    <xf numFmtId="0" fontId="8" fillId="2" borderId="1" xfId="0" applyFont="1" applyFill="1" applyBorder="1" applyAlignment="1">
      <alignment vertical="top"/>
    </xf>
    <xf numFmtId="0" fontId="11" fillId="2" borderId="1" xfId="0" applyFont="1" applyFill="1" applyBorder="1" applyAlignment="1">
      <alignment horizontal="center" vertical="top"/>
    </xf>
    <xf numFmtId="0" fontId="4" fillId="2" borderId="1" xfId="0" applyFont="1" applyFill="1" applyBorder="1" applyAlignment="1">
      <alignment horizontal="center" vertical="top"/>
    </xf>
    <xf numFmtId="9" fontId="4" fillId="2" borderId="0" xfId="1" applyFont="1" applyFill="1" applyAlignment="1">
      <alignment horizontal="center" vertical="top"/>
    </xf>
    <xf numFmtId="0" fontId="8" fillId="2" borderId="1" xfId="0" applyFont="1" applyFill="1" applyBorder="1" applyAlignment="1">
      <alignment horizontal="center" vertical="top"/>
    </xf>
    <xf numFmtId="169" fontId="7" fillId="2" borderId="0" xfId="0" applyNumberFormat="1" applyFont="1" applyFill="1" applyAlignment="1">
      <alignment horizontal="center" vertical="top"/>
    </xf>
    <xf numFmtId="3" fontId="4" fillId="2" borderId="0" xfId="0" applyNumberFormat="1" applyFont="1" applyFill="1" applyAlignment="1">
      <alignment vertical="top"/>
    </xf>
    <xf numFmtId="3" fontId="4" fillId="2" borderId="0" xfId="0" applyNumberFormat="1" applyFont="1" applyFill="1" applyAlignment="1">
      <alignment horizontal="center" vertical="top"/>
    </xf>
    <xf numFmtId="3" fontId="7" fillId="2" borderId="0" xfId="0" applyNumberFormat="1" applyFont="1" applyFill="1" applyAlignment="1">
      <alignment vertical="top"/>
    </xf>
    <xf numFmtId="3" fontId="7" fillId="2" borderId="0" xfId="0" applyNumberFormat="1" applyFont="1" applyFill="1" applyAlignment="1">
      <alignment horizontal="center" vertical="top"/>
    </xf>
    <xf numFmtId="169" fontId="4" fillId="2" borderId="0" xfId="0" applyNumberFormat="1" applyFont="1" applyFill="1" applyAlignment="1">
      <alignment horizontal="center" vertical="top"/>
    </xf>
    <xf numFmtId="3" fontId="8" fillId="2" borderId="0" xfId="0" applyNumberFormat="1" applyFont="1" applyFill="1" applyAlignment="1">
      <alignment vertical="top"/>
    </xf>
    <xf numFmtId="3" fontId="8" fillId="2" borderId="0" xfId="0" applyNumberFormat="1" applyFont="1" applyFill="1" applyAlignment="1">
      <alignment horizontal="center" vertical="top"/>
    </xf>
    <xf numFmtId="169" fontId="8" fillId="2" borderId="0" xfId="0" applyNumberFormat="1" applyFont="1" applyFill="1" applyAlignment="1">
      <alignment horizontal="center" vertical="top"/>
    </xf>
    <xf numFmtId="169" fontId="4" fillId="2" borderId="1" xfId="0" applyNumberFormat="1" applyFont="1" applyFill="1" applyBorder="1" applyAlignment="1">
      <alignment horizontal="center" vertical="top"/>
    </xf>
    <xf numFmtId="0" fontId="8" fillId="2" borderId="0" xfId="0" applyFont="1" applyFill="1" applyAlignment="1">
      <alignment vertical="top"/>
    </xf>
    <xf numFmtId="0" fontId="8" fillId="2" borderId="0" xfId="0" applyFont="1" applyFill="1" applyAlignment="1">
      <alignment horizontal="center" vertical="top"/>
    </xf>
    <xf numFmtId="3" fontId="10" fillId="2" borderId="0" xfId="0" applyNumberFormat="1" applyFont="1" applyFill="1" applyAlignment="1">
      <alignment vertical="top"/>
    </xf>
    <xf numFmtId="3" fontId="10" fillId="2" borderId="0" xfId="0" applyNumberFormat="1" applyFont="1" applyFill="1" applyAlignment="1">
      <alignment horizontal="center" vertical="top"/>
    </xf>
    <xf numFmtId="3" fontId="8" fillId="2" borderId="1" xfId="0" applyNumberFormat="1" applyFont="1" applyFill="1" applyBorder="1" applyAlignment="1">
      <alignment vertical="top"/>
    </xf>
    <xf numFmtId="3" fontId="8" fillId="2" borderId="1" xfId="0" applyNumberFormat="1" applyFont="1" applyFill="1" applyBorder="1" applyAlignment="1">
      <alignment horizontal="center" vertical="top"/>
    </xf>
    <xf numFmtId="169" fontId="4" fillId="2" borderId="0" xfId="0" applyNumberFormat="1" applyFont="1" applyFill="1" applyAlignment="1">
      <alignment vertical="top"/>
    </xf>
    <xf numFmtId="2" fontId="4" fillId="2" borderId="0" xfId="0" applyNumberFormat="1" applyFont="1" applyFill="1" applyAlignment="1">
      <alignment horizontal="center" vertical="top"/>
    </xf>
    <xf numFmtId="169" fontId="4" fillId="6" borderId="0" xfId="0" applyNumberFormat="1" applyFont="1" applyFill="1" applyAlignment="1">
      <alignment horizontal="center" vertical="top"/>
    </xf>
    <xf numFmtId="0" fontId="3" fillId="2" borderId="1" xfId="0" applyFont="1" applyFill="1" applyBorder="1" applyAlignment="1">
      <alignment vertical="top"/>
    </xf>
    <xf numFmtId="0" fontId="3" fillId="2" borderId="1" xfId="0" applyFont="1" applyFill="1" applyBorder="1" applyAlignment="1">
      <alignment horizontal="center" vertical="top"/>
    </xf>
    <xf numFmtId="9" fontId="4" fillId="2" borderId="0" xfId="0" applyNumberFormat="1" applyFont="1" applyFill="1" applyAlignment="1">
      <alignment horizontal="center" vertical="top"/>
    </xf>
    <xf numFmtId="10" fontId="4" fillId="2" borderId="0" xfId="1" applyNumberFormat="1" applyFont="1" applyFill="1" applyAlignment="1">
      <alignment vertical="center"/>
    </xf>
    <xf numFmtId="1" fontId="4" fillId="2" borderId="0" xfId="0" applyNumberFormat="1" applyFont="1" applyFill="1" applyAlignment="1">
      <alignment vertical="center"/>
    </xf>
    <xf numFmtId="1" fontId="4" fillId="2" borderId="0" xfId="2" applyNumberFormat="1" applyFont="1" applyFill="1" applyAlignment="1">
      <alignment vertical="center"/>
    </xf>
    <xf numFmtId="0" fontId="17" fillId="2" borderId="0" xfId="0" applyFont="1" applyFill="1" applyAlignment="1">
      <alignment vertical="center"/>
    </xf>
    <xf numFmtId="0" fontId="8" fillId="2" borderId="0" xfId="0" applyFont="1" applyFill="1" applyAlignment="1">
      <alignment horizontal="center" vertical="center"/>
    </xf>
    <xf numFmtId="169" fontId="15" fillId="2" borderId="0" xfId="4" applyNumberFormat="1" applyFont="1" applyFill="1" applyBorder="1" applyAlignment="1">
      <alignment horizontal="center" vertical="center"/>
    </xf>
    <xf numFmtId="9" fontId="15" fillId="9" borderId="5" xfId="0" applyNumberFormat="1" applyFont="1" applyFill="1" applyBorder="1" applyAlignment="1">
      <alignment horizontal="center" vertical="center"/>
    </xf>
    <xf numFmtId="169" fontId="7" fillId="2" borderId="6" xfId="0" applyNumberFormat="1" applyFont="1" applyFill="1" applyBorder="1" applyAlignment="1">
      <alignment horizontal="center" vertical="center"/>
    </xf>
    <xf numFmtId="169" fontId="4" fillId="2" borderId="6" xfId="0" applyNumberFormat="1" applyFont="1" applyFill="1" applyBorder="1" applyAlignment="1">
      <alignment horizontal="center" vertical="center"/>
    </xf>
    <xf numFmtId="9" fontId="15" fillId="9" borderId="4" xfId="0" applyNumberFormat="1" applyFont="1" applyFill="1" applyBorder="1" applyAlignment="1">
      <alignment horizontal="center" vertical="center"/>
    </xf>
    <xf numFmtId="0" fontId="15" fillId="9" borderId="3" xfId="0" applyFont="1" applyFill="1" applyBorder="1" applyAlignment="1">
      <alignment horizontal="center" vertical="center"/>
    </xf>
    <xf numFmtId="0" fontId="15" fillId="9" borderId="2" xfId="0" applyFont="1" applyFill="1" applyBorder="1" applyAlignment="1">
      <alignment horizontal="center" vertical="center"/>
    </xf>
    <xf numFmtId="0" fontId="7" fillId="2" borderId="0" xfId="0" applyFont="1" applyFill="1" applyAlignment="1">
      <alignment horizontal="left" vertical="center"/>
    </xf>
    <xf numFmtId="0" fontId="4" fillId="2" borderId="0" xfId="0" applyFont="1" applyFill="1" applyAlignment="1">
      <alignment horizontal="left" vertical="center"/>
    </xf>
    <xf numFmtId="170" fontId="15" fillId="9" borderId="3" xfId="0" applyNumberFormat="1" applyFont="1" applyFill="1" applyBorder="1" applyAlignment="1">
      <alignment horizontal="center" vertical="center"/>
    </xf>
    <xf numFmtId="170" fontId="15" fillId="9" borderId="2" xfId="0" applyNumberFormat="1" applyFont="1" applyFill="1" applyBorder="1" applyAlignment="1">
      <alignment horizontal="center" vertical="center"/>
    </xf>
    <xf numFmtId="164" fontId="4" fillId="2" borderId="0" xfId="1" applyNumberFormat="1" applyFont="1" applyFill="1" applyAlignment="1">
      <alignment vertical="center"/>
    </xf>
    <xf numFmtId="164" fontId="15" fillId="9" borderId="4" xfId="1" applyNumberFormat="1" applyFont="1" applyFill="1" applyBorder="1" applyAlignment="1">
      <alignment horizontal="center" vertical="center"/>
    </xf>
    <xf numFmtId="164" fontId="15" fillId="9" borderId="5" xfId="0" applyNumberFormat="1" applyFont="1" applyFill="1" applyBorder="1" applyAlignment="1">
      <alignment horizontal="center" vertical="center"/>
    </xf>
    <xf numFmtId="164" fontId="15" fillId="9" borderId="5" xfId="1" applyNumberFormat="1" applyFont="1" applyFill="1" applyBorder="1" applyAlignment="1">
      <alignment horizontal="center" vertical="center"/>
    </xf>
    <xf numFmtId="169" fontId="15" fillId="2" borderId="0" xfId="0" applyNumberFormat="1" applyFont="1" applyFill="1" applyAlignment="1">
      <alignment vertical="center"/>
    </xf>
    <xf numFmtId="1" fontId="15" fillId="9" borderId="4" xfId="0" applyNumberFormat="1" applyFont="1" applyFill="1" applyBorder="1" applyAlignment="1">
      <alignment horizontal="center" vertical="center"/>
    </xf>
    <xf numFmtId="1" fontId="15" fillId="9" borderId="5" xfId="0" applyNumberFormat="1" applyFont="1" applyFill="1" applyBorder="1" applyAlignment="1">
      <alignment horizontal="center" vertical="center"/>
    </xf>
    <xf numFmtId="0" fontId="15" fillId="2" borderId="0" xfId="0" applyFont="1" applyFill="1" applyAlignment="1">
      <alignment vertical="center"/>
    </xf>
    <xf numFmtId="0" fontId="12" fillId="2" borderId="0" xfId="0" applyFont="1" applyFill="1" applyAlignment="1">
      <alignment vertical="center"/>
    </xf>
    <xf numFmtId="0" fontId="15" fillId="10" borderId="0" xfId="0" applyFont="1" applyFill="1" applyAlignment="1">
      <alignment vertical="center"/>
    </xf>
    <xf numFmtId="0" fontId="4" fillId="10" borderId="0" xfId="0" applyFont="1" applyFill="1" applyAlignment="1">
      <alignment vertical="center"/>
    </xf>
    <xf numFmtId="0" fontId="7" fillId="2" borderId="0" xfId="0" applyFont="1" applyFill="1" applyAlignment="1">
      <alignment horizontal="center" vertical="center"/>
    </xf>
    <xf numFmtId="169" fontId="7" fillId="2" borderId="0" xfId="0" applyNumberFormat="1" applyFont="1" applyFill="1" applyAlignment="1">
      <alignment horizontal="center" vertical="center"/>
    </xf>
    <xf numFmtId="9" fontId="18" fillId="2" borderId="0" xfId="1" applyFont="1" applyFill="1" applyAlignment="1">
      <alignment vertical="center"/>
    </xf>
    <xf numFmtId="0" fontId="14" fillId="11" borderId="0" xfId="0" applyFont="1" applyFill="1" applyAlignment="1">
      <alignment horizontal="left" vertical="center"/>
    </xf>
    <xf numFmtId="0" fontId="14" fillId="11" borderId="0" xfId="0" applyFont="1" applyFill="1" applyAlignment="1">
      <alignment horizontal="center" vertical="center"/>
    </xf>
    <xf numFmtId="1" fontId="7" fillId="2" borderId="0" xfId="0" applyNumberFormat="1" applyFont="1" applyFill="1" applyAlignment="1">
      <alignment horizontal="center" vertical="center"/>
    </xf>
    <xf numFmtId="171" fontId="7" fillId="2" borderId="0" xfId="0" applyNumberFormat="1" applyFont="1" applyFill="1" applyAlignment="1">
      <alignment horizontal="center" vertical="center"/>
    </xf>
    <xf numFmtId="164" fontId="7" fillId="2" borderId="0" xfId="1" applyNumberFormat="1" applyFont="1" applyFill="1" applyBorder="1" applyAlignment="1">
      <alignment horizontal="center" vertical="center"/>
    </xf>
    <xf numFmtId="9" fontId="7" fillId="2" borderId="0" xfId="1" applyFont="1" applyFill="1" applyBorder="1" applyAlignment="1">
      <alignment horizontal="center" vertical="center"/>
    </xf>
    <xf numFmtId="3" fontId="7" fillId="2" borderId="0" xfId="2" applyNumberFormat="1" applyFont="1" applyFill="1" applyBorder="1" applyAlignment="1">
      <alignment horizontal="center" vertical="center"/>
    </xf>
    <xf numFmtId="3" fontId="7" fillId="2" borderId="0" xfId="0" applyNumberFormat="1" applyFont="1" applyFill="1" applyAlignment="1">
      <alignment horizontal="center" vertical="center"/>
    </xf>
    <xf numFmtId="0" fontId="8" fillId="2" borderId="0" xfId="0" applyFont="1" applyFill="1" applyAlignment="1">
      <alignment vertical="center" wrapText="1"/>
    </xf>
    <xf numFmtId="167" fontId="4" fillId="2" borderId="0" xfId="0" applyNumberFormat="1" applyFont="1" applyFill="1" applyAlignment="1">
      <alignment vertical="center"/>
    </xf>
    <xf numFmtId="0" fontId="8" fillId="2" borderId="7" xfId="0" applyFont="1" applyFill="1" applyBorder="1" applyAlignment="1">
      <alignment vertical="center"/>
    </xf>
    <xf numFmtId="169" fontId="8" fillId="2" borderId="7" xfId="0" applyNumberFormat="1" applyFont="1" applyFill="1" applyBorder="1" applyAlignment="1">
      <alignment horizontal="center" vertical="center"/>
    </xf>
    <xf numFmtId="9" fontId="8" fillId="2" borderId="0" xfId="1" applyFont="1" applyFill="1" applyBorder="1" applyAlignment="1">
      <alignment horizontal="center" vertical="center"/>
    </xf>
    <xf numFmtId="169" fontId="8" fillId="2" borderId="0" xfId="0" applyNumberFormat="1" applyFont="1" applyFill="1" applyAlignment="1">
      <alignment horizontal="center" vertical="center"/>
    </xf>
    <xf numFmtId="9" fontId="8" fillId="2" borderId="0" xfId="0" applyNumberFormat="1" applyFont="1" applyFill="1" applyAlignment="1">
      <alignment horizontal="center" vertical="center"/>
    </xf>
    <xf numFmtId="0" fontId="10" fillId="3" borderId="0" xfId="0" applyFont="1" applyFill="1" applyAlignment="1">
      <alignment horizontal="left" vertical="center"/>
    </xf>
    <xf numFmtId="0" fontId="10" fillId="3" borderId="0" xfId="0" applyFont="1" applyFill="1" applyAlignment="1">
      <alignment horizontal="center" vertical="center"/>
    </xf>
    <xf numFmtId="0" fontId="20" fillId="2" borderId="0" xfId="0" applyFont="1" applyFill="1" applyAlignment="1">
      <alignment vertical="center"/>
    </xf>
    <xf numFmtId="0" fontId="19" fillId="2" borderId="0" xfId="0" applyFont="1" applyFill="1" applyAlignment="1">
      <alignment vertical="center"/>
    </xf>
    <xf numFmtId="0" fontId="20" fillId="2" borderId="0" xfId="0" applyFont="1" applyFill="1" applyAlignment="1">
      <alignment horizontal="center" vertical="center"/>
    </xf>
    <xf numFmtId="169" fontId="26" fillId="12" borderId="8" xfId="0" applyNumberFormat="1" applyFont="1" applyFill="1" applyBorder="1" applyAlignment="1">
      <alignment horizontal="center" vertical="center"/>
    </xf>
    <xf numFmtId="9" fontId="26" fillId="12" borderId="8" xfId="0" applyNumberFormat="1" applyFont="1" applyFill="1" applyBorder="1" applyAlignment="1">
      <alignment horizontal="center" vertical="center"/>
    </xf>
    <xf numFmtId="9" fontId="26" fillId="12" borderId="8" xfId="1" applyFont="1" applyFill="1" applyBorder="1" applyAlignment="1">
      <alignment horizontal="center" vertical="center"/>
    </xf>
    <xf numFmtId="0" fontId="21" fillId="2" borderId="0" xfId="0" applyFont="1" applyFill="1" applyAlignment="1">
      <alignment vertical="center"/>
    </xf>
    <xf numFmtId="0" fontId="0" fillId="6" borderId="0" xfId="0" applyFill="1" applyAlignment="1">
      <alignment vertical="center"/>
    </xf>
    <xf numFmtId="0" fontId="22" fillId="6" borderId="0" xfId="0" applyFont="1" applyFill="1" applyAlignment="1">
      <alignment vertical="center"/>
    </xf>
    <xf numFmtId="0" fontId="13" fillId="6" borderId="0" xfId="0" applyFont="1" applyFill="1" applyAlignment="1">
      <alignment horizontal="center" vertical="center"/>
    </xf>
    <xf numFmtId="0" fontId="24" fillId="6" borderId="0" xfId="0" applyFont="1" applyFill="1" applyAlignment="1">
      <alignment vertical="center"/>
    </xf>
    <xf numFmtId="0" fontId="4" fillId="6" borderId="0" xfId="0" applyFont="1" applyFill="1" applyAlignment="1">
      <alignment vertical="center"/>
    </xf>
    <xf numFmtId="3" fontId="4" fillId="6" borderId="0" xfId="0" applyNumberFormat="1" applyFont="1" applyFill="1" applyAlignment="1">
      <alignment vertical="center"/>
    </xf>
    <xf numFmtId="2" fontId="4" fillId="6" borderId="0" xfId="0" applyNumberFormat="1" applyFont="1" applyFill="1" applyAlignment="1">
      <alignment vertical="center"/>
    </xf>
    <xf numFmtId="1" fontId="4" fillId="6" borderId="0" xfId="0" applyNumberFormat="1" applyFont="1" applyFill="1" applyAlignment="1">
      <alignment vertical="center"/>
    </xf>
    <xf numFmtId="0" fontId="12" fillId="6" borderId="0" xfId="0" applyFont="1" applyFill="1" applyAlignment="1">
      <alignment vertical="center"/>
    </xf>
    <xf numFmtId="0" fontId="0" fillId="6" borderId="0" xfId="0" applyFill="1"/>
    <xf numFmtId="0" fontId="21" fillId="6" borderId="0" xfId="0" applyFont="1" applyFill="1" applyAlignment="1">
      <alignment horizontal="center" vertical="center"/>
    </xf>
    <xf numFmtId="169" fontId="26" fillId="13" borderId="8" xfId="0" applyNumberFormat="1" applyFont="1" applyFill="1" applyBorder="1" applyAlignment="1">
      <alignment horizontal="center" vertical="center"/>
    </xf>
    <xf numFmtId="9" fontId="26" fillId="13" borderId="8" xfId="1" applyFont="1" applyFill="1" applyBorder="1" applyAlignment="1">
      <alignment horizontal="center" vertical="center"/>
    </xf>
    <xf numFmtId="169" fontId="26" fillId="14" borderId="8" xfId="0" applyNumberFormat="1" applyFont="1" applyFill="1" applyBorder="1" applyAlignment="1">
      <alignment horizontal="center" vertical="center"/>
    </xf>
    <xf numFmtId="9" fontId="26" fillId="14" borderId="8" xfId="1" applyFont="1" applyFill="1" applyBorder="1" applyAlignment="1">
      <alignment horizontal="center" vertical="center"/>
    </xf>
    <xf numFmtId="169" fontId="26" fillId="14" borderId="8" xfId="0" applyNumberFormat="1" applyFont="1" applyFill="1" applyBorder="1" applyAlignment="1">
      <alignment horizontal="center" vertical="top"/>
    </xf>
    <xf numFmtId="9" fontId="26" fillId="14" borderId="8" xfId="0" applyNumberFormat="1" applyFont="1" applyFill="1" applyBorder="1" applyAlignment="1">
      <alignment horizontal="center" vertical="center"/>
    </xf>
    <xf numFmtId="0" fontId="25" fillId="15" borderId="8" xfId="0" applyFont="1" applyFill="1" applyBorder="1" applyAlignment="1">
      <alignment horizontal="center" vertical="center"/>
    </xf>
    <xf numFmtId="0" fontId="25" fillId="14" borderId="8" xfId="0" applyFont="1" applyFill="1" applyBorder="1" applyAlignment="1">
      <alignment horizontal="center" vertical="center"/>
    </xf>
    <xf numFmtId="0" fontId="25" fillId="16" borderId="8" xfId="0" applyFont="1" applyFill="1" applyBorder="1" applyAlignment="1">
      <alignment horizontal="center" vertical="center"/>
    </xf>
    <xf numFmtId="0" fontId="13" fillId="9" borderId="0" xfId="0" applyFont="1" applyFill="1" applyAlignment="1">
      <alignment horizontal="center" vertical="center"/>
    </xf>
    <xf numFmtId="0" fontId="21" fillId="9" borderId="0" xfId="0" applyFont="1" applyFill="1" applyAlignment="1">
      <alignment horizontal="center" vertical="center"/>
    </xf>
    <xf numFmtId="0" fontId="0" fillId="9" borderId="0" xfId="0" applyFill="1" applyAlignment="1">
      <alignment horizontal="center" vertical="center"/>
    </xf>
    <xf numFmtId="0" fontId="23" fillId="6" borderId="0" xfId="0" applyFont="1" applyFill="1" applyAlignment="1">
      <alignment horizontal="center" vertical="center"/>
    </xf>
    <xf numFmtId="0" fontId="26" fillId="6" borderId="9" xfId="0" applyFont="1" applyFill="1" applyBorder="1" applyAlignment="1">
      <alignment horizontal="left" vertical="center"/>
    </xf>
    <xf numFmtId="0" fontId="26" fillId="6" borderId="10" xfId="0" applyFont="1" applyFill="1" applyBorder="1" applyAlignment="1">
      <alignment horizontal="left" vertical="center"/>
    </xf>
    <xf numFmtId="0" fontId="26" fillId="6" borderId="11" xfId="0" applyFont="1" applyFill="1" applyBorder="1" applyAlignment="1">
      <alignment horizontal="left" vertical="center"/>
    </xf>
    <xf numFmtId="0" fontId="25" fillId="14" borderId="9" xfId="0" applyFont="1" applyFill="1" applyBorder="1" applyAlignment="1">
      <alignment horizontal="left" vertical="center"/>
    </xf>
    <xf numFmtId="0" fontId="25" fillId="14" borderId="10" xfId="0" applyFont="1" applyFill="1" applyBorder="1" applyAlignment="1">
      <alignment horizontal="left" vertical="center"/>
    </xf>
    <xf numFmtId="0" fontId="25" fillId="14" borderId="11" xfId="0" applyFont="1" applyFill="1" applyBorder="1" applyAlignment="1">
      <alignment horizontal="left" vertical="center"/>
    </xf>
    <xf numFmtId="0" fontId="20" fillId="8" borderId="0" xfId="0" applyFont="1" applyFill="1" applyAlignment="1">
      <alignment horizontal="center" vertical="center"/>
    </xf>
    <xf numFmtId="0" fontId="19" fillId="5" borderId="0" xfId="0" applyFont="1" applyFill="1" applyAlignment="1">
      <alignment horizontal="center" vertical="center"/>
    </xf>
    <xf numFmtId="0" fontId="10" fillId="2" borderId="0" xfId="0" applyFont="1" applyFill="1" applyAlignment="1">
      <alignment horizontal="center" vertical="center"/>
    </xf>
    <xf numFmtId="0" fontId="8" fillId="2" borderId="0" xfId="0" applyFont="1" applyFill="1" applyAlignment="1">
      <alignment horizontal="center" vertical="center"/>
    </xf>
    <xf numFmtId="0" fontId="13" fillId="5" borderId="0" xfId="0" applyFont="1" applyFill="1" applyAlignment="1">
      <alignment horizontal="center" vertical="center"/>
    </xf>
    <xf numFmtId="0" fontId="12" fillId="8" borderId="0" xfId="0" applyFont="1" applyFill="1" applyAlignment="1">
      <alignment horizontal="center" vertical="center"/>
    </xf>
  </cellXfs>
  <cellStyles count="5">
    <cellStyle name="Comma" xfId="2" builtinId="3"/>
    <cellStyle name="Comma [0]" xfId="3" builtinId="6"/>
    <cellStyle name="Currency" xfId="4" builtinId="4"/>
    <cellStyle name="Normal" xfId="0" builtinId="0"/>
    <cellStyle name="Per cent" xfId="1" builtinId="5"/>
  </cellStyles>
  <dxfs count="15">
    <dxf>
      <font>
        <color theme="0"/>
      </font>
      <fill>
        <patternFill>
          <bgColor rgb="FF002060"/>
        </patternFill>
      </fill>
    </dxf>
    <dxf>
      <font>
        <color theme="0"/>
      </font>
      <fill>
        <patternFill>
          <bgColor rgb="FF002060"/>
        </patternFill>
      </fill>
    </dxf>
    <dxf>
      <font>
        <color theme="0"/>
      </font>
    </dxf>
    <dxf>
      <fill>
        <patternFill>
          <bgColor theme="0"/>
        </patternFill>
      </fill>
    </dxf>
    <dxf>
      <fill>
        <patternFill>
          <bgColor theme="0"/>
        </patternFill>
      </fill>
    </dxf>
    <dxf>
      <fill>
        <patternFill>
          <bgColor theme="0"/>
        </patternFill>
      </fill>
    </dxf>
    <dxf>
      <font>
        <b val="0"/>
        <i val="0"/>
        <strike val="0"/>
        <condense val="0"/>
        <extend val="0"/>
        <outline val="0"/>
        <shadow val="0"/>
        <u val="none"/>
        <vertAlign val="baseline"/>
        <sz val="11"/>
        <color auto="1"/>
        <name val="Garamond"/>
        <family val="1"/>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numFmt numFmtId="169" formatCode="#,##0.00,,\ "/>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numFmt numFmtId="169" formatCode="#,##0.00,,\ "/>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numFmt numFmtId="169" formatCode="#,##0.00,,\ "/>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numFmt numFmtId="169" formatCode="#,##0.00,,\ "/>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numFmt numFmtId="169" formatCode="#,##0.00,,\ "/>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Garamond"/>
        <family val="1"/>
        <scheme val="none"/>
      </font>
      <fill>
        <patternFill patternType="solid">
          <fgColor indexed="64"/>
          <bgColor theme="0"/>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Garamond"/>
        <family val="1"/>
        <scheme val="none"/>
      </font>
      <fill>
        <patternFill patternType="solid">
          <fgColor indexed="64"/>
          <bgColor theme="3"/>
        </patternFill>
      </fill>
      <alignment horizontal="center" vertical="center" textRotation="0" wrapText="0" indent="0" justifyLastLine="0" shrinkToFit="0" readingOrder="0"/>
    </dxf>
  </dxfs>
  <tableStyles count="0" defaultTableStyle="TableStyleMedium9" defaultPivotStyle="PivotStyleLight16"/>
  <colors>
    <mruColors>
      <color rgb="FFA1E7A1"/>
      <color rgb="FF008000"/>
      <color rgb="FF33CC33"/>
      <color rgb="FFFF5B5B"/>
      <color rgb="FF4F81BD"/>
      <color rgb="FFCC6600"/>
      <color rgb="FF00EE6C"/>
      <color rgb="FF3399FF"/>
      <color rgb="FF82A5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2000" b="1" i="0" u="none" strike="noStrike" kern="1200" spc="0" baseline="0">
                <a:solidFill>
                  <a:schemeClr val="tx1">
                    <a:lumMod val="65000"/>
                    <a:lumOff val="35000"/>
                  </a:schemeClr>
                </a:solidFill>
                <a:latin typeface="Sorts Mill Goudy" panose="02000503000000000000" pitchFamily="2" charset="0"/>
                <a:ea typeface="+mn-ea"/>
                <a:cs typeface="+mn-cs"/>
              </a:defRPr>
            </a:pPr>
            <a:r>
              <a:rPr lang="en-GB" sz="2000" b="1">
                <a:latin typeface="Garamond" panose="02020404030301010803" pitchFamily="18" charset="0"/>
              </a:rPr>
              <a:t>NPV impact</a:t>
            </a:r>
            <a:r>
              <a:rPr lang="en-GB" sz="2000" b="1" baseline="0">
                <a:latin typeface="Garamond" panose="02020404030301010803" pitchFamily="18" charset="0"/>
              </a:rPr>
              <a:t> - Tornado analysis</a:t>
            </a:r>
          </a:p>
          <a:p>
            <a:pPr algn="ctr">
              <a:defRPr sz="2000" b="1"/>
            </a:pPr>
            <a:endParaRPr lang="en-GB" sz="500" b="1">
              <a:latin typeface="Garamond" panose="02020404030301010803" pitchFamily="18" charset="0"/>
            </a:endParaRPr>
          </a:p>
          <a:p>
            <a:pPr algn="ctr">
              <a:defRPr sz="2000" b="1"/>
            </a:pPr>
            <a:r>
              <a:rPr lang="en-GB" sz="1400" b="1">
                <a:latin typeface="Garamond" panose="02020404030301010803" pitchFamily="18" charset="0"/>
              </a:rPr>
              <a:t> </a:t>
            </a:r>
            <a:r>
              <a:rPr lang="en-GB" sz="1400" b="0">
                <a:solidFill>
                  <a:schemeClr val="accent2">
                    <a:lumMod val="60000"/>
                    <a:lumOff val="40000"/>
                  </a:schemeClr>
                </a:solidFill>
                <a:latin typeface="Garamond" panose="02020404030301010803" pitchFamily="18" charset="0"/>
              </a:rPr>
              <a:t>Min</a:t>
            </a:r>
            <a:r>
              <a:rPr lang="en-GB" sz="1400" b="0" baseline="0">
                <a:solidFill>
                  <a:schemeClr val="accent2">
                    <a:lumMod val="60000"/>
                    <a:lumOff val="40000"/>
                  </a:schemeClr>
                </a:solidFill>
                <a:latin typeface="Garamond" panose="02020404030301010803" pitchFamily="18" charset="0"/>
              </a:rPr>
              <a:t> NPV </a:t>
            </a:r>
            <a:r>
              <a:rPr lang="en-GB" sz="1400" b="0" baseline="0">
                <a:solidFill>
                  <a:srgbClr val="FFAD75"/>
                </a:solidFill>
                <a:latin typeface="Garamond" panose="02020404030301010803" pitchFamily="18" charset="0"/>
              </a:rPr>
              <a:t>(</a:t>
            </a:r>
            <a:r>
              <a:rPr lang="en-GB" sz="1400" b="0" baseline="0">
                <a:solidFill>
                  <a:srgbClr val="FF6565"/>
                </a:solidFill>
                <a:latin typeface="Garamond" panose="02020404030301010803" pitchFamily="18" charset="0"/>
              </a:rPr>
              <a:t>negative</a:t>
            </a:r>
            <a:r>
              <a:rPr lang="en-GB" sz="1400" b="0" baseline="0">
                <a:solidFill>
                  <a:srgbClr val="FFAD75"/>
                </a:solidFill>
                <a:latin typeface="Garamond" panose="02020404030301010803" pitchFamily="18" charset="0"/>
              </a:rPr>
              <a:t>) </a:t>
            </a:r>
            <a:r>
              <a:rPr lang="en-GB" sz="1400" b="0" baseline="0">
                <a:solidFill>
                  <a:sysClr val="windowText" lastClr="000000"/>
                </a:solidFill>
                <a:latin typeface="Garamond" panose="02020404030301010803" pitchFamily="18" charset="0"/>
              </a:rPr>
              <a:t>| </a:t>
            </a:r>
            <a:r>
              <a:rPr lang="en-GB" sz="1400" b="1" baseline="0">
                <a:solidFill>
                  <a:schemeClr val="accent2">
                    <a:lumMod val="75000"/>
                  </a:schemeClr>
                </a:solidFill>
                <a:latin typeface="Garamond" panose="02020404030301010803" pitchFamily="18" charset="0"/>
              </a:rPr>
              <a:t>Realistic bad </a:t>
            </a:r>
            <a:r>
              <a:rPr lang="en-GB" sz="1400" b="0" baseline="0">
                <a:solidFill>
                  <a:sysClr val="windowText" lastClr="000000"/>
                </a:solidFill>
                <a:latin typeface="Garamond" panose="02020404030301010803" pitchFamily="18" charset="0"/>
              </a:rPr>
              <a:t>|</a:t>
            </a:r>
            <a:r>
              <a:rPr lang="en-GB" sz="1400" b="0" baseline="0">
                <a:solidFill>
                  <a:srgbClr val="FF6464"/>
                </a:solidFill>
                <a:latin typeface="Garamond" panose="02020404030301010803" pitchFamily="18" charset="0"/>
              </a:rPr>
              <a:t> </a:t>
            </a:r>
            <a:r>
              <a:rPr lang="en-GB" sz="1400" b="1" baseline="0">
                <a:solidFill>
                  <a:srgbClr val="33CC33"/>
                </a:solidFill>
                <a:latin typeface="Garamond" panose="02020404030301010803" pitchFamily="18" charset="0"/>
              </a:rPr>
              <a:t>Realistic good </a:t>
            </a:r>
            <a:r>
              <a:rPr lang="en-GB" sz="1400" b="0" baseline="0">
                <a:solidFill>
                  <a:sysClr val="windowText" lastClr="000000"/>
                </a:solidFill>
                <a:latin typeface="Garamond" panose="02020404030301010803" pitchFamily="18" charset="0"/>
              </a:rPr>
              <a:t>|</a:t>
            </a:r>
            <a:r>
              <a:rPr lang="en-GB" sz="1400" b="0" baseline="0">
                <a:solidFill>
                  <a:srgbClr val="FF6464"/>
                </a:solidFill>
                <a:latin typeface="Garamond" panose="02020404030301010803" pitchFamily="18" charset="0"/>
              </a:rPr>
              <a:t> </a:t>
            </a:r>
            <a:r>
              <a:rPr lang="en-GB" sz="1400" b="0" baseline="0">
                <a:solidFill>
                  <a:srgbClr val="A1E7A1"/>
                </a:solidFill>
                <a:latin typeface="Garamond" panose="02020404030301010803" pitchFamily="18" charset="0"/>
              </a:rPr>
              <a:t>Max NPV</a:t>
            </a:r>
            <a:endParaRPr lang="en-GB" sz="1400" b="1">
              <a:solidFill>
                <a:srgbClr val="A1E7A1"/>
              </a:solidFill>
              <a:latin typeface="Garamond" panose="02020404030301010803" pitchFamily="18" charset="0"/>
            </a:endParaRPr>
          </a:p>
        </c:rich>
      </c:tx>
      <c:layout>
        <c:manualLayout>
          <c:xMode val="edge"/>
          <c:yMode val="edge"/>
          <c:x val="0.37176023915057438"/>
          <c:y val="1.5566062246927826E-2"/>
        </c:manualLayout>
      </c:layout>
      <c:overlay val="0"/>
      <c:spPr>
        <a:noFill/>
        <a:ln>
          <a:noFill/>
        </a:ln>
        <a:effectLst/>
      </c:spPr>
      <c:txPr>
        <a:bodyPr rot="0" spcFirstLastPara="1" vertOverflow="ellipsis" vert="horz" wrap="square" anchor="ctr" anchorCtr="1"/>
        <a:lstStyle/>
        <a:p>
          <a:pPr algn="ctr">
            <a:defRPr sz="2000" b="1"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manualLayout>
          <c:layoutTarget val="inner"/>
          <c:xMode val="edge"/>
          <c:yMode val="edge"/>
          <c:x val="0.22054296275904528"/>
          <c:y val="9.7101658789979131E-2"/>
          <c:w val="0.71696567304291836"/>
          <c:h val="0.78679248640934796"/>
        </c:manualLayout>
      </c:layout>
      <c:barChart>
        <c:barDir val="bar"/>
        <c:grouping val="clustered"/>
        <c:varyColors val="0"/>
        <c:ser>
          <c:idx val="0"/>
          <c:order val="0"/>
          <c:tx>
            <c:strRef>
              <c:f>'Further analysis'!$C$9</c:f>
              <c:strCache>
                <c:ptCount val="1"/>
                <c:pt idx="0">
                  <c:v>Min NPV (£M)</c:v>
                </c:pt>
              </c:strCache>
            </c:strRef>
          </c:tx>
          <c:spPr>
            <a:solidFill>
              <a:schemeClr val="accent2">
                <a:lumMod val="40000"/>
                <a:lumOff val="60000"/>
                <a:alpha val="60000"/>
              </a:schemeClr>
            </a:solidFill>
            <a:ln>
              <a:noFill/>
            </a:ln>
            <a:effectLst/>
          </c:spPr>
          <c:invertIfNegative val="0"/>
          <c:dPt>
            <c:idx val="0"/>
            <c:invertIfNegative val="0"/>
            <c:bubble3D val="0"/>
            <c:spPr>
              <a:solidFill>
                <a:srgbClr val="FF5B5B">
                  <a:alpha val="60000"/>
                </a:srgbClr>
              </a:solidFill>
              <a:ln w="31750">
                <a:noFill/>
              </a:ln>
              <a:effectLst/>
            </c:spPr>
            <c:extLst>
              <c:ext xmlns:c16="http://schemas.microsoft.com/office/drawing/2014/chart" uri="{C3380CC4-5D6E-409C-BE32-E72D297353CC}">
                <c16:uniqueId val="{00000001-603B-405B-A3A0-42C7BF198BEF}"/>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analysis'!$C$10:$C$16</c:f>
              <c:numCache>
                <c:formatCode>#,##0.00,,\ </c:formatCode>
                <c:ptCount val="7"/>
                <c:pt idx="0">
                  <c:v>-6093924.1302413587</c:v>
                </c:pt>
                <c:pt idx="1">
                  <c:v>2706792.2544692885</c:v>
                </c:pt>
                <c:pt idx="2">
                  <c:v>664762.52223120467</c:v>
                </c:pt>
                <c:pt idx="3">
                  <c:v>5079454.6383609828</c:v>
                </c:pt>
                <c:pt idx="4">
                  <c:v>6111373.8349962477</c:v>
                </c:pt>
                <c:pt idx="5">
                  <c:v>3841257.6233464531</c:v>
                </c:pt>
                <c:pt idx="6">
                  <c:v>6611398.3206165982</c:v>
                </c:pt>
              </c:numCache>
            </c:numRef>
          </c:val>
          <c:extLst>
            <c:ext xmlns:c16="http://schemas.microsoft.com/office/drawing/2014/chart" uri="{C3380CC4-5D6E-409C-BE32-E72D297353CC}">
              <c16:uniqueId val="{00000002-603B-405B-A3A0-42C7BF198BEF}"/>
            </c:ext>
          </c:extLst>
        </c:ser>
        <c:ser>
          <c:idx val="1"/>
          <c:order val="1"/>
          <c:tx>
            <c:strRef>
              <c:f>'Further analysis'!$F$9</c:f>
              <c:strCache>
                <c:ptCount val="1"/>
                <c:pt idx="0">
                  <c:v>Max NPV (£M)</c:v>
                </c:pt>
              </c:strCache>
            </c:strRef>
          </c:tx>
          <c:spPr>
            <a:solidFill>
              <a:srgbClr val="33CC33">
                <a:alpha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analysis'!$F$10:$F$16</c:f>
              <c:numCache>
                <c:formatCode>#,##0.00,,\ </c:formatCode>
                <c:ptCount val="7"/>
                <c:pt idx="0">
                  <c:v>22826397.955039933</c:v>
                </c:pt>
                <c:pt idx="1">
                  <c:v>18941094.495753184</c:v>
                </c:pt>
                <c:pt idx="2">
                  <c:v>10360386.762392927</c:v>
                </c:pt>
                <c:pt idx="3">
                  <c:v>12424283.739935307</c:v>
                </c:pt>
                <c:pt idx="4">
                  <c:v>11912760.437884923</c:v>
                </c:pt>
                <c:pt idx="5">
                  <c:v>8751869.1891481467</c:v>
                </c:pt>
                <c:pt idx="6">
                  <c:v>10608603.355971891</c:v>
                </c:pt>
              </c:numCache>
            </c:numRef>
          </c:val>
          <c:extLst>
            <c:ext xmlns:c16="http://schemas.microsoft.com/office/drawing/2014/chart" uri="{C3380CC4-5D6E-409C-BE32-E72D297353CC}">
              <c16:uniqueId val="{00000003-603B-405B-A3A0-42C7BF198BEF}"/>
            </c:ext>
          </c:extLst>
        </c:ser>
        <c:ser>
          <c:idx val="2"/>
          <c:order val="2"/>
          <c:tx>
            <c:strRef>
              <c:f>'Further analysis'!$D$9</c:f>
              <c:strCache>
                <c:ptCount val="1"/>
                <c:pt idx="0">
                  <c:v>Realistic bad (£M)</c:v>
                </c:pt>
              </c:strCache>
            </c:strRef>
          </c:tx>
          <c:spPr>
            <a:solidFill>
              <a:schemeClr val="accent2">
                <a:lumMod val="75000"/>
              </a:schemeClr>
            </a:solidFill>
            <a:ln>
              <a:noFill/>
            </a:ln>
            <a:effectLst/>
          </c:spPr>
          <c:invertIfNegative val="0"/>
          <c:dLbls>
            <c:delete val="1"/>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analysis'!$D$10:$D$16</c:f>
              <c:numCache>
                <c:formatCode>#,##0.00,,\ </c:formatCode>
                <c:ptCount val="7"/>
                <c:pt idx="0">
                  <c:v>5936963.4359697849</c:v>
                </c:pt>
                <c:pt idx="1">
                  <c:v>7287581.3579641944</c:v>
                </c:pt>
                <c:pt idx="2">
                  <c:v>7143351.6159033692</c:v>
                </c:pt>
                <c:pt idx="3">
                  <c:v>8017386.2789907083</c:v>
                </c:pt>
                <c:pt idx="4">
                  <c:v>8185150.8126628539</c:v>
                </c:pt>
                <c:pt idx="5">
                  <c:v>7706494.6435577394</c:v>
                </c:pt>
                <c:pt idx="6">
                  <c:v>8071920.2283357615</c:v>
                </c:pt>
              </c:numCache>
            </c:numRef>
          </c:val>
          <c:extLst>
            <c:ext xmlns:c16="http://schemas.microsoft.com/office/drawing/2014/chart" uri="{C3380CC4-5D6E-409C-BE32-E72D297353CC}">
              <c16:uniqueId val="{00000004-603B-405B-A3A0-42C7BF198BEF}"/>
            </c:ext>
          </c:extLst>
        </c:ser>
        <c:ser>
          <c:idx val="3"/>
          <c:order val="3"/>
          <c:tx>
            <c:strRef>
              <c:f>'Further analysis'!$E$9</c:f>
              <c:strCache>
                <c:ptCount val="1"/>
                <c:pt idx="0">
                  <c:v>Realistic good (£M)</c:v>
                </c:pt>
              </c:strCache>
            </c:strRef>
          </c:tx>
          <c:spPr>
            <a:solidFill>
              <a:srgbClr val="33CC33"/>
            </a:solidFill>
            <a:ln>
              <a:noFill/>
            </a:ln>
            <a:effectLst/>
          </c:spPr>
          <c:invertIfNegative val="0"/>
          <c:dLbls>
            <c:delete val="1"/>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analysis'!$E$10:$E$16</c:f>
              <c:numCache>
                <c:formatCode>#,##0.00,,\ </c:formatCode>
                <c:ptCount val="7"/>
                <c:pt idx="0">
                  <c:v>11566774.942326505</c:v>
                </c:pt>
                <c:pt idx="1">
                  <c:v>10376731.560675589</c:v>
                </c:pt>
                <c:pt idx="2">
                  <c:v>10360386.762392927</c:v>
                </c:pt>
                <c:pt idx="3">
                  <c:v>9486352.0993055757</c:v>
                </c:pt>
                <c:pt idx="4">
                  <c:v>9339349.075178653</c:v>
                </c:pt>
                <c:pt idx="5">
                  <c:v>8751869.1891481467</c:v>
                </c:pt>
                <c:pt idx="6">
                  <c:v>9400339.0314044021</c:v>
                </c:pt>
              </c:numCache>
            </c:numRef>
          </c:val>
          <c:extLst>
            <c:ext xmlns:c16="http://schemas.microsoft.com/office/drawing/2014/chart" uri="{C3380CC4-5D6E-409C-BE32-E72D297353CC}">
              <c16:uniqueId val="{00000005-603B-405B-A3A0-42C7BF198BEF}"/>
            </c:ext>
          </c:extLst>
        </c:ser>
        <c:dLbls>
          <c:dLblPos val="outEnd"/>
          <c:showLegendKey val="0"/>
          <c:showVal val="1"/>
          <c:showCatName val="0"/>
          <c:showSerName val="0"/>
          <c:showPercent val="0"/>
          <c:showBubbleSize val="0"/>
        </c:dLbls>
        <c:gapWidth val="55"/>
        <c:overlap val="100"/>
        <c:axId val="1631931984"/>
        <c:axId val="1631939184"/>
      </c:barChart>
      <c:catAx>
        <c:axId val="1631931984"/>
        <c:scaling>
          <c:orientation val="maxMin"/>
        </c:scaling>
        <c:delete val="0"/>
        <c:axPos val="l"/>
        <c:numFmt formatCode="General" sourceLinked="1"/>
        <c:majorTickMark val="none"/>
        <c:minorTickMark val="none"/>
        <c:tickLblPos val="low"/>
        <c:spPr>
          <a:noFill/>
          <a:ln w="19050" cap="flat" cmpd="sng" algn="ctr">
            <a:solidFill>
              <a:schemeClr val="accent3">
                <a:lumMod val="40000"/>
                <a:lumOff val="60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631939184"/>
        <c:crossesAt val="8751869.1889999993"/>
        <c:auto val="1"/>
        <c:lblAlgn val="ctr"/>
        <c:lblOffset val="100"/>
        <c:noMultiLvlLbl val="0"/>
      </c:catAx>
      <c:valAx>
        <c:axId val="1631939184"/>
        <c:scaling>
          <c:orientation val="minMax"/>
        </c:scaling>
        <c:delete val="0"/>
        <c:axPos val="t"/>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r>
                  <a:rPr lang="en-GB" sz="1400" b="1">
                    <a:latin typeface="Garamond" panose="02020404030301010803" pitchFamily="18" charset="0"/>
                  </a:rPr>
                  <a:t>NPV (£M)</a:t>
                </a:r>
              </a:p>
            </c:rich>
          </c:tx>
          <c:layout>
            <c:manualLayout>
              <c:xMode val="edge"/>
              <c:yMode val="edge"/>
              <c:x val="0.57029711483488721"/>
              <c:y val="0.9404943867933368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 " sourceLinked="0"/>
        <c:majorTickMark val="none"/>
        <c:minorTickMark val="none"/>
        <c:tickLblPos val="high"/>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63193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baseline="0">
                <a:solidFill>
                  <a:schemeClr val="tx1">
                    <a:lumMod val="65000"/>
                    <a:lumOff val="35000"/>
                  </a:schemeClr>
                </a:solidFill>
                <a:latin typeface="Garamond" panose="02020404030301010803" pitchFamily="18" charset="0"/>
                <a:ea typeface="+mn-ea"/>
                <a:cs typeface="+mn-cs"/>
              </a:defRPr>
            </a:pPr>
            <a:r>
              <a:rPr lang="en-GB" sz="1700" b="1"/>
              <a:t>Net cash flow (post-tax) - Cumulative (discounted)</a:t>
            </a:r>
          </a:p>
          <a:p>
            <a:pPr>
              <a:defRPr/>
            </a:pPr>
            <a:r>
              <a:rPr lang="en-GB" sz="1700"/>
              <a:t> </a:t>
            </a:r>
            <a:r>
              <a:rPr lang="en-GB" sz="1700">
                <a:solidFill>
                  <a:srgbClr val="008000"/>
                </a:solidFill>
              </a:rPr>
              <a:t>Increase</a:t>
            </a:r>
            <a:r>
              <a:rPr lang="en-GB" sz="1700"/>
              <a:t>| </a:t>
            </a:r>
            <a:r>
              <a:rPr lang="en-GB" sz="1700">
                <a:solidFill>
                  <a:srgbClr val="C00000"/>
                </a:solidFill>
              </a:rPr>
              <a:t>Decrease</a:t>
            </a:r>
          </a:p>
        </c:rich>
      </c:tx>
      <c:overlay val="0"/>
      <c:spPr>
        <a:noFill/>
        <a:ln>
          <a:noFill/>
        </a:ln>
        <a:effectLst/>
      </c:spPr>
      <c:txPr>
        <a:bodyPr rot="0" spcFirstLastPara="1" vertOverflow="ellipsis" vert="horz" wrap="square" anchor="ctr" anchorCtr="1"/>
        <a:lstStyle/>
        <a:p>
          <a:pPr>
            <a:defRPr sz="168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manualLayout>
          <c:layoutTarget val="inner"/>
          <c:xMode val="edge"/>
          <c:yMode val="edge"/>
          <c:x val="6.2200708842806478E-2"/>
          <c:y val="0.1392538436991658"/>
          <c:w val="0.92413708080949997"/>
          <c:h val="0.74152885352112774"/>
        </c:manualLayout>
      </c:layout>
      <c:barChart>
        <c:barDir val="col"/>
        <c:grouping val="clustered"/>
        <c:varyColors val="0"/>
        <c:ser>
          <c:idx val="0"/>
          <c:order val="0"/>
          <c:tx>
            <c:strRef>
              <c:f>Calculations!$B$36</c:f>
              <c:strCache>
                <c:ptCount val="1"/>
                <c:pt idx="0">
                  <c:v>Cumulative net cash flow (£M; discounted)</c:v>
                </c:pt>
              </c:strCache>
            </c:strRef>
          </c:tx>
          <c:spPr>
            <a:solidFill>
              <a:srgbClr val="008000"/>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A9F4-4CB6-AB8C-C41BD4BE1B6D}"/>
              </c:ext>
            </c:extLst>
          </c:dPt>
          <c:dPt>
            <c:idx val="1"/>
            <c:invertIfNegative val="0"/>
            <c:bubble3D val="0"/>
            <c:spPr>
              <a:solidFill>
                <a:srgbClr val="C00000"/>
              </a:solidFill>
              <a:ln>
                <a:noFill/>
              </a:ln>
              <a:effectLst/>
            </c:spPr>
            <c:extLst>
              <c:ext xmlns:c16="http://schemas.microsoft.com/office/drawing/2014/chart" uri="{C3380CC4-5D6E-409C-BE32-E72D297353CC}">
                <c16:uniqueId val="{00000003-A9F4-4CB6-AB8C-C41BD4BE1B6D}"/>
              </c:ext>
            </c:extLst>
          </c:dPt>
          <c:dPt>
            <c:idx val="2"/>
            <c:invertIfNegative val="0"/>
            <c:bubble3D val="0"/>
            <c:spPr>
              <a:solidFill>
                <a:srgbClr val="C00000"/>
              </a:solidFill>
              <a:ln>
                <a:noFill/>
              </a:ln>
              <a:effectLst/>
            </c:spPr>
            <c:extLst>
              <c:ext xmlns:c16="http://schemas.microsoft.com/office/drawing/2014/chart" uri="{C3380CC4-5D6E-409C-BE32-E72D297353CC}">
                <c16:uniqueId val="{00000005-A9F4-4CB6-AB8C-C41BD4BE1B6D}"/>
              </c:ext>
            </c:extLst>
          </c:dPt>
          <c:dPt>
            <c:idx val="3"/>
            <c:invertIfNegative val="0"/>
            <c:bubble3D val="0"/>
            <c:spPr>
              <a:solidFill>
                <a:srgbClr val="C00000"/>
              </a:solidFill>
              <a:ln>
                <a:noFill/>
              </a:ln>
              <a:effectLst/>
            </c:spPr>
            <c:extLst>
              <c:ext xmlns:c16="http://schemas.microsoft.com/office/drawing/2014/chart" uri="{C3380CC4-5D6E-409C-BE32-E72D297353CC}">
                <c16:uniqueId val="{00000007-A9F4-4CB6-AB8C-C41BD4BE1B6D}"/>
              </c:ext>
            </c:extLst>
          </c:dPt>
          <c:dPt>
            <c:idx val="4"/>
            <c:invertIfNegative val="0"/>
            <c:bubble3D val="0"/>
            <c:spPr>
              <a:solidFill>
                <a:srgbClr val="C00000"/>
              </a:solidFill>
              <a:ln>
                <a:noFill/>
              </a:ln>
              <a:effectLst/>
            </c:spPr>
            <c:extLst>
              <c:ext xmlns:c16="http://schemas.microsoft.com/office/drawing/2014/chart" uri="{C3380CC4-5D6E-409C-BE32-E72D297353CC}">
                <c16:uniqueId val="{00000009-A9F4-4CB6-AB8C-C41BD4BE1B6D}"/>
              </c:ext>
            </c:extLst>
          </c:dPt>
          <c:dPt>
            <c:idx val="5"/>
            <c:invertIfNegative val="0"/>
            <c:bubble3D val="0"/>
            <c:spPr>
              <a:solidFill>
                <a:srgbClr val="C00000"/>
              </a:solidFill>
              <a:ln>
                <a:noFill/>
              </a:ln>
              <a:effectLst/>
            </c:spPr>
            <c:extLst>
              <c:ext xmlns:c16="http://schemas.microsoft.com/office/drawing/2014/chart" uri="{C3380CC4-5D6E-409C-BE32-E72D297353CC}">
                <c16:uniqueId val="{0000000B-A9F4-4CB6-AB8C-C41BD4BE1B6D}"/>
              </c:ext>
            </c:extLst>
          </c:dPt>
          <c:dPt>
            <c:idx val="6"/>
            <c:invertIfNegative val="0"/>
            <c:bubble3D val="0"/>
            <c:spPr>
              <a:solidFill>
                <a:srgbClr val="C00000"/>
              </a:solidFill>
              <a:ln>
                <a:noFill/>
              </a:ln>
              <a:effectLst/>
            </c:spPr>
            <c:extLst>
              <c:ext xmlns:c16="http://schemas.microsoft.com/office/drawing/2014/chart" uri="{C3380CC4-5D6E-409C-BE32-E72D297353CC}">
                <c16:uniqueId val="{0000000D-A9F4-4CB6-AB8C-C41BD4BE1B6D}"/>
              </c:ext>
            </c:extLst>
          </c:dPt>
          <c:dPt>
            <c:idx val="7"/>
            <c:invertIfNegative val="0"/>
            <c:bubble3D val="0"/>
            <c:spPr>
              <a:solidFill>
                <a:srgbClr val="C00000"/>
              </a:solidFill>
              <a:ln>
                <a:noFill/>
              </a:ln>
              <a:effectLst/>
            </c:spPr>
            <c:extLst>
              <c:ext xmlns:c16="http://schemas.microsoft.com/office/drawing/2014/chart" uri="{C3380CC4-5D6E-409C-BE32-E72D297353CC}">
                <c16:uniqueId val="{0000000F-A9F4-4CB6-AB8C-C41BD4BE1B6D}"/>
              </c:ext>
            </c:extLst>
          </c:dPt>
          <c:dPt>
            <c:idx val="8"/>
            <c:invertIfNegative val="0"/>
            <c:bubble3D val="0"/>
            <c:spPr>
              <a:solidFill>
                <a:srgbClr val="C00000"/>
              </a:solidFill>
              <a:ln>
                <a:noFill/>
              </a:ln>
              <a:effectLst/>
            </c:spPr>
            <c:extLst>
              <c:ext xmlns:c16="http://schemas.microsoft.com/office/drawing/2014/chart" uri="{C3380CC4-5D6E-409C-BE32-E72D297353CC}">
                <c16:uniqueId val="{00000011-A9F4-4CB6-AB8C-C41BD4BE1B6D}"/>
              </c:ext>
            </c:extLst>
          </c:dPt>
          <c:dPt>
            <c:idx val="9"/>
            <c:invertIfNegative val="0"/>
            <c:bubble3D val="0"/>
            <c:spPr>
              <a:solidFill>
                <a:srgbClr val="C00000"/>
              </a:solidFill>
              <a:ln>
                <a:noFill/>
              </a:ln>
              <a:effectLst/>
            </c:spPr>
            <c:extLst>
              <c:ext xmlns:c16="http://schemas.microsoft.com/office/drawing/2014/chart" uri="{C3380CC4-5D6E-409C-BE32-E72D297353CC}">
                <c16:uniqueId val="{00000013-A9F4-4CB6-AB8C-C41BD4BE1B6D}"/>
              </c:ext>
            </c:extLst>
          </c:dPt>
          <c:dPt>
            <c:idx val="10"/>
            <c:invertIfNegative val="0"/>
            <c:bubble3D val="0"/>
            <c:spPr>
              <a:solidFill>
                <a:srgbClr val="C00000"/>
              </a:solidFill>
              <a:ln>
                <a:noFill/>
              </a:ln>
              <a:effectLst/>
            </c:spPr>
            <c:extLst>
              <c:ext xmlns:c16="http://schemas.microsoft.com/office/drawing/2014/chart" uri="{C3380CC4-5D6E-409C-BE32-E72D297353CC}">
                <c16:uniqueId val="{00000015-A9F4-4CB6-AB8C-C41BD4BE1B6D}"/>
              </c:ext>
            </c:extLst>
          </c:dPt>
          <c:dLbls>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Calculations!$D$6:$AC$6</c:f>
              <c:numCache>
                <c:formatCode>General</c:formatCod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numCache>
            </c:numRef>
          </c:cat>
          <c:val>
            <c:numRef>
              <c:f>Calculations!$D$36:$AC$36</c:f>
              <c:numCache>
                <c:formatCode>#,##0.00,,\ </c:formatCode>
                <c:ptCount val="26"/>
                <c:pt idx="0">
                  <c:v>-6650000</c:v>
                </c:pt>
                <c:pt idx="1">
                  <c:v>-9821064.8148148153</c:v>
                </c:pt>
                <c:pt idx="2">
                  <c:v>-12845321.073388204</c:v>
                </c:pt>
                <c:pt idx="3">
                  <c:v>-11008873.134811768</c:v>
                </c:pt>
                <c:pt idx="4">
                  <c:v>-9264777.8569140341</c:v>
                </c:pt>
                <c:pt idx="5">
                  <c:v>-7608216.5481612366</c:v>
                </c:pt>
                <c:pt idx="6">
                  <c:v>-6034633.8346195985</c:v>
                </c:pt>
                <c:pt idx="7">
                  <c:v>-4539722.4893235536</c:v>
                </c:pt>
                <c:pt idx="8">
                  <c:v>-3119409.1847289363</c:v>
                </c:pt>
                <c:pt idx="9">
                  <c:v>-1769841.10916454</c:v>
                </c:pt>
                <c:pt idx="10">
                  <c:v>-487373.39214213984</c:v>
                </c:pt>
                <c:pt idx="11">
                  <c:v>588839.16221088776</c:v>
                </c:pt>
                <c:pt idx="12">
                  <c:v>1615227.0612697932</c:v>
                </c:pt>
                <c:pt idx="13">
                  <c:v>2594097.0020389347</c:v>
                </c:pt>
                <c:pt idx="14">
                  <c:v>3527648.8899946902</c:v>
                </c:pt>
                <c:pt idx="15">
                  <c:v>4417980.7831376791</c:v>
                </c:pt>
                <c:pt idx="16">
                  <c:v>5267093.6071536774</c:v>
                </c:pt>
                <c:pt idx="17">
                  <c:v>6076895.6522800466</c:v>
                </c:pt>
                <c:pt idx="18">
                  <c:v>6849206.8619838981</c:v>
                </c:pt>
                <c:pt idx="19">
                  <c:v>7585762.9230903499</c:v>
                </c:pt>
                <c:pt idx="20">
                  <c:v>8288219.1665529842</c:v>
                </c:pt>
                <c:pt idx="21">
                  <c:v>8958154.2876330893</c:v>
                </c:pt>
                <c:pt idx="22">
                  <c:v>9597073.8938483745</c:v>
                </c:pt>
                <c:pt idx="23">
                  <c:v>9418251.6976643819</c:v>
                </c:pt>
                <c:pt idx="24">
                  <c:v>9077164.9160541762</c:v>
                </c:pt>
                <c:pt idx="25">
                  <c:v>8751869.1891481467</c:v>
                </c:pt>
              </c:numCache>
            </c:numRef>
          </c:val>
          <c:extLst>
            <c:ext xmlns:c16="http://schemas.microsoft.com/office/drawing/2014/chart" uri="{C3380CC4-5D6E-409C-BE32-E72D297353CC}">
              <c16:uniqueId val="{00000016-A9F4-4CB6-AB8C-C41BD4BE1B6D}"/>
            </c:ext>
          </c:extLst>
        </c:ser>
        <c:dLbls>
          <c:showLegendKey val="0"/>
          <c:showVal val="1"/>
          <c:showCatName val="0"/>
          <c:showSerName val="0"/>
          <c:showPercent val="0"/>
          <c:showBubbleSize val="0"/>
        </c:dLbls>
        <c:gapWidth val="50"/>
        <c:axId val="1377251183"/>
        <c:axId val="1377253103"/>
      </c:barChart>
      <c:catAx>
        <c:axId val="1377251183"/>
        <c:scaling>
          <c:orientation val="minMax"/>
        </c:scaling>
        <c:delete val="0"/>
        <c:axPos val="b"/>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r>
                  <a:rPr lang="en-GB" b="1"/>
                  <a:t>Year</a:t>
                </a:r>
              </a:p>
            </c:rich>
          </c:tx>
          <c:layout>
            <c:manualLayout>
              <c:xMode val="edge"/>
              <c:yMode val="edge"/>
              <c:x val="0.50528192814948569"/>
              <c:y val="0.95550256948874068"/>
            </c:manualLayout>
          </c:layout>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3103"/>
        <c:crosses val="autoZero"/>
        <c:auto val="1"/>
        <c:lblAlgn val="ctr"/>
        <c:lblOffset val="100"/>
        <c:noMultiLvlLbl val="0"/>
      </c:catAx>
      <c:valAx>
        <c:axId val="1377253103"/>
        <c:scaling>
          <c:orientation val="minMax"/>
        </c:scaling>
        <c:delete val="0"/>
        <c:axPos val="l"/>
        <c:title>
          <c:tx>
            <c:rich>
              <a:bodyPr rot="-540000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Discount rate (Min -4% | Max +4%)</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scatterChart>
        <c:scatterStyle val="smoothMarker"/>
        <c:varyColors val="0"/>
        <c:ser>
          <c:idx val="0"/>
          <c:order val="0"/>
          <c:tx>
            <c:strRef>
              <c:f>'Input Data (+SSA)'!$C$114</c:f>
              <c:strCache>
                <c:ptCount val="1"/>
                <c:pt idx="0">
                  <c:v>Discount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(+SSA)'!$C$116:$C$122</c:f>
              <c:numCache>
                <c:formatCode>0.0%</c:formatCode>
                <c:ptCount val="7"/>
                <c:pt idx="0">
                  <c:v>0.04</c:v>
                </c:pt>
                <c:pt idx="1">
                  <c:v>0.06</c:v>
                </c:pt>
                <c:pt idx="2">
                  <c:v>7.2000000000000008E-2</c:v>
                </c:pt>
                <c:pt idx="3">
                  <c:v>0.08</c:v>
                </c:pt>
                <c:pt idx="4">
                  <c:v>8.7999999999999995E-2</c:v>
                </c:pt>
                <c:pt idx="5">
                  <c:v>0.1</c:v>
                </c:pt>
                <c:pt idx="6">
                  <c:v>0.12</c:v>
                </c:pt>
              </c:numCache>
            </c:numRef>
          </c:xVal>
          <c:yVal>
            <c:numRef>
              <c:f>'Input Data (+SSA)'!$D$116:$D$122</c:f>
              <c:numCache>
                <c:formatCode>#,##0.00,,\ </c:formatCode>
                <c:ptCount val="7"/>
                <c:pt idx="0">
                  <c:v>18941094.495753184</c:v>
                </c:pt>
                <c:pt idx="1">
                  <c:v>13160978.297631457</c:v>
                </c:pt>
                <c:pt idx="2">
                  <c:v>10376731.560675589</c:v>
                </c:pt>
                <c:pt idx="3">
                  <c:v>8751869.1891481467</c:v>
                </c:pt>
                <c:pt idx="4">
                  <c:v>7287581.3579641944</c:v>
                </c:pt>
                <c:pt idx="5">
                  <c:v>5353357.2939132852</c:v>
                </c:pt>
                <c:pt idx="6">
                  <c:v>2706792.2544692885</c:v>
                </c:pt>
              </c:numCache>
            </c:numRef>
          </c:yVal>
          <c:smooth val="1"/>
          <c:extLst>
            <c:ext xmlns:c16="http://schemas.microsoft.com/office/drawing/2014/chart" uri="{C3380CC4-5D6E-409C-BE32-E72D297353CC}">
              <c16:uniqueId val="{00000000-F245-421D-B27A-A35A27B9064E}"/>
            </c:ext>
          </c:extLst>
        </c:ser>
        <c:dLbls>
          <c:dLblPos val="t"/>
          <c:showLegendKey val="0"/>
          <c:showVal val="1"/>
          <c:showCatName val="0"/>
          <c:showSerName val="0"/>
          <c:showPercent val="0"/>
          <c:showBubbleSize val="0"/>
        </c:dLbls>
        <c:axId val="705447696"/>
        <c:axId val="705445776"/>
      </c:scatterChart>
      <c:valAx>
        <c:axId val="705447696"/>
        <c:scaling>
          <c:orientation val="minMax"/>
          <c:min val="3.0000000000000006E-2"/>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Discount rate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Average electricity price (Min -£25/MWh | Max +£25/MWh)</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(+SSA)'!$C$62:$C$68</c:f>
              <c:numCache>
                <c:formatCode>General</c:formatCode>
                <c:ptCount val="7"/>
                <c:pt idx="0">
                  <c:v>25</c:v>
                </c:pt>
                <c:pt idx="1">
                  <c:v>37.5</c:v>
                </c:pt>
                <c:pt idx="2">
                  <c:v>45</c:v>
                </c:pt>
                <c:pt idx="3">
                  <c:v>50</c:v>
                </c:pt>
                <c:pt idx="4">
                  <c:v>55</c:v>
                </c:pt>
                <c:pt idx="5">
                  <c:v>62.5</c:v>
                </c:pt>
                <c:pt idx="6">
                  <c:v>75</c:v>
                </c:pt>
              </c:numCache>
            </c:numRef>
          </c:xVal>
          <c:yVal>
            <c:numRef>
              <c:f>'Input Data (+SSA)'!$D$62:$D$68</c:f>
              <c:numCache>
                <c:formatCode>#,##0.00,,\ </c:formatCode>
                <c:ptCount val="7"/>
                <c:pt idx="0">
                  <c:v>-6093924.1302413587</c:v>
                </c:pt>
                <c:pt idx="1">
                  <c:v>1710801.4188406933</c:v>
                </c:pt>
                <c:pt idx="2">
                  <c:v>5936963.4359697849</c:v>
                </c:pt>
                <c:pt idx="3">
                  <c:v>8751869.1891481467</c:v>
                </c:pt>
                <c:pt idx="4">
                  <c:v>11566774.942326505</c:v>
                </c:pt>
                <c:pt idx="5">
                  <c:v>15789133.572094042</c:v>
                </c:pt>
                <c:pt idx="6">
                  <c:v>22826397.955039933</c:v>
                </c:pt>
              </c:numCache>
            </c:numRef>
          </c:yVal>
          <c:smooth val="1"/>
          <c:extLst>
            <c:ext xmlns:c16="http://schemas.microsoft.com/office/drawing/2014/chart" uri="{C3380CC4-5D6E-409C-BE32-E72D297353CC}">
              <c16:uniqueId val="{00000000-0FB3-4C37-BE22-0BE08D633C30}"/>
            </c:ext>
          </c:extLst>
        </c:ser>
        <c:dLbls>
          <c:dLblPos val="ctr"/>
          <c:showLegendKey val="0"/>
          <c:showVal val="1"/>
          <c:showCatName val="0"/>
          <c:showSerName val="0"/>
          <c:showPercent val="0"/>
          <c:showBubbleSize val="0"/>
        </c:dLbls>
        <c:axId val="705447696"/>
        <c:axId val="705445776"/>
      </c:scatterChart>
      <c:valAx>
        <c:axId val="705447696"/>
        <c:scaling>
          <c:orientation val="minMax"/>
          <c:min val="20"/>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r>
                  <a:rPr lang="en-GB" b="1"/>
                  <a:t>Average electricity price (£/MWh)</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Capacity factor (Min -8 yrs | Max +4 yrs)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GB"/>
        </a:p>
      </c:txPr>
    </c:title>
    <c:autoTitleDeleted val="0"/>
    <c:plotArea>
      <c:layout/>
      <c:scatterChart>
        <c:scatterStyle val="smoothMarker"/>
        <c:varyColors val="0"/>
        <c:ser>
          <c:idx val="0"/>
          <c:order val="0"/>
          <c:tx>
            <c:strRef>
              <c:f>'Input Data (+SSA)'!$C$96</c:f>
              <c:strCache>
                <c:ptCount val="1"/>
                <c:pt idx="0">
                  <c:v>Capacity factor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(+SSA)'!$C$98:$C$104</c:f>
              <c:numCache>
                <c:formatCode>0%</c:formatCode>
                <c:ptCount val="7"/>
                <c:pt idx="0">
                  <c:v>0.25</c:v>
                </c:pt>
                <c:pt idx="1">
                  <c:v>0.27</c:v>
                </c:pt>
                <c:pt idx="2">
                  <c:v>0.28999999999999998</c:v>
                </c:pt>
                <c:pt idx="3">
                  <c:v>0.31</c:v>
                </c:pt>
                <c:pt idx="4">
                  <c:v>0.33</c:v>
                </c:pt>
                <c:pt idx="5">
                  <c:v>0.35</c:v>
                </c:pt>
                <c:pt idx="6">
                  <c:v>0.37</c:v>
                </c:pt>
              </c:numCache>
            </c:numRef>
          </c:xVal>
          <c:yVal>
            <c:numRef>
              <c:f>'Input Data (+SSA)'!$D$98:$D$104</c:f>
              <c:numCache>
                <c:formatCode>#,##0.00,,\ </c:formatCode>
                <c:ptCount val="7"/>
                <c:pt idx="0">
                  <c:v>664762.52223120467</c:v>
                </c:pt>
                <c:pt idx="1">
                  <c:v>2317798.8961690413</c:v>
                </c:pt>
                <c:pt idx="2">
                  <c:v>3926316.4694138179</c:v>
                </c:pt>
                <c:pt idx="3">
                  <c:v>5534834.0426585972</c:v>
                </c:pt>
                <c:pt idx="4">
                  <c:v>7143351.6159033692</c:v>
                </c:pt>
                <c:pt idx="5">
                  <c:v>8751869.1891481467</c:v>
                </c:pt>
                <c:pt idx="6">
                  <c:v>10360386.762392927</c:v>
                </c:pt>
              </c:numCache>
            </c:numRef>
          </c:yVal>
          <c:smooth val="1"/>
          <c:extLst>
            <c:ext xmlns:c16="http://schemas.microsoft.com/office/drawing/2014/chart" uri="{C3380CC4-5D6E-409C-BE32-E72D297353CC}">
              <c16:uniqueId val="{00000000-ED57-49DB-84EA-A67C4EB05AA5}"/>
            </c:ext>
          </c:extLst>
        </c:ser>
        <c:dLbls>
          <c:dLblPos val="ctr"/>
          <c:showLegendKey val="0"/>
          <c:showVal val="1"/>
          <c:showCatName val="0"/>
          <c:showSerName val="0"/>
          <c:showPercent val="0"/>
          <c:showBubbleSize val="0"/>
        </c:dLbls>
        <c:axId val="705447696"/>
        <c:axId val="705445776"/>
      </c:scatterChart>
      <c:valAx>
        <c:axId val="705447696"/>
        <c:scaling>
          <c:orientation val="minMax"/>
          <c:min val="0.24000000000000002"/>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Capacity factor</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OpEx per turbine (Min -£50,000 | Max +£50,000)</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GB"/>
        </a:p>
      </c:txPr>
    </c:title>
    <c:autoTitleDeleted val="0"/>
    <c:plotArea>
      <c:layout/>
      <c:scatterChart>
        <c:scatterStyle val="smoothMarker"/>
        <c:varyColors val="0"/>
        <c:ser>
          <c:idx val="0"/>
          <c:order val="0"/>
          <c:tx>
            <c:strRef>
              <c:f>'Input Data (+SSA)'!$C$132</c:f>
              <c:strCache>
                <c:ptCount val="1"/>
                <c:pt idx="0">
                  <c:v>OpEx per turbine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(+SSA)'!$C$134:$C$140</c:f>
              <c:numCache>
                <c:formatCode>0</c:formatCode>
                <c:ptCount val="7"/>
                <c:pt idx="0">
                  <c:v>50000</c:v>
                </c:pt>
                <c:pt idx="1">
                  <c:v>75000</c:v>
                </c:pt>
                <c:pt idx="2">
                  <c:v>90000</c:v>
                </c:pt>
                <c:pt idx="3">
                  <c:v>100000</c:v>
                </c:pt>
                <c:pt idx="4">
                  <c:v>110000.00000000001</c:v>
                </c:pt>
                <c:pt idx="5">
                  <c:v>125000</c:v>
                </c:pt>
                <c:pt idx="6">
                  <c:v>150000</c:v>
                </c:pt>
              </c:numCache>
            </c:numRef>
          </c:xVal>
          <c:yVal>
            <c:numRef>
              <c:f>'Input Data (+SSA)'!$D$134:$D$140</c:f>
              <c:numCache>
                <c:formatCode>#,##0.00,,\ </c:formatCode>
                <c:ptCount val="7"/>
                <c:pt idx="0">
                  <c:v>12424283.739935307</c:v>
                </c:pt>
                <c:pt idx="1">
                  <c:v>10588076.464541724</c:v>
                </c:pt>
                <c:pt idx="2">
                  <c:v>9486352.0993055757</c:v>
                </c:pt>
                <c:pt idx="3">
                  <c:v>8751869.1891481467</c:v>
                </c:pt>
                <c:pt idx="4">
                  <c:v>8017386.2789907083</c:v>
                </c:pt>
                <c:pt idx="5">
                  <c:v>6915661.9137545638</c:v>
                </c:pt>
                <c:pt idx="6">
                  <c:v>5079454.6383609828</c:v>
                </c:pt>
              </c:numCache>
            </c:numRef>
          </c:yVal>
          <c:smooth val="1"/>
          <c:extLst>
            <c:ext xmlns:c16="http://schemas.microsoft.com/office/drawing/2014/chart" uri="{C3380CC4-5D6E-409C-BE32-E72D297353CC}">
              <c16:uniqueId val="{00000000-5652-4773-909D-EF81EC608EAD}"/>
            </c:ext>
          </c:extLst>
        </c:ser>
        <c:dLbls>
          <c:dLblPos val="t"/>
          <c:showLegendKey val="0"/>
          <c:showVal val="1"/>
          <c:showCatName val="0"/>
          <c:showSerName val="0"/>
          <c:showPercent val="0"/>
          <c:showBubbleSize val="0"/>
        </c:dLbls>
        <c:axId val="705447696"/>
        <c:axId val="705445776"/>
      </c:scatterChart>
      <c:valAx>
        <c:axId val="705447696"/>
        <c:scaling>
          <c:orientation val="minMax"/>
          <c:min val="40000"/>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OpEx per turbine (£)</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Inflation (Min -1.5% | Max +1.5%)</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scatterChart>
        <c:scatterStyle val="smoothMarker"/>
        <c:varyColors val="0"/>
        <c:ser>
          <c:idx val="0"/>
          <c:order val="0"/>
          <c:tx>
            <c:strRef>
              <c:f>'Input Data (+SSA)'!$C$168</c:f>
              <c:strCache>
                <c:ptCount val="1"/>
                <c:pt idx="0">
                  <c:v>Inflation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(+SSA)'!$C$170:$C$176</c:f>
              <c:numCache>
                <c:formatCode>0.00%</c:formatCode>
                <c:ptCount val="7"/>
                <c:pt idx="0">
                  <c:v>1.4999999999999999E-2</c:v>
                </c:pt>
                <c:pt idx="1">
                  <c:v>2.2499999999999999E-2</c:v>
                </c:pt>
                <c:pt idx="2">
                  <c:v>2.7E-2</c:v>
                </c:pt>
                <c:pt idx="3">
                  <c:v>0.03</c:v>
                </c:pt>
                <c:pt idx="4">
                  <c:v>3.3000000000000002E-2</c:v>
                </c:pt>
                <c:pt idx="5">
                  <c:v>3.7499999999999999E-2</c:v>
                </c:pt>
                <c:pt idx="6">
                  <c:v>4.4999999999999998E-2</c:v>
                </c:pt>
              </c:numCache>
            </c:numRef>
          </c:xVal>
          <c:yVal>
            <c:numRef>
              <c:f>'Input Data (+SSA)'!$D$170:$D$176</c:f>
              <c:numCache>
                <c:formatCode>#,##0.00,,\ </c:formatCode>
                <c:ptCount val="7"/>
                <c:pt idx="0">
                  <c:v>6111373.8349962477</c:v>
                </c:pt>
                <c:pt idx="1">
                  <c:v>7372377.764809005</c:v>
                </c:pt>
                <c:pt idx="2">
                  <c:v>8185150.8126628539</c:v>
                </c:pt>
                <c:pt idx="3">
                  <c:v>8751869.1891481467</c:v>
                </c:pt>
                <c:pt idx="4">
                  <c:v>9339349.075178653</c:v>
                </c:pt>
                <c:pt idx="5">
                  <c:v>10261194.283568392</c:v>
                </c:pt>
                <c:pt idx="6">
                  <c:v>11912760.437884923</c:v>
                </c:pt>
              </c:numCache>
            </c:numRef>
          </c:yVal>
          <c:smooth val="1"/>
          <c:extLst>
            <c:ext xmlns:c16="http://schemas.microsoft.com/office/drawing/2014/chart" uri="{C3380CC4-5D6E-409C-BE32-E72D297353CC}">
              <c16:uniqueId val="{00000000-3D65-42BB-841D-E0AE34CB51B0}"/>
            </c:ext>
          </c:extLst>
        </c:ser>
        <c:dLbls>
          <c:dLblPos val="t"/>
          <c:showLegendKey val="0"/>
          <c:showVal val="1"/>
          <c:showCatName val="0"/>
          <c:showSerName val="0"/>
          <c:showPercent val="0"/>
          <c:showBubbleSize val="0"/>
        </c:dLbls>
        <c:axId val="705447696"/>
        <c:axId val="705445776"/>
      </c:scatterChart>
      <c:valAx>
        <c:axId val="705447696"/>
        <c:scaling>
          <c:orientation val="minMax"/>
          <c:min val="1.0000000000000002E-2"/>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Inflation</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No. of turbines (Min -3 | Max +3)</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GB"/>
        </a:p>
      </c:txPr>
    </c:title>
    <c:autoTitleDeleted val="0"/>
    <c:plotArea>
      <c:layout/>
      <c:scatterChart>
        <c:scatterStyle val="smoothMarker"/>
        <c:varyColors val="0"/>
        <c:ser>
          <c:idx val="0"/>
          <c:order val="0"/>
          <c:tx>
            <c:strRef>
              <c:f>'Input Data (+SSA)'!$C$150</c:f>
              <c:strCache>
                <c:ptCount val="1"/>
                <c:pt idx="0">
                  <c:v>No. of turbines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(+SSA)'!$C$152:$C$158</c:f>
              <c:numCache>
                <c:formatCode>General</c:formatCode>
                <c:ptCount val="7"/>
                <c:pt idx="0">
                  <c:v>5</c:v>
                </c:pt>
                <c:pt idx="1">
                  <c:v>6</c:v>
                </c:pt>
                <c:pt idx="2">
                  <c:v>7</c:v>
                </c:pt>
                <c:pt idx="3">
                  <c:v>8</c:v>
                </c:pt>
                <c:pt idx="4">
                  <c:v>9</c:v>
                </c:pt>
                <c:pt idx="5">
                  <c:v>10</c:v>
                </c:pt>
                <c:pt idx="6">
                  <c:v>11</c:v>
                </c:pt>
              </c:numCache>
            </c:numRef>
          </c:xVal>
          <c:yVal>
            <c:numRef>
              <c:f>'Input Data (+SSA)'!$D$152:$D$158</c:f>
              <c:numCache>
                <c:formatCode>#,##0.00,,\ </c:formatCode>
                <c:ptCount val="7"/>
                <c:pt idx="0">
                  <c:v>4212576.2547234371</c:v>
                </c:pt>
                <c:pt idx="1">
                  <c:v>5725673.8995316774</c:v>
                </c:pt>
                <c:pt idx="2">
                  <c:v>7238771.544339912</c:v>
                </c:pt>
                <c:pt idx="3">
                  <c:v>8751869.1891481467</c:v>
                </c:pt>
                <c:pt idx="4">
                  <c:v>10264966.833956389</c:v>
                </c:pt>
                <c:pt idx="5">
                  <c:v>11778064.478764627</c:v>
                </c:pt>
                <c:pt idx="6">
                  <c:v>13291162.123572864</c:v>
                </c:pt>
              </c:numCache>
            </c:numRef>
          </c:yVal>
          <c:smooth val="1"/>
          <c:extLst>
            <c:ext xmlns:c16="http://schemas.microsoft.com/office/drawing/2014/chart" uri="{C3380CC4-5D6E-409C-BE32-E72D297353CC}">
              <c16:uniqueId val="{00000000-089A-4E15-A210-8F564FE2D225}"/>
            </c:ext>
          </c:extLst>
        </c:ser>
        <c:dLbls>
          <c:dLblPos val="ctr"/>
          <c:showLegendKey val="0"/>
          <c:showVal val="1"/>
          <c:showCatName val="0"/>
          <c:showSerName val="0"/>
          <c:showPercent val="0"/>
          <c:showBubbleSize val="0"/>
        </c:dLbls>
        <c:axId val="705447696"/>
        <c:axId val="705445776"/>
      </c:scatterChart>
      <c:valAx>
        <c:axId val="705447696"/>
        <c:scaling>
          <c:orientation val="minMax"/>
          <c:min val="4"/>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No. of turbines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Turbine lifetime (Min -3 yrs | Max +3 yrs)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GB"/>
        </a:p>
      </c:txPr>
    </c:title>
    <c:autoTitleDeleted val="0"/>
    <c:plotArea>
      <c:layout/>
      <c:scatterChart>
        <c:scatterStyle val="smoothMarker"/>
        <c:varyColors val="0"/>
        <c:ser>
          <c:idx val="0"/>
          <c:order val="0"/>
          <c:tx>
            <c:strRef>
              <c:f>'Input Data (+SSA)'!$C$78</c:f>
              <c:strCache>
                <c:ptCount val="1"/>
                <c:pt idx="0">
                  <c:v>Turbine lifetime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(+SSA)'!$C$80:$C$86</c:f>
              <c:numCache>
                <c:formatCode>General</c:formatCode>
                <c:ptCount val="7"/>
                <c:pt idx="0">
                  <c:v>17</c:v>
                </c:pt>
                <c:pt idx="1">
                  <c:v>18</c:v>
                </c:pt>
                <c:pt idx="2">
                  <c:v>19</c:v>
                </c:pt>
                <c:pt idx="3">
                  <c:v>20</c:v>
                </c:pt>
                <c:pt idx="4">
                  <c:v>21</c:v>
                </c:pt>
                <c:pt idx="5">
                  <c:v>22</c:v>
                </c:pt>
                <c:pt idx="6">
                  <c:v>23</c:v>
                </c:pt>
              </c:numCache>
            </c:numRef>
          </c:xVal>
          <c:yVal>
            <c:numRef>
              <c:f>'Input Data (+SSA)'!$D$80:$D$86</c:f>
              <c:numCache>
                <c:formatCode>#,##0.00,,\ </c:formatCode>
                <c:ptCount val="7"/>
                <c:pt idx="0">
                  <c:v>6611398.3206165982</c:v>
                </c:pt>
                <c:pt idx="1">
                  <c:v>7358964.0364159811</c:v>
                </c:pt>
                <c:pt idx="2">
                  <c:v>8071920.2283357615</c:v>
                </c:pt>
                <c:pt idx="3">
                  <c:v>8751869.1891481467</c:v>
                </c:pt>
                <c:pt idx="4">
                  <c:v>9400339.0314044021</c:v>
                </c:pt>
                <c:pt idx="5">
                  <c:v>10018787.121704347</c:v>
                </c:pt>
                <c:pt idx="6">
                  <c:v>10608603.355971891</c:v>
                </c:pt>
              </c:numCache>
            </c:numRef>
          </c:yVal>
          <c:smooth val="1"/>
          <c:extLst>
            <c:ext xmlns:c16="http://schemas.microsoft.com/office/drawing/2014/chart" uri="{C3380CC4-5D6E-409C-BE32-E72D297353CC}">
              <c16:uniqueId val="{00000000-871C-4166-89C5-EE256995A868}"/>
            </c:ext>
          </c:extLst>
        </c:ser>
        <c:dLbls>
          <c:dLblPos val="ctr"/>
          <c:showLegendKey val="0"/>
          <c:showVal val="1"/>
          <c:showCatName val="0"/>
          <c:showSerName val="0"/>
          <c:showPercent val="0"/>
          <c:showBubbleSize val="0"/>
        </c:dLbls>
        <c:axId val="705447696"/>
        <c:axId val="705445776"/>
      </c:scatterChart>
      <c:valAx>
        <c:axId val="705447696"/>
        <c:scaling>
          <c:orientation val="minMax"/>
          <c:max val="24"/>
          <c:min val="16"/>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r>
                  <a:rPr lang="en-GB" b="1"/>
                  <a:t>Turbine lifetime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1" i="0" u="none" strike="noStrike" kern="1200" spc="0" baseline="0">
                <a:solidFill>
                  <a:schemeClr val="tx2"/>
                </a:solidFill>
                <a:latin typeface="Garamond" panose="02020404030301010803" pitchFamily="18" charset="0"/>
                <a:ea typeface="+mn-ea"/>
                <a:cs typeface="+mn-cs"/>
              </a:defRPr>
            </a:pPr>
            <a:r>
              <a:rPr lang="en-GB" b="1">
                <a:solidFill>
                  <a:schemeClr val="tx2"/>
                </a:solidFill>
              </a:rPr>
              <a:t>Years before turbines operate (Min -2 yrs | Max +5 yrs)</a:t>
            </a:r>
          </a:p>
        </c:rich>
      </c:tx>
      <c:overlay val="0"/>
      <c:spPr>
        <a:noFill/>
        <a:ln>
          <a:noFill/>
        </a:ln>
        <a:effectLst/>
      </c:spPr>
      <c:txPr>
        <a:bodyPr rot="0" spcFirstLastPara="1" vertOverflow="ellipsis" vert="horz" wrap="square" anchor="ctr" anchorCtr="1"/>
        <a:lstStyle/>
        <a:p>
          <a:pPr>
            <a:defRPr sz="1680" b="1" i="0" u="none" strike="noStrike" kern="1200" spc="0" baseline="0">
              <a:solidFill>
                <a:schemeClr val="tx2"/>
              </a:solidFill>
              <a:latin typeface="Garamond" panose="02020404030301010803" pitchFamily="18" charset="0"/>
              <a:ea typeface="+mn-ea"/>
              <a:cs typeface="+mn-cs"/>
            </a:defRPr>
          </a:pPr>
          <a:endParaRPr lang="en-GB"/>
        </a:p>
      </c:txPr>
    </c:title>
    <c:autoTitleDeleted val="0"/>
    <c:plotArea>
      <c:layout/>
      <c:scatterChart>
        <c:scatterStyle val="smoothMarker"/>
        <c:varyColors val="0"/>
        <c:ser>
          <c:idx val="0"/>
          <c:order val="0"/>
          <c:tx>
            <c:strRef>
              <c:f>'Input Data (+SSA)'!$C$186</c:f>
              <c:strCache>
                <c:ptCount val="1"/>
                <c:pt idx="0">
                  <c:v>Years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(+SSA)'!$C$188:$C$194</c:f>
              <c:numCache>
                <c:formatCode>General</c:formatCode>
                <c:ptCount val="7"/>
                <c:pt idx="0">
                  <c:v>3</c:v>
                </c:pt>
                <c:pt idx="1">
                  <c:v>4</c:v>
                </c:pt>
                <c:pt idx="2">
                  <c:v>5</c:v>
                </c:pt>
                <c:pt idx="3">
                  <c:v>6</c:v>
                </c:pt>
                <c:pt idx="4">
                  <c:v>7</c:v>
                </c:pt>
                <c:pt idx="5">
                  <c:v>8</c:v>
                </c:pt>
                <c:pt idx="6">
                  <c:v>9</c:v>
                </c:pt>
              </c:numCache>
            </c:numRef>
          </c:xVal>
          <c:yVal>
            <c:numRef>
              <c:f>'Input Data (+SSA)'!$D$188:$D$194</c:f>
              <c:numCache>
                <c:formatCode>#,##0.00,,\ </c:formatCode>
                <c:ptCount val="7"/>
                <c:pt idx="0">
                  <c:v>8751869.1891481467</c:v>
                </c:pt>
                <c:pt idx="1">
                  <c:v>7706494.6435577394</c:v>
                </c:pt>
                <c:pt idx="2">
                  <c:v>6712887.7807097435</c:v>
                </c:pt>
                <c:pt idx="3">
                  <c:v>5768402.2661779998</c:v>
                </c:pt>
                <c:pt idx="4">
                  <c:v>5139644.2625854444</c:v>
                </c:pt>
                <c:pt idx="5">
                  <c:v>4542671.2065115813</c:v>
                </c:pt>
                <c:pt idx="6">
                  <c:v>3841257.6233464531</c:v>
                </c:pt>
              </c:numCache>
            </c:numRef>
          </c:yVal>
          <c:smooth val="1"/>
          <c:extLst>
            <c:ext xmlns:c16="http://schemas.microsoft.com/office/drawing/2014/chart" uri="{C3380CC4-5D6E-409C-BE32-E72D297353CC}">
              <c16:uniqueId val="{00000000-87C7-4C49-BB86-0C5756343528}"/>
            </c:ext>
          </c:extLst>
        </c:ser>
        <c:dLbls>
          <c:dLblPos val="t"/>
          <c:showLegendKey val="0"/>
          <c:showVal val="1"/>
          <c:showCatName val="0"/>
          <c:showSerName val="0"/>
          <c:showPercent val="0"/>
          <c:showBubbleSize val="0"/>
        </c:dLbls>
        <c:axId val="705447696"/>
        <c:axId val="705445776"/>
      </c:scatterChart>
      <c:valAx>
        <c:axId val="705447696"/>
        <c:scaling>
          <c:orientation val="minMax"/>
          <c:min val="2"/>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Years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2000" b="1" i="0" u="none" strike="noStrike" kern="1200" spc="0" baseline="0">
                <a:solidFill>
                  <a:schemeClr val="tx1">
                    <a:lumMod val="65000"/>
                    <a:lumOff val="35000"/>
                  </a:schemeClr>
                </a:solidFill>
                <a:latin typeface="Sorts Mill Goudy" panose="02000503000000000000" pitchFamily="2" charset="0"/>
                <a:ea typeface="+mn-ea"/>
                <a:cs typeface="+mn-cs"/>
              </a:defRPr>
            </a:pPr>
            <a:r>
              <a:rPr lang="en-GB" sz="2000" b="1">
                <a:latin typeface="Garamond" panose="02020404030301010803" pitchFamily="18" charset="0"/>
              </a:rPr>
              <a:t>NPV impact</a:t>
            </a:r>
            <a:r>
              <a:rPr lang="en-GB" sz="2000" b="1" baseline="0">
                <a:latin typeface="Garamond" panose="02020404030301010803" pitchFamily="18" charset="0"/>
              </a:rPr>
              <a:t> - Tornado analysis</a:t>
            </a:r>
          </a:p>
          <a:p>
            <a:pPr algn="ctr">
              <a:defRPr sz="2000" b="1"/>
            </a:pPr>
            <a:endParaRPr lang="en-GB" sz="500" b="1">
              <a:latin typeface="Garamond" panose="02020404030301010803" pitchFamily="18" charset="0"/>
            </a:endParaRPr>
          </a:p>
          <a:p>
            <a:pPr algn="ctr">
              <a:defRPr sz="2000" b="1"/>
            </a:pPr>
            <a:r>
              <a:rPr lang="en-GB" sz="1400" b="1">
                <a:latin typeface="Garamond" panose="02020404030301010803" pitchFamily="18" charset="0"/>
              </a:rPr>
              <a:t> </a:t>
            </a:r>
            <a:r>
              <a:rPr lang="en-GB" sz="1400" b="0">
                <a:solidFill>
                  <a:schemeClr val="accent2">
                    <a:lumMod val="60000"/>
                    <a:lumOff val="40000"/>
                  </a:schemeClr>
                </a:solidFill>
                <a:latin typeface="Garamond" panose="02020404030301010803" pitchFamily="18" charset="0"/>
              </a:rPr>
              <a:t>Min</a:t>
            </a:r>
            <a:r>
              <a:rPr lang="en-GB" sz="1400" b="0" baseline="0">
                <a:solidFill>
                  <a:schemeClr val="accent2">
                    <a:lumMod val="60000"/>
                    <a:lumOff val="40000"/>
                  </a:schemeClr>
                </a:solidFill>
                <a:latin typeface="Garamond" panose="02020404030301010803" pitchFamily="18" charset="0"/>
              </a:rPr>
              <a:t> NPV </a:t>
            </a:r>
            <a:r>
              <a:rPr lang="en-GB" sz="1400" b="0" baseline="0">
                <a:solidFill>
                  <a:srgbClr val="FFAD75"/>
                </a:solidFill>
                <a:latin typeface="Garamond" panose="02020404030301010803" pitchFamily="18" charset="0"/>
              </a:rPr>
              <a:t>(</a:t>
            </a:r>
            <a:r>
              <a:rPr lang="en-GB" sz="1400" b="0" baseline="0">
                <a:solidFill>
                  <a:srgbClr val="FF6565"/>
                </a:solidFill>
                <a:latin typeface="Garamond" panose="02020404030301010803" pitchFamily="18" charset="0"/>
              </a:rPr>
              <a:t>negative</a:t>
            </a:r>
            <a:r>
              <a:rPr lang="en-GB" sz="1400" b="0" baseline="0">
                <a:solidFill>
                  <a:srgbClr val="FFAD75"/>
                </a:solidFill>
                <a:latin typeface="Garamond" panose="02020404030301010803" pitchFamily="18" charset="0"/>
              </a:rPr>
              <a:t>) </a:t>
            </a:r>
            <a:r>
              <a:rPr lang="en-GB" sz="1400" b="0" baseline="0">
                <a:solidFill>
                  <a:sysClr val="windowText" lastClr="000000"/>
                </a:solidFill>
                <a:latin typeface="Garamond" panose="02020404030301010803" pitchFamily="18" charset="0"/>
              </a:rPr>
              <a:t>| </a:t>
            </a:r>
            <a:r>
              <a:rPr lang="en-GB" sz="1400" b="1" baseline="0">
                <a:solidFill>
                  <a:schemeClr val="accent2">
                    <a:lumMod val="75000"/>
                  </a:schemeClr>
                </a:solidFill>
                <a:latin typeface="Garamond" panose="02020404030301010803" pitchFamily="18" charset="0"/>
              </a:rPr>
              <a:t>Realistic bad </a:t>
            </a:r>
            <a:r>
              <a:rPr lang="en-GB" sz="1400" b="0" baseline="0">
                <a:solidFill>
                  <a:sysClr val="windowText" lastClr="000000"/>
                </a:solidFill>
                <a:latin typeface="Garamond" panose="02020404030301010803" pitchFamily="18" charset="0"/>
              </a:rPr>
              <a:t>|</a:t>
            </a:r>
            <a:r>
              <a:rPr lang="en-GB" sz="1400" b="0" baseline="0">
                <a:solidFill>
                  <a:srgbClr val="FF6464"/>
                </a:solidFill>
                <a:latin typeface="Garamond" panose="02020404030301010803" pitchFamily="18" charset="0"/>
              </a:rPr>
              <a:t> </a:t>
            </a:r>
            <a:r>
              <a:rPr lang="en-GB" sz="1400" b="1" baseline="0">
                <a:solidFill>
                  <a:srgbClr val="33CC33"/>
                </a:solidFill>
                <a:latin typeface="Garamond" panose="02020404030301010803" pitchFamily="18" charset="0"/>
              </a:rPr>
              <a:t>Realistic good </a:t>
            </a:r>
            <a:r>
              <a:rPr lang="en-GB" sz="1400" b="0" baseline="0">
                <a:solidFill>
                  <a:sysClr val="windowText" lastClr="000000"/>
                </a:solidFill>
                <a:latin typeface="Garamond" panose="02020404030301010803" pitchFamily="18" charset="0"/>
              </a:rPr>
              <a:t>|</a:t>
            </a:r>
            <a:r>
              <a:rPr lang="en-GB" sz="1400" b="0" baseline="0">
                <a:solidFill>
                  <a:srgbClr val="FF6464"/>
                </a:solidFill>
                <a:latin typeface="Garamond" panose="02020404030301010803" pitchFamily="18" charset="0"/>
              </a:rPr>
              <a:t> </a:t>
            </a:r>
            <a:r>
              <a:rPr lang="en-GB" sz="1400" b="0" baseline="0">
                <a:solidFill>
                  <a:srgbClr val="A1E7A1"/>
                </a:solidFill>
                <a:latin typeface="Garamond" panose="02020404030301010803" pitchFamily="18" charset="0"/>
              </a:rPr>
              <a:t>Max NPV</a:t>
            </a:r>
            <a:endParaRPr lang="en-GB" sz="1400" b="1">
              <a:solidFill>
                <a:srgbClr val="A1E7A1"/>
              </a:solidFill>
              <a:latin typeface="Garamond" panose="02020404030301010803" pitchFamily="18" charset="0"/>
            </a:endParaRPr>
          </a:p>
        </c:rich>
      </c:tx>
      <c:layout>
        <c:manualLayout>
          <c:xMode val="edge"/>
          <c:yMode val="edge"/>
          <c:x val="0.3717602278227784"/>
          <c:y val="9.1712557995352273E-2"/>
        </c:manualLayout>
      </c:layout>
      <c:overlay val="0"/>
      <c:spPr>
        <a:noFill/>
        <a:ln>
          <a:noFill/>
        </a:ln>
        <a:effectLst/>
      </c:spPr>
      <c:txPr>
        <a:bodyPr rot="0" spcFirstLastPara="1" vertOverflow="ellipsis" vert="horz" wrap="square" anchor="ctr" anchorCtr="1"/>
        <a:lstStyle/>
        <a:p>
          <a:pPr algn="ctr">
            <a:defRPr sz="2000" b="1"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manualLayout>
          <c:layoutTarget val="inner"/>
          <c:xMode val="edge"/>
          <c:yMode val="edge"/>
          <c:x val="0.21652094903475835"/>
          <c:y val="0.19581013114199877"/>
          <c:w val="0.71696567304291836"/>
          <c:h val="0.63643303679668062"/>
        </c:manualLayout>
      </c:layout>
      <c:barChart>
        <c:barDir val="bar"/>
        <c:grouping val="clustered"/>
        <c:varyColors val="0"/>
        <c:ser>
          <c:idx val="0"/>
          <c:order val="0"/>
          <c:tx>
            <c:strRef>
              <c:f>'Further analysis'!$C$9</c:f>
              <c:strCache>
                <c:ptCount val="1"/>
                <c:pt idx="0">
                  <c:v>Min NPV (£M)</c:v>
                </c:pt>
              </c:strCache>
            </c:strRef>
          </c:tx>
          <c:spPr>
            <a:solidFill>
              <a:schemeClr val="accent2">
                <a:lumMod val="40000"/>
                <a:lumOff val="60000"/>
                <a:alpha val="60000"/>
              </a:schemeClr>
            </a:solidFill>
            <a:ln>
              <a:noFill/>
            </a:ln>
            <a:effectLst/>
          </c:spPr>
          <c:invertIfNegative val="0"/>
          <c:dPt>
            <c:idx val="0"/>
            <c:invertIfNegative val="0"/>
            <c:bubble3D val="0"/>
            <c:spPr>
              <a:solidFill>
                <a:srgbClr val="FF5B5B">
                  <a:alpha val="60000"/>
                </a:srgbClr>
              </a:solidFill>
              <a:ln w="31750">
                <a:noFill/>
              </a:ln>
              <a:effectLst/>
            </c:spPr>
            <c:extLst>
              <c:ext xmlns:c16="http://schemas.microsoft.com/office/drawing/2014/chart" uri="{C3380CC4-5D6E-409C-BE32-E72D297353CC}">
                <c16:uniqueId val="{00000001-A1EA-4360-A684-57EC1B78AC67}"/>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analysis'!$C$10:$C$16</c:f>
              <c:numCache>
                <c:formatCode>#,##0.00,,\ </c:formatCode>
                <c:ptCount val="7"/>
                <c:pt idx="0">
                  <c:v>-6093924.1302413587</c:v>
                </c:pt>
                <c:pt idx="1">
                  <c:v>2706792.2544692885</c:v>
                </c:pt>
                <c:pt idx="2">
                  <c:v>664762.52223120467</c:v>
                </c:pt>
                <c:pt idx="3">
                  <c:v>5079454.6383609828</c:v>
                </c:pt>
                <c:pt idx="4">
                  <c:v>6111373.8349962477</c:v>
                </c:pt>
                <c:pt idx="5">
                  <c:v>3841257.6233464531</c:v>
                </c:pt>
                <c:pt idx="6">
                  <c:v>6611398.3206165982</c:v>
                </c:pt>
              </c:numCache>
            </c:numRef>
          </c:val>
          <c:extLst>
            <c:ext xmlns:c16="http://schemas.microsoft.com/office/drawing/2014/chart" uri="{C3380CC4-5D6E-409C-BE32-E72D297353CC}">
              <c16:uniqueId val="{00000002-A1EA-4360-A684-57EC1B78AC67}"/>
            </c:ext>
          </c:extLst>
        </c:ser>
        <c:ser>
          <c:idx val="1"/>
          <c:order val="1"/>
          <c:tx>
            <c:strRef>
              <c:f>'Further analysis'!$F$9</c:f>
              <c:strCache>
                <c:ptCount val="1"/>
                <c:pt idx="0">
                  <c:v>Max NPV (£M)</c:v>
                </c:pt>
              </c:strCache>
            </c:strRef>
          </c:tx>
          <c:spPr>
            <a:solidFill>
              <a:srgbClr val="33CC33">
                <a:alpha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analysis'!$F$10:$F$16</c:f>
              <c:numCache>
                <c:formatCode>#,##0.00,,\ </c:formatCode>
                <c:ptCount val="7"/>
                <c:pt idx="0">
                  <c:v>22826397.955039933</c:v>
                </c:pt>
                <c:pt idx="1">
                  <c:v>18941094.495753184</c:v>
                </c:pt>
                <c:pt idx="2">
                  <c:v>10360386.762392927</c:v>
                </c:pt>
                <c:pt idx="3">
                  <c:v>12424283.739935307</c:v>
                </c:pt>
                <c:pt idx="4">
                  <c:v>11912760.437884923</c:v>
                </c:pt>
                <c:pt idx="5">
                  <c:v>8751869.1891481467</c:v>
                </c:pt>
                <c:pt idx="6">
                  <c:v>10608603.355971891</c:v>
                </c:pt>
              </c:numCache>
            </c:numRef>
          </c:val>
          <c:extLst>
            <c:ext xmlns:c16="http://schemas.microsoft.com/office/drawing/2014/chart" uri="{C3380CC4-5D6E-409C-BE32-E72D297353CC}">
              <c16:uniqueId val="{00000003-A1EA-4360-A684-57EC1B78AC67}"/>
            </c:ext>
          </c:extLst>
        </c:ser>
        <c:ser>
          <c:idx val="2"/>
          <c:order val="2"/>
          <c:tx>
            <c:strRef>
              <c:f>'Further analysis'!$D$9</c:f>
              <c:strCache>
                <c:ptCount val="1"/>
                <c:pt idx="0">
                  <c:v>Realistic bad (£M)</c:v>
                </c:pt>
              </c:strCache>
            </c:strRef>
          </c:tx>
          <c:spPr>
            <a:solidFill>
              <a:schemeClr val="accent2">
                <a:lumMod val="75000"/>
              </a:schemeClr>
            </a:solidFill>
            <a:ln>
              <a:noFill/>
            </a:ln>
            <a:effectLst/>
          </c:spPr>
          <c:invertIfNegative val="0"/>
          <c:dLbls>
            <c:delete val="1"/>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analysis'!$D$10:$D$16</c:f>
              <c:numCache>
                <c:formatCode>#,##0.00,,\ </c:formatCode>
                <c:ptCount val="7"/>
                <c:pt idx="0">
                  <c:v>5936963.4359697849</c:v>
                </c:pt>
                <c:pt idx="1">
                  <c:v>7287581.3579641944</c:v>
                </c:pt>
                <c:pt idx="2">
                  <c:v>7143351.6159033692</c:v>
                </c:pt>
                <c:pt idx="3">
                  <c:v>8017386.2789907083</c:v>
                </c:pt>
                <c:pt idx="4">
                  <c:v>8185150.8126628539</c:v>
                </c:pt>
                <c:pt idx="5">
                  <c:v>7706494.6435577394</c:v>
                </c:pt>
                <c:pt idx="6">
                  <c:v>8071920.2283357615</c:v>
                </c:pt>
              </c:numCache>
            </c:numRef>
          </c:val>
          <c:extLst>
            <c:ext xmlns:c16="http://schemas.microsoft.com/office/drawing/2014/chart" uri="{C3380CC4-5D6E-409C-BE32-E72D297353CC}">
              <c16:uniqueId val="{00000004-A1EA-4360-A684-57EC1B78AC67}"/>
            </c:ext>
          </c:extLst>
        </c:ser>
        <c:ser>
          <c:idx val="3"/>
          <c:order val="3"/>
          <c:tx>
            <c:strRef>
              <c:f>'Further analysis'!$E$9</c:f>
              <c:strCache>
                <c:ptCount val="1"/>
                <c:pt idx="0">
                  <c:v>Realistic good (£M)</c:v>
                </c:pt>
              </c:strCache>
            </c:strRef>
          </c:tx>
          <c:spPr>
            <a:solidFill>
              <a:srgbClr val="33CC33"/>
            </a:solidFill>
            <a:ln>
              <a:noFill/>
            </a:ln>
            <a:effectLst/>
          </c:spPr>
          <c:invertIfNegative val="0"/>
          <c:dLbls>
            <c:delete val="1"/>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analysis'!$E$10:$E$16</c:f>
              <c:numCache>
                <c:formatCode>#,##0.00,,\ </c:formatCode>
                <c:ptCount val="7"/>
                <c:pt idx="0">
                  <c:v>11566774.942326505</c:v>
                </c:pt>
                <c:pt idx="1">
                  <c:v>10376731.560675589</c:v>
                </c:pt>
                <c:pt idx="2">
                  <c:v>10360386.762392927</c:v>
                </c:pt>
                <c:pt idx="3">
                  <c:v>9486352.0993055757</c:v>
                </c:pt>
                <c:pt idx="4">
                  <c:v>9339349.075178653</c:v>
                </c:pt>
                <c:pt idx="5">
                  <c:v>8751869.1891481467</c:v>
                </c:pt>
                <c:pt idx="6">
                  <c:v>9400339.0314044021</c:v>
                </c:pt>
              </c:numCache>
            </c:numRef>
          </c:val>
          <c:extLst>
            <c:ext xmlns:c16="http://schemas.microsoft.com/office/drawing/2014/chart" uri="{C3380CC4-5D6E-409C-BE32-E72D297353CC}">
              <c16:uniqueId val="{00000005-A1EA-4360-A684-57EC1B78AC67}"/>
            </c:ext>
          </c:extLst>
        </c:ser>
        <c:dLbls>
          <c:dLblPos val="outEnd"/>
          <c:showLegendKey val="0"/>
          <c:showVal val="1"/>
          <c:showCatName val="0"/>
          <c:showSerName val="0"/>
          <c:showPercent val="0"/>
          <c:showBubbleSize val="0"/>
        </c:dLbls>
        <c:gapWidth val="55"/>
        <c:overlap val="100"/>
        <c:axId val="1631931984"/>
        <c:axId val="1631939184"/>
      </c:barChart>
      <c:catAx>
        <c:axId val="1631931984"/>
        <c:scaling>
          <c:orientation val="maxMin"/>
        </c:scaling>
        <c:delete val="0"/>
        <c:axPos val="l"/>
        <c:numFmt formatCode="General" sourceLinked="1"/>
        <c:majorTickMark val="none"/>
        <c:minorTickMark val="none"/>
        <c:tickLblPos val="low"/>
        <c:spPr>
          <a:noFill/>
          <a:ln w="19050" cap="flat" cmpd="sng" algn="ctr">
            <a:solidFill>
              <a:schemeClr val="accent3">
                <a:lumMod val="40000"/>
                <a:lumOff val="60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631939184"/>
        <c:crossesAt val="8751869.1889999993"/>
        <c:auto val="1"/>
        <c:lblAlgn val="ctr"/>
        <c:lblOffset val="100"/>
        <c:noMultiLvlLbl val="0"/>
      </c:catAx>
      <c:valAx>
        <c:axId val="1631939184"/>
        <c:scaling>
          <c:orientation val="minMax"/>
        </c:scaling>
        <c:delete val="0"/>
        <c:axPos val="t"/>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r>
                  <a:rPr lang="en-GB" sz="1400" b="1">
                    <a:latin typeface="Garamond" panose="02020404030301010803" pitchFamily="18" charset="0"/>
                  </a:rPr>
                  <a:t>NPV (£M)</a:t>
                </a:r>
              </a:p>
            </c:rich>
          </c:tx>
          <c:layout>
            <c:manualLayout>
              <c:xMode val="edge"/>
              <c:yMode val="edge"/>
              <c:x val="0.56124686068190766"/>
              <c:y val="0.9021376792929853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 " sourceLinked="0"/>
        <c:majorTickMark val="none"/>
        <c:minorTickMark val="none"/>
        <c:tickLblPos val="high"/>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63193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Garamond" panose="02020404030301010803" pitchFamily="18" charset="0"/>
                <a:ea typeface="+mn-ea"/>
                <a:cs typeface="+mn-cs"/>
              </a:defRPr>
            </a:pPr>
            <a:r>
              <a:rPr lang="en-GB" sz="1400" b="1"/>
              <a:t>Average electricity price (Min -£25/MWh</a:t>
            </a:r>
            <a:r>
              <a:rPr lang="en-GB" sz="1400" b="1" baseline="0"/>
              <a:t> | </a:t>
            </a:r>
            <a:r>
              <a:rPr lang="en-GB" sz="1400" b="1"/>
              <a:t>Max +£25/MWh)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(+SSA)'!$C$62:$C$68</c:f>
              <c:numCache>
                <c:formatCode>General</c:formatCode>
                <c:ptCount val="7"/>
                <c:pt idx="0">
                  <c:v>25</c:v>
                </c:pt>
                <c:pt idx="1">
                  <c:v>37.5</c:v>
                </c:pt>
                <c:pt idx="2">
                  <c:v>45</c:v>
                </c:pt>
                <c:pt idx="3">
                  <c:v>50</c:v>
                </c:pt>
                <c:pt idx="4">
                  <c:v>55</c:v>
                </c:pt>
                <c:pt idx="5">
                  <c:v>62.5</c:v>
                </c:pt>
                <c:pt idx="6">
                  <c:v>75</c:v>
                </c:pt>
              </c:numCache>
            </c:numRef>
          </c:xVal>
          <c:yVal>
            <c:numRef>
              <c:f>'Input Data (+SSA)'!$D$62:$D$68</c:f>
              <c:numCache>
                <c:formatCode>#,##0.00,,\ </c:formatCode>
                <c:ptCount val="7"/>
                <c:pt idx="0">
                  <c:v>-6093924.1302413587</c:v>
                </c:pt>
                <c:pt idx="1">
                  <c:v>1710801.4188406933</c:v>
                </c:pt>
                <c:pt idx="2">
                  <c:v>5936963.4359697849</c:v>
                </c:pt>
                <c:pt idx="3">
                  <c:v>8751869.1891481467</c:v>
                </c:pt>
                <c:pt idx="4">
                  <c:v>11566774.942326505</c:v>
                </c:pt>
                <c:pt idx="5">
                  <c:v>15789133.572094042</c:v>
                </c:pt>
                <c:pt idx="6">
                  <c:v>22826397.955039933</c:v>
                </c:pt>
              </c:numCache>
            </c:numRef>
          </c:yVal>
          <c:smooth val="1"/>
          <c:extLst>
            <c:ext xmlns:c16="http://schemas.microsoft.com/office/drawing/2014/chart" uri="{C3380CC4-5D6E-409C-BE32-E72D297353CC}">
              <c16:uniqueId val="{00000000-89C8-40BE-AFF1-16ABC770536D}"/>
            </c:ext>
          </c:extLst>
        </c:ser>
        <c:dLbls>
          <c:dLblPos val="ctr"/>
          <c:showLegendKey val="0"/>
          <c:showVal val="1"/>
          <c:showCatName val="0"/>
          <c:showSerName val="0"/>
          <c:showPercent val="0"/>
          <c:showBubbleSize val="0"/>
        </c:dLbls>
        <c:axId val="705447696"/>
        <c:axId val="705445776"/>
      </c:scatterChart>
      <c:valAx>
        <c:axId val="705447696"/>
        <c:scaling>
          <c:orientation val="minMax"/>
          <c:min val="20"/>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Garamond" panose="02020404030301010803" pitchFamily="18" charset="0"/>
                    <a:ea typeface="+mn-ea"/>
                    <a:cs typeface="+mn-cs"/>
                  </a:defRPr>
                </a:pPr>
                <a:r>
                  <a:rPr lang="en-GB" b="1"/>
                  <a:t>Average electricity price (£/MWh)</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Garamond" panose="02020404030301010803" pitchFamily="18"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latin typeface="Garamond" panose="02020404030301010803" pitchFamily="18" charset="0"/>
              </a:rPr>
              <a:t>Turbine lifetime (Min -3</a:t>
            </a:r>
            <a:r>
              <a:rPr lang="en-GB" b="1" baseline="0">
                <a:latin typeface="Garamond" panose="02020404030301010803" pitchFamily="18" charset="0"/>
              </a:rPr>
              <a:t> yrs</a:t>
            </a:r>
            <a:r>
              <a:rPr lang="en-GB" b="1">
                <a:latin typeface="Garamond" panose="02020404030301010803" pitchFamily="18" charset="0"/>
              </a:rPr>
              <a:t> | Max +3</a:t>
            </a:r>
            <a:r>
              <a:rPr lang="en-GB" b="1" baseline="0">
                <a:latin typeface="Garamond" panose="02020404030301010803" pitchFamily="18" charset="0"/>
              </a:rPr>
              <a:t> yrs)</a:t>
            </a:r>
            <a:endParaRPr lang="en-GB" b="1">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smoothMarker"/>
        <c:varyColors val="0"/>
        <c:ser>
          <c:idx val="0"/>
          <c:order val="0"/>
          <c:tx>
            <c:strRef>
              <c:f>'Input Data (+SSA)'!$C$78</c:f>
              <c:strCache>
                <c:ptCount val="1"/>
                <c:pt idx="0">
                  <c:v>Turbine lifetime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(+SSA)'!$C$80:$C$86</c:f>
              <c:numCache>
                <c:formatCode>General</c:formatCode>
                <c:ptCount val="7"/>
                <c:pt idx="0">
                  <c:v>17</c:v>
                </c:pt>
                <c:pt idx="1">
                  <c:v>18</c:v>
                </c:pt>
                <c:pt idx="2">
                  <c:v>19</c:v>
                </c:pt>
                <c:pt idx="3">
                  <c:v>20</c:v>
                </c:pt>
                <c:pt idx="4">
                  <c:v>21</c:v>
                </c:pt>
                <c:pt idx="5">
                  <c:v>22</c:v>
                </c:pt>
                <c:pt idx="6">
                  <c:v>23</c:v>
                </c:pt>
              </c:numCache>
            </c:numRef>
          </c:xVal>
          <c:yVal>
            <c:numRef>
              <c:f>'Input Data (+SSA)'!$D$80:$D$86</c:f>
              <c:numCache>
                <c:formatCode>#,##0.00,,\ </c:formatCode>
                <c:ptCount val="7"/>
                <c:pt idx="0">
                  <c:v>6611398.3206165982</c:v>
                </c:pt>
                <c:pt idx="1">
                  <c:v>7358964.0364159811</c:v>
                </c:pt>
                <c:pt idx="2">
                  <c:v>8071920.2283357615</c:v>
                </c:pt>
                <c:pt idx="3">
                  <c:v>8751869.1891481467</c:v>
                </c:pt>
                <c:pt idx="4">
                  <c:v>9400339.0314044021</c:v>
                </c:pt>
                <c:pt idx="5">
                  <c:v>10018787.121704347</c:v>
                </c:pt>
                <c:pt idx="6">
                  <c:v>10608603.355971891</c:v>
                </c:pt>
              </c:numCache>
            </c:numRef>
          </c:yVal>
          <c:smooth val="1"/>
          <c:extLst>
            <c:ext xmlns:c16="http://schemas.microsoft.com/office/drawing/2014/chart" uri="{C3380CC4-5D6E-409C-BE32-E72D297353CC}">
              <c16:uniqueId val="{00000000-FB9E-41B3-919C-CE98B5FDA187}"/>
            </c:ext>
          </c:extLst>
        </c:ser>
        <c:dLbls>
          <c:dLblPos val="ctr"/>
          <c:showLegendKey val="0"/>
          <c:showVal val="1"/>
          <c:showCatName val="0"/>
          <c:showSerName val="0"/>
          <c:showPercent val="0"/>
          <c:showBubbleSize val="0"/>
        </c:dLbls>
        <c:axId val="705447696"/>
        <c:axId val="705445776"/>
      </c:scatterChart>
      <c:valAx>
        <c:axId val="705447696"/>
        <c:scaling>
          <c:orientation val="minMax"/>
          <c:max val="24"/>
          <c:min val="1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Turbine lifetime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baseline="0">
                <a:latin typeface="Garamond" panose="02020404030301010803" pitchFamily="18" charset="0"/>
              </a:rPr>
              <a:t>Capacity factor </a:t>
            </a:r>
            <a:r>
              <a:rPr lang="en-GB" b="1">
                <a:latin typeface="Garamond" panose="02020404030301010803" pitchFamily="18" charset="0"/>
              </a:rPr>
              <a:t>(Min -8</a:t>
            </a:r>
            <a:r>
              <a:rPr lang="en-GB" b="1" baseline="0">
                <a:latin typeface="Garamond" panose="02020404030301010803" pitchFamily="18" charset="0"/>
              </a:rPr>
              <a:t> yrs</a:t>
            </a:r>
            <a:r>
              <a:rPr lang="en-GB" b="1">
                <a:latin typeface="Garamond" panose="02020404030301010803" pitchFamily="18" charset="0"/>
              </a:rPr>
              <a:t> | Max +4 yrs</a:t>
            </a:r>
            <a:r>
              <a:rPr lang="en-GB" b="1" baseline="0">
                <a:latin typeface="Garamond" panose="02020404030301010803" pitchFamily="18" charset="0"/>
              </a:rPr>
              <a:t>)</a:t>
            </a:r>
            <a:endParaRPr lang="en-GB" b="1">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smoothMarker"/>
        <c:varyColors val="0"/>
        <c:ser>
          <c:idx val="0"/>
          <c:order val="0"/>
          <c:tx>
            <c:strRef>
              <c:f>'Input Data (+SSA)'!$C$96</c:f>
              <c:strCache>
                <c:ptCount val="1"/>
                <c:pt idx="0">
                  <c:v>Capacity factor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(+SSA)'!$C$98:$C$104</c:f>
              <c:numCache>
                <c:formatCode>0%</c:formatCode>
                <c:ptCount val="7"/>
                <c:pt idx="0">
                  <c:v>0.25</c:v>
                </c:pt>
                <c:pt idx="1">
                  <c:v>0.27</c:v>
                </c:pt>
                <c:pt idx="2">
                  <c:v>0.28999999999999998</c:v>
                </c:pt>
                <c:pt idx="3">
                  <c:v>0.31</c:v>
                </c:pt>
                <c:pt idx="4">
                  <c:v>0.33</c:v>
                </c:pt>
                <c:pt idx="5">
                  <c:v>0.35</c:v>
                </c:pt>
                <c:pt idx="6">
                  <c:v>0.37</c:v>
                </c:pt>
              </c:numCache>
            </c:numRef>
          </c:xVal>
          <c:yVal>
            <c:numRef>
              <c:f>'Input Data (+SSA)'!$D$98:$D$104</c:f>
              <c:numCache>
                <c:formatCode>#,##0.00,,\ </c:formatCode>
                <c:ptCount val="7"/>
                <c:pt idx="0">
                  <c:v>664762.52223120467</c:v>
                </c:pt>
                <c:pt idx="1">
                  <c:v>2317798.8961690413</c:v>
                </c:pt>
                <c:pt idx="2">
                  <c:v>3926316.4694138179</c:v>
                </c:pt>
                <c:pt idx="3">
                  <c:v>5534834.0426585972</c:v>
                </c:pt>
                <c:pt idx="4">
                  <c:v>7143351.6159033692</c:v>
                </c:pt>
                <c:pt idx="5">
                  <c:v>8751869.1891481467</c:v>
                </c:pt>
                <c:pt idx="6">
                  <c:v>10360386.762392927</c:v>
                </c:pt>
              </c:numCache>
            </c:numRef>
          </c:yVal>
          <c:smooth val="1"/>
          <c:extLst>
            <c:ext xmlns:c16="http://schemas.microsoft.com/office/drawing/2014/chart" uri="{C3380CC4-5D6E-409C-BE32-E72D297353CC}">
              <c16:uniqueId val="{00000000-98EB-48C2-AF89-1D553BCD569F}"/>
            </c:ext>
          </c:extLst>
        </c:ser>
        <c:dLbls>
          <c:dLblPos val="ctr"/>
          <c:showLegendKey val="0"/>
          <c:showVal val="1"/>
          <c:showCatName val="0"/>
          <c:showSerName val="0"/>
          <c:showPercent val="0"/>
          <c:showBubbleSize val="0"/>
        </c:dLbls>
        <c:axId val="705447696"/>
        <c:axId val="705445776"/>
      </c:scatterChart>
      <c:valAx>
        <c:axId val="705447696"/>
        <c:scaling>
          <c:orientation val="minMax"/>
          <c:min val="0.24000000000000002"/>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Capacity factor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latin typeface="Garamond" panose="02020404030301010803" pitchFamily="18" charset="0"/>
              </a:rPr>
              <a:t>Discount rate (Min -4% | Max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'Input Data (+SSA)'!$C$114</c:f>
              <c:strCache>
                <c:ptCount val="1"/>
                <c:pt idx="0">
                  <c:v>Discount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(+SSA)'!$C$116:$C$122</c:f>
              <c:numCache>
                <c:formatCode>0.0%</c:formatCode>
                <c:ptCount val="7"/>
                <c:pt idx="0">
                  <c:v>0.04</c:v>
                </c:pt>
                <c:pt idx="1">
                  <c:v>0.06</c:v>
                </c:pt>
                <c:pt idx="2">
                  <c:v>7.2000000000000008E-2</c:v>
                </c:pt>
                <c:pt idx="3">
                  <c:v>0.08</c:v>
                </c:pt>
                <c:pt idx="4">
                  <c:v>8.7999999999999995E-2</c:v>
                </c:pt>
                <c:pt idx="5">
                  <c:v>0.1</c:v>
                </c:pt>
                <c:pt idx="6">
                  <c:v>0.12</c:v>
                </c:pt>
              </c:numCache>
            </c:numRef>
          </c:xVal>
          <c:yVal>
            <c:numRef>
              <c:f>'Input Data (+SSA)'!$D$116:$D$122</c:f>
              <c:numCache>
                <c:formatCode>#,##0.00,,\ </c:formatCode>
                <c:ptCount val="7"/>
                <c:pt idx="0">
                  <c:v>18941094.495753184</c:v>
                </c:pt>
                <c:pt idx="1">
                  <c:v>13160978.297631457</c:v>
                </c:pt>
                <c:pt idx="2">
                  <c:v>10376731.560675589</c:v>
                </c:pt>
                <c:pt idx="3">
                  <c:v>8751869.1891481467</c:v>
                </c:pt>
                <c:pt idx="4">
                  <c:v>7287581.3579641944</c:v>
                </c:pt>
                <c:pt idx="5">
                  <c:v>5353357.2939132852</c:v>
                </c:pt>
                <c:pt idx="6">
                  <c:v>2706792.2544692885</c:v>
                </c:pt>
              </c:numCache>
            </c:numRef>
          </c:yVal>
          <c:smooth val="1"/>
          <c:extLst>
            <c:ext xmlns:c16="http://schemas.microsoft.com/office/drawing/2014/chart" uri="{C3380CC4-5D6E-409C-BE32-E72D297353CC}">
              <c16:uniqueId val="{00000000-10DC-46DA-8106-CD1F523972A0}"/>
            </c:ext>
          </c:extLst>
        </c:ser>
        <c:dLbls>
          <c:dLblPos val="t"/>
          <c:showLegendKey val="0"/>
          <c:showVal val="1"/>
          <c:showCatName val="0"/>
          <c:showSerName val="0"/>
          <c:showPercent val="0"/>
          <c:showBubbleSize val="0"/>
        </c:dLbls>
        <c:axId val="705447696"/>
        <c:axId val="705445776"/>
      </c:scatterChart>
      <c:valAx>
        <c:axId val="705447696"/>
        <c:scaling>
          <c:orientation val="minMax"/>
          <c:min val="3.0000000000000006E-2"/>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r>
                  <a:rPr lang="en-GB" b="1">
                    <a:latin typeface="Garamond" panose="02020404030301010803" pitchFamily="18" charset="0"/>
                  </a:rPr>
                  <a:t>Discount rate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latin typeface="Garamond" panose="02020404030301010803" pitchFamily="18" charset="0"/>
              </a:rPr>
              <a:t>OpEx per turbine (Min -£50,000 | Max +£50,000</a:t>
            </a:r>
            <a:r>
              <a:rPr lang="en-GB" b="1" baseline="0">
                <a:latin typeface="Garamond" panose="02020404030301010803" pitchFamily="18" charset="0"/>
              </a:rPr>
              <a:t>)</a:t>
            </a:r>
            <a:endParaRPr lang="en-GB" b="1">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smoothMarker"/>
        <c:varyColors val="0"/>
        <c:ser>
          <c:idx val="0"/>
          <c:order val="0"/>
          <c:tx>
            <c:strRef>
              <c:f>'Input Data (+SSA)'!$C$132</c:f>
              <c:strCache>
                <c:ptCount val="1"/>
                <c:pt idx="0">
                  <c:v>OpEx per turbine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(+SSA)'!$C$134:$C$140</c:f>
              <c:numCache>
                <c:formatCode>0</c:formatCode>
                <c:ptCount val="7"/>
                <c:pt idx="0">
                  <c:v>50000</c:v>
                </c:pt>
                <c:pt idx="1">
                  <c:v>75000</c:v>
                </c:pt>
                <c:pt idx="2">
                  <c:v>90000</c:v>
                </c:pt>
                <c:pt idx="3">
                  <c:v>100000</c:v>
                </c:pt>
                <c:pt idx="4">
                  <c:v>110000.00000000001</c:v>
                </c:pt>
                <c:pt idx="5">
                  <c:v>125000</c:v>
                </c:pt>
                <c:pt idx="6">
                  <c:v>150000</c:v>
                </c:pt>
              </c:numCache>
            </c:numRef>
          </c:xVal>
          <c:yVal>
            <c:numRef>
              <c:f>'Input Data (+SSA)'!$D$134:$D$140</c:f>
              <c:numCache>
                <c:formatCode>#,##0.00,,\ </c:formatCode>
                <c:ptCount val="7"/>
                <c:pt idx="0">
                  <c:v>12424283.739935307</c:v>
                </c:pt>
                <c:pt idx="1">
                  <c:v>10588076.464541724</c:v>
                </c:pt>
                <c:pt idx="2">
                  <c:v>9486352.0993055757</c:v>
                </c:pt>
                <c:pt idx="3">
                  <c:v>8751869.1891481467</c:v>
                </c:pt>
                <c:pt idx="4">
                  <c:v>8017386.2789907083</c:v>
                </c:pt>
                <c:pt idx="5">
                  <c:v>6915661.9137545638</c:v>
                </c:pt>
                <c:pt idx="6">
                  <c:v>5079454.6383609828</c:v>
                </c:pt>
              </c:numCache>
            </c:numRef>
          </c:yVal>
          <c:smooth val="1"/>
          <c:extLst>
            <c:ext xmlns:c16="http://schemas.microsoft.com/office/drawing/2014/chart" uri="{C3380CC4-5D6E-409C-BE32-E72D297353CC}">
              <c16:uniqueId val="{00000000-C4D0-4005-BB62-9FEDC684CF13}"/>
            </c:ext>
          </c:extLst>
        </c:ser>
        <c:dLbls>
          <c:dLblPos val="t"/>
          <c:showLegendKey val="0"/>
          <c:showVal val="1"/>
          <c:showCatName val="0"/>
          <c:showSerName val="0"/>
          <c:showPercent val="0"/>
          <c:showBubbleSize val="0"/>
        </c:dLbls>
        <c:axId val="705447696"/>
        <c:axId val="705445776"/>
      </c:scatterChart>
      <c:valAx>
        <c:axId val="705447696"/>
        <c:scaling>
          <c:orientation val="minMax"/>
          <c:min val="400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OpEx per turbine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baseline="0">
                <a:latin typeface="Garamond" panose="02020404030301010803" pitchFamily="18" charset="0"/>
              </a:rPr>
              <a:t>No. of turbines </a:t>
            </a:r>
            <a:r>
              <a:rPr lang="en-GB" b="1">
                <a:latin typeface="Garamond" panose="02020404030301010803" pitchFamily="18" charset="0"/>
              </a:rPr>
              <a:t>(Min -3 | Max +3</a:t>
            </a:r>
            <a:r>
              <a:rPr lang="en-GB" b="1" baseline="0">
                <a:latin typeface="Garamond" panose="02020404030301010803" pitchFamily="18" charset="0"/>
              </a:rPr>
              <a:t>)</a:t>
            </a:r>
            <a:endParaRPr lang="en-GB" b="1">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smoothMarker"/>
        <c:varyColors val="0"/>
        <c:ser>
          <c:idx val="0"/>
          <c:order val="0"/>
          <c:tx>
            <c:strRef>
              <c:f>'Input Data (+SSA)'!$C$150</c:f>
              <c:strCache>
                <c:ptCount val="1"/>
                <c:pt idx="0">
                  <c:v>No. of turbines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(+SSA)'!$C$152:$C$158</c:f>
              <c:numCache>
                <c:formatCode>General</c:formatCode>
                <c:ptCount val="7"/>
                <c:pt idx="0">
                  <c:v>5</c:v>
                </c:pt>
                <c:pt idx="1">
                  <c:v>6</c:v>
                </c:pt>
                <c:pt idx="2">
                  <c:v>7</c:v>
                </c:pt>
                <c:pt idx="3">
                  <c:v>8</c:v>
                </c:pt>
                <c:pt idx="4">
                  <c:v>9</c:v>
                </c:pt>
                <c:pt idx="5">
                  <c:v>10</c:v>
                </c:pt>
                <c:pt idx="6">
                  <c:v>11</c:v>
                </c:pt>
              </c:numCache>
            </c:numRef>
          </c:xVal>
          <c:yVal>
            <c:numRef>
              <c:f>'Input Data (+SSA)'!$D$152:$D$158</c:f>
              <c:numCache>
                <c:formatCode>#,##0.00,,\ </c:formatCode>
                <c:ptCount val="7"/>
                <c:pt idx="0">
                  <c:v>4212576.2547234371</c:v>
                </c:pt>
                <c:pt idx="1">
                  <c:v>5725673.8995316774</c:v>
                </c:pt>
                <c:pt idx="2">
                  <c:v>7238771.544339912</c:v>
                </c:pt>
                <c:pt idx="3">
                  <c:v>8751869.1891481467</c:v>
                </c:pt>
                <c:pt idx="4">
                  <c:v>10264966.833956389</c:v>
                </c:pt>
                <c:pt idx="5">
                  <c:v>11778064.478764627</c:v>
                </c:pt>
                <c:pt idx="6">
                  <c:v>13291162.123572864</c:v>
                </c:pt>
              </c:numCache>
            </c:numRef>
          </c:yVal>
          <c:smooth val="1"/>
          <c:extLst>
            <c:ext xmlns:c16="http://schemas.microsoft.com/office/drawing/2014/chart" uri="{C3380CC4-5D6E-409C-BE32-E72D297353CC}">
              <c16:uniqueId val="{00000000-A3AD-4590-9522-AD0AAD5537D5}"/>
            </c:ext>
          </c:extLst>
        </c:ser>
        <c:dLbls>
          <c:dLblPos val="ctr"/>
          <c:showLegendKey val="0"/>
          <c:showVal val="1"/>
          <c:showCatName val="0"/>
          <c:showSerName val="0"/>
          <c:showPercent val="0"/>
          <c:showBubbleSize val="0"/>
        </c:dLbls>
        <c:axId val="705447696"/>
        <c:axId val="705445776"/>
      </c:scatterChart>
      <c:valAx>
        <c:axId val="705447696"/>
        <c:scaling>
          <c:orientation val="minMax"/>
          <c:min val="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No. of turbines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latin typeface="Garamond" panose="02020404030301010803" pitchFamily="18" charset="0"/>
              </a:rPr>
              <a:t>Inflation (Min -1.5% | Max +1.5%)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'Input Data (+SSA)'!$C$168</c:f>
              <c:strCache>
                <c:ptCount val="1"/>
                <c:pt idx="0">
                  <c:v>Inflation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(+SSA)'!$C$170:$C$176</c:f>
              <c:numCache>
                <c:formatCode>0.00%</c:formatCode>
                <c:ptCount val="7"/>
                <c:pt idx="0">
                  <c:v>1.4999999999999999E-2</c:v>
                </c:pt>
                <c:pt idx="1">
                  <c:v>2.2499999999999999E-2</c:v>
                </c:pt>
                <c:pt idx="2">
                  <c:v>2.7E-2</c:v>
                </c:pt>
                <c:pt idx="3">
                  <c:v>0.03</c:v>
                </c:pt>
                <c:pt idx="4">
                  <c:v>3.3000000000000002E-2</c:v>
                </c:pt>
                <c:pt idx="5">
                  <c:v>3.7499999999999999E-2</c:v>
                </c:pt>
                <c:pt idx="6">
                  <c:v>4.4999999999999998E-2</c:v>
                </c:pt>
              </c:numCache>
            </c:numRef>
          </c:xVal>
          <c:yVal>
            <c:numRef>
              <c:f>'Input Data (+SSA)'!$D$170:$D$176</c:f>
              <c:numCache>
                <c:formatCode>#,##0.00,,\ </c:formatCode>
                <c:ptCount val="7"/>
                <c:pt idx="0">
                  <c:v>6111373.8349962477</c:v>
                </c:pt>
                <c:pt idx="1">
                  <c:v>7372377.764809005</c:v>
                </c:pt>
                <c:pt idx="2">
                  <c:v>8185150.8126628539</c:v>
                </c:pt>
                <c:pt idx="3">
                  <c:v>8751869.1891481467</c:v>
                </c:pt>
                <c:pt idx="4">
                  <c:v>9339349.075178653</c:v>
                </c:pt>
                <c:pt idx="5">
                  <c:v>10261194.283568392</c:v>
                </c:pt>
                <c:pt idx="6">
                  <c:v>11912760.437884923</c:v>
                </c:pt>
              </c:numCache>
            </c:numRef>
          </c:yVal>
          <c:smooth val="1"/>
          <c:extLst>
            <c:ext xmlns:c16="http://schemas.microsoft.com/office/drawing/2014/chart" uri="{C3380CC4-5D6E-409C-BE32-E72D297353CC}">
              <c16:uniqueId val="{00000000-9AE2-42CD-8500-F4D759FE1AB4}"/>
            </c:ext>
          </c:extLst>
        </c:ser>
        <c:dLbls>
          <c:dLblPos val="t"/>
          <c:showLegendKey val="0"/>
          <c:showVal val="1"/>
          <c:showCatName val="0"/>
          <c:showSerName val="0"/>
          <c:showPercent val="0"/>
          <c:showBubbleSize val="0"/>
        </c:dLbls>
        <c:axId val="705447696"/>
        <c:axId val="705445776"/>
      </c:scatterChart>
      <c:valAx>
        <c:axId val="705447696"/>
        <c:scaling>
          <c:orientation val="minMax"/>
          <c:min val="1.0000000000000002E-2"/>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r>
                  <a:rPr lang="en-GB" b="1">
                    <a:latin typeface="Garamond" panose="02020404030301010803" pitchFamily="18" charset="0"/>
                  </a:rPr>
                  <a:t>Inflation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latin typeface="Garamond" panose="02020404030301010803" pitchFamily="18" charset="0"/>
              </a:rPr>
              <a:t>Years before</a:t>
            </a:r>
            <a:r>
              <a:rPr lang="en-GB" b="1" baseline="0">
                <a:latin typeface="Garamond" panose="02020404030301010803" pitchFamily="18" charset="0"/>
              </a:rPr>
              <a:t> turbines operate </a:t>
            </a:r>
            <a:r>
              <a:rPr lang="en-GB" b="1">
                <a:latin typeface="Garamond" panose="02020404030301010803" pitchFamily="18" charset="0"/>
              </a:rPr>
              <a:t>(Min -2</a:t>
            </a:r>
            <a:r>
              <a:rPr lang="en-GB" b="1" baseline="0">
                <a:latin typeface="Garamond" panose="02020404030301010803" pitchFamily="18" charset="0"/>
              </a:rPr>
              <a:t> yrs</a:t>
            </a:r>
            <a:r>
              <a:rPr lang="en-GB" b="1">
                <a:latin typeface="Garamond" panose="02020404030301010803" pitchFamily="18" charset="0"/>
              </a:rPr>
              <a:t> | Max +5 yrs</a:t>
            </a:r>
            <a:r>
              <a:rPr lang="en-GB" b="1" baseline="0">
                <a:latin typeface="Garamond" panose="02020404030301010803" pitchFamily="18" charset="0"/>
              </a:rPr>
              <a:t>)</a:t>
            </a:r>
            <a:endParaRPr lang="en-GB" b="1">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smoothMarker"/>
        <c:varyColors val="0"/>
        <c:ser>
          <c:idx val="0"/>
          <c:order val="0"/>
          <c:tx>
            <c:strRef>
              <c:f>'Input Data (+SSA)'!$C$186</c:f>
              <c:strCache>
                <c:ptCount val="1"/>
                <c:pt idx="0">
                  <c:v>Years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(+SSA)'!$C$188:$C$194</c:f>
              <c:numCache>
                <c:formatCode>General</c:formatCode>
                <c:ptCount val="7"/>
                <c:pt idx="0">
                  <c:v>3</c:v>
                </c:pt>
                <c:pt idx="1">
                  <c:v>4</c:v>
                </c:pt>
                <c:pt idx="2">
                  <c:v>5</c:v>
                </c:pt>
                <c:pt idx="3">
                  <c:v>6</c:v>
                </c:pt>
                <c:pt idx="4">
                  <c:v>7</c:v>
                </c:pt>
                <c:pt idx="5">
                  <c:v>8</c:v>
                </c:pt>
                <c:pt idx="6">
                  <c:v>9</c:v>
                </c:pt>
              </c:numCache>
            </c:numRef>
          </c:xVal>
          <c:yVal>
            <c:numRef>
              <c:f>'Input Data (+SSA)'!$D$188:$D$194</c:f>
              <c:numCache>
                <c:formatCode>#,##0.00,,\ </c:formatCode>
                <c:ptCount val="7"/>
                <c:pt idx="0">
                  <c:v>8751869.1891481467</c:v>
                </c:pt>
                <c:pt idx="1">
                  <c:v>7706494.6435577394</c:v>
                </c:pt>
                <c:pt idx="2">
                  <c:v>6712887.7807097435</c:v>
                </c:pt>
                <c:pt idx="3">
                  <c:v>5768402.2661779998</c:v>
                </c:pt>
                <c:pt idx="4">
                  <c:v>5139644.2625854444</c:v>
                </c:pt>
                <c:pt idx="5">
                  <c:v>4542671.2065115813</c:v>
                </c:pt>
                <c:pt idx="6">
                  <c:v>3841257.6233464531</c:v>
                </c:pt>
              </c:numCache>
            </c:numRef>
          </c:yVal>
          <c:smooth val="1"/>
          <c:extLst>
            <c:ext xmlns:c16="http://schemas.microsoft.com/office/drawing/2014/chart" uri="{C3380CC4-5D6E-409C-BE32-E72D297353CC}">
              <c16:uniqueId val="{00000000-DB00-4AF0-807B-1EC25E1828DA}"/>
            </c:ext>
          </c:extLst>
        </c:ser>
        <c:dLbls>
          <c:dLblPos val="t"/>
          <c:showLegendKey val="0"/>
          <c:showVal val="1"/>
          <c:showCatName val="0"/>
          <c:showSerName val="0"/>
          <c:showPercent val="0"/>
          <c:showBubbleSize val="0"/>
        </c:dLbls>
        <c:axId val="705447696"/>
        <c:axId val="705445776"/>
      </c:scatterChart>
      <c:valAx>
        <c:axId val="705447696"/>
        <c:scaling>
          <c:orientation val="minMax"/>
          <c:min val="2"/>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r>
              <a:rPr lang="en-GB" sz="1400" b="1" i="0" u="none" strike="noStrike" baseline="0">
                <a:solidFill>
                  <a:sysClr val="windowText" lastClr="000000">
                    <a:lumMod val="65000"/>
                    <a:lumOff val="35000"/>
                  </a:sysClr>
                </a:solidFill>
                <a:latin typeface="Garamond" panose="02020404030301010803" pitchFamily="18" charset="0"/>
              </a:rPr>
              <a:t>Net cash flow (post-tax) - Cumulative</a:t>
            </a:r>
          </a:p>
          <a:p>
            <a:pPr>
              <a:defRPr/>
            </a:pPr>
            <a:r>
              <a:rPr lang="en-GB" sz="14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008000"/>
                </a:solidFill>
                <a:latin typeface="Garamond" panose="02020404030301010803" pitchFamily="18" charset="0"/>
              </a:rPr>
              <a:t>Increase</a:t>
            </a:r>
            <a:r>
              <a:rPr lang="en-GB" sz="11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C00000"/>
                </a:solidFill>
                <a:latin typeface="Garamond" panose="02020404030301010803" pitchFamily="18" charset="0"/>
              </a:rPr>
              <a:t>Decrease</a:t>
            </a:r>
            <a:endParaRPr lang="en-GB" sz="1400" b="0" i="0" u="none" strike="noStrike" baseline="0">
              <a:solidFill>
                <a:srgbClr val="C00000"/>
              </a:solidFill>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barChart>
        <c:barDir val="col"/>
        <c:grouping val="clustered"/>
        <c:varyColors val="0"/>
        <c:ser>
          <c:idx val="0"/>
          <c:order val="0"/>
          <c:tx>
            <c:strRef>
              <c:f>Calculations!$B$35</c:f>
              <c:strCache>
                <c:ptCount val="1"/>
                <c:pt idx="0">
                  <c:v>Cumulative net cash flow (£M; undiscounted)</c:v>
                </c:pt>
              </c:strCache>
            </c:strRef>
          </c:tx>
          <c:spPr>
            <a:solidFill>
              <a:srgbClr val="008000"/>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2-D3F5-46C6-A9E6-5064C5750CD6}"/>
              </c:ext>
            </c:extLst>
          </c:dPt>
          <c:dPt>
            <c:idx val="1"/>
            <c:invertIfNegative val="0"/>
            <c:bubble3D val="0"/>
            <c:spPr>
              <a:solidFill>
                <a:srgbClr val="C00000"/>
              </a:solidFill>
              <a:ln>
                <a:noFill/>
              </a:ln>
              <a:effectLst/>
            </c:spPr>
            <c:extLst>
              <c:ext xmlns:c16="http://schemas.microsoft.com/office/drawing/2014/chart" uri="{C3380CC4-5D6E-409C-BE32-E72D297353CC}">
                <c16:uniqueId val="{00000003-D3F5-46C6-A9E6-5064C5750CD6}"/>
              </c:ext>
            </c:extLst>
          </c:dPt>
          <c:dPt>
            <c:idx val="2"/>
            <c:invertIfNegative val="0"/>
            <c:bubble3D val="0"/>
            <c:spPr>
              <a:solidFill>
                <a:srgbClr val="C00000"/>
              </a:solidFill>
              <a:ln>
                <a:noFill/>
              </a:ln>
              <a:effectLst/>
            </c:spPr>
            <c:extLst>
              <c:ext xmlns:c16="http://schemas.microsoft.com/office/drawing/2014/chart" uri="{C3380CC4-5D6E-409C-BE32-E72D297353CC}">
                <c16:uniqueId val="{00000004-D3F5-46C6-A9E6-5064C5750CD6}"/>
              </c:ext>
            </c:extLst>
          </c:dPt>
          <c:dPt>
            <c:idx val="3"/>
            <c:invertIfNegative val="0"/>
            <c:bubble3D val="0"/>
            <c:spPr>
              <a:solidFill>
                <a:srgbClr val="C00000"/>
              </a:solidFill>
              <a:ln>
                <a:noFill/>
              </a:ln>
              <a:effectLst/>
            </c:spPr>
            <c:extLst>
              <c:ext xmlns:c16="http://schemas.microsoft.com/office/drawing/2014/chart" uri="{C3380CC4-5D6E-409C-BE32-E72D297353CC}">
                <c16:uniqueId val="{00000005-D3F5-46C6-A9E6-5064C5750CD6}"/>
              </c:ext>
            </c:extLst>
          </c:dPt>
          <c:dPt>
            <c:idx val="4"/>
            <c:invertIfNegative val="0"/>
            <c:bubble3D val="0"/>
            <c:spPr>
              <a:solidFill>
                <a:srgbClr val="C00000"/>
              </a:solidFill>
              <a:ln>
                <a:noFill/>
              </a:ln>
              <a:effectLst/>
            </c:spPr>
            <c:extLst>
              <c:ext xmlns:c16="http://schemas.microsoft.com/office/drawing/2014/chart" uri="{C3380CC4-5D6E-409C-BE32-E72D297353CC}">
                <c16:uniqueId val="{00000006-D3F5-46C6-A9E6-5064C5750CD6}"/>
              </c:ext>
            </c:extLst>
          </c:dPt>
          <c:dPt>
            <c:idx val="5"/>
            <c:invertIfNegative val="0"/>
            <c:bubble3D val="0"/>
            <c:spPr>
              <a:solidFill>
                <a:srgbClr val="C00000"/>
              </a:solidFill>
              <a:ln>
                <a:noFill/>
              </a:ln>
              <a:effectLst/>
            </c:spPr>
            <c:extLst>
              <c:ext xmlns:c16="http://schemas.microsoft.com/office/drawing/2014/chart" uri="{C3380CC4-5D6E-409C-BE32-E72D297353CC}">
                <c16:uniqueId val="{00000007-D3F5-46C6-A9E6-5064C5750CD6}"/>
              </c:ext>
            </c:extLst>
          </c:dPt>
          <c:dPt>
            <c:idx val="6"/>
            <c:invertIfNegative val="0"/>
            <c:bubble3D val="0"/>
            <c:spPr>
              <a:solidFill>
                <a:srgbClr val="C00000"/>
              </a:solidFill>
              <a:ln>
                <a:noFill/>
              </a:ln>
              <a:effectLst/>
            </c:spPr>
            <c:extLst>
              <c:ext xmlns:c16="http://schemas.microsoft.com/office/drawing/2014/chart" uri="{C3380CC4-5D6E-409C-BE32-E72D297353CC}">
                <c16:uniqueId val="{00000008-D3F5-46C6-A9E6-5064C5750CD6}"/>
              </c:ext>
            </c:extLst>
          </c:dPt>
          <c:dPt>
            <c:idx val="7"/>
            <c:invertIfNegative val="0"/>
            <c:bubble3D val="0"/>
            <c:spPr>
              <a:solidFill>
                <a:srgbClr val="C00000"/>
              </a:solidFill>
              <a:ln>
                <a:noFill/>
              </a:ln>
              <a:effectLst/>
            </c:spPr>
            <c:extLst>
              <c:ext xmlns:c16="http://schemas.microsoft.com/office/drawing/2014/chart" uri="{C3380CC4-5D6E-409C-BE32-E72D297353CC}">
                <c16:uniqueId val="{00000009-D3F5-46C6-A9E6-5064C5750CD6}"/>
              </c:ext>
            </c:extLst>
          </c:dPt>
          <c:dLbls>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Calculations!$D$6:$AC$6</c:f>
              <c:numCache>
                <c:formatCode>General</c:formatCod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numCache>
            </c:numRef>
          </c:cat>
          <c:val>
            <c:numRef>
              <c:f>Calculations!$D$35:$AC$35</c:f>
              <c:numCache>
                <c:formatCode>#,##0.00,,\ </c:formatCode>
                <c:ptCount val="26"/>
                <c:pt idx="0">
                  <c:v>-6650000</c:v>
                </c:pt>
                <c:pt idx="1">
                  <c:v>-10074750</c:v>
                </c:pt>
                <c:pt idx="2">
                  <c:v>-13602242.5</c:v>
                </c:pt>
                <c:pt idx="3">
                  <c:v>-11288846.9944</c:v>
                </c:pt>
                <c:pt idx="4">
                  <c:v>-8916024.6236320008</c:v>
                </c:pt>
                <c:pt idx="5">
                  <c:v>-6481992.5817409614</c:v>
                </c:pt>
                <c:pt idx="6">
                  <c:v>-3984914.5785931908</c:v>
                </c:pt>
                <c:pt idx="7">
                  <c:v>-1422899.2353509869</c:v>
                </c:pt>
                <c:pt idx="8">
                  <c:v>1206001.5681884829</c:v>
                </c:pt>
                <c:pt idx="9">
                  <c:v>3903794.3958341363</c:v>
                </c:pt>
                <c:pt idx="10">
                  <c:v>6672546.0083091594</c:v>
                </c:pt>
                <c:pt idx="11">
                  <c:v>9181885.1691584326</c:v>
                </c:pt>
                <c:pt idx="12">
                  <c:v>11766504.504833184</c:v>
                </c:pt>
                <c:pt idx="13">
                  <c:v>14428662.420578178</c:v>
                </c:pt>
                <c:pt idx="14">
                  <c:v>17170685.073795523</c:v>
                </c:pt>
                <c:pt idx="15">
                  <c:v>19994968.40660939</c:v>
                </c:pt>
                <c:pt idx="16">
                  <c:v>22903980.23940767</c:v>
                </c:pt>
                <c:pt idx="17">
                  <c:v>25900262.427189898</c:v>
                </c:pt>
                <c:pt idx="18">
                  <c:v>28986433.080605593</c:v>
                </c:pt>
                <c:pt idx="19">
                  <c:v>32165188.853623759</c:v>
                </c:pt>
                <c:pt idx="20">
                  <c:v>35439307.299832471</c:v>
                </c:pt>
                <c:pt idx="21">
                  <c:v>38811649.299427442</c:v>
                </c:pt>
                <c:pt idx="22">
                  <c:v>42285161.559010267</c:v>
                </c:pt>
                <c:pt idx="23">
                  <c:v>41235213.535090916</c:v>
                </c:pt>
                <c:pt idx="24">
                  <c:v>39072320.60581705</c:v>
                </c:pt>
                <c:pt idx="25">
                  <c:v>36844540.888664968</c:v>
                </c:pt>
              </c:numCache>
            </c:numRef>
          </c:val>
          <c:extLst>
            <c:ext xmlns:c16="http://schemas.microsoft.com/office/drawing/2014/chart" uri="{C3380CC4-5D6E-409C-BE32-E72D297353CC}">
              <c16:uniqueId val="{00000000-D3F5-46C6-A9E6-5064C5750CD6}"/>
            </c:ext>
          </c:extLst>
        </c:ser>
        <c:dLbls>
          <c:showLegendKey val="0"/>
          <c:showVal val="1"/>
          <c:showCatName val="0"/>
          <c:showSerName val="0"/>
          <c:showPercent val="0"/>
          <c:showBubbleSize val="0"/>
        </c:dLbls>
        <c:gapWidth val="50"/>
        <c:axId val="1377251183"/>
        <c:axId val="1377253103"/>
      </c:barChart>
      <c:catAx>
        <c:axId val="1377251183"/>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r>
                  <a:rPr lang="en-GB" b="1"/>
                  <a:t>Year</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3103"/>
        <c:crosses val="autoZero"/>
        <c:auto val="1"/>
        <c:lblAlgn val="ctr"/>
        <c:lblOffset val="100"/>
        <c:noMultiLvlLbl val="0"/>
      </c:catAx>
      <c:valAx>
        <c:axId val="1377253103"/>
        <c:scaling>
          <c:orientation val="minMax"/>
        </c:scaling>
        <c:delete val="0"/>
        <c:axPos val="l"/>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Garamond" panose="02020404030301010803" pitchFamily="18"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r>
              <a:rPr lang="en-GB" sz="1400" b="1" i="0" u="none" strike="noStrike" baseline="0">
                <a:solidFill>
                  <a:sysClr val="windowText" lastClr="000000">
                    <a:lumMod val="65000"/>
                    <a:lumOff val="35000"/>
                  </a:sysClr>
                </a:solidFill>
                <a:latin typeface="Garamond" panose="02020404030301010803" pitchFamily="18" charset="0"/>
              </a:rPr>
              <a:t>Net cash flow (post-tax) - Cumulative (discounted)</a:t>
            </a:r>
          </a:p>
          <a:p>
            <a:pPr>
              <a:defRPr/>
            </a:pPr>
            <a:r>
              <a:rPr lang="en-GB" sz="14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008000"/>
                </a:solidFill>
                <a:latin typeface="Garamond" panose="02020404030301010803" pitchFamily="18" charset="0"/>
              </a:rPr>
              <a:t>Increase</a:t>
            </a:r>
            <a:r>
              <a:rPr lang="en-GB" sz="11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C00000"/>
                </a:solidFill>
                <a:latin typeface="Garamond" panose="02020404030301010803" pitchFamily="18" charset="0"/>
              </a:rPr>
              <a:t>Decrease</a:t>
            </a:r>
            <a:endParaRPr lang="en-GB" sz="1400" b="0" i="0" u="none" strike="noStrike" baseline="0">
              <a:solidFill>
                <a:srgbClr val="C00000"/>
              </a:solidFill>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barChart>
        <c:barDir val="col"/>
        <c:grouping val="clustered"/>
        <c:varyColors val="0"/>
        <c:ser>
          <c:idx val="0"/>
          <c:order val="0"/>
          <c:tx>
            <c:strRef>
              <c:f>Calculations!$B$36</c:f>
              <c:strCache>
                <c:ptCount val="1"/>
                <c:pt idx="0">
                  <c:v>Cumulative net cash flow (£M; discounted)</c:v>
                </c:pt>
              </c:strCache>
            </c:strRef>
          </c:tx>
          <c:spPr>
            <a:solidFill>
              <a:srgbClr val="008000"/>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9D86-4597-BAE8-F76B555A2D27}"/>
              </c:ext>
            </c:extLst>
          </c:dPt>
          <c:dPt>
            <c:idx val="1"/>
            <c:invertIfNegative val="0"/>
            <c:bubble3D val="0"/>
            <c:spPr>
              <a:solidFill>
                <a:srgbClr val="C00000"/>
              </a:solidFill>
              <a:ln>
                <a:noFill/>
              </a:ln>
              <a:effectLst/>
            </c:spPr>
            <c:extLst>
              <c:ext xmlns:c16="http://schemas.microsoft.com/office/drawing/2014/chart" uri="{C3380CC4-5D6E-409C-BE32-E72D297353CC}">
                <c16:uniqueId val="{00000003-9D86-4597-BAE8-F76B555A2D27}"/>
              </c:ext>
            </c:extLst>
          </c:dPt>
          <c:dPt>
            <c:idx val="2"/>
            <c:invertIfNegative val="0"/>
            <c:bubble3D val="0"/>
            <c:spPr>
              <a:solidFill>
                <a:srgbClr val="C00000"/>
              </a:solidFill>
              <a:ln>
                <a:noFill/>
              </a:ln>
              <a:effectLst/>
            </c:spPr>
            <c:extLst>
              <c:ext xmlns:c16="http://schemas.microsoft.com/office/drawing/2014/chart" uri="{C3380CC4-5D6E-409C-BE32-E72D297353CC}">
                <c16:uniqueId val="{00000005-9D86-4597-BAE8-F76B555A2D27}"/>
              </c:ext>
            </c:extLst>
          </c:dPt>
          <c:dPt>
            <c:idx val="3"/>
            <c:invertIfNegative val="0"/>
            <c:bubble3D val="0"/>
            <c:spPr>
              <a:solidFill>
                <a:srgbClr val="C00000"/>
              </a:solidFill>
              <a:ln>
                <a:noFill/>
              </a:ln>
              <a:effectLst/>
            </c:spPr>
            <c:extLst>
              <c:ext xmlns:c16="http://schemas.microsoft.com/office/drawing/2014/chart" uri="{C3380CC4-5D6E-409C-BE32-E72D297353CC}">
                <c16:uniqueId val="{00000007-9D86-4597-BAE8-F76B555A2D27}"/>
              </c:ext>
            </c:extLst>
          </c:dPt>
          <c:dPt>
            <c:idx val="4"/>
            <c:invertIfNegative val="0"/>
            <c:bubble3D val="0"/>
            <c:spPr>
              <a:solidFill>
                <a:srgbClr val="C00000"/>
              </a:solidFill>
              <a:ln>
                <a:noFill/>
              </a:ln>
              <a:effectLst/>
            </c:spPr>
            <c:extLst>
              <c:ext xmlns:c16="http://schemas.microsoft.com/office/drawing/2014/chart" uri="{C3380CC4-5D6E-409C-BE32-E72D297353CC}">
                <c16:uniqueId val="{00000009-9D86-4597-BAE8-F76B555A2D27}"/>
              </c:ext>
            </c:extLst>
          </c:dPt>
          <c:dPt>
            <c:idx val="5"/>
            <c:invertIfNegative val="0"/>
            <c:bubble3D val="0"/>
            <c:spPr>
              <a:solidFill>
                <a:srgbClr val="C00000"/>
              </a:solidFill>
              <a:ln>
                <a:noFill/>
              </a:ln>
              <a:effectLst/>
            </c:spPr>
            <c:extLst>
              <c:ext xmlns:c16="http://schemas.microsoft.com/office/drawing/2014/chart" uri="{C3380CC4-5D6E-409C-BE32-E72D297353CC}">
                <c16:uniqueId val="{0000000B-9D86-4597-BAE8-F76B555A2D27}"/>
              </c:ext>
            </c:extLst>
          </c:dPt>
          <c:dPt>
            <c:idx val="6"/>
            <c:invertIfNegative val="0"/>
            <c:bubble3D val="0"/>
            <c:spPr>
              <a:solidFill>
                <a:srgbClr val="C00000"/>
              </a:solidFill>
              <a:ln>
                <a:noFill/>
              </a:ln>
              <a:effectLst/>
            </c:spPr>
            <c:extLst>
              <c:ext xmlns:c16="http://schemas.microsoft.com/office/drawing/2014/chart" uri="{C3380CC4-5D6E-409C-BE32-E72D297353CC}">
                <c16:uniqueId val="{0000000D-9D86-4597-BAE8-F76B555A2D27}"/>
              </c:ext>
            </c:extLst>
          </c:dPt>
          <c:dPt>
            <c:idx val="7"/>
            <c:invertIfNegative val="0"/>
            <c:bubble3D val="0"/>
            <c:spPr>
              <a:solidFill>
                <a:srgbClr val="C00000"/>
              </a:solidFill>
              <a:ln>
                <a:noFill/>
              </a:ln>
              <a:effectLst/>
            </c:spPr>
            <c:extLst>
              <c:ext xmlns:c16="http://schemas.microsoft.com/office/drawing/2014/chart" uri="{C3380CC4-5D6E-409C-BE32-E72D297353CC}">
                <c16:uniqueId val="{0000000F-9D86-4597-BAE8-F76B555A2D27}"/>
              </c:ext>
            </c:extLst>
          </c:dPt>
          <c:dPt>
            <c:idx val="8"/>
            <c:invertIfNegative val="0"/>
            <c:bubble3D val="0"/>
            <c:spPr>
              <a:solidFill>
                <a:srgbClr val="C00000"/>
              </a:solidFill>
              <a:ln>
                <a:noFill/>
              </a:ln>
              <a:effectLst/>
            </c:spPr>
            <c:extLst>
              <c:ext xmlns:c16="http://schemas.microsoft.com/office/drawing/2014/chart" uri="{C3380CC4-5D6E-409C-BE32-E72D297353CC}">
                <c16:uniqueId val="{00000011-9D86-4597-BAE8-F76B555A2D27}"/>
              </c:ext>
            </c:extLst>
          </c:dPt>
          <c:dPt>
            <c:idx val="9"/>
            <c:invertIfNegative val="0"/>
            <c:bubble3D val="0"/>
            <c:spPr>
              <a:solidFill>
                <a:srgbClr val="C00000"/>
              </a:solidFill>
              <a:ln>
                <a:noFill/>
              </a:ln>
              <a:effectLst/>
            </c:spPr>
            <c:extLst>
              <c:ext xmlns:c16="http://schemas.microsoft.com/office/drawing/2014/chart" uri="{C3380CC4-5D6E-409C-BE32-E72D297353CC}">
                <c16:uniqueId val="{00000012-9D86-4597-BAE8-F76B555A2D27}"/>
              </c:ext>
            </c:extLst>
          </c:dPt>
          <c:dPt>
            <c:idx val="10"/>
            <c:invertIfNegative val="0"/>
            <c:bubble3D val="0"/>
            <c:spPr>
              <a:solidFill>
                <a:srgbClr val="C00000"/>
              </a:solidFill>
              <a:ln>
                <a:noFill/>
              </a:ln>
              <a:effectLst/>
            </c:spPr>
            <c:extLst>
              <c:ext xmlns:c16="http://schemas.microsoft.com/office/drawing/2014/chart" uri="{C3380CC4-5D6E-409C-BE32-E72D297353CC}">
                <c16:uniqueId val="{00000013-9D86-4597-BAE8-F76B555A2D27}"/>
              </c:ext>
            </c:extLst>
          </c:dPt>
          <c:dLbls>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Calculations!$D$6:$AC$6</c:f>
              <c:numCache>
                <c:formatCode>General</c:formatCod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numCache>
            </c:numRef>
          </c:cat>
          <c:val>
            <c:numRef>
              <c:f>Calculations!$D$36:$AC$36</c:f>
              <c:numCache>
                <c:formatCode>#,##0.00,,\ </c:formatCode>
                <c:ptCount val="26"/>
                <c:pt idx="0">
                  <c:v>-6650000</c:v>
                </c:pt>
                <c:pt idx="1">
                  <c:v>-9821064.8148148153</c:v>
                </c:pt>
                <c:pt idx="2">
                  <c:v>-12845321.073388204</c:v>
                </c:pt>
                <c:pt idx="3">
                  <c:v>-11008873.134811768</c:v>
                </c:pt>
                <c:pt idx="4">
                  <c:v>-9264777.8569140341</c:v>
                </c:pt>
                <c:pt idx="5">
                  <c:v>-7608216.5481612366</c:v>
                </c:pt>
                <c:pt idx="6">
                  <c:v>-6034633.8346195985</c:v>
                </c:pt>
                <c:pt idx="7">
                  <c:v>-4539722.4893235536</c:v>
                </c:pt>
                <c:pt idx="8">
                  <c:v>-3119409.1847289363</c:v>
                </c:pt>
                <c:pt idx="9">
                  <c:v>-1769841.10916454</c:v>
                </c:pt>
                <c:pt idx="10">
                  <c:v>-487373.39214213984</c:v>
                </c:pt>
                <c:pt idx="11">
                  <c:v>588839.16221088776</c:v>
                </c:pt>
                <c:pt idx="12">
                  <c:v>1615227.0612697932</c:v>
                </c:pt>
                <c:pt idx="13">
                  <c:v>2594097.0020389347</c:v>
                </c:pt>
                <c:pt idx="14">
                  <c:v>3527648.8899946902</c:v>
                </c:pt>
                <c:pt idx="15">
                  <c:v>4417980.7831376791</c:v>
                </c:pt>
                <c:pt idx="16">
                  <c:v>5267093.6071536774</c:v>
                </c:pt>
                <c:pt idx="17">
                  <c:v>6076895.6522800466</c:v>
                </c:pt>
                <c:pt idx="18">
                  <c:v>6849206.8619838981</c:v>
                </c:pt>
                <c:pt idx="19">
                  <c:v>7585762.9230903499</c:v>
                </c:pt>
                <c:pt idx="20">
                  <c:v>8288219.1665529842</c:v>
                </c:pt>
                <c:pt idx="21">
                  <c:v>8958154.2876330893</c:v>
                </c:pt>
                <c:pt idx="22">
                  <c:v>9597073.8938483745</c:v>
                </c:pt>
                <c:pt idx="23">
                  <c:v>9418251.6976643819</c:v>
                </c:pt>
                <c:pt idx="24">
                  <c:v>9077164.9160541762</c:v>
                </c:pt>
                <c:pt idx="25">
                  <c:v>8751869.1891481467</c:v>
                </c:pt>
              </c:numCache>
            </c:numRef>
          </c:val>
          <c:extLst>
            <c:ext xmlns:c16="http://schemas.microsoft.com/office/drawing/2014/chart" uri="{C3380CC4-5D6E-409C-BE32-E72D297353CC}">
              <c16:uniqueId val="{00000010-9D86-4597-BAE8-F76B555A2D27}"/>
            </c:ext>
          </c:extLst>
        </c:ser>
        <c:dLbls>
          <c:showLegendKey val="0"/>
          <c:showVal val="1"/>
          <c:showCatName val="0"/>
          <c:showSerName val="0"/>
          <c:showPercent val="0"/>
          <c:showBubbleSize val="0"/>
        </c:dLbls>
        <c:gapWidth val="50"/>
        <c:axId val="1377251183"/>
        <c:axId val="1377253103"/>
      </c:barChart>
      <c:catAx>
        <c:axId val="1377251183"/>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r>
                  <a:rPr lang="en-GB" b="1"/>
                  <a:t>Year</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3103"/>
        <c:crosses val="autoZero"/>
        <c:auto val="1"/>
        <c:lblAlgn val="ctr"/>
        <c:lblOffset val="100"/>
        <c:noMultiLvlLbl val="0"/>
      </c:catAx>
      <c:valAx>
        <c:axId val="1377253103"/>
        <c:scaling>
          <c:orientation val="minMax"/>
        </c:scaling>
        <c:delete val="0"/>
        <c:axPos val="l"/>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Garamond" panose="02020404030301010803" pitchFamily="18"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sz="1400">
                <a:latin typeface="Garamond" panose="02020404030301010803" pitchFamily="18" charset="0"/>
                <a:ea typeface="Garamond" panose="02020404030301010803" pitchFamily="18" charset="0"/>
                <a:cs typeface="Garamond" panose="02020404030301010803" pitchFamily="18" charset="0"/>
              </a:defRPr>
            </a:pPr>
            <a:r>
              <a:rPr lang="en-GB" sz="1700" b="1" i="0" u="none" strike="noStrike" baseline="0">
                <a:solidFill>
                  <a:sysClr val="windowText" lastClr="000000">
                    <a:lumMod val="65000"/>
                    <a:lumOff val="35000"/>
                  </a:sysClr>
                </a:solidFill>
                <a:latin typeface="Garamond" panose="02020404030301010803" pitchFamily="18" charset="0"/>
              </a:rPr>
              <a:t>Net cash flow (post-tax) - Annual (discounted)</a:t>
            </a:r>
          </a:p>
          <a:p>
            <a:pPr algn="ctr" rtl="0">
              <a:defRPr sz="1400">
                <a:latin typeface="Garamond" panose="02020404030301010803" pitchFamily="18" charset="0"/>
                <a:ea typeface="Garamond" panose="02020404030301010803" pitchFamily="18" charset="0"/>
                <a:cs typeface="Garamond" panose="02020404030301010803" pitchFamily="18" charset="0"/>
              </a:defRPr>
            </a:pPr>
            <a:r>
              <a:rPr lang="en-GB" sz="1700" b="0" i="0" u="none" strike="noStrike" baseline="0">
                <a:solidFill>
                  <a:sysClr val="windowText" lastClr="000000">
                    <a:lumMod val="65000"/>
                    <a:lumOff val="35000"/>
                  </a:sysClr>
                </a:solidFill>
                <a:latin typeface="Garamond" panose="02020404030301010803" pitchFamily="18" charset="0"/>
              </a:rPr>
              <a:t> </a:t>
            </a:r>
            <a:r>
              <a:rPr lang="en-GB" sz="1700" b="0" i="0" u="none" strike="noStrike" baseline="0">
                <a:solidFill>
                  <a:srgbClr val="008000"/>
                </a:solidFill>
                <a:latin typeface="Garamond" panose="02020404030301010803" pitchFamily="18" charset="0"/>
              </a:rPr>
              <a:t>Increase</a:t>
            </a:r>
            <a:r>
              <a:rPr lang="en-GB" sz="1700" b="0" i="0" u="none" strike="noStrike" baseline="0">
                <a:solidFill>
                  <a:sysClr val="windowText" lastClr="000000">
                    <a:lumMod val="65000"/>
                    <a:lumOff val="35000"/>
                  </a:sysClr>
                </a:solidFill>
                <a:latin typeface="Garamond" panose="02020404030301010803" pitchFamily="18" charset="0"/>
              </a:rPr>
              <a:t>| </a:t>
            </a:r>
            <a:r>
              <a:rPr lang="en-GB" sz="1700" b="0" i="0" u="none" strike="noStrike" baseline="0">
                <a:solidFill>
                  <a:srgbClr val="C00000"/>
                </a:solidFill>
                <a:latin typeface="Garamond" panose="02020404030301010803" pitchFamily="18" charset="0"/>
              </a:rPr>
              <a:t>Decrease</a:t>
            </a:r>
          </a:p>
        </cx:rich>
      </cx:tx>
    </cx:title>
    <cx:plotArea>
      <cx:plotAreaRegion>
        <cx:plotSurface>
          <cx:spPr>
            <a:ln>
              <a:noFill/>
            </a:ln>
          </cx:spPr>
        </cx:plotSurface>
        <cx:series layoutId="waterfall" uniqueId="{8195D309-A2C6-4C52-B348-8F7AE96C32F6}">
          <cx:tx>
            <cx:txData>
              <cx:f>_xlchart.v1.0</cx:f>
              <cx:v>Post tax net cash flow (discounted)</cx:v>
            </cx:txData>
          </cx:tx>
          <cx:dataPt idx="0">
            <cx:spPr>
              <a:solidFill>
                <a:srgbClr val="C00000"/>
              </a:solidFill>
            </cx:spPr>
          </cx:dataPt>
          <cx:dataPt idx="1">
            <cx:spPr>
              <a:solidFill>
                <a:srgbClr val="C00000"/>
              </a:solidFill>
            </cx:spPr>
          </cx:dataPt>
          <cx:dataPt idx="2">
            <cx:spPr>
              <a:solidFill>
                <a:srgbClr val="C00000"/>
              </a:solidFill>
            </cx:spPr>
          </cx:dataPt>
          <cx:dataPt idx="3">
            <cx:spPr>
              <a:solidFill>
                <a:srgbClr val="008000"/>
              </a:solidFill>
            </cx:spPr>
          </cx:dataPt>
          <cx:dataPt idx="4">
            <cx:spPr>
              <a:solidFill>
                <a:srgbClr val="008000"/>
              </a:solidFill>
            </cx:spPr>
          </cx:dataPt>
          <cx:dataPt idx="5">
            <cx:spPr>
              <a:solidFill>
                <a:srgbClr val="008000"/>
              </a:solidFill>
            </cx:spPr>
          </cx:dataPt>
          <cx:dataPt idx="6">
            <cx:spPr>
              <a:solidFill>
                <a:srgbClr val="008000"/>
              </a:solidFill>
            </cx:spPr>
          </cx:dataPt>
          <cx:dataPt idx="7">
            <cx:spPr>
              <a:solidFill>
                <a:srgbClr val="008000"/>
              </a:solidFill>
            </cx:spPr>
          </cx:dataPt>
          <cx:dataPt idx="8">
            <cx:spPr>
              <a:solidFill>
                <a:srgbClr val="008000"/>
              </a:solidFill>
            </cx:spPr>
          </cx:dataPt>
          <cx:dataPt idx="9">
            <cx:spPr>
              <a:solidFill>
                <a:srgbClr val="008000"/>
              </a:solidFill>
            </cx:spPr>
          </cx:dataPt>
          <cx:dataPt idx="10">
            <cx:spPr>
              <a:solidFill>
                <a:srgbClr val="008000"/>
              </a:solidFill>
            </cx:spPr>
          </cx:dataPt>
          <cx:dataPt idx="11">
            <cx:spPr>
              <a:solidFill>
                <a:srgbClr val="008000"/>
              </a:solidFill>
            </cx:spPr>
          </cx:dataPt>
          <cx:dataPt idx="12">
            <cx:spPr>
              <a:solidFill>
                <a:srgbClr val="008000"/>
              </a:solidFill>
            </cx:spPr>
          </cx:dataPt>
          <cx:dataPt idx="13">
            <cx:spPr>
              <a:solidFill>
                <a:srgbClr val="008000"/>
              </a:solidFill>
            </cx:spPr>
          </cx:dataPt>
          <cx:dataPt idx="14">
            <cx:spPr>
              <a:solidFill>
                <a:srgbClr val="008000"/>
              </a:solidFill>
            </cx:spPr>
          </cx:dataPt>
          <cx:dataPt idx="15">
            <cx:spPr>
              <a:solidFill>
                <a:srgbClr val="008000"/>
              </a:solidFill>
            </cx:spPr>
          </cx:dataPt>
          <cx:dataPt idx="16">
            <cx:spPr>
              <a:solidFill>
                <a:srgbClr val="008000"/>
              </a:solidFill>
            </cx:spPr>
          </cx:dataPt>
          <cx:dataPt idx="17">
            <cx:spPr>
              <a:solidFill>
                <a:srgbClr val="008000"/>
              </a:solidFill>
            </cx:spPr>
          </cx:dataPt>
          <cx:dataPt idx="18">
            <cx:spPr>
              <a:solidFill>
                <a:srgbClr val="008000"/>
              </a:solidFill>
            </cx:spPr>
          </cx:dataPt>
          <cx:dataPt idx="19">
            <cx:spPr>
              <a:solidFill>
                <a:srgbClr val="008000"/>
              </a:solidFill>
            </cx:spPr>
          </cx:dataPt>
          <cx:dataPt idx="20">
            <cx:spPr>
              <a:solidFill>
                <a:srgbClr val="008000"/>
              </a:solidFill>
            </cx:spPr>
          </cx:dataPt>
          <cx:dataPt idx="21">
            <cx:spPr>
              <a:solidFill>
                <a:srgbClr val="008000"/>
              </a:solidFill>
            </cx:spPr>
          </cx:dataPt>
          <cx:dataPt idx="22">
            <cx:spPr>
              <a:solidFill>
                <a:srgbClr val="008000"/>
              </a:solidFill>
            </cx:spPr>
          </cx:dataPt>
          <cx:dataPt idx="23">
            <cx:spPr>
              <a:solidFill>
                <a:srgbClr val="C00000"/>
              </a:solidFill>
            </cx:spPr>
          </cx:dataPt>
          <cx:dataPt idx="24">
            <cx:spPr>
              <a:solidFill>
                <a:srgbClr val="C00000"/>
              </a:solidFill>
            </cx:spPr>
          </cx:dataPt>
          <cx:dataPt idx="25">
            <cx:spPr>
              <a:solidFill>
                <a:srgbClr val="C00000"/>
              </a:solidFill>
            </cx:spPr>
          </cx:dataPt>
          <cx:dataLabels pos="outEnd">
            <cx:txPr>
              <a:bodyPr vertOverflow="overflow" horzOverflow="overflow" wrap="square" lIns="0" tIns="0" rIns="0" bIns="0"/>
              <a:lstStyle/>
              <a:p>
                <a:pPr algn="ctr" rtl="0">
                  <a:defRPr sz="14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sz="1400">
                  <a:latin typeface="Garamond" panose="02020404030301010803" pitchFamily="18" charset="0"/>
                </a:endParaRPr>
              </a:p>
            </cx:txPr>
            <cx:visibility seriesName="0" categoryName="0" value="1"/>
          </cx:dataLabels>
          <cx:dataId val="0"/>
          <cx:layoutPr>
            <cx:visibility connectorLines="0"/>
            <cx:subtotals/>
          </cx:layoutPr>
        </cx:series>
      </cx:plotAreaRegion>
      <cx:axis id="0">
        <cx:catScaling gapWidth="0"/>
        <cx:title>
          <cx:tx>
            <cx:txData>
              <cx:v>Year</cx:v>
            </cx:txData>
          </cx:tx>
          <cx:txPr>
            <a:bodyPr spcFirstLastPara="1" vertOverflow="ellipsis" horzOverflow="overflow" wrap="square" lIns="0" tIns="0" rIns="0" bIns="0" anchor="ctr" anchorCtr="1"/>
            <a:lstStyle/>
            <a:p>
              <a:pPr algn="ctr" rtl="0">
                <a:defRPr sz="1400"/>
              </a:pPr>
              <a:r>
                <a:rPr lang="en-GB" sz="1400" b="1" i="0" u="none" strike="noStrike" baseline="0">
                  <a:solidFill>
                    <a:sysClr val="windowText" lastClr="000000">
                      <a:lumMod val="65000"/>
                      <a:lumOff val="35000"/>
                    </a:sysClr>
                  </a:solidFill>
                  <a:latin typeface="Garamond" panose="02020404030301010803" pitchFamily="18" charset="0"/>
                </a:rPr>
                <a:t>Year</a:t>
              </a:r>
            </a:p>
          </cx:txPr>
        </cx:title>
        <cx:tickLabels/>
        <cx:txPr>
          <a:bodyPr vertOverflow="overflow" horzOverflow="overflow" wrap="square" lIns="0" tIns="0" rIns="0" bIns="0"/>
          <a:lstStyle/>
          <a:p>
            <a:pPr algn="ctr" rtl="0">
              <a:defRPr sz="14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sz="1400">
              <a:latin typeface="Garamond" panose="02020404030301010803" pitchFamily="18" charset="0"/>
            </a:endParaRPr>
          </a:p>
        </cx:txPr>
      </cx:axis>
      <cx:axis id="1">
        <cx:valScaling max="15000000" min="-20000000"/>
        <cx:title>
          <cx:tx>
            <cx:txData>
              <cx:v>NPV (£M)</cx:v>
            </cx:txData>
          </cx:tx>
          <cx:txPr>
            <a:bodyPr spcFirstLastPara="1" vertOverflow="ellipsis" horzOverflow="overflow" wrap="square" lIns="0" tIns="0" rIns="0" bIns="0" anchor="ctr" anchorCtr="1"/>
            <a:lstStyle/>
            <a:p>
              <a:pPr algn="ctr" rtl="0">
                <a:defRPr sz="1400"/>
              </a:pPr>
              <a:r>
                <a:rPr lang="en-GB" sz="1400" b="1" i="0" u="none" strike="noStrike" baseline="0">
                  <a:solidFill>
                    <a:sysClr val="windowText" lastClr="000000">
                      <a:lumMod val="65000"/>
                      <a:lumOff val="35000"/>
                    </a:sysClr>
                  </a:solidFill>
                  <a:latin typeface="Garamond" panose="02020404030301010803" pitchFamily="18" charset="0"/>
                </a:rPr>
                <a:t>NPV (£M)</a:t>
              </a:r>
            </a:p>
          </cx:txPr>
        </cx:title>
        <cx:tickLabels/>
        <cx:numFmt formatCode="#,##0,, " sourceLinked="0"/>
        <cx:txPr>
          <a:bodyPr vertOverflow="overflow" horzOverflow="overflow" wrap="square" lIns="0" tIns="0" rIns="0" bIns="0"/>
          <a:lstStyle/>
          <a:p>
            <a:pPr algn="ctr" rtl="0">
              <a:defRPr sz="14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sz="1400">
              <a:latin typeface="Garamond" panose="02020404030301010803" pitchFamily="18" charset="0"/>
            </a:endParaRPr>
          </a:p>
        </cx:txPr>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_xlchart.v1.4</cx:f>
      </cx:strDim>
      <cx:numDim type="val">
        <cx:f dir="row">_xlchart.v1.3</cx:f>
      </cx:numDim>
    </cx:data>
  </cx:chartData>
  <cx:chart>
    <cx:title pos="t" align="ctr" overlay="0">
      <cx:tx>
        <cx:rich>
          <a:bodyPr spcFirstLastPara="1" vertOverflow="ellipsis" horzOverflow="overflow" wrap="square" lIns="0" tIns="0" rIns="0" bIns="0" anchor="ctr" anchorCtr="1"/>
          <a:lstStyle/>
          <a:p>
            <a:pPr algn="ctr" rtl="0">
              <a:defRPr>
                <a:latin typeface="Garamond" panose="02020404030301010803" pitchFamily="18" charset="0"/>
                <a:ea typeface="Garamond" panose="02020404030301010803" pitchFamily="18" charset="0"/>
                <a:cs typeface="Garamond" panose="02020404030301010803" pitchFamily="18" charset="0"/>
              </a:defRPr>
            </a:pPr>
            <a:r>
              <a:rPr lang="en-GB" sz="1400" b="1" i="0" u="none" strike="noStrike" baseline="0">
                <a:solidFill>
                  <a:sysClr val="windowText" lastClr="000000">
                    <a:lumMod val="65000"/>
                    <a:lumOff val="35000"/>
                  </a:sysClr>
                </a:solidFill>
                <a:latin typeface="Garamond" panose="02020404030301010803" pitchFamily="18" charset="0"/>
              </a:rPr>
              <a:t>Net cash flow (post-tax) - Annual</a:t>
            </a:r>
          </a:p>
          <a:p>
            <a:pPr algn="ctr" rtl="0">
              <a:defRPr>
                <a:latin typeface="Garamond" panose="02020404030301010803" pitchFamily="18" charset="0"/>
                <a:ea typeface="Garamond" panose="02020404030301010803" pitchFamily="18" charset="0"/>
                <a:cs typeface="Garamond" panose="02020404030301010803" pitchFamily="18" charset="0"/>
              </a:defRPr>
            </a:pPr>
            <a:r>
              <a:rPr lang="en-GB" sz="14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008000"/>
                </a:solidFill>
                <a:latin typeface="Garamond" panose="02020404030301010803" pitchFamily="18" charset="0"/>
              </a:rPr>
              <a:t>Increase</a:t>
            </a:r>
            <a:r>
              <a:rPr lang="en-GB" sz="11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C00000"/>
                </a:solidFill>
                <a:latin typeface="Garamond" panose="02020404030301010803" pitchFamily="18" charset="0"/>
              </a:rPr>
              <a:t>Decrease</a:t>
            </a:r>
            <a:endParaRPr lang="en-GB" sz="1400" b="0" i="0" u="none" strike="noStrike" baseline="0">
              <a:solidFill>
                <a:srgbClr val="C00000"/>
              </a:solidFill>
              <a:latin typeface="Garamond" panose="02020404030301010803" pitchFamily="18" charset="0"/>
            </a:endParaRPr>
          </a:p>
        </cx:rich>
      </cx:tx>
    </cx:title>
    <cx:plotArea>
      <cx:plotAreaRegion>
        <cx:plotSurface>
          <cx:spPr>
            <a:ln>
              <a:noFill/>
            </a:ln>
          </cx:spPr>
        </cx:plotSurface>
        <cx:series layoutId="waterfall" uniqueId="{8195D309-A2C6-4C52-B348-8F7AE96C32F6}">
          <cx:dataPt idx="0">
            <cx:spPr>
              <a:solidFill>
                <a:srgbClr val="C00000"/>
              </a:solidFill>
            </cx:spPr>
          </cx:dataPt>
          <cx:dataPt idx="1">
            <cx:spPr>
              <a:solidFill>
                <a:srgbClr val="C00000"/>
              </a:solidFill>
            </cx:spPr>
          </cx:dataPt>
          <cx:dataPt idx="2">
            <cx:spPr>
              <a:solidFill>
                <a:srgbClr val="C00000"/>
              </a:solidFill>
            </cx:spPr>
          </cx:dataPt>
          <cx:dataPt idx="3">
            <cx:spPr>
              <a:solidFill>
                <a:srgbClr val="008000"/>
              </a:solidFill>
            </cx:spPr>
          </cx:dataPt>
          <cx:dataPt idx="4">
            <cx:spPr>
              <a:solidFill>
                <a:srgbClr val="008000"/>
              </a:solidFill>
            </cx:spPr>
          </cx:dataPt>
          <cx:dataPt idx="5">
            <cx:spPr>
              <a:solidFill>
                <a:srgbClr val="008000"/>
              </a:solidFill>
            </cx:spPr>
          </cx:dataPt>
          <cx:dataPt idx="6">
            <cx:spPr>
              <a:solidFill>
                <a:srgbClr val="008000"/>
              </a:solidFill>
            </cx:spPr>
          </cx:dataPt>
          <cx:dataPt idx="7">
            <cx:spPr>
              <a:solidFill>
                <a:srgbClr val="008000"/>
              </a:solidFill>
            </cx:spPr>
          </cx:dataPt>
          <cx:dataPt idx="8">
            <cx:spPr>
              <a:solidFill>
                <a:srgbClr val="008000"/>
              </a:solidFill>
            </cx:spPr>
          </cx:dataPt>
          <cx:dataPt idx="9">
            <cx:spPr>
              <a:solidFill>
                <a:srgbClr val="008000"/>
              </a:solidFill>
            </cx:spPr>
          </cx:dataPt>
          <cx:dataPt idx="10">
            <cx:spPr>
              <a:solidFill>
                <a:srgbClr val="008000"/>
              </a:solidFill>
            </cx:spPr>
          </cx:dataPt>
          <cx:dataPt idx="11">
            <cx:spPr>
              <a:solidFill>
                <a:srgbClr val="008000"/>
              </a:solidFill>
            </cx:spPr>
          </cx:dataPt>
          <cx:dataPt idx="12">
            <cx:spPr>
              <a:solidFill>
                <a:srgbClr val="008000"/>
              </a:solidFill>
            </cx:spPr>
          </cx:dataPt>
          <cx:dataPt idx="13">
            <cx:spPr>
              <a:solidFill>
                <a:srgbClr val="008000"/>
              </a:solidFill>
            </cx:spPr>
          </cx:dataPt>
          <cx:dataPt idx="14">
            <cx:spPr>
              <a:solidFill>
                <a:srgbClr val="008000"/>
              </a:solidFill>
            </cx:spPr>
          </cx:dataPt>
          <cx:dataPt idx="15">
            <cx:spPr>
              <a:solidFill>
                <a:srgbClr val="008000"/>
              </a:solidFill>
            </cx:spPr>
          </cx:dataPt>
          <cx:dataPt idx="16">
            <cx:spPr>
              <a:solidFill>
                <a:srgbClr val="008000"/>
              </a:solidFill>
            </cx:spPr>
          </cx:dataPt>
          <cx:dataPt idx="17">
            <cx:spPr>
              <a:solidFill>
                <a:srgbClr val="008000"/>
              </a:solidFill>
            </cx:spPr>
          </cx:dataPt>
          <cx:dataPt idx="18">
            <cx:spPr>
              <a:solidFill>
                <a:srgbClr val="008000"/>
              </a:solidFill>
            </cx:spPr>
          </cx:dataPt>
          <cx:dataPt idx="19">
            <cx:spPr>
              <a:solidFill>
                <a:srgbClr val="008000"/>
              </a:solidFill>
            </cx:spPr>
          </cx:dataPt>
          <cx:dataPt idx="20">
            <cx:spPr>
              <a:solidFill>
                <a:srgbClr val="008000"/>
              </a:solidFill>
            </cx:spPr>
          </cx:dataPt>
          <cx:dataPt idx="21">
            <cx:spPr>
              <a:solidFill>
                <a:srgbClr val="008000"/>
              </a:solidFill>
            </cx:spPr>
          </cx:dataPt>
          <cx:dataPt idx="22">
            <cx:spPr>
              <a:solidFill>
                <a:srgbClr val="008000"/>
              </a:solidFill>
            </cx:spPr>
          </cx:dataPt>
          <cx:dataPt idx="23">
            <cx:spPr>
              <a:solidFill>
                <a:srgbClr val="C00000"/>
              </a:solidFill>
            </cx:spPr>
          </cx:dataPt>
          <cx:dataPt idx="24">
            <cx:spPr>
              <a:solidFill>
                <a:srgbClr val="C00000"/>
              </a:solidFill>
            </cx:spPr>
          </cx:dataPt>
          <cx:dataPt idx="25">
            <cx:spPr>
              <a:solidFill>
                <a:srgbClr val="C00000"/>
              </a:solidFill>
            </cx:spPr>
          </cx:dataPt>
          <cx:dataLabels pos="outEnd">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visibility seriesName="0" categoryName="0" value="1"/>
          </cx:dataLabels>
          <cx:dataId val="0"/>
          <cx:layoutPr>
            <cx:visibility connectorLines="0"/>
            <cx:subtotals/>
          </cx:layoutPr>
        </cx:series>
      </cx:plotAreaRegion>
      <cx:axis id="0">
        <cx:catScaling gapWidth="0"/>
        <cx:title>
          <cx:tx>
            <cx:txData>
              <cx:v>Year</cx:v>
            </cx:txData>
          </cx:tx>
          <cx:txPr>
            <a:bodyPr spcFirstLastPara="1" vertOverflow="ellipsis" horzOverflow="overflow" wrap="square" lIns="0" tIns="0" rIns="0" bIns="0" anchor="ctr" anchorCtr="1"/>
            <a:lstStyle/>
            <a:p>
              <a:pPr algn="ctr" rtl="0">
                <a:defRPr/>
              </a:pPr>
              <a:r>
                <a:rPr lang="en-GB" sz="900" b="1" i="0" u="none" strike="noStrike" baseline="0">
                  <a:solidFill>
                    <a:sysClr val="windowText" lastClr="000000">
                      <a:lumMod val="65000"/>
                      <a:lumOff val="35000"/>
                    </a:sysClr>
                  </a:solidFill>
                  <a:latin typeface="Garamond" panose="02020404030301010803" pitchFamily="18" charset="0"/>
                </a:rPr>
                <a:t>Year</a:t>
              </a:r>
            </a:p>
          </cx:txPr>
        </cx:title>
        <cx:tickLabels/>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axis>
      <cx:axis id="1">
        <cx:valScaling/>
        <cx:title>
          <cx:tx>
            <cx:txData>
              <cx:v>NPV (£M)</cx:v>
            </cx:txData>
          </cx:tx>
          <cx:txPr>
            <a:bodyPr spcFirstLastPara="1" vertOverflow="ellipsis" horzOverflow="overflow" wrap="square" lIns="0" tIns="0" rIns="0" bIns="0" anchor="ctr" anchorCtr="1"/>
            <a:lstStyle/>
            <a:p>
              <a:pPr algn="ctr" rtl="0">
                <a:defRPr/>
              </a:pPr>
              <a:r>
                <a:rPr lang="en-GB" sz="900" b="1" i="0" u="none" strike="noStrike" baseline="0">
                  <a:solidFill>
                    <a:sysClr val="windowText" lastClr="000000">
                      <a:lumMod val="65000"/>
                      <a:lumOff val="35000"/>
                    </a:sysClr>
                  </a:solidFill>
                  <a:latin typeface="Garamond" panose="02020404030301010803" pitchFamily="18" charset="0"/>
                </a:rPr>
                <a:t>NPV (£M)</a:t>
              </a:r>
            </a:p>
          </cx:txPr>
        </cx:title>
        <cx:tickLabels/>
        <cx:numFmt formatCode="#,##0,, " sourceLinked="0"/>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axis>
    </cx:plotArea>
  </cx:chart>
  <cx:spPr>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_xlchart.v1.7</cx:f>
      </cx:strDim>
      <cx:numDim type="val">
        <cx:f dir="row">_xlchart.v1.6</cx:f>
      </cx:numDim>
    </cx:data>
  </cx:chartData>
  <cx:chart>
    <cx:title pos="t" align="ctr" overlay="0">
      <cx:tx>
        <cx:rich>
          <a:bodyPr spcFirstLastPara="1" vertOverflow="ellipsis" horzOverflow="overflow" wrap="square" lIns="0" tIns="0" rIns="0" bIns="0" anchor="ctr" anchorCtr="1"/>
          <a:lstStyle/>
          <a:p>
            <a:pPr algn="ctr" rtl="0">
              <a:defRPr>
                <a:latin typeface="Garamond" panose="02020404030301010803" pitchFamily="18" charset="0"/>
                <a:ea typeface="Garamond" panose="02020404030301010803" pitchFamily="18" charset="0"/>
                <a:cs typeface="Garamond" panose="02020404030301010803" pitchFamily="18" charset="0"/>
              </a:defRPr>
            </a:pPr>
            <a:r>
              <a:rPr lang="en-GB" sz="1400" b="1" i="0" u="none" strike="noStrike" baseline="0">
                <a:solidFill>
                  <a:sysClr val="windowText" lastClr="000000">
                    <a:lumMod val="65000"/>
                    <a:lumOff val="35000"/>
                  </a:sysClr>
                </a:solidFill>
                <a:latin typeface="Garamond" panose="02020404030301010803" pitchFamily="18" charset="0"/>
              </a:rPr>
              <a:t>Net cash flow (post-tax) - Annual (discounted)</a:t>
            </a:r>
          </a:p>
          <a:p>
            <a:pPr algn="ctr" rtl="0">
              <a:defRPr>
                <a:latin typeface="Garamond" panose="02020404030301010803" pitchFamily="18" charset="0"/>
                <a:ea typeface="Garamond" panose="02020404030301010803" pitchFamily="18" charset="0"/>
                <a:cs typeface="Garamond" panose="02020404030301010803" pitchFamily="18" charset="0"/>
              </a:defRPr>
            </a:pPr>
            <a:r>
              <a:rPr lang="en-GB" sz="14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008000"/>
                </a:solidFill>
                <a:latin typeface="Garamond" panose="02020404030301010803" pitchFamily="18" charset="0"/>
              </a:rPr>
              <a:t>Increase</a:t>
            </a:r>
            <a:r>
              <a:rPr lang="en-GB" sz="11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C00000"/>
                </a:solidFill>
                <a:latin typeface="Garamond" panose="02020404030301010803" pitchFamily="18" charset="0"/>
              </a:rPr>
              <a:t>Decrease</a:t>
            </a:r>
            <a:endParaRPr lang="en-GB" sz="1400" b="0" i="0" u="none" strike="noStrike" baseline="0">
              <a:solidFill>
                <a:srgbClr val="C00000"/>
              </a:solidFill>
              <a:latin typeface="Garamond" panose="02020404030301010803" pitchFamily="18" charset="0"/>
            </a:endParaRPr>
          </a:p>
        </cx:rich>
      </cx:tx>
    </cx:title>
    <cx:plotArea>
      <cx:plotAreaRegion>
        <cx:plotSurface>
          <cx:spPr>
            <a:ln>
              <a:noFill/>
            </a:ln>
          </cx:spPr>
        </cx:plotSurface>
        <cx:series layoutId="waterfall" uniqueId="{8195D309-A2C6-4C52-B348-8F7AE96C32F6}">
          <cx:tx>
            <cx:txData>
              <cx:f>_xlchart.v1.5</cx:f>
              <cx:v>Post tax net cash flow (discounted)</cx:v>
            </cx:txData>
          </cx:tx>
          <cx:dataPt idx="0">
            <cx:spPr>
              <a:solidFill>
                <a:srgbClr val="C00000"/>
              </a:solidFill>
            </cx:spPr>
          </cx:dataPt>
          <cx:dataPt idx="1">
            <cx:spPr>
              <a:solidFill>
                <a:srgbClr val="C00000"/>
              </a:solidFill>
            </cx:spPr>
          </cx:dataPt>
          <cx:dataPt idx="2">
            <cx:spPr>
              <a:solidFill>
                <a:srgbClr val="C00000"/>
              </a:solidFill>
            </cx:spPr>
          </cx:dataPt>
          <cx:dataPt idx="3">
            <cx:spPr>
              <a:solidFill>
                <a:srgbClr val="008000"/>
              </a:solidFill>
            </cx:spPr>
          </cx:dataPt>
          <cx:dataPt idx="4">
            <cx:spPr>
              <a:solidFill>
                <a:srgbClr val="008000"/>
              </a:solidFill>
            </cx:spPr>
          </cx:dataPt>
          <cx:dataPt idx="5">
            <cx:spPr>
              <a:solidFill>
                <a:srgbClr val="008000"/>
              </a:solidFill>
            </cx:spPr>
          </cx:dataPt>
          <cx:dataPt idx="6">
            <cx:spPr>
              <a:solidFill>
                <a:srgbClr val="008000"/>
              </a:solidFill>
            </cx:spPr>
          </cx:dataPt>
          <cx:dataPt idx="7">
            <cx:spPr>
              <a:solidFill>
                <a:srgbClr val="008000"/>
              </a:solidFill>
            </cx:spPr>
          </cx:dataPt>
          <cx:dataPt idx="8">
            <cx:spPr>
              <a:solidFill>
                <a:srgbClr val="008000"/>
              </a:solidFill>
            </cx:spPr>
          </cx:dataPt>
          <cx:dataPt idx="9">
            <cx:spPr>
              <a:solidFill>
                <a:srgbClr val="008000"/>
              </a:solidFill>
            </cx:spPr>
          </cx:dataPt>
          <cx:dataPt idx="10">
            <cx:spPr>
              <a:solidFill>
                <a:srgbClr val="008000"/>
              </a:solidFill>
            </cx:spPr>
          </cx:dataPt>
          <cx:dataPt idx="11">
            <cx:spPr>
              <a:solidFill>
                <a:srgbClr val="008000"/>
              </a:solidFill>
            </cx:spPr>
          </cx:dataPt>
          <cx:dataPt idx="12">
            <cx:spPr>
              <a:solidFill>
                <a:srgbClr val="008000"/>
              </a:solidFill>
            </cx:spPr>
          </cx:dataPt>
          <cx:dataPt idx="13">
            <cx:spPr>
              <a:solidFill>
                <a:srgbClr val="008000"/>
              </a:solidFill>
            </cx:spPr>
          </cx:dataPt>
          <cx:dataPt idx="14">
            <cx:spPr>
              <a:solidFill>
                <a:srgbClr val="008000"/>
              </a:solidFill>
            </cx:spPr>
          </cx:dataPt>
          <cx:dataPt idx="15">
            <cx:spPr>
              <a:solidFill>
                <a:srgbClr val="008000"/>
              </a:solidFill>
            </cx:spPr>
          </cx:dataPt>
          <cx:dataPt idx="16">
            <cx:spPr>
              <a:solidFill>
                <a:srgbClr val="008000"/>
              </a:solidFill>
            </cx:spPr>
          </cx:dataPt>
          <cx:dataPt idx="17">
            <cx:spPr>
              <a:solidFill>
                <a:srgbClr val="008000"/>
              </a:solidFill>
            </cx:spPr>
          </cx:dataPt>
          <cx:dataPt idx="18">
            <cx:spPr>
              <a:solidFill>
                <a:srgbClr val="008000"/>
              </a:solidFill>
            </cx:spPr>
          </cx:dataPt>
          <cx:dataPt idx="19">
            <cx:spPr>
              <a:solidFill>
                <a:srgbClr val="008000"/>
              </a:solidFill>
            </cx:spPr>
          </cx:dataPt>
          <cx:dataPt idx="20">
            <cx:spPr>
              <a:solidFill>
                <a:srgbClr val="008000"/>
              </a:solidFill>
            </cx:spPr>
          </cx:dataPt>
          <cx:dataPt idx="21">
            <cx:spPr>
              <a:solidFill>
                <a:srgbClr val="008000"/>
              </a:solidFill>
            </cx:spPr>
          </cx:dataPt>
          <cx:dataPt idx="22">
            <cx:spPr>
              <a:solidFill>
                <a:srgbClr val="008000"/>
              </a:solidFill>
            </cx:spPr>
          </cx:dataPt>
          <cx:dataPt idx="23">
            <cx:spPr>
              <a:solidFill>
                <a:srgbClr val="C00000"/>
              </a:solidFill>
            </cx:spPr>
          </cx:dataPt>
          <cx:dataPt idx="24">
            <cx:spPr>
              <a:solidFill>
                <a:srgbClr val="C00000"/>
              </a:solidFill>
            </cx:spPr>
          </cx:dataPt>
          <cx:dataPt idx="25">
            <cx:spPr>
              <a:solidFill>
                <a:srgbClr val="C00000"/>
              </a:solidFill>
            </cx:spPr>
          </cx:dataPt>
          <cx:dataLabels pos="outEnd">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visibility seriesName="0" categoryName="0" value="1"/>
          </cx:dataLabels>
          <cx:dataId val="0"/>
          <cx:layoutPr>
            <cx:visibility connectorLines="0"/>
            <cx:subtotals/>
          </cx:layoutPr>
        </cx:series>
      </cx:plotAreaRegion>
      <cx:axis id="0">
        <cx:catScaling gapWidth="0"/>
        <cx:title>
          <cx:tx>
            <cx:txData>
              <cx:v>Year</cx:v>
            </cx:txData>
          </cx:tx>
          <cx:txPr>
            <a:bodyPr spcFirstLastPara="1" vertOverflow="ellipsis" horzOverflow="overflow" wrap="square" lIns="0" tIns="0" rIns="0" bIns="0" anchor="ctr" anchorCtr="1"/>
            <a:lstStyle/>
            <a:p>
              <a:pPr algn="ctr" rtl="0">
                <a:defRPr/>
              </a:pPr>
              <a:r>
                <a:rPr lang="en-GB" sz="900" b="1" i="0" u="none" strike="noStrike" baseline="0">
                  <a:solidFill>
                    <a:sysClr val="windowText" lastClr="000000">
                      <a:lumMod val="65000"/>
                      <a:lumOff val="35000"/>
                    </a:sysClr>
                  </a:solidFill>
                  <a:latin typeface="Garamond" panose="02020404030301010803" pitchFamily="18" charset="0"/>
                </a:rPr>
                <a:t>Year</a:t>
              </a:r>
            </a:p>
          </cx:txPr>
        </cx:title>
        <cx:tickLabels/>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axis>
      <cx:axis id="1">
        <cx:valScaling max="15000000" min="-20000000"/>
        <cx:title>
          <cx:tx>
            <cx:txData>
              <cx:v>NPV (£M)</cx:v>
            </cx:txData>
          </cx:tx>
          <cx:txPr>
            <a:bodyPr spcFirstLastPara="1" vertOverflow="ellipsis" horzOverflow="overflow" wrap="square" lIns="0" tIns="0" rIns="0" bIns="0" anchor="ctr" anchorCtr="1"/>
            <a:lstStyle/>
            <a:p>
              <a:pPr algn="ctr" rtl="0">
                <a:defRPr/>
              </a:pPr>
              <a:r>
                <a:rPr lang="en-GB" sz="900" b="1" i="0" u="none" strike="noStrike" baseline="0">
                  <a:solidFill>
                    <a:sysClr val="windowText" lastClr="000000">
                      <a:lumMod val="65000"/>
                      <a:lumOff val="35000"/>
                    </a:sysClr>
                  </a:solidFill>
                  <a:latin typeface="Garamond" panose="02020404030301010803" pitchFamily="18" charset="0"/>
                </a:rPr>
                <a:t>NPV (£M)</a:t>
              </a:r>
            </a:p>
          </cx:txPr>
        </cx:title>
        <cx:tickLabels/>
        <cx:numFmt formatCode="#,##0,, " sourceLinked="0"/>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2.emf"/><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image" Target="../media/image1.emf"/><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image" Target="../media/image3.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openxmlformats.org/officeDocument/2006/relationships/chart" Target="../charts/chart20.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2</xdr:col>
      <xdr:colOff>77606</xdr:colOff>
      <xdr:row>50</xdr:row>
      <xdr:rowOff>104197</xdr:rowOff>
    </xdr:from>
    <xdr:to>
      <xdr:col>13</xdr:col>
      <xdr:colOff>838326</xdr:colOff>
      <xdr:row>83</xdr:row>
      <xdr:rowOff>157801</xdr:rowOff>
    </xdr:to>
    <xdr:graphicFrame macro="">
      <xdr:nvGraphicFramePr>
        <xdr:cNvPr id="83" name="Chart 82">
          <a:extLst>
            <a:ext uri="{FF2B5EF4-FFF2-40B4-BE49-F238E27FC236}">
              <a16:creationId xmlns:a16="http://schemas.microsoft.com/office/drawing/2014/main" id="{0AC2A8BB-0CA4-5EEB-03E7-2F40E87BC6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388248</xdr:colOff>
      <xdr:row>49</xdr:row>
      <xdr:rowOff>1218</xdr:rowOff>
    </xdr:from>
    <xdr:to>
      <xdr:col>23</xdr:col>
      <xdr:colOff>796990</xdr:colOff>
      <xdr:row>85</xdr:row>
      <xdr:rowOff>172909</xdr:rowOff>
    </xdr:to>
    <xdr:sp macro="" textlink="">
      <xdr:nvSpPr>
        <xdr:cNvPr id="84" name="TextBox 83">
          <a:extLst>
            <a:ext uri="{FF2B5EF4-FFF2-40B4-BE49-F238E27FC236}">
              <a16:creationId xmlns:a16="http://schemas.microsoft.com/office/drawing/2014/main" id="{153C6A85-BA21-6D40-2D55-9BD253FF4542}"/>
            </a:ext>
          </a:extLst>
        </xdr:cNvPr>
        <xdr:cNvSpPr txBox="1"/>
      </xdr:nvSpPr>
      <xdr:spPr>
        <a:xfrm>
          <a:off x="14034268" y="10789738"/>
          <a:ext cx="8281446" cy="716965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tx2"/>
              </a:solidFill>
              <a:latin typeface="Garamond" panose="02020404030301010803" pitchFamily="18" charset="0"/>
            </a:rPr>
            <a:t>Tornado</a:t>
          </a:r>
          <a:r>
            <a:rPr lang="en-GB" sz="1600" b="1" baseline="0">
              <a:solidFill>
                <a:schemeClr val="tx2"/>
              </a:solidFill>
              <a:latin typeface="Garamond" panose="02020404030301010803" pitchFamily="18" charset="0"/>
            </a:rPr>
            <a:t> </a:t>
          </a:r>
          <a:r>
            <a:rPr lang="en-GB" sz="1600" b="1">
              <a:solidFill>
                <a:schemeClr val="tx2"/>
              </a:solidFill>
              <a:latin typeface="Garamond" panose="02020404030301010803" pitchFamily="18" charset="0"/>
            </a:rPr>
            <a:t>analysis</a:t>
          </a:r>
        </a:p>
        <a:p>
          <a:endParaRPr lang="en-GB" sz="600" b="1">
            <a:latin typeface="Garamond" panose="02020404030301010803" pitchFamily="18" charset="0"/>
          </a:endParaRPr>
        </a:p>
        <a:p>
          <a:r>
            <a:rPr lang="en-GB" sz="1600">
              <a:latin typeface="Garamond" panose="02020404030301010803" pitchFamily="18" charset="0"/>
            </a:rPr>
            <a:t>This tornado chart illustrates the sensitivity of the net present value (NPV) to key project variables. The bars represent how much each factor influences the NPV, with the left side indicating a negative impact (worse-case scenario) and the right side showing a positive impact (better-case scenario). The colours differentiate between extreme and realistic variations:</a:t>
          </a:r>
        </a:p>
        <a:p>
          <a:endParaRPr lang="en-GB" sz="1600">
            <a:latin typeface="Garamond" panose="02020404030301010803" pitchFamily="18" charset="0"/>
          </a:endParaRPr>
        </a:p>
        <a:p>
          <a:pPr lvl="1"/>
          <a:r>
            <a:rPr lang="en-GB" sz="1600" b="1" i="0">
              <a:latin typeface="Garamond" panose="02020404030301010803" pitchFamily="18" charset="0"/>
            </a:rPr>
            <a:t>Min NPV (negative, red)</a:t>
          </a:r>
          <a:r>
            <a:rPr lang="en-GB" sz="1600" b="0" i="0">
              <a:latin typeface="Garamond" panose="02020404030301010803" pitchFamily="18" charset="0"/>
            </a:rPr>
            <a:t>.</a:t>
          </a:r>
          <a:r>
            <a:rPr lang="en-GB" sz="1600" b="1" i="0">
              <a:latin typeface="Garamond" panose="02020404030301010803" pitchFamily="18" charset="0"/>
            </a:rPr>
            <a:t> </a:t>
          </a:r>
          <a:r>
            <a:rPr lang="en-GB" sz="1600">
              <a:latin typeface="Garamond" panose="02020404030301010803" pitchFamily="18" charset="0"/>
            </a:rPr>
            <a:t>The worst-case scenario where the variable moves to its least favourable value.</a:t>
          </a:r>
        </a:p>
        <a:p>
          <a:pPr lvl="1"/>
          <a:endParaRPr lang="en-GB" sz="500" b="1">
            <a:latin typeface="Garamond" panose="02020404030301010803" pitchFamily="18" charset="0"/>
          </a:endParaRPr>
        </a:p>
        <a:p>
          <a:pPr lvl="1"/>
          <a:r>
            <a:rPr lang="en-GB" sz="1600" b="1">
              <a:latin typeface="Garamond" panose="02020404030301010803" pitchFamily="18" charset="0"/>
            </a:rPr>
            <a:t>Realistic bad (dark red)</a:t>
          </a:r>
          <a:r>
            <a:rPr lang="en-GB" sz="1600" b="0">
              <a:latin typeface="Garamond" panose="02020404030301010803" pitchFamily="18" charset="0"/>
            </a:rPr>
            <a:t>.</a:t>
          </a:r>
          <a:r>
            <a:rPr lang="en-GB" sz="1600">
              <a:latin typeface="Garamond" panose="02020404030301010803" pitchFamily="18" charset="0"/>
            </a:rPr>
            <a:t> A more probable downside within a ±10% range</a:t>
          </a:r>
          <a:r>
            <a:rPr lang="en-GB" sz="1600" baseline="0">
              <a:latin typeface="Garamond" panose="02020404030301010803" pitchFamily="18" charset="0"/>
            </a:rPr>
            <a:t> where possible</a:t>
          </a:r>
          <a:r>
            <a:rPr lang="en-GB" sz="1600">
              <a:latin typeface="Garamond" panose="02020404030301010803" pitchFamily="18" charset="0"/>
            </a:rPr>
            <a:t>. (Capacity</a:t>
          </a:r>
          <a:r>
            <a:rPr lang="en-GB" sz="1600" baseline="0">
              <a:latin typeface="Garamond" panose="02020404030301010803" pitchFamily="18" charset="0"/>
            </a:rPr>
            <a:t> factor = -11%; No. of turbines = -13%; Years before turbines start operating = +33%)</a:t>
          </a:r>
        </a:p>
        <a:p>
          <a:pPr lvl="1"/>
          <a:endParaRPr lang="en-GB" sz="500" b="1">
            <a:latin typeface="Garamond" panose="02020404030301010803" pitchFamily="18" charset="0"/>
          </a:endParaRPr>
        </a:p>
        <a:p>
          <a:pPr lvl="1"/>
          <a:r>
            <a:rPr lang="en-GB" sz="1600" b="1">
              <a:latin typeface="Garamond" panose="02020404030301010803" pitchFamily="18" charset="0"/>
            </a:rPr>
            <a:t>Realistic good (green)</a:t>
          </a:r>
          <a:r>
            <a:rPr lang="en-GB" sz="1600" b="0">
              <a:latin typeface="Garamond" panose="02020404030301010803" pitchFamily="18" charset="0"/>
            </a:rPr>
            <a:t>.</a:t>
          </a:r>
          <a:r>
            <a:rPr lang="en-GB" sz="1600">
              <a:latin typeface="Garamond" panose="02020404030301010803" pitchFamily="18" charset="0"/>
            </a:rPr>
            <a:t> The likely positive impact within a ±10% range where</a:t>
          </a:r>
          <a:r>
            <a:rPr lang="en-GB" sz="1600" baseline="0">
              <a:latin typeface="Garamond" panose="02020404030301010803" pitchFamily="18" charset="0"/>
            </a:rPr>
            <a:t> possible</a:t>
          </a:r>
          <a:r>
            <a:rPr lang="en-GB" sz="1600">
              <a:latin typeface="Garamond" panose="02020404030301010803" pitchFamily="18" charset="0"/>
            </a:rPr>
            <a:t>.</a:t>
          </a:r>
          <a:r>
            <a:rPr lang="en-GB" sz="1600" baseline="0">
              <a:latin typeface="Garamond" panose="02020404030301010803" pitchFamily="18" charset="0"/>
            </a:rPr>
            <a:t> </a:t>
          </a:r>
          <a:r>
            <a:rPr lang="en-GB" sz="1600" b="0">
              <a:latin typeface="Garamond" panose="02020404030301010803" pitchFamily="18" charset="0"/>
            </a:rPr>
            <a:t>(Capacity factor = +6%; No. of turbines = +13%; Years before turbines start operating = +0%)</a:t>
          </a:r>
        </a:p>
        <a:p>
          <a:pPr lvl="1"/>
          <a:endParaRPr lang="en-GB" sz="500" b="1">
            <a:latin typeface="Garamond" panose="02020404030301010803" pitchFamily="18" charset="0"/>
          </a:endParaRPr>
        </a:p>
        <a:p>
          <a:pPr lvl="1"/>
          <a:r>
            <a:rPr lang="en-GB" sz="1600" b="1">
              <a:latin typeface="Garamond" panose="02020404030301010803" pitchFamily="18" charset="0"/>
            </a:rPr>
            <a:t>Max NPV (light green)</a:t>
          </a:r>
          <a:r>
            <a:rPr lang="en-GB" sz="1600" b="0">
              <a:latin typeface="Garamond" panose="02020404030301010803" pitchFamily="18" charset="0"/>
            </a:rPr>
            <a:t>.</a:t>
          </a:r>
          <a:r>
            <a:rPr lang="en-GB" sz="1600" b="0" baseline="0">
              <a:latin typeface="Garamond" panose="02020404030301010803" pitchFamily="18" charset="0"/>
            </a:rPr>
            <a:t> </a:t>
          </a:r>
          <a:r>
            <a:rPr lang="en-GB" sz="1600">
              <a:latin typeface="Garamond" panose="02020404030301010803" pitchFamily="18" charset="0"/>
            </a:rPr>
            <a:t>The best possible outcome if the variable moves to its most favourable value.</a:t>
          </a:r>
        </a:p>
        <a:p>
          <a:endParaRPr lang="en-GB" sz="1600" b="1">
            <a:latin typeface="Garamond" panose="02020404030301010803"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chemeClr val="tx2"/>
              </a:solidFill>
              <a:effectLst/>
              <a:uLnTx/>
              <a:uFillTx/>
              <a:latin typeface="Garamond" panose="02020404030301010803" pitchFamily="18" charset="0"/>
              <a:ea typeface="+mn-ea"/>
              <a:cs typeface="+mn-cs"/>
            </a:rPr>
            <a:t>Key findings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600" b="0" i="0" u="none" strike="noStrike" kern="0" cap="none" spc="0" normalizeH="0" baseline="0" noProof="0">
            <a:ln>
              <a:noFill/>
            </a:ln>
            <a:solidFill>
              <a:schemeClr val="tx2"/>
            </a:solidFill>
            <a:effectLst/>
            <a:uLnTx/>
            <a:uFillTx/>
            <a:latin typeface="Garamond" panose="02020404030301010803"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prstClr val="black"/>
              </a:solidFill>
              <a:effectLst/>
              <a:uLnTx/>
              <a:uFillTx/>
              <a:latin typeface="Garamond" panose="02020404030301010803" pitchFamily="18" charset="0"/>
              <a:ea typeface="+mn-ea"/>
              <a:cs typeface="+mn-cs"/>
            </a:rPr>
            <a:t>Average electricity price (£/MWh) is the most influential factor</a:t>
          </a:r>
          <a:r>
            <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rPr>
            <a:t>. A significant drop in electricity price leads to a large negative NPV, while an increase boosts profitability substantially.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500" b="0" i="0" u="none" strike="noStrike" kern="0" cap="none" spc="0" normalizeH="0" baseline="0" noProof="0">
            <a:ln>
              <a:noFill/>
            </a:ln>
            <a:solidFill>
              <a:prstClr val="black"/>
            </a:solidFill>
            <a:effectLst/>
            <a:uLnTx/>
            <a:uFillTx/>
            <a:latin typeface="Garamond" panose="02020404030301010803"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prstClr val="black"/>
              </a:solidFill>
              <a:effectLst/>
              <a:uLnTx/>
              <a:uFillTx/>
              <a:latin typeface="Garamond" panose="02020404030301010803" pitchFamily="18" charset="0"/>
              <a:ea typeface="+mn-ea"/>
              <a:cs typeface="+mn-cs"/>
            </a:rPr>
            <a:t>Capacity factor has the second-largest negative impact</a:t>
          </a:r>
          <a:r>
            <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rPr>
            <a:t>. Lower efficiency significantly erodes profitability, while higher turbine efficiency increases NPV.</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500" b="0" i="0" u="none" strike="noStrike" kern="0" cap="none" spc="0" normalizeH="0" baseline="0" noProof="0">
            <a:ln>
              <a:noFill/>
            </a:ln>
            <a:solidFill>
              <a:prstClr val="black"/>
            </a:solidFill>
            <a:effectLst/>
            <a:uLnTx/>
            <a:uFillTx/>
            <a:latin typeface="Garamond" panose="02020404030301010803"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prstClr val="black"/>
              </a:solidFill>
              <a:effectLst/>
              <a:uLnTx/>
              <a:uFillTx/>
              <a:latin typeface="Garamond" panose="02020404030301010803" pitchFamily="18" charset="0"/>
              <a:ea typeface="+mn-ea"/>
              <a:cs typeface="+mn-cs"/>
            </a:rPr>
            <a:t>Discount rate has a major impact</a:t>
          </a:r>
          <a:r>
            <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rPr>
            <a:t>. Higher discount rates reduce NPV considerably, emphasising the importance of securing low-cost financing.</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500" b="0" i="0" u="none" strike="noStrike" kern="0" cap="none" spc="0" normalizeH="0" baseline="0" noProof="0">
            <a:ln>
              <a:noFill/>
            </a:ln>
            <a:solidFill>
              <a:prstClr val="black"/>
            </a:solidFill>
            <a:effectLst/>
            <a:uLnTx/>
            <a:uFillTx/>
            <a:latin typeface="Garamond" panose="02020404030301010803"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prstClr val="black"/>
              </a:solidFill>
              <a:effectLst/>
              <a:uLnTx/>
              <a:uFillTx/>
              <a:latin typeface="Garamond" panose="02020404030301010803" pitchFamily="18" charset="0"/>
              <a:ea typeface="+mn-ea"/>
              <a:cs typeface="+mn-cs"/>
            </a:rPr>
            <a:t>Operational expenditure (OpEx) and inflation moderately affect NPV</a:t>
          </a:r>
          <a:r>
            <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rPr>
            <a:t>. While reducing costs improves financial viability, their overall influence is lower than electricity prices or discount rates.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500" b="0" i="0" u="none" strike="noStrike" kern="0" cap="none" spc="0" normalizeH="0" baseline="0" noProof="0">
            <a:ln>
              <a:noFill/>
            </a:ln>
            <a:solidFill>
              <a:prstClr val="black"/>
            </a:solidFill>
            <a:effectLst/>
            <a:uLnTx/>
            <a:uFillTx/>
            <a:latin typeface="Garamond" panose="02020404030301010803"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prstClr val="black"/>
              </a:solidFill>
              <a:effectLst/>
              <a:uLnTx/>
              <a:uFillTx/>
              <a:latin typeface="Garamond" panose="02020404030301010803" pitchFamily="18" charset="0"/>
              <a:ea typeface="+mn-ea"/>
              <a:cs typeface="+mn-cs"/>
            </a:rPr>
            <a:t>Project delays and turbine lifetime have a smaller effect</a:t>
          </a:r>
          <a:r>
            <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rPr>
            <a:t>. Although delays and turbine lifespan impact returns, their effect is generally less pronounced compared to other variables.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endParaRPr>
        </a:p>
        <a:p>
          <a:endParaRPr lang="en-GB" sz="1600" b="1">
            <a:latin typeface="Garamond" panose="02020404030301010803" pitchFamily="18" charset="0"/>
          </a:endParaRPr>
        </a:p>
      </xdr:txBody>
    </xdr:sp>
    <xdr:clientData/>
  </xdr:twoCellAnchor>
  <xdr:twoCellAnchor>
    <xdr:from>
      <xdr:col>1</xdr:col>
      <xdr:colOff>131337</xdr:colOff>
      <xdr:row>13</xdr:row>
      <xdr:rowOff>178588</xdr:rowOff>
    </xdr:from>
    <xdr:to>
      <xdr:col>11</xdr:col>
      <xdr:colOff>326164</xdr:colOff>
      <xdr:row>43</xdr:row>
      <xdr:rowOff>177123</xdr:rowOff>
    </xdr:to>
    <mc:AlternateContent xmlns:mc="http://schemas.openxmlformats.org/markup-compatibility/2006">
      <mc:Choice xmlns:cx1="http://schemas.microsoft.com/office/drawing/2015/9/8/chartex" Requires="cx1">
        <xdr:graphicFrame macro="">
          <xdr:nvGraphicFramePr>
            <xdr:cNvPr id="85" name="Chart 84">
              <a:extLst>
                <a:ext uri="{FF2B5EF4-FFF2-40B4-BE49-F238E27FC236}">
                  <a16:creationId xmlns:a16="http://schemas.microsoft.com/office/drawing/2014/main" id="{E6944A87-7859-DAFD-6966-50189E62C3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7577" y="3447568"/>
              <a:ext cx="10504687" cy="571353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709151</xdr:colOff>
      <xdr:row>13</xdr:row>
      <xdr:rowOff>179279</xdr:rowOff>
    </xdr:from>
    <xdr:to>
      <xdr:col>23</xdr:col>
      <xdr:colOff>671651</xdr:colOff>
      <xdr:row>43</xdr:row>
      <xdr:rowOff>176432</xdr:rowOff>
    </xdr:to>
    <xdr:graphicFrame macro="">
      <xdr:nvGraphicFramePr>
        <xdr:cNvPr id="86" name="Chart 85">
          <a:extLst>
            <a:ext uri="{FF2B5EF4-FFF2-40B4-BE49-F238E27FC236}">
              <a16:creationId xmlns:a16="http://schemas.microsoft.com/office/drawing/2014/main" id="{C25B0142-BD18-5B13-AD17-7FAE5B56CB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17</xdr:col>
      <xdr:colOff>0</xdr:colOff>
      <xdr:row>5</xdr:row>
      <xdr:rowOff>0</xdr:rowOff>
    </xdr:from>
    <xdr:ext cx="5544000" cy="2243358"/>
    <xdr:sp macro="" textlink="">
      <xdr:nvSpPr>
        <xdr:cNvPr id="88" name="TextBox 87">
          <a:extLst>
            <a:ext uri="{FF2B5EF4-FFF2-40B4-BE49-F238E27FC236}">
              <a16:creationId xmlns:a16="http://schemas.microsoft.com/office/drawing/2014/main" id="{77C41457-E7B7-4A88-9083-71773E959353}"/>
            </a:ext>
          </a:extLst>
        </xdr:cNvPr>
        <xdr:cNvSpPr txBox="1"/>
      </xdr:nvSpPr>
      <xdr:spPr>
        <a:xfrm>
          <a:off x="16192500" y="931793"/>
          <a:ext cx="5544000" cy="224335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2"/>
              </a:solidFill>
              <a:effectLst/>
              <a:latin typeface="Garamond" panose="02020404030301010803" pitchFamily="18" charset="0"/>
              <a:ea typeface="+mn-ea"/>
              <a:cs typeface="+mn-cs"/>
            </a:rPr>
            <a:t>Key findings from sensitivity</a:t>
          </a:r>
          <a:r>
            <a:rPr lang="en-GB" sz="1600" b="1" baseline="0">
              <a:solidFill>
                <a:schemeClr val="tx2"/>
              </a:solidFill>
              <a:effectLst/>
              <a:latin typeface="Garamond" panose="02020404030301010803" pitchFamily="18" charset="0"/>
              <a:ea typeface="+mn-ea"/>
              <a:cs typeface="+mn-cs"/>
            </a:rPr>
            <a:t> analysis</a:t>
          </a:r>
          <a:endParaRPr lang="en-GB" sz="1600" b="1">
            <a:solidFill>
              <a:schemeClr val="tx2"/>
            </a:solidFill>
            <a:effectLst/>
            <a:latin typeface="Garamond" panose="02020404030301010803" pitchFamily="18" charset="0"/>
            <a:ea typeface="+mn-ea"/>
            <a:cs typeface="+mn-cs"/>
          </a:endParaRPr>
        </a:p>
        <a:p>
          <a:endParaRPr lang="en-GB" sz="600">
            <a:solidFill>
              <a:schemeClr val="tx2"/>
            </a:solidFill>
            <a:effectLst/>
            <a:latin typeface="Garamond" panose="02020404030301010803" pitchFamily="18" charset="0"/>
          </a:endParaRPr>
        </a:p>
        <a:p>
          <a:r>
            <a:rPr lang="en-GB" sz="1600" b="0">
              <a:solidFill>
                <a:schemeClr val="tx1"/>
              </a:solidFill>
              <a:effectLst/>
              <a:latin typeface="Garamond" panose="02020404030301010803" pitchFamily="18" charset="0"/>
              <a:ea typeface="+mn-ea"/>
              <a:cs typeface="+mn-cs"/>
            </a:rPr>
            <a:t>- Average electricity price (£/MWh) is the most influential factor.</a:t>
          </a:r>
        </a:p>
        <a:p>
          <a:endParaRPr lang="en-GB" sz="500" b="0">
            <a:effectLst/>
            <a:latin typeface="Garamond" panose="02020404030301010803" pitchFamily="18" charset="0"/>
          </a:endParaRPr>
        </a:p>
        <a:p>
          <a:r>
            <a:rPr lang="en-GB" sz="1600" b="0">
              <a:solidFill>
                <a:schemeClr val="tx1"/>
              </a:solidFill>
              <a:effectLst/>
              <a:latin typeface="Garamond" panose="02020404030301010803" pitchFamily="18" charset="0"/>
              <a:ea typeface="+mn-ea"/>
              <a:cs typeface="+mn-cs"/>
            </a:rPr>
            <a:t>- Capacity factor has the second-largest negative impact. Discount rate has</a:t>
          </a:r>
          <a:r>
            <a:rPr lang="en-GB" sz="1600" b="0" baseline="0">
              <a:solidFill>
                <a:schemeClr val="tx1"/>
              </a:solidFill>
              <a:effectLst/>
              <a:latin typeface="Garamond" panose="02020404030301010803" pitchFamily="18" charset="0"/>
              <a:ea typeface="+mn-ea"/>
              <a:cs typeface="+mn-cs"/>
            </a:rPr>
            <a:t> a major impact.</a:t>
          </a:r>
        </a:p>
        <a:p>
          <a:endParaRPr lang="en-GB" sz="500" b="0" baseline="0">
            <a:solidFill>
              <a:schemeClr val="tx1"/>
            </a:solidFill>
            <a:effectLst/>
            <a:latin typeface="Garamond" panose="02020404030301010803" pitchFamily="18" charset="0"/>
            <a:ea typeface="+mn-ea"/>
            <a:cs typeface="+mn-cs"/>
          </a:endParaRPr>
        </a:p>
        <a:p>
          <a:r>
            <a:rPr lang="en-GB" sz="1600" b="0">
              <a:solidFill>
                <a:schemeClr val="tx1"/>
              </a:solidFill>
              <a:effectLst/>
              <a:latin typeface="Garamond" panose="02020404030301010803" pitchFamily="18" charset="0"/>
              <a:ea typeface="+mn-ea"/>
              <a:cs typeface="+mn-cs"/>
            </a:rPr>
            <a:t>- Operational expenditure (OpEx) and inflation moderately affect NPV.</a:t>
          </a:r>
          <a:r>
            <a:rPr lang="en-GB" sz="1600" b="0" baseline="0">
              <a:solidFill>
                <a:schemeClr val="tx1"/>
              </a:solidFill>
              <a:effectLst/>
              <a:latin typeface="Garamond" panose="02020404030301010803" pitchFamily="18" charset="0"/>
              <a:ea typeface="+mn-ea"/>
              <a:cs typeface="+mn-cs"/>
            </a:rPr>
            <a:t> </a:t>
          </a:r>
        </a:p>
        <a:p>
          <a:endParaRPr lang="en-GB" sz="500" b="0">
            <a:solidFill>
              <a:schemeClr val="tx1"/>
            </a:solidFill>
            <a:effectLst/>
            <a:latin typeface="Garamond" panose="02020404030301010803" pitchFamily="18" charset="0"/>
            <a:ea typeface="+mn-ea"/>
            <a:cs typeface="+mn-cs"/>
          </a:endParaRPr>
        </a:p>
        <a:p>
          <a:r>
            <a:rPr lang="en-GB" sz="1600" b="0">
              <a:solidFill>
                <a:schemeClr val="tx1"/>
              </a:solidFill>
              <a:effectLst/>
              <a:latin typeface="Garamond" panose="02020404030301010803" pitchFamily="18" charset="0"/>
              <a:ea typeface="+mn-ea"/>
              <a:cs typeface="+mn-cs"/>
            </a:rPr>
            <a:t>- Project delays and turbine lifetime have a smaller effect.</a:t>
          </a:r>
          <a:endParaRPr lang="en-GB" sz="1600" b="0" baseline="0">
            <a:solidFill>
              <a:schemeClr val="tx1"/>
            </a:solidFill>
            <a:effectLst/>
            <a:latin typeface="Garamond" panose="02020404030301010803" pitchFamily="18" charset="0"/>
            <a:ea typeface="+mn-ea"/>
            <a:cs typeface="+mn-cs"/>
          </a:endParaRPr>
        </a:p>
        <a:p>
          <a:endParaRPr lang="en-GB" sz="500" b="0"/>
        </a:p>
      </xdr:txBody>
    </xdr:sp>
    <xdr:clientData/>
  </xdr:oneCellAnchor>
  <xdr:twoCellAnchor>
    <xdr:from>
      <xdr:col>10</xdr:col>
      <xdr:colOff>0</xdr:colOff>
      <xdr:row>5</xdr:row>
      <xdr:rowOff>0</xdr:rowOff>
    </xdr:from>
    <xdr:to>
      <xdr:col>16</xdr:col>
      <xdr:colOff>323684</xdr:colOff>
      <xdr:row>12</xdr:row>
      <xdr:rowOff>118240</xdr:rowOff>
    </xdr:to>
    <xdr:sp macro="" textlink="">
      <xdr:nvSpPr>
        <xdr:cNvPr id="89" name="TextBox 88">
          <a:extLst>
            <a:ext uri="{FF2B5EF4-FFF2-40B4-BE49-F238E27FC236}">
              <a16:creationId xmlns:a16="http://schemas.microsoft.com/office/drawing/2014/main" id="{D6CF8384-0558-4903-94B5-6C8EF32DC03F}"/>
            </a:ext>
          </a:extLst>
        </xdr:cNvPr>
        <xdr:cNvSpPr txBox="1"/>
      </xdr:nvSpPr>
      <xdr:spPr>
        <a:xfrm>
          <a:off x="9827172" y="985345"/>
          <a:ext cx="5605133" cy="2259723"/>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tx2"/>
              </a:solidFill>
              <a:latin typeface="Garamond" panose="02020404030301010803" pitchFamily="18" charset="0"/>
            </a:rPr>
            <a:t>Summary of results</a:t>
          </a:r>
        </a:p>
        <a:p>
          <a:endParaRPr lang="en-GB" sz="600" b="0">
            <a:latin typeface="Garamond" panose="02020404030301010803" pitchFamily="18" charset="0"/>
          </a:endParaRPr>
        </a:p>
        <a:p>
          <a:r>
            <a:rPr lang="en-GB" sz="1600" b="0">
              <a:latin typeface="Garamond" panose="02020404030301010803" pitchFamily="18" charset="0"/>
            </a:rPr>
            <a:t>- The project achieves an NPV of £8.75M and an IRR of 15% in the base case, with a worse-case NPV of £5.92M (IRR 11%) and a better-case NPV of £9.80M (IRR 16%). </a:t>
          </a:r>
        </a:p>
        <a:p>
          <a:endParaRPr lang="en-GB" sz="500" b="0">
            <a:latin typeface="Garamond" panose="02020404030301010803" pitchFamily="18" charset="0"/>
          </a:endParaRPr>
        </a:p>
        <a:p>
          <a:r>
            <a:rPr lang="en-GB" sz="1600" b="0">
              <a:latin typeface="Garamond" panose="02020404030301010803" pitchFamily="18" charset="0"/>
            </a:rPr>
            <a:t>- Profitability occurs around year 11, with early losses but strong long-term cash flow growth. </a:t>
          </a:r>
        </a:p>
        <a:p>
          <a:endParaRPr lang="en-GB" sz="500" b="0">
            <a:latin typeface="Garamond" panose="02020404030301010803" pitchFamily="18" charset="0"/>
          </a:endParaRPr>
        </a:p>
        <a:p>
          <a:r>
            <a:rPr lang="en-GB" sz="1600" b="0">
              <a:latin typeface="Garamond" panose="02020404030301010803" pitchFamily="18" charset="0"/>
            </a:rPr>
            <a:t>- LCOE remains stable (£43.69–£44.31/MWh), and ROI ranges from 46% to 77%, confirming profitability across scenarios.</a:t>
          </a:r>
          <a:endParaRPr lang="en-GB" sz="1600" b="0" baseline="0">
            <a:latin typeface="Garamond" panose="02020404030301010803" pitchFamily="18" charset="0"/>
          </a:endParaRPr>
        </a:p>
      </xdr:txBody>
    </xdr:sp>
    <xdr:clientData/>
  </xdr:twoCellAnchor>
  <xdr:twoCellAnchor>
    <xdr:from>
      <xdr:col>12</xdr:col>
      <xdr:colOff>240127</xdr:colOff>
      <xdr:row>132</xdr:row>
      <xdr:rowOff>0</xdr:rowOff>
    </xdr:from>
    <xdr:to>
      <xdr:col>22</xdr:col>
      <xdr:colOff>861935</xdr:colOff>
      <xdr:row>153</xdr:row>
      <xdr:rowOff>116304</xdr:rowOff>
    </xdr:to>
    <xdr:graphicFrame macro="">
      <xdr:nvGraphicFramePr>
        <xdr:cNvPr id="93" name="Chart 92">
          <a:extLst>
            <a:ext uri="{FF2B5EF4-FFF2-40B4-BE49-F238E27FC236}">
              <a16:creationId xmlns:a16="http://schemas.microsoft.com/office/drawing/2014/main" id="{76BF79F4-2B1C-420B-BFA9-C1DB5CFF51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688005</xdr:colOff>
      <xdr:row>132</xdr:row>
      <xdr:rowOff>0</xdr:rowOff>
    </xdr:from>
    <xdr:to>
      <xdr:col>10</xdr:col>
      <xdr:colOff>856965</xdr:colOff>
      <xdr:row>153</xdr:row>
      <xdr:rowOff>133502</xdr:rowOff>
    </xdr:to>
    <xdr:graphicFrame macro="">
      <xdr:nvGraphicFramePr>
        <xdr:cNvPr id="94" name="Chart 93">
          <a:extLst>
            <a:ext uri="{FF2B5EF4-FFF2-40B4-BE49-F238E27FC236}">
              <a16:creationId xmlns:a16="http://schemas.microsoft.com/office/drawing/2014/main" id="{98F4E603-8815-4A93-8BF6-45D7F7B25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695544</xdr:colOff>
      <xdr:row>156</xdr:row>
      <xdr:rowOff>189254</xdr:rowOff>
    </xdr:from>
    <xdr:to>
      <xdr:col>10</xdr:col>
      <xdr:colOff>828576</xdr:colOff>
      <xdr:row>178</xdr:row>
      <xdr:rowOff>135384</xdr:rowOff>
    </xdr:to>
    <xdr:graphicFrame macro="">
      <xdr:nvGraphicFramePr>
        <xdr:cNvPr id="95" name="Chart 94">
          <a:extLst>
            <a:ext uri="{FF2B5EF4-FFF2-40B4-BE49-F238E27FC236}">
              <a16:creationId xmlns:a16="http://schemas.microsoft.com/office/drawing/2014/main" id="{C95C886E-4492-4D19-9F51-F9C0848D5E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234083</xdr:colOff>
      <xdr:row>156</xdr:row>
      <xdr:rowOff>189254</xdr:rowOff>
    </xdr:from>
    <xdr:to>
      <xdr:col>22</xdr:col>
      <xdr:colOff>865189</xdr:colOff>
      <xdr:row>178</xdr:row>
      <xdr:rowOff>134529</xdr:rowOff>
    </xdr:to>
    <xdr:graphicFrame macro="">
      <xdr:nvGraphicFramePr>
        <xdr:cNvPr id="96" name="Chart 95">
          <a:extLst>
            <a:ext uri="{FF2B5EF4-FFF2-40B4-BE49-F238E27FC236}">
              <a16:creationId xmlns:a16="http://schemas.microsoft.com/office/drawing/2014/main" id="{1E13FB2B-A6B1-4A0C-982C-CD6EE2F456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691896</xdr:colOff>
      <xdr:row>182</xdr:row>
      <xdr:rowOff>0</xdr:rowOff>
    </xdr:from>
    <xdr:to>
      <xdr:col>11</xdr:col>
      <xdr:colOff>13097</xdr:colOff>
      <xdr:row>203</xdr:row>
      <xdr:rowOff>155181</xdr:rowOff>
    </xdr:to>
    <xdr:graphicFrame macro="">
      <xdr:nvGraphicFramePr>
        <xdr:cNvPr id="97" name="Chart 96">
          <a:extLst>
            <a:ext uri="{FF2B5EF4-FFF2-40B4-BE49-F238E27FC236}">
              <a16:creationId xmlns:a16="http://schemas.microsoft.com/office/drawing/2014/main" id="{DC1B4264-4C15-4843-AD01-7153CA9573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304626</xdr:colOff>
      <xdr:row>182</xdr:row>
      <xdr:rowOff>0</xdr:rowOff>
    </xdr:from>
    <xdr:to>
      <xdr:col>22</xdr:col>
      <xdr:colOff>858827</xdr:colOff>
      <xdr:row>203</xdr:row>
      <xdr:rowOff>140403</xdr:rowOff>
    </xdr:to>
    <xdr:graphicFrame macro="">
      <xdr:nvGraphicFramePr>
        <xdr:cNvPr id="98" name="Chart 97">
          <a:extLst>
            <a:ext uri="{FF2B5EF4-FFF2-40B4-BE49-F238E27FC236}">
              <a16:creationId xmlns:a16="http://schemas.microsoft.com/office/drawing/2014/main" id="{475E15C4-BFB8-42E1-BC7C-067D332B4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691896</xdr:colOff>
      <xdr:row>207</xdr:row>
      <xdr:rowOff>0</xdr:rowOff>
    </xdr:from>
    <xdr:to>
      <xdr:col>11</xdr:col>
      <xdr:colOff>17774</xdr:colOff>
      <xdr:row>228</xdr:row>
      <xdr:rowOff>137493</xdr:rowOff>
    </xdr:to>
    <xdr:graphicFrame macro="">
      <xdr:nvGraphicFramePr>
        <xdr:cNvPr id="99" name="Chart 98">
          <a:extLst>
            <a:ext uri="{FF2B5EF4-FFF2-40B4-BE49-F238E27FC236}">
              <a16:creationId xmlns:a16="http://schemas.microsoft.com/office/drawing/2014/main" id="{838058BF-76CE-49CD-9BCD-553DB5FA4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2</xdr:col>
      <xdr:colOff>1770945</xdr:colOff>
      <xdr:row>135</xdr:row>
      <xdr:rowOff>10200</xdr:rowOff>
    </xdr:from>
    <xdr:ext cx="3409720" cy="1648149"/>
    <xdr:sp macro="" textlink="">
      <xdr:nvSpPr>
        <xdr:cNvPr id="101" name="TextBox 100">
          <a:extLst>
            <a:ext uri="{FF2B5EF4-FFF2-40B4-BE49-F238E27FC236}">
              <a16:creationId xmlns:a16="http://schemas.microsoft.com/office/drawing/2014/main" id="{9CB17A66-65FF-4176-9D18-60AB060D91AA}"/>
            </a:ext>
          </a:extLst>
        </xdr:cNvPr>
        <xdr:cNvSpPr txBox="1"/>
      </xdr:nvSpPr>
      <xdr:spPr>
        <a:xfrm>
          <a:off x="2357827" y="18037889"/>
          <a:ext cx="340972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a:solidFill>
                <a:schemeClr val="accent5">
                  <a:lumMod val="75000"/>
                </a:schemeClr>
              </a:solidFill>
              <a:latin typeface="Garamond" panose="02020404030301010803" pitchFamily="18" charset="0"/>
            </a:rPr>
            <a:t>NPV is highly sensitive to electricity prices. A drop of 50% in electricity price leads to a negative NPV, making the project unviable. Conversely, a 50% increase significantly boosts profitability.</a:t>
          </a:r>
        </a:p>
        <a:p>
          <a:endParaRPr lang="en-GB" sz="1200">
            <a:solidFill>
              <a:schemeClr val="accent5">
                <a:lumMod val="75000"/>
              </a:schemeClr>
            </a:solidFill>
            <a:latin typeface="Garamond" panose="02020404030301010803"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chemeClr val="accent5">
                  <a:lumMod val="75000"/>
                </a:schemeClr>
              </a:solidFill>
              <a:effectLst/>
              <a:uLnTx/>
              <a:uFillTx/>
              <a:latin typeface="Garamond" panose="02020404030301010803" pitchFamily="18" charset="0"/>
              <a:ea typeface="+mn-ea"/>
              <a:cs typeface="+mn-cs"/>
            </a:rPr>
            <a:t>Recommendation:</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0" i="0" u="none" strike="noStrike" kern="0" cap="none" spc="0" normalizeH="0" baseline="0" noProof="0">
              <a:ln>
                <a:noFill/>
              </a:ln>
              <a:solidFill>
                <a:schemeClr val="accent5">
                  <a:lumMod val="75000"/>
                </a:schemeClr>
              </a:solidFill>
              <a:effectLst/>
              <a:uLnTx/>
              <a:uFillTx/>
              <a:latin typeface="Garamond" panose="02020404030301010803" pitchFamily="18" charset="0"/>
              <a:ea typeface="+mn-ea"/>
              <a:cs typeface="+mn-cs"/>
            </a:rPr>
            <a:t>Risk mitigation should consider long-term price contracts or subsidies.</a:t>
          </a:r>
        </a:p>
        <a:p>
          <a:endParaRPr lang="en-GB" sz="1200">
            <a:solidFill>
              <a:schemeClr val="accent5">
                <a:lumMod val="75000"/>
              </a:schemeClr>
            </a:solidFill>
            <a:latin typeface="Garamond" panose="02020404030301010803" pitchFamily="18" charset="0"/>
          </a:endParaRPr>
        </a:p>
      </xdr:txBody>
    </xdr:sp>
    <xdr:clientData/>
  </xdr:oneCellAnchor>
  <xdr:oneCellAnchor>
    <xdr:from>
      <xdr:col>19</xdr:col>
      <xdr:colOff>168505</xdr:colOff>
      <xdr:row>134</xdr:row>
      <xdr:rowOff>79674</xdr:rowOff>
    </xdr:from>
    <xdr:ext cx="3256765" cy="1427132"/>
    <xdr:sp macro="" textlink="">
      <xdr:nvSpPr>
        <xdr:cNvPr id="102" name="TextBox 101">
          <a:extLst>
            <a:ext uri="{FF2B5EF4-FFF2-40B4-BE49-F238E27FC236}">
              <a16:creationId xmlns:a16="http://schemas.microsoft.com/office/drawing/2014/main" id="{655E68CD-92A6-41CA-A837-3E9B5C05FF14}"/>
            </a:ext>
          </a:extLst>
        </xdr:cNvPr>
        <xdr:cNvSpPr txBox="1"/>
      </xdr:nvSpPr>
      <xdr:spPr>
        <a:xfrm>
          <a:off x="17914140" y="18210792"/>
          <a:ext cx="3256765"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NPV declines significantly as the discount rate increases, indicating the project is highly sensitive to the project's cost of capital.</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Secure low-cost financing or government incentives to</a:t>
          </a:r>
          <a:r>
            <a:rPr lang="en-GB" sz="1200" b="0" baseline="0">
              <a:solidFill>
                <a:schemeClr val="accent5">
                  <a:lumMod val="75000"/>
                </a:schemeClr>
              </a:solidFill>
              <a:latin typeface="Garamond" panose="02020404030301010803" pitchFamily="18" charset="0"/>
            </a:rPr>
            <a:t> maximise profitability</a:t>
          </a:r>
          <a:r>
            <a:rPr lang="en-GB" sz="1200" b="0">
              <a:solidFill>
                <a:schemeClr val="accent5">
                  <a:lumMod val="75000"/>
                </a:schemeClr>
              </a:solidFill>
              <a:latin typeface="Garamond" panose="02020404030301010803" pitchFamily="18" charset="0"/>
            </a:rPr>
            <a:t>.</a:t>
          </a:r>
        </a:p>
      </xdr:txBody>
    </xdr:sp>
    <xdr:clientData/>
  </xdr:oneCellAnchor>
  <xdr:oneCellAnchor>
    <xdr:from>
      <xdr:col>2</xdr:col>
      <xdr:colOff>1779052</xdr:colOff>
      <xdr:row>159</xdr:row>
      <xdr:rowOff>184348</xdr:rowOff>
    </xdr:from>
    <xdr:ext cx="2838075" cy="1427132"/>
    <xdr:sp macro="" textlink="">
      <xdr:nvSpPr>
        <xdr:cNvPr id="103" name="TextBox 102">
          <a:extLst>
            <a:ext uri="{FF2B5EF4-FFF2-40B4-BE49-F238E27FC236}">
              <a16:creationId xmlns:a16="http://schemas.microsoft.com/office/drawing/2014/main" id="{C821578C-B118-4D28-82DA-4DB5A475B969}"/>
            </a:ext>
          </a:extLst>
        </xdr:cNvPr>
        <xdr:cNvSpPr txBox="1"/>
      </xdr:nvSpPr>
      <xdr:spPr>
        <a:xfrm>
          <a:off x="2366738" y="22755485"/>
          <a:ext cx="2838075"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Higher capacity factors improve NPV, showing a clear benefit from efficiency improvements or favorable wind conditions.</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Maximise turbine efficiency through placement and technology improvements.</a:t>
          </a:r>
        </a:p>
      </xdr:txBody>
    </xdr:sp>
    <xdr:clientData/>
  </xdr:oneCellAnchor>
  <xdr:oneCellAnchor>
    <xdr:from>
      <xdr:col>2</xdr:col>
      <xdr:colOff>1777111</xdr:colOff>
      <xdr:row>209</xdr:row>
      <xdr:rowOff>109220</xdr:rowOff>
    </xdr:from>
    <xdr:ext cx="5601970" cy="1648149"/>
    <xdr:sp macro="" textlink="">
      <xdr:nvSpPr>
        <xdr:cNvPr id="106" name="TextBox 105">
          <a:extLst>
            <a:ext uri="{FF2B5EF4-FFF2-40B4-BE49-F238E27FC236}">
              <a16:creationId xmlns:a16="http://schemas.microsoft.com/office/drawing/2014/main" id="{C2C3BA41-E4DB-483D-A890-DC924C768A2F}"/>
            </a:ext>
          </a:extLst>
        </xdr:cNvPr>
        <xdr:cNvSpPr txBox="1"/>
      </xdr:nvSpPr>
      <xdr:spPr>
        <a:xfrm>
          <a:off x="2365176" y="32345133"/>
          <a:ext cx="560197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A longer turbine lifespan slightly increases NPV, but the effect is not as strong as electricity prices.</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Extend</a:t>
          </a:r>
          <a:r>
            <a:rPr lang="en-GB" sz="1200" b="0" baseline="0">
              <a:solidFill>
                <a:schemeClr val="accent5">
                  <a:lumMod val="75000"/>
                </a:schemeClr>
              </a:solidFill>
              <a:latin typeface="Garamond" panose="02020404030301010803" pitchFamily="18" charset="0"/>
            </a:rPr>
            <a:t> </a:t>
          </a:r>
          <a:r>
            <a:rPr lang="en-GB" sz="1200" b="0">
              <a:solidFill>
                <a:schemeClr val="accent5">
                  <a:lumMod val="75000"/>
                </a:schemeClr>
              </a:solidFill>
              <a:latin typeface="Garamond" panose="02020404030301010803" pitchFamily="18" charset="0"/>
            </a:rPr>
            <a:t>operational life via maintenance and warranties to provide additional value, but this</a:t>
          </a:r>
          <a:r>
            <a:rPr lang="en-GB" sz="1200" b="0" baseline="0">
              <a:solidFill>
                <a:schemeClr val="accent5">
                  <a:lumMod val="75000"/>
                </a:schemeClr>
              </a:solidFill>
              <a:latin typeface="Garamond" panose="02020404030301010803" pitchFamily="18" charset="0"/>
            </a:rPr>
            <a:t> </a:t>
          </a:r>
          <a:r>
            <a:rPr lang="en-GB" sz="1200" b="0">
              <a:solidFill>
                <a:schemeClr val="accent5">
                  <a:lumMod val="75000"/>
                </a:schemeClr>
              </a:solidFill>
              <a:latin typeface="Garamond" panose="02020404030301010803" pitchFamily="18" charset="0"/>
            </a:rPr>
            <a:t>is not the main driver of profitability.</a:t>
          </a:r>
        </a:p>
      </xdr:txBody>
    </xdr:sp>
    <xdr:clientData/>
  </xdr:oneCellAnchor>
  <xdr:oneCellAnchor>
    <xdr:from>
      <xdr:col>2</xdr:col>
      <xdr:colOff>1779016</xdr:colOff>
      <xdr:row>185</xdr:row>
      <xdr:rowOff>836</xdr:rowOff>
    </xdr:from>
    <xdr:ext cx="4072255" cy="1427132"/>
    <xdr:sp macro="" textlink="">
      <xdr:nvSpPr>
        <xdr:cNvPr id="107" name="TextBox 106">
          <a:extLst>
            <a:ext uri="{FF2B5EF4-FFF2-40B4-BE49-F238E27FC236}">
              <a16:creationId xmlns:a16="http://schemas.microsoft.com/office/drawing/2014/main" id="{BEEBF0BE-A0A3-4C81-B6AD-9300900A9596}"/>
            </a:ext>
          </a:extLst>
        </xdr:cNvPr>
        <xdr:cNvSpPr txBox="1"/>
      </xdr:nvSpPr>
      <xdr:spPr>
        <a:xfrm>
          <a:off x="2367081" y="27664749"/>
          <a:ext cx="4072255"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Moderate sensitivity to inflation—higher inflation slightly increases NPV due to potential price adjustments.</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Long-term contracts that allow price adjustments may provide financial stability.</a:t>
          </a:r>
        </a:p>
      </xdr:txBody>
    </xdr:sp>
    <xdr:clientData/>
  </xdr:oneCellAnchor>
  <xdr:oneCellAnchor>
    <xdr:from>
      <xdr:col>18</xdr:col>
      <xdr:colOff>787168</xdr:colOff>
      <xdr:row>159</xdr:row>
      <xdr:rowOff>75565</xdr:rowOff>
    </xdr:from>
    <xdr:ext cx="3472349" cy="1648149"/>
    <xdr:sp macro="" textlink="">
      <xdr:nvSpPr>
        <xdr:cNvPr id="108" name="TextBox 107">
          <a:extLst>
            <a:ext uri="{FF2B5EF4-FFF2-40B4-BE49-F238E27FC236}">
              <a16:creationId xmlns:a16="http://schemas.microsoft.com/office/drawing/2014/main" id="{3B80966F-2275-4073-9995-A7EBB409E6B0}"/>
            </a:ext>
          </a:extLst>
        </xdr:cNvPr>
        <xdr:cNvSpPr txBox="1"/>
      </xdr:nvSpPr>
      <xdr:spPr>
        <a:xfrm>
          <a:off x="17625874" y="22646702"/>
          <a:ext cx="3472349"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Lowering OpEx improves NPV, but the sensitivity is moderate compared to electricity price or discount rate.</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While cost control is important, it should not come at the expense of performance and reliability..</a:t>
          </a:r>
        </a:p>
      </xdr:txBody>
    </xdr:sp>
    <xdr:clientData/>
  </xdr:oneCellAnchor>
  <xdr:oneCellAnchor>
    <xdr:from>
      <xdr:col>13</xdr:col>
      <xdr:colOff>397971</xdr:colOff>
      <xdr:row>184</xdr:row>
      <xdr:rowOff>75565</xdr:rowOff>
    </xdr:from>
    <xdr:ext cx="3542031" cy="1648149"/>
    <xdr:sp macro="" textlink="">
      <xdr:nvSpPr>
        <xdr:cNvPr id="110" name="TextBox 109">
          <a:extLst>
            <a:ext uri="{FF2B5EF4-FFF2-40B4-BE49-F238E27FC236}">
              <a16:creationId xmlns:a16="http://schemas.microsoft.com/office/drawing/2014/main" id="{F71BAB73-17B3-4F9E-B381-3CF8119830E0}"/>
            </a:ext>
          </a:extLst>
        </xdr:cNvPr>
        <xdr:cNvSpPr txBox="1"/>
      </xdr:nvSpPr>
      <xdr:spPr>
        <a:xfrm>
          <a:off x="12854618" y="27676391"/>
          <a:ext cx="3542031"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Increasing the number of turbines leads to a proportional increase in NPV, indicating a direct relationship between scale and profitability.</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Expand the wind farm by adding more turbines to improve financial returns,</a:t>
          </a:r>
          <a:r>
            <a:rPr lang="en-GB" sz="1200" b="0" baseline="0">
              <a:solidFill>
                <a:schemeClr val="accent5">
                  <a:lumMod val="75000"/>
                </a:schemeClr>
              </a:solidFill>
              <a:latin typeface="Garamond" panose="02020404030301010803" pitchFamily="18" charset="0"/>
            </a:rPr>
            <a:t> if </a:t>
          </a:r>
          <a:r>
            <a:rPr lang="en-GB" sz="1200" b="0">
              <a:solidFill>
                <a:schemeClr val="accent5">
                  <a:lumMod val="75000"/>
                </a:schemeClr>
              </a:solidFill>
              <a:latin typeface="Garamond" panose="02020404030301010803" pitchFamily="18" charset="0"/>
            </a:rPr>
            <a:t>capital investment and site constraints allow for expansion.</a:t>
          </a:r>
        </a:p>
      </xdr:txBody>
    </xdr:sp>
    <xdr:clientData/>
  </xdr:oneCellAnchor>
  <xdr:twoCellAnchor>
    <xdr:from>
      <xdr:col>12</xdr:col>
      <xdr:colOff>304626</xdr:colOff>
      <xdr:row>207</xdr:row>
      <xdr:rowOff>0</xdr:rowOff>
    </xdr:from>
    <xdr:to>
      <xdr:col>22</xdr:col>
      <xdr:colOff>872546</xdr:colOff>
      <xdr:row>228</xdr:row>
      <xdr:rowOff>115816</xdr:rowOff>
    </xdr:to>
    <xdr:graphicFrame macro="">
      <xdr:nvGraphicFramePr>
        <xdr:cNvPr id="111" name="Chart 110">
          <a:extLst>
            <a:ext uri="{FF2B5EF4-FFF2-40B4-BE49-F238E27FC236}">
              <a16:creationId xmlns:a16="http://schemas.microsoft.com/office/drawing/2014/main" id="{88323726-2F3D-4557-B26A-43B773F06D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18</xdr:col>
      <xdr:colOff>854628</xdr:colOff>
      <xdr:row>209</xdr:row>
      <xdr:rowOff>124777</xdr:rowOff>
    </xdr:from>
    <xdr:ext cx="3328034" cy="1427132"/>
    <xdr:sp macro="" textlink="">
      <xdr:nvSpPr>
        <xdr:cNvPr id="112" name="TextBox 111">
          <a:extLst>
            <a:ext uri="{FF2B5EF4-FFF2-40B4-BE49-F238E27FC236}">
              <a16:creationId xmlns:a16="http://schemas.microsoft.com/office/drawing/2014/main" id="{DE48565A-F844-49F6-BDB8-13986A7CF9AE}"/>
            </a:ext>
          </a:extLst>
        </xdr:cNvPr>
        <xdr:cNvSpPr txBox="1"/>
      </xdr:nvSpPr>
      <xdr:spPr>
        <a:xfrm>
          <a:off x="17691634" y="32516621"/>
          <a:ext cx="3328034"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Delays in turbine operation reduce NPV, with long delays significantly impacting financial viability.</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Streamline permitting, supply chain, and construction processes to maximise returns.</a:t>
          </a:r>
        </a:p>
      </xdr:txBody>
    </xdr:sp>
    <xdr:clientData/>
  </xdr:oneCellAnchor>
  <xdr:twoCellAnchor editAs="oneCell">
    <xdr:from>
      <xdr:col>2</xdr:col>
      <xdr:colOff>0</xdr:colOff>
      <xdr:row>89</xdr:row>
      <xdr:rowOff>0</xdr:rowOff>
    </xdr:from>
    <xdr:to>
      <xdr:col>12</xdr:col>
      <xdr:colOff>792480</xdr:colOff>
      <xdr:row>100</xdr:row>
      <xdr:rowOff>38100</xdr:rowOff>
    </xdr:to>
    <xdr:pic>
      <xdr:nvPicPr>
        <xdr:cNvPr id="3" name="Picture 2">
          <a:extLst>
            <a:ext uri="{FF2B5EF4-FFF2-40B4-BE49-F238E27FC236}">
              <a16:creationId xmlns:a16="http://schemas.microsoft.com/office/drawing/2014/main" id="{DE1BCD27-98FC-4C0C-9E25-4E43B7090D8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87115" y="17301148"/>
          <a:ext cx="11785267" cy="2099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12</xdr:col>
      <xdr:colOff>774492</xdr:colOff>
      <xdr:row>113</xdr:row>
      <xdr:rowOff>38099</xdr:rowOff>
    </xdr:to>
    <xdr:pic>
      <xdr:nvPicPr>
        <xdr:cNvPr id="5" name="Picture 4">
          <a:extLst>
            <a:ext uri="{FF2B5EF4-FFF2-40B4-BE49-F238E27FC236}">
              <a16:creationId xmlns:a16="http://schemas.microsoft.com/office/drawing/2014/main" id="{0EC7F216-6A3A-4092-8FF6-05EA2319C18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87115" y="19737049"/>
          <a:ext cx="11767279" cy="2099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12</xdr:col>
      <xdr:colOff>874425</xdr:colOff>
      <xdr:row>103</xdr:row>
      <xdr:rowOff>0</xdr:rowOff>
    </xdr:from>
    <xdr:ext cx="9604800" cy="1469361"/>
    <xdr:sp macro="" textlink="">
      <xdr:nvSpPr>
        <xdr:cNvPr id="6" name="TextBox 5">
          <a:extLst>
            <a:ext uri="{FF2B5EF4-FFF2-40B4-BE49-F238E27FC236}">
              <a16:creationId xmlns:a16="http://schemas.microsoft.com/office/drawing/2014/main" id="{678F26C0-26BA-45CD-9688-14435884BFCA}"/>
            </a:ext>
          </a:extLst>
        </xdr:cNvPr>
        <xdr:cNvSpPr txBox="1"/>
      </xdr:nvSpPr>
      <xdr:spPr>
        <a:xfrm>
          <a:off x="12454327" y="19924426"/>
          <a:ext cx="9604800" cy="1469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rgbClr val="1F497D"/>
              </a:solidFill>
              <a:effectLst/>
              <a:uLnTx/>
              <a:uFillTx/>
              <a:latin typeface="Garamond" panose="02020404030301010803" pitchFamily="18" charset="0"/>
              <a:ea typeface="+mn-ea"/>
              <a:cs typeface="+mn-cs"/>
            </a:rPr>
            <a:t>Average electricity price vs. Capacity factor</a:t>
          </a:r>
        </a:p>
        <a:p>
          <a:endParaRPr lang="en-GB" sz="500" b="1">
            <a:latin typeface="Garamond" panose="02020404030301010803" pitchFamily="18" charset="0"/>
          </a:endParaRPr>
        </a:p>
        <a:p>
          <a:r>
            <a:rPr lang="en-GB" sz="1600" b="0">
              <a:latin typeface="Garamond" panose="02020404030301010803" pitchFamily="18" charset="0"/>
            </a:rPr>
            <a:t>At £45/MWh or higher, the project remains viable as long as the capacity factor is at least 27%.</a:t>
          </a:r>
          <a:r>
            <a:rPr lang="en-GB" sz="1600" b="0" baseline="0">
              <a:latin typeface="Garamond" panose="02020404030301010803" pitchFamily="18" charset="0"/>
            </a:rPr>
            <a:t> </a:t>
          </a:r>
          <a:r>
            <a:rPr lang="en-GB" sz="1600" b="0">
              <a:latin typeface="Garamond" panose="02020404030301010803" pitchFamily="18" charset="0"/>
            </a:rPr>
            <a:t>With an electricity price of £37.5/MWh, profitability requires a capacity factor of 33% or greater.</a:t>
          </a:r>
          <a:r>
            <a:rPr lang="en-GB" sz="1600" b="0" baseline="0">
              <a:latin typeface="Garamond" panose="02020404030301010803" pitchFamily="18" charset="0"/>
            </a:rPr>
            <a:t> </a:t>
          </a:r>
          <a:r>
            <a:rPr lang="en-GB" sz="1600" b="0">
              <a:latin typeface="Garamond" panose="02020404030301010803" pitchFamily="18" charset="0"/>
            </a:rPr>
            <a:t>At £25/MWh, the project is unviable regardless of efficiency levels.</a:t>
          </a:r>
        </a:p>
      </xdr:txBody>
    </xdr:sp>
    <xdr:clientData/>
  </xdr:oneCellAnchor>
  <xdr:twoCellAnchor editAs="oneCell">
    <xdr:from>
      <xdr:col>2</xdr:col>
      <xdr:colOff>0</xdr:colOff>
      <xdr:row>115</xdr:row>
      <xdr:rowOff>0</xdr:rowOff>
    </xdr:from>
    <xdr:to>
      <xdr:col>12</xdr:col>
      <xdr:colOff>792480</xdr:colOff>
      <xdr:row>126</xdr:row>
      <xdr:rowOff>38100</xdr:rowOff>
    </xdr:to>
    <xdr:pic>
      <xdr:nvPicPr>
        <xdr:cNvPr id="7" name="Picture 6">
          <a:extLst>
            <a:ext uri="{FF2B5EF4-FFF2-40B4-BE49-F238E27FC236}">
              <a16:creationId xmlns:a16="http://schemas.microsoft.com/office/drawing/2014/main" id="{4AB800AF-0843-8CC3-396F-F2583DF53C6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86740" y="22509480"/>
          <a:ext cx="11788140"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13</xdr:col>
      <xdr:colOff>1589</xdr:colOff>
      <xdr:row>116</xdr:row>
      <xdr:rowOff>0</xdr:rowOff>
    </xdr:from>
    <xdr:ext cx="9604800" cy="1620982"/>
    <xdr:sp macro="" textlink="">
      <xdr:nvSpPr>
        <xdr:cNvPr id="10" name="TextBox 9">
          <a:extLst>
            <a:ext uri="{FF2B5EF4-FFF2-40B4-BE49-F238E27FC236}">
              <a16:creationId xmlns:a16="http://schemas.microsoft.com/office/drawing/2014/main" id="{B6772896-538C-43E6-8BBA-F2D2BA54B016}"/>
            </a:ext>
          </a:extLst>
        </xdr:cNvPr>
        <xdr:cNvSpPr txBox="1"/>
      </xdr:nvSpPr>
      <xdr:spPr>
        <a:xfrm>
          <a:off x="12456825" y="23109382"/>
          <a:ext cx="9604800" cy="16209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rgbClr val="1F497D"/>
              </a:solidFill>
              <a:effectLst/>
              <a:uLnTx/>
              <a:uFillTx/>
              <a:latin typeface="Garamond" panose="02020404030301010803" pitchFamily="18" charset="0"/>
              <a:ea typeface="+mn-ea"/>
              <a:cs typeface="+mn-cs"/>
            </a:rPr>
            <a:t>Average electricity price vs. Years before turbines operate</a:t>
          </a:r>
        </a:p>
        <a:p>
          <a:endParaRPr lang="en-GB" sz="500" b="1">
            <a:latin typeface="Garamond" panose="02020404030301010803" pitchFamily="18" charset="0"/>
          </a:endParaRPr>
        </a:p>
        <a:p>
          <a:r>
            <a:rPr lang="en-GB" sz="1600" b="0">
              <a:latin typeface="Garamond" panose="02020404030301010803" pitchFamily="18" charset="0"/>
            </a:rPr>
            <a:t>At £45/MWh, the project remains viable even with delays of up to 9 years. If electricity prices are £37.5/MWh, turbines must start operating within 5 years to stay profitable. At £25/MWh, the project is unviable regardless of the timeline.</a:t>
          </a:r>
        </a:p>
      </xdr:txBody>
    </xdr:sp>
    <xdr:clientData/>
  </xdr:oneCellAnchor>
  <xdr:oneCellAnchor>
    <xdr:from>
      <xdr:col>13</xdr:col>
      <xdr:colOff>0</xdr:colOff>
      <xdr:row>90</xdr:row>
      <xdr:rowOff>0</xdr:rowOff>
    </xdr:from>
    <xdr:ext cx="9606197" cy="1569653"/>
    <xdr:sp macro="" textlink="">
      <xdr:nvSpPr>
        <xdr:cNvPr id="12" name="TextBox 11">
          <a:extLst>
            <a:ext uri="{FF2B5EF4-FFF2-40B4-BE49-F238E27FC236}">
              <a16:creationId xmlns:a16="http://schemas.microsoft.com/office/drawing/2014/main" id="{C58E210D-0C7D-48FA-B2A5-54C99C33363E}"/>
            </a:ext>
          </a:extLst>
        </xdr:cNvPr>
        <xdr:cNvSpPr txBox="1"/>
      </xdr:nvSpPr>
      <xdr:spPr>
        <a:xfrm>
          <a:off x="12455236" y="18066327"/>
          <a:ext cx="9606197" cy="1569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rgbClr val="1F497D"/>
              </a:solidFill>
              <a:effectLst/>
              <a:uLnTx/>
              <a:uFillTx/>
              <a:latin typeface="Garamond" panose="02020404030301010803" pitchFamily="18" charset="0"/>
              <a:ea typeface="+mn-ea"/>
              <a:cs typeface="+mn-cs"/>
            </a:rPr>
            <a:t>Average electricity price vs. Discount rate</a:t>
          </a:r>
        </a:p>
        <a:p>
          <a:endParaRPr lang="en-GB" sz="500" b="1">
            <a:latin typeface="Garamond" panose="02020404030301010803" pitchFamily="18" charset="0"/>
          </a:endParaRPr>
        </a:p>
        <a:p>
          <a:r>
            <a:rPr lang="en-GB" sz="1600" b="0">
              <a:latin typeface="Garamond" panose="02020404030301010803" pitchFamily="18" charset="0"/>
            </a:rPr>
            <a:t>At an electricity price of £45/MWh, the project is viable at all discount rates in the table (4% to 12%).</a:t>
          </a:r>
          <a:r>
            <a:rPr lang="en-GB" sz="1600" b="0" baseline="0">
              <a:latin typeface="Garamond" panose="02020404030301010803" pitchFamily="18" charset="0"/>
            </a:rPr>
            <a:t> </a:t>
          </a:r>
          <a:r>
            <a:rPr lang="en-GB" sz="1600" b="0">
              <a:latin typeface="Garamond" panose="02020404030301010803" pitchFamily="18" charset="0"/>
            </a:rPr>
            <a:t>If discount rates exceed 10%, the project requires electricity prices of at least £45/MWh to remain viable.</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16144</xdr:colOff>
      <xdr:row>16</xdr:row>
      <xdr:rowOff>78124</xdr:rowOff>
    </xdr:from>
    <xdr:to>
      <xdr:col>7</xdr:col>
      <xdr:colOff>1009456</xdr:colOff>
      <xdr:row>65</xdr:row>
      <xdr:rowOff>41955</xdr:rowOff>
    </xdr:to>
    <xdr:graphicFrame macro="">
      <xdr:nvGraphicFramePr>
        <xdr:cNvPr id="3" name="Chart 2">
          <a:extLst>
            <a:ext uri="{FF2B5EF4-FFF2-40B4-BE49-F238E27FC236}">
              <a16:creationId xmlns:a16="http://schemas.microsoft.com/office/drawing/2014/main" id="{D596EA8C-B437-407A-B68A-150914DCA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112057</xdr:colOff>
      <xdr:row>64</xdr:row>
      <xdr:rowOff>112060</xdr:rowOff>
    </xdr:from>
    <xdr:to>
      <xdr:col>7</xdr:col>
      <xdr:colOff>704177</xdr:colOff>
      <xdr:row>92</xdr:row>
      <xdr:rowOff>74707</xdr:rowOff>
    </xdr:to>
    <xdr:sp macro="" textlink="">
      <xdr:nvSpPr>
        <xdr:cNvPr id="2" name="TextBox 1">
          <a:extLst>
            <a:ext uri="{FF2B5EF4-FFF2-40B4-BE49-F238E27FC236}">
              <a16:creationId xmlns:a16="http://schemas.microsoft.com/office/drawing/2014/main" id="{924A8657-7715-4F3E-B15B-5F2F9AE193ED}"/>
            </a:ext>
          </a:extLst>
        </xdr:cNvPr>
        <xdr:cNvSpPr txBox="1"/>
      </xdr:nvSpPr>
      <xdr:spPr>
        <a:xfrm>
          <a:off x="719042" y="11467354"/>
          <a:ext cx="12274253" cy="49305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latin typeface="Garamond" panose="02020404030301010803" pitchFamily="18" charset="0"/>
            </a:rPr>
            <a:t>NPV impact – tornado analysis</a:t>
          </a:r>
        </a:p>
        <a:p>
          <a:endParaRPr lang="en-GB" sz="1400" b="1">
            <a:latin typeface="Garamond" panose="02020404030301010803" pitchFamily="18" charset="0"/>
          </a:endParaRPr>
        </a:p>
        <a:p>
          <a:r>
            <a:rPr lang="en-GB" sz="1400">
              <a:latin typeface="Garamond" panose="02020404030301010803" pitchFamily="18" charset="0"/>
            </a:rPr>
            <a:t>This tornado chart illustrates the sensitivity of the net present value (NPV) to key project variables. The bars represent how much each factor influences the NPV, with the left side indicating a negative impact (worse-case scenario) and the right side showing a positive impact (better-case scenario). The colours differentiate between extreme and realistic variations:</a:t>
          </a:r>
        </a:p>
        <a:p>
          <a:endParaRPr lang="en-GB" sz="1400">
            <a:latin typeface="Garamond" panose="02020404030301010803" pitchFamily="18" charset="0"/>
          </a:endParaRPr>
        </a:p>
        <a:p>
          <a:pPr lvl="1"/>
          <a:r>
            <a:rPr lang="en-GB" sz="1400" b="1" i="0">
              <a:latin typeface="Garamond" panose="02020404030301010803" pitchFamily="18" charset="0"/>
            </a:rPr>
            <a:t>Min NPV (negative, red)</a:t>
          </a:r>
          <a:r>
            <a:rPr lang="en-GB" sz="1400" b="0" i="0">
              <a:latin typeface="Garamond" panose="02020404030301010803" pitchFamily="18" charset="0"/>
            </a:rPr>
            <a:t>.</a:t>
          </a:r>
          <a:r>
            <a:rPr lang="en-GB" sz="1400" b="1" i="0">
              <a:latin typeface="Garamond" panose="02020404030301010803" pitchFamily="18" charset="0"/>
            </a:rPr>
            <a:t> </a:t>
          </a:r>
          <a:r>
            <a:rPr lang="en-GB" sz="1400">
              <a:latin typeface="Garamond" panose="02020404030301010803" pitchFamily="18" charset="0"/>
            </a:rPr>
            <a:t>The worst-case scenario where the variable moves to its least favourable value.</a:t>
          </a:r>
          <a:endParaRPr lang="en-GB" sz="1400" b="1">
            <a:latin typeface="Garamond" panose="02020404030301010803" pitchFamily="18" charset="0"/>
          </a:endParaRPr>
        </a:p>
        <a:p>
          <a:pPr lvl="1"/>
          <a:r>
            <a:rPr lang="en-GB" sz="1400" b="1">
              <a:latin typeface="Garamond" panose="02020404030301010803" pitchFamily="18" charset="0"/>
            </a:rPr>
            <a:t>Realistic bad (dark red)</a:t>
          </a:r>
          <a:r>
            <a:rPr lang="en-GB" sz="1400" b="0">
              <a:latin typeface="Garamond" panose="02020404030301010803" pitchFamily="18" charset="0"/>
            </a:rPr>
            <a:t>.</a:t>
          </a:r>
          <a:r>
            <a:rPr lang="en-GB" sz="1400">
              <a:latin typeface="Garamond" panose="02020404030301010803" pitchFamily="18" charset="0"/>
            </a:rPr>
            <a:t> A more probable downside within a ±10% range</a:t>
          </a:r>
          <a:r>
            <a:rPr lang="en-GB" sz="1400" baseline="0">
              <a:latin typeface="Garamond" panose="02020404030301010803" pitchFamily="18" charset="0"/>
            </a:rPr>
            <a:t> where possible</a:t>
          </a:r>
          <a:r>
            <a:rPr lang="en-GB" sz="1400">
              <a:latin typeface="Garamond" panose="02020404030301010803" pitchFamily="18" charset="0"/>
            </a:rPr>
            <a:t>. (Capacity</a:t>
          </a:r>
          <a:r>
            <a:rPr lang="en-GB" sz="1400" baseline="0">
              <a:latin typeface="Garamond" panose="02020404030301010803" pitchFamily="18" charset="0"/>
            </a:rPr>
            <a:t> factor = -11%; No. of turbines = -13%; Years before turbines start operating = +33%)</a:t>
          </a:r>
          <a:endParaRPr lang="en-GB" sz="1400" b="1">
            <a:latin typeface="Garamond" panose="02020404030301010803" pitchFamily="18" charset="0"/>
          </a:endParaRPr>
        </a:p>
        <a:p>
          <a:pPr lvl="1"/>
          <a:r>
            <a:rPr lang="en-GB" sz="1400" b="1">
              <a:latin typeface="Garamond" panose="02020404030301010803" pitchFamily="18" charset="0"/>
            </a:rPr>
            <a:t>Realistic good (green)</a:t>
          </a:r>
          <a:r>
            <a:rPr lang="en-GB" sz="1400" b="0">
              <a:latin typeface="Garamond" panose="02020404030301010803" pitchFamily="18" charset="0"/>
            </a:rPr>
            <a:t>.</a:t>
          </a:r>
          <a:r>
            <a:rPr lang="en-GB" sz="1400">
              <a:latin typeface="Garamond" panose="02020404030301010803" pitchFamily="18" charset="0"/>
            </a:rPr>
            <a:t> The likely positive impact within a ±10% range where</a:t>
          </a:r>
          <a:r>
            <a:rPr lang="en-GB" sz="1400" baseline="0">
              <a:latin typeface="Garamond" panose="02020404030301010803" pitchFamily="18" charset="0"/>
            </a:rPr>
            <a:t> possible</a:t>
          </a:r>
          <a:r>
            <a:rPr lang="en-GB" sz="1400">
              <a:latin typeface="Garamond" panose="02020404030301010803" pitchFamily="18" charset="0"/>
            </a:rPr>
            <a:t>.</a:t>
          </a:r>
          <a:r>
            <a:rPr lang="en-GB" sz="1400" baseline="0">
              <a:latin typeface="Garamond" panose="02020404030301010803" pitchFamily="18" charset="0"/>
            </a:rPr>
            <a:t> </a:t>
          </a:r>
          <a:r>
            <a:rPr lang="en-GB" sz="1400" b="0">
              <a:latin typeface="Garamond" panose="02020404030301010803" pitchFamily="18" charset="0"/>
            </a:rPr>
            <a:t>(Capacity factor = +6%; No. of turbines = +13%; Years before turbines start operating = +0%)</a:t>
          </a:r>
          <a:endParaRPr lang="en-GB" sz="1400" b="1">
            <a:latin typeface="Garamond" panose="02020404030301010803" pitchFamily="18" charset="0"/>
          </a:endParaRPr>
        </a:p>
        <a:p>
          <a:pPr lvl="1"/>
          <a:r>
            <a:rPr lang="en-GB" sz="1400" b="1">
              <a:latin typeface="Garamond" panose="02020404030301010803" pitchFamily="18" charset="0"/>
            </a:rPr>
            <a:t>Max NPV (light green)</a:t>
          </a:r>
          <a:r>
            <a:rPr lang="en-GB" sz="1400" b="0">
              <a:latin typeface="Garamond" panose="02020404030301010803" pitchFamily="18" charset="0"/>
            </a:rPr>
            <a:t>.</a:t>
          </a:r>
          <a:r>
            <a:rPr lang="en-GB" sz="1400" b="0" baseline="0">
              <a:latin typeface="Garamond" panose="02020404030301010803" pitchFamily="18" charset="0"/>
            </a:rPr>
            <a:t> </a:t>
          </a:r>
          <a:r>
            <a:rPr lang="en-GB" sz="1400">
              <a:latin typeface="Garamond" panose="02020404030301010803" pitchFamily="18" charset="0"/>
            </a:rPr>
            <a:t>The best possible outcome if the variable moves to its most favourable value.</a:t>
          </a:r>
        </a:p>
        <a:p>
          <a:endParaRPr lang="en-GB" sz="1400" b="1">
            <a:latin typeface="Garamond" panose="02020404030301010803" pitchFamily="18" charset="0"/>
          </a:endParaRPr>
        </a:p>
        <a:p>
          <a:r>
            <a:rPr lang="en-GB" sz="1400" b="1">
              <a:solidFill>
                <a:schemeClr val="tx2"/>
              </a:solidFill>
              <a:latin typeface="Garamond" panose="02020404030301010803" pitchFamily="18" charset="0"/>
            </a:rPr>
            <a:t>Key findings:</a:t>
          </a:r>
        </a:p>
        <a:p>
          <a:r>
            <a:rPr lang="en-GB" sz="1400" b="1">
              <a:latin typeface="Garamond" panose="02020404030301010803" pitchFamily="18" charset="0"/>
            </a:rPr>
            <a:t>Average electricity price (£/MWh) is the most influential factor</a:t>
          </a:r>
          <a:r>
            <a:rPr lang="en-GB" sz="1400" b="0">
              <a:latin typeface="Garamond" panose="02020404030301010803" pitchFamily="18" charset="0"/>
            </a:rPr>
            <a:t>.</a:t>
          </a:r>
          <a:r>
            <a:rPr lang="en-GB" sz="1400" b="0" baseline="0">
              <a:latin typeface="Garamond" panose="02020404030301010803" pitchFamily="18" charset="0"/>
            </a:rPr>
            <a:t> </a:t>
          </a:r>
          <a:r>
            <a:rPr lang="en-GB" sz="1400">
              <a:latin typeface="Garamond" panose="02020404030301010803" pitchFamily="18" charset="0"/>
            </a:rPr>
            <a:t>A significant drop in electricity price leads to a large negative NPV, while an increase boosts profitability substantially.</a:t>
          </a:r>
        </a:p>
        <a:p>
          <a:r>
            <a:rPr lang="en-GB" sz="1400" b="1">
              <a:latin typeface="Garamond" panose="02020404030301010803" pitchFamily="18" charset="0"/>
            </a:rPr>
            <a:t>Capacity factor has the second-largest negative impact</a:t>
          </a:r>
          <a:r>
            <a:rPr lang="en-GB" sz="1400" b="0">
              <a:latin typeface="Garamond" panose="02020404030301010803" pitchFamily="18" charset="0"/>
            </a:rPr>
            <a:t>.</a:t>
          </a:r>
          <a:r>
            <a:rPr lang="en-GB" sz="1400">
              <a:latin typeface="Garamond" panose="02020404030301010803" pitchFamily="18" charset="0"/>
            </a:rPr>
            <a:t> Lower efficiency significantly erodes profitability,</a:t>
          </a:r>
          <a:r>
            <a:rPr lang="en-GB" sz="1400" baseline="0">
              <a:latin typeface="Garamond" panose="02020404030301010803" pitchFamily="18" charset="0"/>
            </a:rPr>
            <a:t> while h</a:t>
          </a:r>
          <a:r>
            <a:rPr lang="en-GB" sz="1400">
              <a:latin typeface="Garamond" panose="02020404030301010803" pitchFamily="18" charset="0"/>
            </a:rPr>
            <a:t>igher turbine efficiency increases NPV.</a:t>
          </a:r>
        </a:p>
        <a:p>
          <a:r>
            <a:rPr lang="en-GB" sz="1400" b="1">
              <a:latin typeface="Garamond" panose="02020404030301010803" pitchFamily="18" charset="0"/>
            </a:rPr>
            <a:t>Discount rate has</a:t>
          </a:r>
          <a:r>
            <a:rPr lang="en-GB" sz="1400" b="1" baseline="0">
              <a:latin typeface="Garamond" panose="02020404030301010803" pitchFamily="18" charset="0"/>
            </a:rPr>
            <a:t> a major impact</a:t>
          </a:r>
          <a:r>
            <a:rPr lang="en-GB" sz="1400" b="0" baseline="0">
              <a:latin typeface="Garamond" panose="02020404030301010803" pitchFamily="18" charset="0"/>
            </a:rPr>
            <a:t>. </a:t>
          </a:r>
          <a:r>
            <a:rPr lang="en-GB" sz="1400">
              <a:latin typeface="Garamond" panose="02020404030301010803" pitchFamily="18" charset="0"/>
            </a:rPr>
            <a:t>Higher discount rates reduce NPV considerably, emphasising the importance of securing low-cost financing.</a:t>
          </a:r>
        </a:p>
        <a:p>
          <a:r>
            <a:rPr lang="en-GB" sz="1400" b="1">
              <a:latin typeface="Garamond" panose="02020404030301010803" pitchFamily="18" charset="0"/>
            </a:rPr>
            <a:t>Operational expenditure (OpEx) and inflation moderately affect NPV</a:t>
          </a:r>
          <a:r>
            <a:rPr lang="en-GB" sz="1400" b="0">
              <a:latin typeface="Garamond" panose="02020404030301010803" pitchFamily="18" charset="0"/>
            </a:rPr>
            <a:t>.</a:t>
          </a:r>
          <a:r>
            <a:rPr lang="en-GB" sz="1400" b="0" baseline="0">
              <a:latin typeface="Garamond" panose="02020404030301010803" pitchFamily="18" charset="0"/>
            </a:rPr>
            <a:t> </a:t>
          </a:r>
          <a:r>
            <a:rPr lang="en-GB" sz="1400">
              <a:latin typeface="Garamond" panose="02020404030301010803" pitchFamily="18" charset="0"/>
            </a:rPr>
            <a:t>While reducing costs improves financial viability, their overall influence is lower than electricity prices or discount rates.</a:t>
          </a:r>
        </a:p>
        <a:p>
          <a:r>
            <a:rPr lang="en-GB" sz="1400" b="1">
              <a:latin typeface="Garamond" panose="02020404030301010803" pitchFamily="18" charset="0"/>
            </a:rPr>
            <a:t>Project delays and turbine lifetime have a smaller effect</a:t>
          </a:r>
          <a:r>
            <a:rPr lang="en-GB" sz="1400" b="0">
              <a:latin typeface="Garamond" panose="02020404030301010803" pitchFamily="18" charset="0"/>
            </a:rPr>
            <a:t>.</a:t>
          </a:r>
          <a:r>
            <a:rPr lang="en-GB" sz="1400" b="0" baseline="0">
              <a:latin typeface="Garamond" panose="02020404030301010803" pitchFamily="18" charset="0"/>
            </a:rPr>
            <a:t> </a:t>
          </a:r>
          <a:r>
            <a:rPr lang="en-GB" sz="1400">
              <a:latin typeface="Garamond" panose="02020404030301010803" pitchFamily="18" charset="0"/>
            </a:rPr>
            <a:t>Although delays and turbine lifespan impact returns, their effect is generally less pronounced compared to other variables.</a:t>
          </a:r>
        </a:p>
      </xdr:txBody>
    </xdr:sp>
    <xdr:clientData/>
  </xdr:twoCellAnchor>
  <xdr:twoCellAnchor>
    <xdr:from>
      <xdr:col>9</xdr:col>
      <xdr:colOff>1</xdr:colOff>
      <xdr:row>23</xdr:row>
      <xdr:rowOff>0</xdr:rowOff>
    </xdr:from>
    <xdr:to>
      <xdr:col>13</xdr:col>
      <xdr:colOff>1</xdr:colOff>
      <xdr:row>66</xdr:row>
      <xdr:rowOff>21255</xdr:rowOff>
    </xdr:to>
    <xdr:sp macro="" textlink="">
      <xdr:nvSpPr>
        <xdr:cNvPr id="5" name="TextBox 4">
          <a:extLst>
            <a:ext uri="{FF2B5EF4-FFF2-40B4-BE49-F238E27FC236}">
              <a16:creationId xmlns:a16="http://schemas.microsoft.com/office/drawing/2014/main" id="{EA739871-A758-442B-969E-2E1D6B5C705C}"/>
            </a:ext>
          </a:extLst>
        </xdr:cNvPr>
        <xdr:cNvSpPr txBox="1"/>
      </xdr:nvSpPr>
      <xdr:spPr>
        <a:xfrm>
          <a:off x="14594238" y="4084449"/>
          <a:ext cx="6183178" cy="7657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ysClr val="windowText" lastClr="000000"/>
              </a:solidFill>
              <a:latin typeface="Garamond" panose="02020404030301010803" pitchFamily="18" charset="0"/>
            </a:rPr>
            <a:t>Impact</a:t>
          </a:r>
          <a:r>
            <a:rPr lang="en-GB" sz="1400" b="1" baseline="0">
              <a:solidFill>
                <a:sysClr val="windowText" lastClr="000000"/>
              </a:solidFill>
              <a:latin typeface="Garamond" panose="02020404030301010803" pitchFamily="18" charset="0"/>
            </a:rPr>
            <a:t> - Scenario analysis</a:t>
          </a:r>
        </a:p>
        <a:p>
          <a:endParaRPr lang="en-GB" sz="1400" b="0" baseline="0">
            <a:solidFill>
              <a:sysClr val="windowText" lastClr="000000"/>
            </a:solidFill>
            <a:latin typeface="Garamond" panose="02020404030301010803" pitchFamily="18" charset="0"/>
          </a:endParaRPr>
        </a:p>
        <a:p>
          <a:r>
            <a:rPr lang="en-GB" sz="1400" b="0">
              <a:solidFill>
                <a:sysClr val="windowText" lastClr="000000"/>
              </a:solidFill>
              <a:latin typeface="Garamond" panose="02020404030301010803" pitchFamily="18" charset="0"/>
            </a:rPr>
            <a:t>The table above presents a scenario analysis comparing the financial performance of a wind energy project under worse, base case, and better conditions. The analysis evaluates key financial indicators such as post-tax NPV, IRR, LCOE, and ROI across different assumptions for electricity price, discount rate, capacity factor, operating costs, inflation, and project delays.</a:t>
          </a:r>
        </a:p>
        <a:p>
          <a:endParaRPr lang="en-GB" sz="1400" b="0">
            <a:solidFill>
              <a:sysClr val="windowText" lastClr="000000"/>
            </a:solidFill>
            <a:latin typeface="Garamond" panose="02020404030301010803" pitchFamily="18" charset="0"/>
          </a:endParaRPr>
        </a:p>
        <a:p>
          <a:r>
            <a:rPr lang="en-GB" sz="1400" b="1" i="0">
              <a:solidFill>
                <a:schemeClr val="tx2"/>
              </a:solidFill>
              <a:latin typeface="Garamond" panose="02020404030301010803" pitchFamily="18" charset="0"/>
            </a:rPr>
            <a:t>Worse-case</a:t>
          </a:r>
          <a:r>
            <a:rPr lang="en-GB" sz="1400" b="1" i="0" baseline="0">
              <a:solidFill>
                <a:schemeClr val="tx2"/>
              </a:solidFill>
              <a:latin typeface="Garamond" panose="02020404030301010803" pitchFamily="18" charset="0"/>
            </a:rPr>
            <a:t> scenario</a:t>
          </a:r>
          <a:endParaRPr lang="en-GB" sz="1400" b="1" i="0">
            <a:solidFill>
              <a:schemeClr val="tx2"/>
            </a:solidFill>
            <a:latin typeface="Garamond" panose="02020404030301010803" pitchFamily="18" charset="0"/>
          </a:endParaRPr>
        </a:p>
        <a:p>
          <a:r>
            <a:rPr lang="en-GB" sz="1400" b="0">
              <a:solidFill>
                <a:sysClr val="windowText" lastClr="000000"/>
              </a:solidFill>
              <a:latin typeface="Garamond" panose="02020404030301010803" pitchFamily="18" charset="0"/>
            </a:rPr>
            <a:t>This scenario assumes a 10% decrease in the average electricity price (£/MWh), reflecting lower energy demand in a weaker economic environment. Additionally, the discount rate is reduced by 10%, based on the expectation that borrowing costs would decline during an economic downturn as central banks lower interest rates. Inflation is also assumed to decrease by 10%, as price growth tends to slow in struggling economies.</a:t>
          </a:r>
        </a:p>
        <a:p>
          <a:endParaRPr lang="en-GB" sz="1400" b="0">
            <a:solidFill>
              <a:sysClr val="windowText" lastClr="000000"/>
            </a:solidFill>
            <a:latin typeface="Garamond" panose="02020404030301010803" pitchFamily="18" charset="0"/>
          </a:endParaRPr>
        </a:p>
        <a:p>
          <a:r>
            <a:rPr lang="en-GB" sz="1400" b="0">
              <a:solidFill>
                <a:sysClr val="windowText" lastClr="000000"/>
              </a:solidFill>
              <a:latin typeface="Garamond" panose="02020404030301010803" pitchFamily="18" charset="0"/>
            </a:rPr>
            <a:t>Key technical parameters, including the capacity factor and expected useful life of turbines, are held constant. However, a one-year delay in the project start date is assumed, reflecting the potential for investment slowdowns and supply chain disruptions in a downturn.</a:t>
          </a:r>
        </a:p>
        <a:p>
          <a:endParaRPr lang="en-GB" sz="1400" b="0">
            <a:solidFill>
              <a:sysClr val="windowText" lastClr="000000"/>
            </a:solidFill>
            <a:latin typeface="Garamond" panose="02020404030301010803" pitchFamily="18" charset="0"/>
          </a:endParaRPr>
        </a:p>
        <a:p>
          <a:r>
            <a:rPr lang="en-GB" sz="1400" b="1" i="0">
              <a:solidFill>
                <a:schemeClr val="tx2"/>
              </a:solidFill>
              <a:latin typeface="Garamond" panose="02020404030301010803" pitchFamily="18" charset="0"/>
            </a:rPr>
            <a:t>Better-case</a:t>
          </a:r>
          <a:r>
            <a:rPr lang="en-GB" sz="1400" b="1" i="0" baseline="0">
              <a:solidFill>
                <a:schemeClr val="tx2"/>
              </a:solidFill>
              <a:latin typeface="Garamond" panose="02020404030301010803" pitchFamily="18" charset="0"/>
            </a:rPr>
            <a:t> scenario</a:t>
          </a:r>
          <a:endParaRPr lang="en-GB" sz="1400" b="1" i="0">
            <a:solidFill>
              <a:schemeClr val="tx2"/>
            </a:solidFill>
            <a:latin typeface="Garamond" panose="02020404030301010803" pitchFamily="18" charset="0"/>
          </a:endParaRPr>
        </a:p>
        <a:p>
          <a:r>
            <a:rPr lang="en-GB" sz="1400" b="0">
              <a:solidFill>
                <a:sysClr val="windowText" lastClr="000000"/>
              </a:solidFill>
              <a:latin typeface="Garamond" panose="02020404030301010803" pitchFamily="18" charset="0"/>
            </a:rPr>
            <a:t>In contrast, the better-case scenario assumes a 10% increase in the average electricity price, driven by stronger demand in a booming economy. The discount rate is also raised by 10%, reflecting higher borrowing costs associated with increased economic activity and tighter monetary policy. Similarly, inflation is expected to rise by 10%, as price pressures typically intensify during periods of economic growth.</a:t>
          </a:r>
        </a:p>
        <a:p>
          <a:endParaRPr lang="en-GB" sz="1400" b="0">
            <a:solidFill>
              <a:sysClr val="windowText" lastClr="000000"/>
            </a:solidFill>
            <a:latin typeface="Garamond" panose="02020404030301010803" pitchFamily="18" charset="0"/>
          </a:endParaRPr>
        </a:p>
        <a:p>
          <a:r>
            <a:rPr lang="en-GB" sz="1400" b="0">
              <a:solidFill>
                <a:sysClr val="windowText" lastClr="000000"/>
              </a:solidFill>
              <a:latin typeface="Garamond" panose="02020404030301010803" pitchFamily="18" charset="0"/>
            </a:rPr>
            <a:t>The capacity factor, expected useful life of turbines, and years before turbines start operating remain unchanged in this scenario, assuming that technical performance and project execution are unaffected by macroeconomic conditions.</a:t>
          </a:r>
        </a:p>
        <a:p>
          <a:endParaRPr lang="en-GB" sz="1400" b="0">
            <a:solidFill>
              <a:sysClr val="windowText" lastClr="000000"/>
            </a:solidFill>
            <a:latin typeface="Garamond" panose="02020404030301010803"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3469</xdr:colOff>
      <xdr:row>58</xdr:row>
      <xdr:rowOff>0</xdr:rowOff>
    </xdr:from>
    <xdr:to>
      <xdr:col>11</xdr:col>
      <xdr:colOff>605819</xdr:colOff>
      <xdr:row>74</xdr:row>
      <xdr:rowOff>77752</xdr:rowOff>
    </xdr:to>
    <xdr:graphicFrame macro="">
      <xdr:nvGraphicFramePr>
        <xdr:cNvPr id="5" name="Chart 4">
          <a:extLst>
            <a:ext uri="{FF2B5EF4-FFF2-40B4-BE49-F238E27FC236}">
              <a16:creationId xmlns:a16="http://schemas.microsoft.com/office/drawing/2014/main" id="{E164FBE8-79C3-43DC-9DFA-4F7D40EFAA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3469</xdr:colOff>
      <xdr:row>76</xdr:row>
      <xdr:rowOff>0</xdr:rowOff>
    </xdr:from>
    <xdr:to>
      <xdr:col>11</xdr:col>
      <xdr:colOff>603735</xdr:colOff>
      <xdr:row>92</xdr:row>
      <xdr:rowOff>56797</xdr:rowOff>
    </xdr:to>
    <xdr:graphicFrame macro="">
      <xdr:nvGraphicFramePr>
        <xdr:cNvPr id="7" name="Chart 6">
          <a:extLst>
            <a:ext uri="{FF2B5EF4-FFF2-40B4-BE49-F238E27FC236}">
              <a16:creationId xmlns:a16="http://schemas.microsoft.com/office/drawing/2014/main" id="{A9437282-4E89-4058-ADA9-DEA0A5511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3469</xdr:colOff>
      <xdr:row>94</xdr:row>
      <xdr:rowOff>0</xdr:rowOff>
    </xdr:from>
    <xdr:to>
      <xdr:col>11</xdr:col>
      <xdr:colOff>605763</xdr:colOff>
      <xdr:row>110</xdr:row>
      <xdr:rowOff>77754</xdr:rowOff>
    </xdr:to>
    <xdr:graphicFrame macro="">
      <xdr:nvGraphicFramePr>
        <xdr:cNvPr id="17" name="Chart 16">
          <a:extLst>
            <a:ext uri="{FF2B5EF4-FFF2-40B4-BE49-F238E27FC236}">
              <a16:creationId xmlns:a16="http://schemas.microsoft.com/office/drawing/2014/main" id="{F7345174-44A8-4EEF-AF88-FAC6A8AD8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3469</xdr:colOff>
      <xdr:row>112</xdr:row>
      <xdr:rowOff>0</xdr:rowOff>
    </xdr:from>
    <xdr:to>
      <xdr:col>11</xdr:col>
      <xdr:colOff>607943</xdr:colOff>
      <xdr:row>128</xdr:row>
      <xdr:rowOff>77753</xdr:rowOff>
    </xdr:to>
    <xdr:graphicFrame macro="">
      <xdr:nvGraphicFramePr>
        <xdr:cNvPr id="18" name="Chart 17">
          <a:extLst>
            <a:ext uri="{FF2B5EF4-FFF2-40B4-BE49-F238E27FC236}">
              <a16:creationId xmlns:a16="http://schemas.microsoft.com/office/drawing/2014/main" id="{36A770EE-FF04-49C2-96C9-6AA902C8A5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3469</xdr:colOff>
      <xdr:row>130</xdr:row>
      <xdr:rowOff>0</xdr:rowOff>
    </xdr:from>
    <xdr:to>
      <xdr:col>11</xdr:col>
      <xdr:colOff>604414</xdr:colOff>
      <xdr:row>146</xdr:row>
      <xdr:rowOff>77753</xdr:rowOff>
    </xdr:to>
    <xdr:graphicFrame macro="">
      <xdr:nvGraphicFramePr>
        <xdr:cNvPr id="21" name="Chart 20">
          <a:extLst>
            <a:ext uri="{FF2B5EF4-FFF2-40B4-BE49-F238E27FC236}">
              <a16:creationId xmlns:a16="http://schemas.microsoft.com/office/drawing/2014/main" id="{C1940DEC-126C-40BA-8D93-1B641ECEE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3469</xdr:colOff>
      <xdr:row>148</xdr:row>
      <xdr:rowOff>0</xdr:rowOff>
    </xdr:from>
    <xdr:to>
      <xdr:col>11</xdr:col>
      <xdr:colOff>591079</xdr:colOff>
      <xdr:row>164</xdr:row>
      <xdr:rowOff>77753</xdr:rowOff>
    </xdr:to>
    <xdr:graphicFrame macro="">
      <xdr:nvGraphicFramePr>
        <xdr:cNvPr id="22" name="Chart 21">
          <a:extLst>
            <a:ext uri="{FF2B5EF4-FFF2-40B4-BE49-F238E27FC236}">
              <a16:creationId xmlns:a16="http://schemas.microsoft.com/office/drawing/2014/main" id="{282F7605-F13C-4532-A4BC-1CB1DF196C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3469</xdr:colOff>
      <xdr:row>166</xdr:row>
      <xdr:rowOff>0</xdr:rowOff>
    </xdr:from>
    <xdr:to>
      <xdr:col>11</xdr:col>
      <xdr:colOff>583603</xdr:colOff>
      <xdr:row>182</xdr:row>
      <xdr:rowOff>73943</xdr:rowOff>
    </xdr:to>
    <xdr:graphicFrame macro="">
      <xdr:nvGraphicFramePr>
        <xdr:cNvPr id="24" name="Chart 23">
          <a:extLst>
            <a:ext uri="{FF2B5EF4-FFF2-40B4-BE49-F238E27FC236}">
              <a16:creationId xmlns:a16="http://schemas.microsoft.com/office/drawing/2014/main" id="{3A5F9F3D-41D1-4AB5-B17D-35C902AB1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3469</xdr:colOff>
      <xdr:row>184</xdr:row>
      <xdr:rowOff>0</xdr:rowOff>
    </xdr:from>
    <xdr:to>
      <xdr:col>11</xdr:col>
      <xdr:colOff>606304</xdr:colOff>
      <xdr:row>200</xdr:row>
      <xdr:rowOff>75848</xdr:rowOff>
    </xdr:to>
    <xdr:graphicFrame macro="">
      <xdr:nvGraphicFramePr>
        <xdr:cNvPr id="25" name="Chart 24">
          <a:extLst>
            <a:ext uri="{FF2B5EF4-FFF2-40B4-BE49-F238E27FC236}">
              <a16:creationId xmlns:a16="http://schemas.microsoft.com/office/drawing/2014/main" id="{5F54F4C5-2837-471B-A9AD-A350BC9C6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11</xdr:col>
      <xdr:colOff>1036151</xdr:colOff>
      <xdr:row>58</xdr:row>
      <xdr:rowOff>130924</xdr:rowOff>
    </xdr:from>
    <xdr:ext cx="6583850" cy="1648149"/>
    <xdr:sp macro="" textlink="">
      <xdr:nvSpPr>
        <xdr:cNvPr id="2" name="TextBox 1">
          <a:extLst>
            <a:ext uri="{FF2B5EF4-FFF2-40B4-BE49-F238E27FC236}">
              <a16:creationId xmlns:a16="http://schemas.microsoft.com/office/drawing/2014/main" id="{7C1812EB-1A7E-5165-B3E8-D137F0322E8A}"/>
            </a:ext>
          </a:extLst>
        </xdr:cNvPr>
        <xdr:cNvSpPr txBox="1"/>
      </xdr:nvSpPr>
      <xdr:spPr>
        <a:xfrm>
          <a:off x="13687305" y="14296309"/>
          <a:ext cx="658385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a:latin typeface="Garamond" panose="02020404030301010803" pitchFamily="18" charset="0"/>
            </a:rPr>
            <a:t> </a:t>
          </a:r>
        </a:p>
        <a:p>
          <a:r>
            <a:rPr lang="en-GB" sz="1400">
              <a:latin typeface="Garamond" panose="02020404030301010803" pitchFamily="18" charset="0"/>
            </a:rPr>
            <a:t>NPV is highly sensitive to electricity prices. A drop of 50% in electricity price leads to a negative NPV, making the project unviable. Conversely, a 50% increase significantly boosts profitability.</a:t>
          </a:r>
        </a:p>
        <a:p>
          <a:endParaRPr lang="en-GB" sz="1400">
            <a:latin typeface="Garamond" panose="02020404030301010803" pitchFamily="18" charset="0"/>
          </a:endParaRPr>
        </a:p>
        <a:p>
          <a:r>
            <a:rPr lang="en-GB" sz="1400" b="1">
              <a:latin typeface="Garamond" panose="02020404030301010803" pitchFamily="18" charset="0"/>
            </a:rPr>
            <a:t>Recommendation:</a:t>
          </a:r>
        </a:p>
        <a:p>
          <a:r>
            <a:rPr lang="en-GB" sz="1400">
              <a:latin typeface="Garamond" panose="02020404030301010803" pitchFamily="18" charset="0"/>
            </a:rPr>
            <a:t>Risk mitigation should consider long-term price contracts or subsidies.</a:t>
          </a:r>
        </a:p>
      </xdr:txBody>
    </xdr:sp>
    <xdr:clientData/>
  </xdr:oneCellAnchor>
  <xdr:oneCellAnchor>
    <xdr:from>
      <xdr:col>11</xdr:col>
      <xdr:colOff>955969</xdr:colOff>
      <xdr:row>75</xdr:row>
      <xdr:rowOff>234704</xdr:rowOff>
    </xdr:from>
    <xdr:ext cx="6583850" cy="1648149"/>
    <xdr:sp macro="" textlink="">
      <xdr:nvSpPr>
        <xdr:cNvPr id="3" name="TextBox 2">
          <a:extLst>
            <a:ext uri="{FF2B5EF4-FFF2-40B4-BE49-F238E27FC236}">
              <a16:creationId xmlns:a16="http://schemas.microsoft.com/office/drawing/2014/main" id="{A2BB1DDB-A697-4064-8877-CAE44A63398D}"/>
            </a:ext>
          </a:extLst>
        </xdr:cNvPr>
        <xdr:cNvSpPr txBox="1"/>
      </xdr:nvSpPr>
      <xdr:spPr>
        <a:xfrm>
          <a:off x="13607123" y="18552012"/>
          <a:ext cx="658385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 longer turbine lifespan slightly increases NPV, but the effect is not as strong as electricity prices.</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Extend</a:t>
          </a:r>
          <a:r>
            <a:rPr lang="en-GB" sz="1400" b="0" baseline="0">
              <a:latin typeface="Garamond" panose="02020404030301010803" pitchFamily="18" charset="0"/>
            </a:rPr>
            <a:t> </a:t>
          </a:r>
          <a:r>
            <a:rPr lang="en-GB" sz="1400" b="0">
              <a:latin typeface="Garamond" panose="02020404030301010803" pitchFamily="18" charset="0"/>
            </a:rPr>
            <a:t>operational life via maintenance and warranties to provide additional value, but this</a:t>
          </a:r>
          <a:r>
            <a:rPr lang="en-GB" sz="1400" b="0" baseline="0">
              <a:latin typeface="Garamond" panose="02020404030301010803" pitchFamily="18" charset="0"/>
            </a:rPr>
            <a:t> </a:t>
          </a:r>
          <a:r>
            <a:rPr lang="en-GB" sz="1400" b="0">
              <a:latin typeface="Garamond" panose="02020404030301010803" pitchFamily="18" charset="0"/>
            </a:rPr>
            <a:t>is not the main driver of profitability.</a:t>
          </a:r>
        </a:p>
      </xdr:txBody>
    </xdr:sp>
    <xdr:clientData/>
  </xdr:oneCellAnchor>
  <xdr:oneCellAnchor>
    <xdr:from>
      <xdr:col>11</xdr:col>
      <xdr:colOff>955969</xdr:colOff>
      <xdr:row>95</xdr:row>
      <xdr:rowOff>0</xdr:rowOff>
    </xdr:from>
    <xdr:ext cx="6583850" cy="1427132"/>
    <xdr:sp macro="" textlink="">
      <xdr:nvSpPr>
        <xdr:cNvPr id="4" name="TextBox 3">
          <a:extLst>
            <a:ext uri="{FF2B5EF4-FFF2-40B4-BE49-F238E27FC236}">
              <a16:creationId xmlns:a16="http://schemas.microsoft.com/office/drawing/2014/main" id="{2DE666D6-DE24-40AD-881C-5565CC9FF3B8}"/>
            </a:ext>
          </a:extLst>
        </xdr:cNvPr>
        <xdr:cNvSpPr txBox="1"/>
      </xdr:nvSpPr>
      <xdr:spPr>
        <a:xfrm>
          <a:off x="13607123" y="23201923"/>
          <a:ext cx="6583850"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Higher capacity factors improve NPV, showing a clear benefit from efficiency improvements or favorable wind conditions.</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Maximise turbine efficiency through placement and technology improvements.</a:t>
          </a:r>
        </a:p>
      </xdr:txBody>
    </xdr:sp>
    <xdr:clientData/>
  </xdr:oneCellAnchor>
  <xdr:oneCellAnchor>
    <xdr:from>
      <xdr:col>11</xdr:col>
      <xdr:colOff>955969</xdr:colOff>
      <xdr:row>112</xdr:row>
      <xdr:rowOff>0</xdr:rowOff>
    </xdr:from>
    <xdr:ext cx="6583850" cy="1427132"/>
    <xdr:sp macro="" textlink="">
      <xdr:nvSpPr>
        <xdr:cNvPr id="6" name="TextBox 5">
          <a:extLst>
            <a:ext uri="{FF2B5EF4-FFF2-40B4-BE49-F238E27FC236}">
              <a16:creationId xmlns:a16="http://schemas.microsoft.com/office/drawing/2014/main" id="{D35CDC12-9ACC-482D-A7C3-B5E9B7E45E3F}"/>
            </a:ext>
          </a:extLst>
        </xdr:cNvPr>
        <xdr:cNvSpPr txBox="1"/>
      </xdr:nvSpPr>
      <xdr:spPr>
        <a:xfrm>
          <a:off x="13607123" y="27353846"/>
          <a:ext cx="6583850"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NPV declines significantly as the discount rate increases, indicating the project is highly sensitive to the project's cost of capital.</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Secure low-cost financing or government incentives to</a:t>
          </a:r>
          <a:r>
            <a:rPr lang="en-GB" sz="1400" b="0" baseline="0">
              <a:latin typeface="Garamond" panose="02020404030301010803" pitchFamily="18" charset="0"/>
            </a:rPr>
            <a:t> maximise profitability</a:t>
          </a:r>
          <a:r>
            <a:rPr lang="en-GB" sz="1400" b="0">
              <a:latin typeface="Garamond" panose="02020404030301010803" pitchFamily="18" charset="0"/>
            </a:rPr>
            <a:t>.</a:t>
          </a:r>
        </a:p>
      </xdr:txBody>
    </xdr:sp>
    <xdr:clientData/>
  </xdr:oneCellAnchor>
  <xdr:oneCellAnchor>
    <xdr:from>
      <xdr:col>11</xdr:col>
      <xdr:colOff>955969</xdr:colOff>
      <xdr:row>130</xdr:row>
      <xdr:rowOff>-1</xdr:rowOff>
    </xdr:from>
    <xdr:ext cx="6583850" cy="1648149"/>
    <xdr:sp macro="" textlink="">
      <xdr:nvSpPr>
        <xdr:cNvPr id="8" name="TextBox 7">
          <a:extLst>
            <a:ext uri="{FF2B5EF4-FFF2-40B4-BE49-F238E27FC236}">
              <a16:creationId xmlns:a16="http://schemas.microsoft.com/office/drawing/2014/main" id="{0A3894D6-15F6-4D45-8AE2-AF0B7987C2E9}"/>
            </a:ext>
          </a:extLst>
        </xdr:cNvPr>
        <xdr:cNvSpPr txBox="1"/>
      </xdr:nvSpPr>
      <xdr:spPr>
        <a:xfrm>
          <a:off x="13607123" y="31749999"/>
          <a:ext cx="658385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Lowering OpEx improves NPV, but the sensitivity is moderate compared to electricity price or discount rate.</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While cost control is important, it should not come at the expense of performance and reliability..</a:t>
          </a:r>
        </a:p>
      </xdr:txBody>
    </xdr:sp>
    <xdr:clientData/>
  </xdr:oneCellAnchor>
  <xdr:oneCellAnchor>
    <xdr:from>
      <xdr:col>11</xdr:col>
      <xdr:colOff>955969</xdr:colOff>
      <xdr:row>166</xdr:row>
      <xdr:rowOff>0</xdr:rowOff>
    </xdr:from>
    <xdr:ext cx="6583850" cy="1427132"/>
    <xdr:sp macro="" textlink="">
      <xdr:nvSpPr>
        <xdr:cNvPr id="10" name="TextBox 9">
          <a:extLst>
            <a:ext uri="{FF2B5EF4-FFF2-40B4-BE49-F238E27FC236}">
              <a16:creationId xmlns:a16="http://schemas.microsoft.com/office/drawing/2014/main" id="{8B8E6AFE-04D0-49D6-AA4E-705A33F97CD9}"/>
            </a:ext>
          </a:extLst>
        </xdr:cNvPr>
        <xdr:cNvSpPr txBox="1"/>
      </xdr:nvSpPr>
      <xdr:spPr>
        <a:xfrm>
          <a:off x="13607123" y="40542308"/>
          <a:ext cx="6583850"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Moderate sensitivity to inflation—higher inflation slightly increases NPV due to potential price adjustments.</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Long-term contracts that allow price adjustments may provide financial stability.</a:t>
          </a:r>
        </a:p>
      </xdr:txBody>
    </xdr:sp>
    <xdr:clientData/>
  </xdr:oneCellAnchor>
  <xdr:oneCellAnchor>
    <xdr:from>
      <xdr:col>11</xdr:col>
      <xdr:colOff>955969</xdr:colOff>
      <xdr:row>184</xdr:row>
      <xdr:rowOff>0</xdr:rowOff>
    </xdr:from>
    <xdr:ext cx="6583850" cy="1427132"/>
    <xdr:sp macro="" textlink="">
      <xdr:nvSpPr>
        <xdr:cNvPr id="11" name="TextBox 10">
          <a:extLst>
            <a:ext uri="{FF2B5EF4-FFF2-40B4-BE49-F238E27FC236}">
              <a16:creationId xmlns:a16="http://schemas.microsoft.com/office/drawing/2014/main" id="{0D26D773-B7C9-4D77-9D1A-707E6E292572}"/>
            </a:ext>
          </a:extLst>
        </xdr:cNvPr>
        <xdr:cNvSpPr txBox="1"/>
      </xdr:nvSpPr>
      <xdr:spPr>
        <a:xfrm>
          <a:off x="13607123" y="44938462"/>
          <a:ext cx="6583850"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Delays in turbine operation reduce NPV, with long delays significantly impacting financial viability.</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Streamline permitting, supply chain, and construction processes to maximise returns..</a:t>
          </a:r>
        </a:p>
      </xdr:txBody>
    </xdr:sp>
    <xdr:clientData/>
  </xdr:oneCellAnchor>
  <xdr:oneCellAnchor>
    <xdr:from>
      <xdr:col>11</xdr:col>
      <xdr:colOff>955969</xdr:colOff>
      <xdr:row>148</xdr:row>
      <xdr:rowOff>-1</xdr:rowOff>
    </xdr:from>
    <xdr:ext cx="6583850" cy="1648149"/>
    <xdr:sp macro="" textlink="">
      <xdr:nvSpPr>
        <xdr:cNvPr id="12" name="TextBox 11">
          <a:extLst>
            <a:ext uri="{FF2B5EF4-FFF2-40B4-BE49-F238E27FC236}">
              <a16:creationId xmlns:a16="http://schemas.microsoft.com/office/drawing/2014/main" id="{A269967A-EE05-4CF3-AFA0-303860A73A76}"/>
            </a:ext>
          </a:extLst>
        </xdr:cNvPr>
        <xdr:cNvSpPr txBox="1"/>
      </xdr:nvSpPr>
      <xdr:spPr>
        <a:xfrm>
          <a:off x="13607123" y="36146153"/>
          <a:ext cx="658385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Increasing the number of turbines leads to a proportional increase in NPV, indicating a direct relationship between scale and profitability.</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Expand the wind farm by adding more turbines to improve financial returns,</a:t>
          </a:r>
          <a:r>
            <a:rPr lang="en-GB" sz="1400" b="0" baseline="0">
              <a:latin typeface="Garamond" panose="02020404030301010803" pitchFamily="18" charset="0"/>
            </a:rPr>
            <a:t> if </a:t>
          </a:r>
          <a:r>
            <a:rPr lang="en-GB" sz="1400" b="0">
              <a:latin typeface="Garamond" panose="02020404030301010803" pitchFamily="18" charset="0"/>
            </a:rPr>
            <a:t>capital investment and site constraints allow for expansion.</a:t>
          </a:r>
        </a:p>
      </xdr:txBody>
    </xdr:sp>
    <xdr:clientData/>
  </xdr:oneCellAnchor>
  <xdr:oneCellAnchor>
    <xdr:from>
      <xdr:col>2</xdr:col>
      <xdr:colOff>0</xdr:colOff>
      <xdr:row>209</xdr:row>
      <xdr:rowOff>0</xdr:rowOff>
    </xdr:from>
    <xdr:ext cx="8115287" cy="1219686"/>
    <xdr:sp macro="" textlink="">
      <xdr:nvSpPr>
        <xdr:cNvPr id="9" name="TextBox 8">
          <a:extLst>
            <a:ext uri="{FF2B5EF4-FFF2-40B4-BE49-F238E27FC236}">
              <a16:creationId xmlns:a16="http://schemas.microsoft.com/office/drawing/2014/main" id="{FF72C195-4330-4AD5-B40F-C1BA22233449}"/>
            </a:ext>
          </a:extLst>
        </xdr:cNvPr>
        <xdr:cNvSpPr txBox="1"/>
      </xdr:nvSpPr>
      <xdr:spPr>
        <a:xfrm>
          <a:off x="1384102" y="49530000"/>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At an electricity price of £45/MWh, the project is viable at all discount rates in the table (4% to 12%).</a:t>
          </a:r>
        </a:p>
        <a:p>
          <a:endParaRPr lang="en-GB" sz="1400" b="0">
            <a:latin typeface="Garamond" panose="02020404030301010803" pitchFamily="18" charset="0"/>
          </a:endParaRPr>
        </a:p>
        <a:p>
          <a:r>
            <a:rPr lang="en-GB" sz="1400" b="0">
              <a:latin typeface="Garamond" panose="02020404030301010803" pitchFamily="18" charset="0"/>
            </a:rPr>
            <a:t>If discount rates exceed 10%, the project requires electricity prices of at least £45/MWh to remain viable.</a:t>
          </a:r>
        </a:p>
      </xdr:txBody>
    </xdr:sp>
    <xdr:clientData/>
  </xdr:oneCellAnchor>
  <xdr:oneCellAnchor>
    <xdr:from>
      <xdr:col>2</xdr:col>
      <xdr:colOff>0</xdr:colOff>
      <xdr:row>220</xdr:row>
      <xdr:rowOff>0</xdr:rowOff>
    </xdr:from>
    <xdr:ext cx="8115287" cy="1219686"/>
    <xdr:sp macro="" textlink="">
      <xdr:nvSpPr>
        <xdr:cNvPr id="14" name="TextBox 13">
          <a:extLst>
            <a:ext uri="{FF2B5EF4-FFF2-40B4-BE49-F238E27FC236}">
              <a16:creationId xmlns:a16="http://schemas.microsoft.com/office/drawing/2014/main" id="{2DA5E601-A7BB-4653-84FF-B7FE15B8B818}"/>
            </a:ext>
          </a:extLst>
        </xdr:cNvPr>
        <xdr:cNvSpPr txBox="1"/>
      </xdr:nvSpPr>
      <xdr:spPr>
        <a:xfrm>
          <a:off x="1384102" y="52149375"/>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If the project starts within 8 years, it remains viable at discount rates of 10% or lower.</a:t>
          </a:r>
        </a:p>
        <a:p>
          <a:endParaRPr lang="en-GB" sz="1400" b="0">
            <a:latin typeface="Garamond" panose="02020404030301010803" pitchFamily="18" charset="0"/>
          </a:endParaRPr>
        </a:p>
        <a:p>
          <a:r>
            <a:rPr lang="en-GB" sz="1400" b="0">
              <a:latin typeface="Garamond" panose="02020404030301010803" pitchFamily="18" charset="0"/>
            </a:rPr>
            <a:t>If delays extend to 9 years, it remains viable only at discount rates of 8.8% or lower.</a:t>
          </a:r>
        </a:p>
      </xdr:txBody>
    </xdr:sp>
    <xdr:clientData/>
  </xdr:oneCellAnchor>
  <xdr:oneCellAnchor>
    <xdr:from>
      <xdr:col>2</xdr:col>
      <xdr:colOff>0</xdr:colOff>
      <xdr:row>230</xdr:row>
      <xdr:rowOff>236278</xdr:rowOff>
    </xdr:from>
    <xdr:ext cx="8115287" cy="1469361"/>
    <xdr:sp macro="" textlink="">
      <xdr:nvSpPr>
        <xdr:cNvPr id="15" name="TextBox 14">
          <a:extLst>
            <a:ext uri="{FF2B5EF4-FFF2-40B4-BE49-F238E27FC236}">
              <a16:creationId xmlns:a16="http://schemas.microsoft.com/office/drawing/2014/main" id="{DDE9EC20-4742-4DEC-916C-13BBAFEB3C6E}"/>
            </a:ext>
          </a:extLst>
        </xdr:cNvPr>
        <xdr:cNvSpPr txBox="1"/>
      </xdr:nvSpPr>
      <xdr:spPr>
        <a:xfrm>
          <a:off x="1380756" y="54344185"/>
          <a:ext cx="8115287" cy="1469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At £45/MWh or higher, the project remains viable as long as the capacity factor is at least 27%.</a:t>
          </a:r>
          <a:r>
            <a:rPr lang="en-GB" sz="1400" b="0" baseline="0">
              <a:latin typeface="Garamond" panose="02020404030301010803" pitchFamily="18" charset="0"/>
            </a:rPr>
            <a:t> </a:t>
          </a:r>
          <a:r>
            <a:rPr lang="en-GB" sz="1400" b="0">
              <a:latin typeface="Garamond" panose="02020404030301010803" pitchFamily="18" charset="0"/>
            </a:rPr>
            <a:t>With an electricity price of £37.5/MWh, profitability requires a capacity factor of 33% or greater.</a:t>
          </a:r>
        </a:p>
        <a:p>
          <a:endParaRPr lang="en-GB" sz="1400" b="0">
            <a:latin typeface="Garamond" panose="02020404030301010803" pitchFamily="18" charset="0"/>
          </a:endParaRPr>
        </a:p>
        <a:p>
          <a:r>
            <a:rPr lang="en-GB" sz="1400" b="0">
              <a:latin typeface="Garamond" panose="02020404030301010803" pitchFamily="18" charset="0"/>
            </a:rPr>
            <a:t>At £25/MWh, the project is unviable regardless of efficiency levels.</a:t>
          </a:r>
        </a:p>
      </xdr:txBody>
    </xdr:sp>
    <xdr:clientData/>
  </xdr:oneCellAnchor>
  <xdr:oneCellAnchor>
    <xdr:from>
      <xdr:col>2</xdr:col>
      <xdr:colOff>0</xdr:colOff>
      <xdr:row>242</xdr:row>
      <xdr:rowOff>0</xdr:rowOff>
    </xdr:from>
    <xdr:ext cx="8115287" cy="1219686"/>
    <xdr:sp macro="" textlink="">
      <xdr:nvSpPr>
        <xdr:cNvPr id="16" name="TextBox 15">
          <a:extLst>
            <a:ext uri="{FF2B5EF4-FFF2-40B4-BE49-F238E27FC236}">
              <a16:creationId xmlns:a16="http://schemas.microsoft.com/office/drawing/2014/main" id="{BA58360C-FB55-4B5B-B665-A794E55AF14C}"/>
            </a:ext>
          </a:extLst>
        </xdr:cNvPr>
        <xdr:cNvSpPr txBox="1"/>
      </xdr:nvSpPr>
      <xdr:spPr>
        <a:xfrm>
          <a:off x="1384102" y="57388125"/>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If the project starts within 6 years, a 27% capacity factor is sufficient to remain viable.</a:t>
          </a:r>
        </a:p>
        <a:p>
          <a:endParaRPr lang="en-GB" sz="1400" b="0">
            <a:latin typeface="Garamond" panose="02020404030301010803" pitchFamily="18" charset="0"/>
          </a:endParaRPr>
        </a:p>
        <a:p>
          <a:r>
            <a:rPr lang="en-GB" sz="1400" b="0">
              <a:latin typeface="Garamond" panose="02020404030301010803" pitchFamily="18" charset="0"/>
            </a:rPr>
            <a:t>At 7–9 years, viability requires at least a 29% capacity factor.</a:t>
          </a:r>
        </a:p>
      </xdr:txBody>
    </xdr:sp>
    <xdr:clientData/>
  </xdr:oneCellAnchor>
  <xdr:oneCellAnchor>
    <xdr:from>
      <xdr:col>2</xdr:col>
      <xdr:colOff>0</xdr:colOff>
      <xdr:row>253</xdr:row>
      <xdr:rowOff>0</xdr:rowOff>
    </xdr:from>
    <xdr:ext cx="8115287" cy="1219686"/>
    <xdr:sp macro="" textlink="">
      <xdr:nvSpPr>
        <xdr:cNvPr id="19" name="TextBox 18">
          <a:extLst>
            <a:ext uri="{FF2B5EF4-FFF2-40B4-BE49-F238E27FC236}">
              <a16:creationId xmlns:a16="http://schemas.microsoft.com/office/drawing/2014/main" id="{3F08763B-87EB-4C1A-ABD9-CD26A4025214}"/>
            </a:ext>
          </a:extLst>
        </xdr:cNvPr>
        <xdr:cNvSpPr txBox="1"/>
      </xdr:nvSpPr>
      <xdr:spPr>
        <a:xfrm>
          <a:off x="1384102" y="60007500"/>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At £45/MWh, the project is viable with 5 turbines.If electricity prices drop to £37.5/MWh, at least 6 turbines are required to maintain profitability.</a:t>
          </a:r>
        </a:p>
        <a:p>
          <a:endParaRPr lang="en-GB" sz="1400" b="0">
            <a:latin typeface="Garamond" panose="02020404030301010803" pitchFamily="18" charset="0"/>
          </a:endParaRPr>
        </a:p>
        <a:p>
          <a:r>
            <a:rPr lang="en-GB" sz="1400" b="0">
              <a:latin typeface="Garamond" panose="02020404030301010803" pitchFamily="18" charset="0"/>
            </a:rPr>
            <a:t>At £25/MWh, the project remains unviable regardless of the number of turbines.</a:t>
          </a:r>
        </a:p>
      </xdr:txBody>
    </xdr:sp>
    <xdr:clientData/>
  </xdr:oneCellAnchor>
  <xdr:oneCellAnchor>
    <xdr:from>
      <xdr:col>2</xdr:col>
      <xdr:colOff>0</xdr:colOff>
      <xdr:row>264</xdr:row>
      <xdr:rowOff>0</xdr:rowOff>
    </xdr:from>
    <xdr:ext cx="8115287" cy="1219686"/>
    <xdr:sp macro="" textlink="">
      <xdr:nvSpPr>
        <xdr:cNvPr id="20" name="TextBox 19">
          <a:extLst>
            <a:ext uri="{FF2B5EF4-FFF2-40B4-BE49-F238E27FC236}">
              <a16:creationId xmlns:a16="http://schemas.microsoft.com/office/drawing/2014/main" id="{E2B70580-D063-45B6-BFC1-2D1E798A1118}"/>
            </a:ext>
          </a:extLst>
        </xdr:cNvPr>
        <xdr:cNvSpPr txBox="1"/>
      </xdr:nvSpPr>
      <xdr:spPr>
        <a:xfrm>
          <a:off x="1384102" y="62626875"/>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At a 25% capacity factor, at least 7 turbines are needed to break even.</a:t>
          </a:r>
        </a:p>
        <a:p>
          <a:endParaRPr lang="en-GB" sz="1400" b="0">
            <a:latin typeface="Garamond" panose="02020404030301010803" pitchFamily="18" charset="0"/>
          </a:endParaRPr>
        </a:p>
        <a:p>
          <a:r>
            <a:rPr lang="en-GB" sz="1400" b="0">
              <a:latin typeface="Garamond" panose="02020404030301010803" pitchFamily="18" charset="0"/>
            </a:rPr>
            <a:t>For capacity factors of 27% and</a:t>
          </a:r>
          <a:r>
            <a:rPr lang="en-GB" sz="1400" b="0" baseline="0">
              <a:latin typeface="Garamond" panose="02020404030301010803" pitchFamily="18" charset="0"/>
            </a:rPr>
            <a:t> above, </a:t>
          </a:r>
          <a:r>
            <a:rPr lang="en-GB" sz="1400" b="0">
              <a:latin typeface="Garamond" panose="02020404030301010803" pitchFamily="18" charset="0"/>
            </a:rPr>
            <a:t>the project remains viable regardless of the number of turbines.</a:t>
          </a:r>
        </a:p>
      </xdr:txBody>
    </xdr:sp>
    <xdr:clientData/>
  </xdr:oneCellAnchor>
  <xdr:oneCellAnchor>
    <xdr:from>
      <xdr:col>2</xdr:col>
      <xdr:colOff>0</xdr:colOff>
      <xdr:row>275</xdr:row>
      <xdr:rowOff>0</xdr:rowOff>
    </xdr:from>
    <xdr:ext cx="8115287" cy="1219686"/>
    <xdr:sp macro="" textlink="">
      <xdr:nvSpPr>
        <xdr:cNvPr id="23" name="TextBox 22">
          <a:extLst>
            <a:ext uri="{FF2B5EF4-FFF2-40B4-BE49-F238E27FC236}">
              <a16:creationId xmlns:a16="http://schemas.microsoft.com/office/drawing/2014/main" id="{F60EB4A8-57C1-46EB-9998-ED592C483269}"/>
            </a:ext>
          </a:extLst>
        </xdr:cNvPr>
        <xdr:cNvSpPr txBox="1"/>
      </xdr:nvSpPr>
      <xdr:spPr>
        <a:xfrm>
          <a:off x="1384102" y="65246250"/>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At £45/MWh, the project remains viable even with delays of up to 9 years. If electricity prices are £37.5/MWh, turbines must start operating within 5 years to stay profitable.</a:t>
          </a:r>
        </a:p>
        <a:p>
          <a:endParaRPr lang="en-GB" sz="1400" b="0">
            <a:latin typeface="Garamond" panose="02020404030301010803" pitchFamily="18" charset="0"/>
          </a:endParaRPr>
        </a:p>
        <a:p>
          <a:r>
            <a:rPr lang="en-GB" sz="1400" b="0">
              <a:latin typeface="Garamond" panose="02020404030301010803" pitchFamily="18" charset="0"/>
            </a:rPr>
            <a:t>At £25/MWh, the project is unviable regardless of the timeline.</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14</xdr:col>
      <xdr:colOff>0</xdr:colOff>
      <xdr:row>62</xdr:row>
      <xdr:rowOff>0</xdr:rowOff>
    </xdr:from>
    <xdr:to>
      <xdr:col>30</xdr:col>
      <xdr:colOff>5765</xdr:colOff>
      <xdr:row>81</xdr:row>
      <xdr:rowOff>171552</xdr:rowOff>
    </xdr:to>
    <xdr:graphicFrame macro="">
      <xdr:nvGraphicFramePr>
        <xdr:cNvPr id="4" name="Chart 3">
          <a:extLst>
            <a:ext uri="{FF2B5EF4-FFF2-40B4-BE49-F238E27FC236}">
              <a16:creationId xmlns:a16="http://schemas.microsoft.com/office/drawing/2014/main" id="{7E95D574-9628-4E17-8F1F-2C338848A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879475</xdr:colOff>
      <xdr:row>62</xdr:row>
      <xdr:rowOff>0</xdr:rowOff>
    </xdr:from>
    <xdr:to>
      <xdr:col>10</xdr:col>
      <xdr:colOff>309718</xdr:colOff>
      <xdr:row>81</xdr:row>
      <xdr:rowOff>171552</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A8911C7-3062-496E-A056-CCA4465533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89075" y="14645640"/>
              <a:ext cx="9305763" cy="465973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803910</xdr:colOff>
      <xdr:row>84</xdr:row>
      <xdr:rowOff>0</xdr:rowOff>
    </xdr:from>
    <xdr:to>
      <xdr:col>10</xdr:col>
      <xdr:colOff>236058</xdr:colOff>
      <xdr:row>103</xdr:row>
      <xdr:rowOff>167742</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3D9A600D-7BAE-4C11-B4C9-719668E738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13510" y="19842480"/>
              <a:ext cx="9307668" cy="465592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0</xdr:colOff>
      <xdr:row>84</xdr:row>
      <xdr:rowOff>0</xdr:rowOff>
    </xdr:from>
    <xdr:to>
      <xdr:col>30</xdr:col>
      <xdr:colOff>7670</xdr:colOff>
      <xdr:row>103</xdr:row>
      <xdr:rowOff>167742</xdr:rowOff>
    </xdr:to>
    <xdr:graphicFrame macro="">
      <xdr:nvGraphicFramePr>
        <xdr:cNvPr id="2" name="Chart 1">
          <a:extLst>
            <a:ext uri="{FF2B5EF4-FFF2-40B4-BE49-F238E27FC236}">
              <a16:creationId xmlns:a16="http://schemas.microsoft.com/office/drawing/2014/main" id="{C8D4AD60-8E97-4853-8536-A47F0CB961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AVIES, JAMES (PGT)" id="{D0E960A5-C285-4BF2-9611-3D4B8FFA02A7}" userId="S::t12jd22@abdn.ac.uk::87370bb2-cdb5-4fe3-b51a-d9b5cb2e38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22DF50-2F97-4EAD-945D-3CC27A513CB8}" name="Table1" displayName="Table1" ref="B9:H16" totalsRowShown="0" headerRowDxfId="14" dataDxfId="13">
  <autoFilter ref="B9:H16" xr:uid="{7922DF50-2F97-4EAD-945D-3CC27A513CB8}"/>
  <sortState xmlns:xlrd2="http://schemas.microsoft.com/office/spreadsheetml/2017/richdata2" ref="B10:H16">
    <sortCondition ref="H9:H16"/>
  </sortState>
  <tableColumns count="7">
    <tableColumn id="1" xr3:uid="{8550458A-8322-4226-9E4C-DEF39D218308}" name="Variable" dataDxfId="12"/>
    <tableColumn id="2" xr3:uid="{FFD965F9-BECD-49B6-9957-BDD6E5567163}" name="Min NPV (£M)" dataDxfId="11"/>
    <tableColumn id="3" xr3:uid="{0412EFB7-0BC9-450A-ABFC-D2DE2F55AB75}" name="Realistic bad (£M)" dataDxfId="10"/>
    <tableColumn id="4" xr3:uid="{7AE79D3A-4D3B-46A8-9624-AEDF73CE688E}" name="Realistic good (£M)" dataDxfId="9"/>
    <tableColumn id="5" xr3:uid="{DD767A44-4554-477F-94D6-5E3B2F43DB98}" name="Max NPV (£M)" dataDxfId="8"/>
    <tableColumn id="6" xr3:uid="{ABB183F4-1651-41C9-95B1-3BA260881669}" name="∆ NPV (£M)" dataDxfId="7">
      <calculatedColumnFormula>Max_NPV-Min_NPV</calculatedColumnFormula>
    </tableColumn>
    <tableColumn id="7" xr3:uid="{144D8529-E2F7-4C68-8172-FBC4A2ED1A66}" name="Rank" dataDxfId="6">
      <calculatedColumnFormula>RANK(_∆_NPV,_∆_NPV,0)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9" dT="2024-05-03T17:00:25.75" personId="{D0E960A5-C285-4BF2-9611-3D4B8FFA02A7}" id="{895CF2E9-3AFD-4EF4-B4E7-C55FE92BBD7C}">
    <text>Costs +10%; revenues -10% vs. base, except where these values are not available. Then own judgement used.</text>
  </threadedComment>
  <threadedComment ref="E9" dT="2024-05-03T17:00:44.67" personId="{D0E960A5-C285-4BF2-9611-3D4B8FFA02A7}" id="{3DEB06E2-7BBF-4CA0-8B2C-AA8A3156B285}">
    <text xml:space="preserve">Costs -10%; revenues +10% vs. base, except where these values are not available. Then own judgement used.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28" dT="2025-02-28T15:34:12.57" personId="{D0E960A5-C285-4BF2-9611-3D4B8FFA02A7}" id="{346C37F8-A034-48D4-A995-669C54DB6DFE}">
    <text>Decommissioning costs are tax deductible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9691E-D664-44B3-B8CD-11002993769E}">
  <dimension ref="A1:AV233"/>
  <sheetViews>
    <sheetView tabSelected="1" topLeftCell="A48" zoomScale="59" zoomScaleNormal="139" workbookViewId="0">
      <selection activeCell="B49" sqref="B49"/>
    </sheetView>
  </sheetViews>
  <sheetFormatPr defaultColWidth="12.77734375" defaultRowHeight="15" customHeight="1" x14ac:dyDescent="0.3"/>
  <cols>
    <col min="1" max="1" width="5.77734375" style="34" customWidth="1"/>
    <col min="2" max="2" width="2.77734375" style="34" customWidth="1"/>
    <col min="3" max="3" width="32.33203125" style="34" customWidth="1"/>
    <col min="4" max="5" width="12.77734375" style="34"/>
    <col min="6" max="6" width="20.77734375" style="34" customWidth="1"/>
    <col min="7" max="7" width="1.77734375" style="34" customWidth="1"/>
    <col min="8" max="9" width="20.77734375" style="34" customWidth="1"/>
    <col min="10" max="24" width="12.77734375" style="34"/>
    <col min="25" max="25" width="5.77734375" style="34" customWidth="1"/>
    <col min="26" max="16384" width="12.77734375" style="34"/>
  </cols>
  <sheetData>
    <row r="1" spans="1:48" ht="15" customHeight="1" x14ac:dyDescent="0.3">
      <c r="A1" s="125"/>
      <c r="B1" s="125"/>
      <c r="C1" s="125"/>
      <c r="D1" s="125"/>
      <c r="E1" s="125"/>
      <c r="F1" s="125"/>
      <c r="G1" s="125"/>
      <c r="H1" s="125"/>
      <c r="I1" s="125"/>
      <c r="J1" s="125"/>
      <c r="K1" s="125"/>
      <c r="L1" s="125"/>
      <c r="M1" s="125"/>
      <c r="N1" s="125"/>
      <c r="O1" s="125"/>
      <c r="P1" s="125"/>
      <c r="Q1" s="125"/>
      <c r="R1" s="125"/>
      <c r="S1" s="125"/>
      <c r="T1" s="125"/>
      <c r="U1" s="125"/>
      <c r="V1" s="125"/>
      <c r="W1" s="125"/>
      <c r="X1" s="125"/>
      <c r="Y1" s="125"/>
    </row>
    <row r="2" spans="1:48" ht="15" customHeight="1" x14ac:dyDescent="0.3">
      <c r="A2" s="125"/>
      <c r="B2" s="145" t="s">
        <v>154</v>
      </c>
      <c r="C2" s="145"/>
      <c r="D2" s="145"/>
      <c r="E2" s="145"/>
      <c r="F2" s="145"/>
      <c r="G2" s="145"/>
      <c r="H2" s="145"/>
      <c r="I2" s="145"/>
      <c r="J2" s="145"/>
      <c r="K2" s="145"/>
      <c r="L2" s="145"/>
      <c r="M2" s="145"/>
      <c r="N2" s="145"/>
      <c r="O2" s="145"/>
      <c r="P2" s="145"/>
      <c r="Q2" s="145"/>
      <c r="R2" s="145"/>
      <c r="S2" s="145"/>
      <c r="T2" s="145"/>
      <c r="U2" s="145"/>
      <c r="V2" s="145"/>
      <c r="W2" s="145"/>
      <c r="X2" s="145"/>
      <c r="Y2" s="125"/>
    </row>
    <row r="3" spans="1:48" ht="15" customHeight="1" x14ac:dyDescent="0.3">
      <c r="A3" s="125"/>
      <c r="B3" s="145"/>
      <c r="C3" s="145"/>
      <c r="D3" s="145"/>
      <c r="E3" s="145"/>
      <c r="F3" s="145"/>
      <c r="G3" s="145"/>
      <c r="H3" s="145"/>
      <c r="I3" s="145"/>
      <c r="J3" s="145"/>
      <c r="K3" s="145"/>
      <c r="L3" s="145"/>
      <c r="M3" s="145"/>
      <c r="N3" s="145"/>
      <c r="O3" s="145"/>
      <c r="P3" s="145"/>
      <c r="Q3" s="145"/>
      <c r="R3" s="145"/>
      <c r="S3" s="145"/>
      <c r="T3" s="145"/>
      <c r="U3" s="145"/>
      <c r="V3" s="145"/>
      <c r="W3" s="145"/>
      <c r="X3" s="145"/>
      <c r="Y3" s="125"/>
    </row>
    <row r="4" spans="1:48" ht="15" customHeight="1" x14ac:dyDescent="0.3">
      <c r="A4" s="125"/>
      <c r="B4" s="145"/>
      <c r="C4" s="145"/>
      <c r="D4" s="145"/>
      <c r="E4" s="145"/>
      <c r="F4" s="145"/>
      <c r="G4" s="145"/>
      <c r="H4" s="145"/>
      <c r="I4" s="145"/>
      <c r="J4" s="145"/>
      <c r="K4" s="145"/>
      <c r="L4" s="145"/>
      <c r="M4" s="145"/>
      <c r="N4" s="145"/>
      <c r="O4" s="145"/>
      <c r="P4" s="145"/>
      <c r="Q4" s="145"/>
      <c r="R4" s="145"/>
      <c r="S4" s="145"/>
      <c r="T4" s="145"/>
      <c r="U4" s="145"/>
      <c r="V4" s="145"/>
      <c r="W4" s="145"/>
      <c r="X4" s="145"/>
      <c r="Y4" s="125"/>
    </row>
    <row r="5" spans="1:48" ht="15" customHeight="1" x14ac:dyDescent="0.3">
      <c r="A5" s="125"/>
      <c r="B5" s="125"/>
      <c r="C5" s="125"/>
      <c r="D5" s="125"/>
      <c r="E5" s="125"/>
      <c r="F5" s="125"/>
      <c r="G5" s="125"/>
      <c r="H5" s="125"/>
      <c r="I5" s="126"/>
      <c r="J5" s="126"/>
      <c r="K5" s="127"/>
      <c r="L5" s="127"/>
      <c r="M5" s="127"/>
      <c r="N5" s="127"/>
      <c r="O5" s="127"/>
      <c r="P5" s="127"/>
      <c r="Q5" s="127"/>
      <c r="R5" s="127"/>
      <c r="S5" s="127"/>
      <c r="T5" s="127"/>
      <c r="U5" s="127"/>
      <c r="V5" s="127"/>
      <c r="W5" s="127"/>
      <c r="X5" s="127"/>
      <c r="Y5" s="125"/>
    </row>
    <row r="6" spans="1:48" ht="25.05" customHeight="1" x14ac:dyDescent="0.3">
      <c r="A6" s="125"/>
      <c r="B6" s="125"/>
      <c r="C6" s="148" t="s">
        <v>182</v>
      </c>
      <c r="D6" s="148"/>
      <c r="E6" s="148"/>
      <c r="F6" s="148"/>
      <c r="G6" s="128"/>
      <c r="H6" s="148" t="s">
        <v>146</v>
      </c>
      <c r="I6" s="148"/>
      <c r="J6" s="125"/>
      <c r="K6" s="125"/>
      <c r="L6" s="125"/>
      <c r="M6" s="125"/>
      <c r="N6" s="125"/>
      <c r="O6" s="125"/>
      <c r="P6" s="125"/>
      <c r="Q6" s="125"/>
      <c r="R6" s="125"/>
      <c r="S6" s="125"/>
      <c r="T6" s="125"/>
      <c r="U6" s="125"/>
      <c r="V6" s="125"/>
      <c r="W6" s="125"/>
      <c r="X6" s="125"/>
      <c r="Y6" s="125"/>
    </row>
    <row r="7" spans="1:48" ht="25.05" customHeight="1" x14ac:dyDescent="0.3">
      <c r="A7" s="125"/>
      <c r="B7" s="125"/>
      <c r="C7" s="152" t="s">
        <v>86</v>
      </c>
      <c r="D7" s="153"/>
      <c r="E7" s="154"/>
      <c r="F7" s="143" t="s">
        <v>147</v>
      </c>
      <c r="G7" s="128"/>
      <c r="H7" s="142" t="s">
        <v>179</v>
      </c>
      <c r="I7" s="144" t="s">
        <v>180</v>
      </c>
      <c r="J7" s="125"/>
      <c r="K7" s="125"/>
      <c r="L7" s="125"/>
      <c r="M7" s="125"/>
      <c r="N7" s="125"/>
      <c r="O7" s="125"/>
      <c r="P7" s="125"/>
      <c r="Q7" s="125"/>
      <c r="R7" s="125"/>
      <c r="S7" s="125"/>
      <c r="T7" s="125"/>
      <c r="U7" s="125"/>
      <c r="V7" s="125"/>
      <c r="W7" s="125"/>
      <c r="X7" s="125"/>
      <c r="Y7" s="125"/>
    </row>
    <row r="8" spans="1:48" ht="19.95" customHeight="1" x14ac:dyDescent="0.3">
      <c r="A8" s="125"/>
      <c r="B8" s="125"/>
      <c r="C8" s="149" t="s">
        <v>181</v>
      </c>
      <c r="D8" s="150"/>
      <c r="E8" s="151"/>
      <c r="F8" s="121">
        <f>SUM(Post_Tax_Net_Cash_Flow_Discounted)</f>
        <v>8751869.1891481467</v>
      </c>
      <c r="G8" s="128"/>
      <c r="H8" s="136">
        <v>5922845.7598626139</v>
      </c>
      <c r="I8" s="138">
        <v>9801720.9595215488</v>
      </c>
      <c r="J8" s="125"/>
      <c r="K8" s="125"/>
      <c r="L8" s="125"/>
      <c r="M8" s="125"/>
      <c r="N8" s="125"/>
      <c r="O8" s="125"/>
      <c r="P8" s="125"/>
      <c r="Q8" s="125"/>
      <c r="R8" s="125"/>
      <c r="S8" s="125"/>
      <c r="T8" s="125"/>
      <c r="U8" s="125"/>
      <c r="V8" s="125"/>
      <c r="W8" s="125"/>
      <c r="X8" s="125"/>
      <c r="Y8" s="125"/>
    </row>
    <row r="9" spans="1:48" ht="25.05" customHeight="1" x14ac:dyDescent="0.3">
      <c r="A9" s="125"/>
      <c r="B9" s="125"/>
      <c r="C9" s="149" t="s">
        <v>149</v>
      </c>
      <c r="D9" s="150"/>
      <c r="E9" s="151"/>
      <c r="F9" s="122">
        <f>IRR(Post_Tax_Net_Cash_Flow_Undiscounted)</f>
        <v>0.14704222100614017</v>
      </c>
      <c r="G9" s="128"/>
      <c r="H9" s="137">
        <v>0.11383829440960036</v>
      </c>
      <c r="I9" s="139">
        <v>0.16315311863687842</v>
      </c>
      <c r="J9" s="125"/>
      <c r="K9" s="125"/>
      <c r="L9" s="125"/>
      <c r="M9" s="125"/>
      <c r="N9" s="125"/>
      <c r="O9" s="125"/>
      <c r="P9" s="125"/>
      <c r="Q9" s="125"/>
      <c r="R9" s="125"/>
      <c r="S9" s="125"/>
      <c r="T9" s="125"/>
      <c r="U9" s="125"/>
      <c r="V9" s="125"/>
      <c r="W9" s="125"/>
      <c r="X9" s="125"/>
      <c r="Y9" s="125"/>
    </row>
    <row r="10" spans="1:48" ht="25.05" customHeight="1" x14ac:dyDescent="0.3">
      <c r="A10" s="125"/>
      <c r="B10" s="125"/>
      <c r="C10" s="149" t="s">
        <v>61</v>
      </c>
      <c r="D10" s="150"/>
      <c r="E10" s="151"/>
      <c r="F10" s="121">
        <f>lcoe_mwh</f>
        <v>44311009.57409139</v>
      </c>
      <c r="G10" s="128"/>
      <c r="H10" s="136">
        <v>43691962.896512724</v>
      </c>
      <c r="I10" s="140">
        <f>lcoe_mwh</f>
        <v>44311009.57409139</v>
      </c>
      <c r="J10" s="125"/>
      <c r="K10" s="125"/>
      <c r="L10" s="125"/>
      <c r="M10" s="125"/>
      <c r="N10" s="125"/>
      <c r="O10" s="125"/>
      <c r="P10" s="125"/>
      <c r="Q10" s="125"/>
      <c r="R10" s="125"/>
      <c r="S10" s="125"/>
      <c r="T10" s="125"/>
      <c r="U10" s="125"/>
      <c r="V10" s="125"/>
      <c r="W10" s="125"/>
      <c r="X10" s="125"/>
      <c r="Y10" s="125"/>
    </row>
    <row r="11" spans="1:48" ht="25.05" customHeight="1" x14ac:dyDescent="0.3">
      <c r="A11" s="125"/>
      <c r="B11" s="125"/>
      <c r="C11" s="149" t="s">
        <v>87</v>
      </c>
      <c r="D11" s="150"/>
      <c r="E11" s="151"/>
      <c r="F11" s="123">
        <f>post_tax_npv/npv_capex</f>
        <v>0.68132739844701062</v>
      </c>
      <c r="G11" s="128"/>
      <c r="H11" s="137">
        <v>0.45959377074800795</v>
      </c>
      <c r="I11" s="141">
        <v>0.77</v>
      </c>
      <c r="J11" s="125"/>
      <c r="K11" s="125"/>
      <c r="L11" s="125"/>
      <c r="M11" s="125"/>
      <c r="N11" s="125"/>
      <c r="O11" s="125"/>
      <c r="P11" s="125"/>
      <c r="Q11" s="125"/>
      <c r="R11" s="125"/>
      <c r="S11" s="125"/>
      <c r="T11" s="125"/>
      <c r="U11" s="125"/>
      <c r="V11" s="125"/>
      <c r="W11" s="125"/>
      <c r="X11" s="125"/>
      <c r="Y11" s="125"/>
    </row>
    <row r="12" spans="1:48" ht="25.05" customHeight="1" x14ac:dyDescent="0.3">
      <c r="A12" s="125"/>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row>
    <row r="13" spans="1:48" ht="15" customHeight="1" x14ac:dyDescent="0.3">
      <c r="A13" s="125"/>
      <c r="B13" s="125"/>
      <c r="C13" s="125"/>
      <c r="D13" s="125"/>
      <c r="E13" s="125"/>
      <c r="F13" s="125"/>
      <c r="G13" s="125"/>
      <c r="H13" s="125"/>
      <c r="I13" s="125"/>
      <c r="J13" s="125"/>
      <c r="K13" s="125"/>
      <c r="L13" s="125"/>
      <c r="M13" s="125"/>
      <c r="N13" s="125"/>
      <c r="O13" s="125"/>
      <c r="P13" s="125"/>
      <c r="Q13" s="125"/>
      <c r="R13" s="125"/>
      <c r="S13" s="125"/>
      <c r="T13" s="125"/>
      <c r="U13" s="125"/>
      <c r="V13" s="125"/>
      <c r="W13" s="125"/>
      <c r="X13" s="125"/>
      <c r="Y13" s="125"/>
      <c r="Z13" s="95"/>
      <c r="AA13" s="124"/>
      <c r="AB13" s="124"/>
      <c r="AC13" s="124"/>
      <c r="AD13" s="124"/>
      <c r="AE13" s="124"/>
      <c r="AF13" s="124"/>
      <c r="AG13" s="124"/>
      <c r="AH13" s="124"/>
      <c r="AI13" s="124"/>
      <c r="AJ13" s="124"/>
      <c r="AK13" s="124"/>
      <c r="AL13" s="124"/>
      <c r="AM13" s="124"/>
      <c r="AN13" s="124"/>
      <c r="AO13" s="124"/>
      <c r="AP13" s="124"/>
      <c r="AQ13" s="124"/>
      <c r="AR13" s="124"/>
      <c r="AS13" s="124"/>
      <c r="AT13" s="124"/>
      <c r="AU13" s="124"/>
      <c r="AV13" s="124"/>
    </row>
    <row r="14" spans="1:48" ht="15" customHeight="1" x14ac:dyDescent="0.3">
      <c r="A14" s="125"/>
      <c r="B14" s="125"/>
      <c r="C14" s="129"/>
      <c r="D14" s="130"/>
      <c r="E14" s="125"/>
      <c r="F14" s="125"/>
      <c r="G14" s="125"/>
      <c r="H14" s="125"/>
      <c r="I14" s="125"/>
      <c r="J14" s="125"/>
      <c r="K14" s="125"/>
      <c r="L14" s="125"/>
      <c r="M14" s="125"/>
      <c r="N14" s="125"/>
      <c r="O14" s="125"/>
      <c r="P14" s="125"/>
      <c r="Q14" s="125"/>
      <c r="R14" s="125"/>
      <c r="S14" s="125"/>
      <c r="T14" s="125"/>
      <c r="U14" s="125"/>
      <c r="V14" s="125"/>
      <c r="W14" s="125"/>
      <c r="X14" s="125"/>
      <c r="Y14" s="125"/>
      <c r="AA14" s="124"/>
      <c r="AB14" s="124"/>
      <c r="AC14" s="124"/>
      <c r="AD14" s="124"/>
      <c r="AE14" s="124"/>
      <c r="AF14" s="124"/>
      <c r="AG14" s="124"/>
      <c r="AH14" s="124"/>
      <c r="AI14" s="124"/>
      <c r="AJ14" s="124"/>
      <c r="AK14" s="124"/>
      <c r="AL14" s="124"/>
      <c r="AM14" s="124"/>
      <c r="AN14" s="124"/>
      <c r="AO14" s="124"/>
      <c r="AP14" s="124"/>
      <c r="AQ14" s="124"/>
      <c r="AR14" s="124"/>
      <c r="AS14" s="124"/>
      <c r="AT14" s="124"/>
      <c r="AU14" s="124"/>
      <c r="AV14" s="124"/>
    </row>
    <row r="15" spans="1:48" ht="15" customHeight="1" x14ac:dyDescent="0.3">
      <c r="A15" s="125"/>
      <c r="B15" s="125"/>
      <c r="C15" s="129"/>
      <c r="D15" s="131"/>
      <c r="E15" s="125"/>
      <c r="F15" s="125"/>
      <c r="G15" s="125"/>
      <c r="H15" s="125"/>
      <c r="I15" s="125"/>
      <c r="J15" s="125"/>
      <c r="K15" s="125"/>
      <c r="L15" s="125"/>
      <c r="M15" s="125"/>
      <c r="N15" s="125"/>
      <c r="O15" s="125"/>
      <c r="P15" s="125"/>
      <c r="Q15" s="125"/>
      <c r="R15" s="125"/>
      <c r="S15" s="125"/>
      <c r="T15" s="125"/>
      <c r="U15" s="125"/>
      <c r="V15" s="125"/>
      <c r="W15" s="125"/>
      <c r="X15" s="125"/>
      <c r="Y15" s="125"/>
    </row>
    <row r="16" spans="1:48" ht="15" customHeight="1" x14ac:dyDescent="0.3">
      <c r="A16" s="125"/>
      <c r="B16" s="125"/>
      <c r="C16" s="129"/>
      <c r="D16" s="132"/>
      <c r="E16" s="125"/>
      <c r="F16" s="125"/>
      <c r="G16" s="125"/>
      <c r="H16" s="125"/>
      <c r="I16" s="125"/>
      <c r="J16" s="125"/>
      <c r="K16" s="125"/>
      <c r="L16" s="125"/>
      <c r="M16" s="125"/>
      <c r="N16" s="125"/>
      <c r="O16" s="125"/>
      <c r="P16" s="125"/>
      <c r="Q16" s="125"/>
      <c r="R16" s="125"/>
      <c r="S16" s="125"/>
      <c r="T16" s="125"/>
      <c r="U16" s="125"/>
      <c r="V16" s="125"/>
      <c r="W16" s="125"/>
      <c r="X16" s="125"/>
      <c r="Y16" s="125"/>
    </row>
    <row r="17" spans="1:25" ht="15" customHeight="1" x14ac:dyDescent="0.3">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row>
    <row r="18" spans="1:25" ht="15" customHeight="1" x14ac:dyDescent="0.3">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row>
    <row r="19" spans="1:25" ht="15" customHeight="1" x14ac:dyDescent="0.3">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row>
    <row r="20" spans="1:25" ht="15" customHeight="1" x14ac:dyDescent="0.3">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row>
    <row r="21" spans="1:25" ht="15" customHeight="1" x14ac:dyDescent="0.3">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row>
    <row r="22" spans="1:25" ht="15" customHeight="1" x14ac:dyDescent="0.3">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row>
    <row r="23" spans="1:25" ht="15" customHeight="1" x14ac:dyDescent="0.3">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row>
    <row r="24" spans="1:25" ht="15" customHeight="1" x14ac:dyDescent="0.3">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row>
    <row r="25" spans="1:25" ht="15" customHeight="1" x14ac:dyDescent="0.3">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row>
    <row r="26" spans="1:25" ht="15" customHeight="1" x14ac:dyDescent="0.3">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row>
    <row r="27" spans="1:25" ht="15" customHeight="1" x14ac:dyDescent="0.3">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row>
    <row r="28" spans="1:25" ht="15" customHeight="1" x14ac:dyDescent="0.3">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row>
    <row r="29" spans="1:25" ht="15" customHeight="1" x14ac:dyDescent="0.3">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row>
    <row r="30" spans="1:25" ht="15" customHeight="1" x14ac:dyDescent="0.3">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row>
    <row r="31" spans="1:25" ht="15" customHeight="1" x14ac:dyDescent="0.3">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row>
    <row r="32" spans="1:25" ht="15" customHeight="1" x14ac:dyDescent="0.3">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row>
    <row r="33" spans="1:25" ht="15" customHeight="1" x14ac:dyDescent="0.3">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row>
    <row r="34" spans="1:25" ht="15" customHeight="1" x14ac:dyDescent="0.3">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row>
    <row r="35" spans="1:25" ht="15" customHeight="1" x14ac:dyDescent="0.3">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row>
    <row r="36" spans="1:25" ht="15" customHeight="1" x14ac:dyDescent="0.3">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row>
    <row r="37" spans="1:25" ht="15" customHeight="1" x14ac:dyDescent="0.3">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row>
    <row r="38" spans="1:25" ht="15" customHeight="1" x14ac:dyDescent="0.3">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row>
    <row r="39" spans="1:25" ht="15" customHeight="1" x14ac:dyDescent="0.3">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row>
    <row r="40" spans="1:25" ht="15" customHeight="1" x14ac:dyDescent="0.3">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row>
    <row r="41" spans="1:25" ht="15" customHeight="1" x14ac:dyDescent="0.3">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row>
    <row r="42" spans="1:25" ht="15" customHeight="1" x14ac:dyDescent="0.3">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row>
    <row r="43" spans="1:25" ht="15" customHeight="1" x14ac:dyDescent="0.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row>
    <row r="44" spans="1:25" ht="15" customHeight="1" x14ac:dyDescent="0.3">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row>
    <row r="45" spans="1:25" ht="15" customHeight="1" x14ac:dyDescent="0.3">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row>
    <row r="46" spans="1:25" ht="15" customHeight="1" x14ac:dyDescent="0.3">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row>
    <row r="47" spans="1:25" ht="15" customHeight="1" x14ac:dyDescent="0.3">
      <c r="A47" s="125"/>
      <c r="B47" s="146" t="s">
        <v>145</v>
      </c>
      <c r="C47" s="146"/>
      <c r="D47" s="146"/>
      <c r="E47" s="146"/>
      <c r="F47" s="146"/>
      <c r="G47" s="146"/>
      <c r="H47" s="146"/>
      <c r="I47" s="146"/>
      <c r="J47" s="146"/>
      <c r="K47" s="146"/>
      <c r="L47" s="146"/>
      <c r="M47" s="146"/>
      <c r="N47" s="146"/>
      <c r="O47" s="146"/>
      <c r="P47" s="146"/>
      <c r="Q47" s="146"/>
      <c r="R47" s="146"/>
      <c r="S47" s="146"/>
      <c r="T47" s="146"/>
      <c r="U47" s="146"/>
      <c r="V47" s="146"/>
      <c r="W47" s="146"/>
      <c r="X47" s="146"/>
      <c r="Y47" s="125"/>
    </row>
    <row r="48" spans="1:25" ht="15" customHeight="1" x14ac:dyDescent="0.3">
      <c r="A48" s="125"/>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25"/>
    </row>
    <row r="49" spans="1:25" ht="15" customHeight="1" x14ac:dyDescent="0.3">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row>
    <row r="50" spans="1:25" ht="15" customHeight="1" x14ac:dyDescent="0.3">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row>
    <row r="51" spans="1:25" ht="15" customHeight="1" x14ac:dyDescent="0.3">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row>
    <row r="52" spans="1:25" ht="15" customHeight="1" x14ac:dyDescent="0.3">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row>
    <row r="53" spans="1:25" ht="15" customHeight="1" x14ac:dyDescent="0.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row>
    <row r="54" spans="1:25" ht="15" customHeight="1" x14ac:dyDescent="0.3">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row>
    <row r="55" spans="1:25" ht="15" customHeight="1" x14ac:dyDescent="0.3">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row>
    <row r="56" spans="1:25" ht="15" customHeight="1" x14ac:dyDescent="0.3">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row>
    <row r="57" spans="1:25" ht="15" customHeight="1" x14ac:dyDescent="0.3">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row>
    <row r="58" spans="1:25" ht="15" customHeight="1" x14ac:dyDescent="0.3">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row>
    <row r="59" spans="1:25" ht="15" customHeight="1" x14ac:dyDescent="0.3">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row>
    <row r="60" spans="1:25" ht="15" customHeight="1" x14ac:dyDescent="0.3">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row>
    <row r="61" spans="1:25" ht="15" customHeight="1" x14ac:dyDescent="0.3">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row>
    <row r="62" spans="1:25" ht="15" customHeight="1" x14ac:dyDescent="0.3">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row>
    <row r="63" spans="1:25" ht="15" customHeight="1" x14ac:dyDescent="0.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row>
    <row r="64" spans="1:25" ht="15" customHeight="1" x14ac:dyDescent="0.3">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row>
    <row r="65" spans="1:25" ht="15" customHeight="1" x14ac:dyDescent="0.3">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row>
    <row r="66" spans="1:25" ht="15" customHeight="1" x14ac:dyDescent="0.3">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row>
    <row r="67" spans="1:25" ht="15" customHeight="1" x14ac:dyDescent="0.3">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row>
    <row r="68" spans="1:25" ht="15" customHeight="1" x14ac:dyDescent="0.3">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row>
    <row r="69" spans="1:25" ht="15" customHeight="1" x14ac:dyDescent="0.3">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row>
    <row r="70" spans="1:25" ht="15" customHeight="1" x14ac:dyDescent="0.3">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row>
    <row r="71" spans="1:25" ht="15" customHeight="1" x14ac:dyDescent="0.3">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row>
    <row r="72" spans="1:25" ht="15" customHeight="1" x14ac:dyDescent="0.3">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row>
    <row r="73" spans="1:25" ht="15" customHeight="1" x14ac:dyDescent="0.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row>
    <row r="74" spans="1:25" ht="15" customHeight="1" x14ac:dyDescent="0.3">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row>
    <row r="75" spans="1:25" ht="15" customHeight="1" x14ac:dyDescent="0.3">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row>
    <row r="76" spans="1:25" ht="15" customHeight="1" x14ac:dyDescent="0.3">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row>
    <row r="77" spans="1:25" ht="15" customHeight="1" x14ac:dyDescent="0.3">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row>
    <row r="78" spans="1:25" ht="15" customHeight="1" x14ac:dyDescent="0.3">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row>
    <row r="79" spans="1:25" ht="15" customHeight="1" x14ac:dyDescent="0.3">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row>
    <row r="80" spans="1:25" ht="15" customHeight="1" x14ac:dyDescent="0.3">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row>
    <row r="81" spans="1:25" ht="15" customHeight="1" x14ac:dyDescent="0.3">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row>
    <row r="82" spans="1:25" ht="15" customHeight="1" x14ac:dyDescent="0.3">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row>
    <row r="83" spans="1:25" ht="15" customHeight="1" x14ac:dyDescent="0.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row>
    <row r="84" spans="1:25" ht="15" customHeight="1" x14ac:dyDescent="0.3">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row>
    <row r="85" spans="1:25" ht="15" customHeight="1" x14ac:dyDescent="0.3">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row>
    <row r="86" spans="1:25" ht="15" customHeight="1" x14ac:dyDescent="0.3">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row>
    <row r="87" spans="1:25" ht="15" customHeight="1" x14ac:dyDescent="0.3">
      <c r="A87" s="125"/>
      <c r="B87" s="146" t="s">
        <v>111</v>
      </c>
      <c r="C87" s="146"/>
      <c r="D87" s="146"/>
      <c r="E87" s="146"/>
      <c r="F87" s="146"/>
      <c r="G87" s="146"/>
      <c r="H87" s="146"/>
      <c r="I87" s="146"/>
      <c r="J87" s="146"/>
      <c r="K87" s="146"/>
      <c r="L87" s="146"/>
      <c r="M87" s="146"/>
      <c r="N87" s="146"/>
      <c r="O87" s="146"/>
      <c r="P87" s="146"/>
      <c r="Q87" s="146"/>
      <c r="R87" s="146"/>
      <c r="S87" s="146"/>
      <c r="T87" s="146"/>
      <c r="U87" s="146"/>
      <c r="V87" s="146"/>
      <c r="W87" s="146"/>
      <c r="X87" s="146"/>
      <c r="Y87" s="125"/>
    </row>
    <row r="88" spans="1:25" ht="15" customHeight="1" x14ac:dyDescent="0.3">
      <c r="A88" s="125"/>
      <c r="B88" s="146"/>
      <c r="C88" s="146"/>
      <c r="D88" s="146"/>
      <c r="E88" s="146"/>
      <c r="F88" s="146"/>
      <c r="G88" s="146"/>
      <c r="H88" s="146"/>
      <c r="I88" s="146"/>
      <c r="J88" s="146"/>
      <c r="K88" s="146"/>
      <c r="L88" s="146"/>
      <c r="M88" s="146"/>
      <c r="N88" s="146"/>
      <c r="O88" s="146"/>
      <c r="P88" s="146"/>
      <c r="Q88" s="146"/>
      <c r="R88" s="146"/>
      <c r="S88" s="146"/>
      <c r="T88" s="146"/>
      <c r="U88" s="146"/>
      <c r="V88" s="146"/>
      <c r="W88" s="146"/>
      <c r="X88" s="146"/>
      <c r="Y88" s="125"/>
    </row>
    <row r="89" spans="1:25" ht="15" customHeight="1" x14ac:dyDescent="0.3">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row>
    <row r="90" spans="1:25" ht="15" customHeight="1" x14ac:dyDescent="0.3">
      <c r="A90" s="125"/>
      <c r="B90" s="125"/>
      <c r="C90" s="125"/>
      <c r="D90" s="125"/>
      <c r="E90" s="125"/>
      <c r="F90" s="134"/>
      <c r="G90" s="134"/>
      <c r="H90" s="134"/>
      <c r="I90" s="134"/>
      <c r="J90" s="134"/>
      <c r="K90" s="134"/>
      <c r="L90" s="134"/>
      <c r="M90" s="134"/>
      <c r="N90" s="134"/>
      <c r="O90" s="134"/>
      <c r="P90" s="134"/>
      <c r="Q90" s="134"/>
      <c r="R90" s="125"/>
      <c r="S90" s="125"/>
      <c r="T90" s="125"/>
      <c r="U90" s="125"/>
      <c r="V90" s="125"/>
      <c r="W90" s="125"/>
      <c r="X90" s="125"/>
      <c r="Y90" s="125"/>
    </row>
    <row r="91" spans="1:25" ht="15" customHeight="1" x14ac:dyDescent="0.3">
      <c r="A91" s="125"/>
      <c r="B91" s="125"/>
      <c r="C91" s="125"/>
      <c r="D91" s="125"/>
      <c r="E91" s="125"/>
      <c r="F91" s="134"/>
      <c r="G91" s="134"/>
      <c r="H91" s="134"/>
      <c r="I91" s="134"/>
      <c r="J91" s="134"/>
      <c r="K91" s="134"/>
      <c r="L91" s="134"/>
      <c r="M91" s="134"/>
      <c r="N91" s="134"/>
      <c r="O91" s="134"/>
      <c r="P91" s="134"/>
      <c r="Q91" s="134"/>
      <c r="R91" s="125"/>
      <c r="S91" s="125"/>
      <c r="T91" s="125"/>
      <c r="U91" s="125"/>
      <c r="V91" s="125"/>
      <c r="W91" s="125"/>
      <c r="X91" s="125"/>
      <c r="Y91" s="125"/>
    </row>
    <row r="92" spans="1:25" ht="15" customHeight="1" x14ac:dyDescent="0.3">
      <c r="A92" s="125"/>
      <c r="B92" s="125"/>
      <c r="C92" s="125"/>
      <c r="D92" s="125"/>
      <c r="E92" s="125"/>
      <c r="F92" s="134"/>
      <c r="G92" s="134"/>
      <c r="H92" s="134"/>
      <c r="I92" s="134"/>
      <c r="J92" s="134"/>
      <c r="K92" s="134"/>
      <c r="L92" s="134"/>
      <c r="M92" s="134"/>
      <c r="N92" s="134"/>
      <c r="O92" s="134"/>
      <c r="P92" s="134"/>
      <c r="Q92" s="134"/>
      <c r="R92" s="125"/>
      <c r="S92" s="125"/>
      <c r="T92" s="125"/>
      <c r="U92" s="125"/>
      <c r="V92" s="125"/>
      <c r="W92" s="125"/>
      <c r="X92" s="125"/>
      <c r="Y92" s="125"/>
    </row>
    <row r="93" spans="1:25" ht="15" customHeight="1" x14ac:dyDescent="0.3">
      <c r="A93" s="125"/>
      <c r="B93" s="125"/>
      <c r="C93" s="125"/>
      <c r="D93" s="125"/>
      <c r="E93" s="125"/>
      <c r="F93" s="134"/>
      <c r="G93" s="134"/>
      <c r="H93" s="134"/>
      <c r="I93" s="134"/>
      <c r="J93" s="134"/>
      <c r="K93" s="134"/>
      <c r="L93" s="134"/>
      <c r="M93" s="134"/>
      <c r="N93" s="134"/>
      <c r="O93" s="134"/>
      <c r="P93" s="134"/>
      <c r="Q93" s="134"/>
      <c r="R93" s="125"/>
      <c r="S93" s="125"/>
      <c r="T93" s="125"/>
      <c r="U93" s="125"/>
      <c r="V93" s="125"/>
      <c r="W93" s="125"/>
      <c r="X93" s="125"/>
      <c r="Y93" s="125"/>
    </row>
    <row r="94" spans="1:25" ht="15" customHeight="1" x14ac:dyDescent="0.3">
      <c r="A94" s="125"/>
      <c r="B94" s="125"/>
      <c r="C94" s="125"/>
      <c r="D94" s="125"/>
      <c r="E94" s="125"/>
      <c r="F94" s="134"/>
      <c r="G94" s="134"/>
      <c r="H94" s="134"/>
      <c r="I94" s="134"/>
      <c r="J94" s="134"/>
      <c r="K94" s="134"/>
      <c r="L94" s="134"/>
      <c r="M94" s="134"/>
      <c r="N94" s="134"/>
      <c r="O94" s="134"/>
      <c r="P94" s="134"/>
      <c r="Q94" s="134"/>
      <c r="R94" s="125"/>
      <c r="S94" s="125"/>
      <c r="T94" s="125"/>
      <c r="U94" s="125"/>
      <c r="V94" s="125"/>
      <c r="W94" s="125"/>
      <c r="X94" s="125"/>
      <c r="Y94" s="125"/>
    </row>
    <row r="95" spans="1:25" ht="15" customHeight="1" x14ac:dyDescent="0.3">
      <c r="A95" s="125"/>
      <c r="B95" s="125"/>
      <c r="C95" s="125"/>
      <c r="D95" s="125"/>
      <c r="E95" s="125"/>
      <c r="F95" s="134"/>
      <c r="G95" s="134"/>
      <c r="H95" s="134"/>
      <c r="I95" s="134"/>
      <c r="J95" s="134"/>
      <c r="K95" s="134"/>
      <c r="L95" s="134"/>
      <c r="M95" s="134"/>
      <c r="N95" s="134"/>
      <c r="O95" s="134"/>
      <c r="P95" s="134"/>
      <c r="Q95" s="134"/>
      <c r="R95" s="125"/>
      <c r="S95" s="125"/>
      <c r="T95" s="125"/>
      <c r="U95" s="125"/>
      <c r="V95" s="125"/>
      <c r="W95" s="125"/>
      <c r="X95" s="125"/>
      <c r="Y95" s="125"/>
    </row>
    <row r="96" spans="1:25" ht="15" customHeight="1" x14ac:dyDescent="0.3">
      <c r="A96" s="125"/>
      <c r="B96" s="125"/>
      <c r="C96" s="125"/>
      <c r="D96" s="125"/>
      <c r="E96" s="125"/>
      <c r="F96" s="134"/>
      <c r="G96" s="134"/>
      <c r="H96" s="134"/>
      <c r="I96" s="134"/>
      <c r="J96" s="134"/>
      <c r="K96" s="134"/>
      <c r="L96" s="134"/>
      <c r="M96" s="134"/>
      <c r="N96" s="134"/>
      <c r="O96" s="134"/>
      <c r="P96" s="134"/>
      <c r="Q96" s="134"/>
      <c r="R96" s="125"/>
      <c r="S96" s="125"/>
      <c r="T96" s="125"/>
      <c r="U96" s="125"/>
      <c r="V96" s="125"/>
      <c r="W96" s="125"/>
      <c r="X96" s="125"/>
      <c r="Y96" s="125"/>
    </row>
    <row r="97" spans="1:25" ht="15" customHeight="1" x14ac:dyDescent="0.3">
      <c r="A97" s="125"/>
      <c r="B97" s="125"/>
      <c r="C97" s="125"/>
      <c r="D97" s="125"/>
      <c r="E97" s="125"/>
      <c r="F97" s="134"/>
      <c r="G97" s="134"/>
      <c r="H97" s="134"/>
      <c r="I97" s="134"/>
      <c r="J97" s="134"/>
      <c r="K97" s="134"/>
      <c r="L97" s="134"/>
      <c r="M97" s="134"/>
      <c r="N97" s="134"/>
      <c r="O97" s="134"/>
      <c r="P97" s="134"/>
      <c r="Q97" s="134"/>
      <c r="R97" s="125"/>
      <c r="S97" s="125"/>
      <c r="T97" s="125"/>
      <c r="U97" s="125"/>
      <c r="V97" s="125"/>
      <c r="W97" s="125"/>
      <c r="X97" s="125"/>
      <c r="Y97" s="125"/>
    </row>
    <row r="98" spans="1:25" ht="15" customHeight="1" x14ac:dyDescent="0.3">
      <c r="A98" s="125"/>
      <c r="B98" s="125"/>
      <c r="C98" s="125"/>
      <c r="D98" s="125"/>
      <c r="E98" s="125"/>
      <c r="F98" s="134"/>
      <c r="G98" s="134"/>
      <c r="H98" s="134"/>
      <c r="I98" s="134"/>
      <c r="J98" s="134"/>
      <c r="K98" s="134"/>
      <c r="L98" s="134"/>
      <c r="M98" s="134"/>
      <c r="N98" s="134"/>
      <c r="O98" s="134"/>
      <c r="P98" s="134"/>
      <c r="Q98" s="134"/>
      <c r="R98" s="125"/>
      <c r="S98" s="125"/>
      <c r="T98" s="125"/>
      <c r="U98" s="125"/>
      <c r="V98" s="125"/>
      <c r="W98" s="125"/>
      <c r="X98" s="125"/>
      <c r="Y98" s="125"/>
    </row>
    <row r="99" spans="1:25" ht="15" customHeight="1" x14ac:dyDescent="0.3">
      <c r="A99" s="125"/>
      <c r="B99" s="125"/>
      <c r="C99" s="125"/>
      <c r="D99" s="125"/>
      <c r="E99" s="125"/>
      <c r="F99" s="134"/>
      <c r="G99" s="134"/>
      <c r="H99" s="134"/>
      <c r="I99" s="134"/>
      <c r="J99" s="134"/>
      <c r="K99" s="134"/>
      <c r="L99" s="134"/>
      <c r="M99" s="134"/>
      <c r="N99" s="134"/>
      <c r="O99" s="134"/>
      <c r="P99" s="134"/>
      <c r="Q99" s="134"/>
      <c r="R99" s="125"/>
      <c r="S99" s="125"/>
      <c r="T99" s="125"/>
      <c r="U99" s="125"/>
      <c r="V99" s="125"/>
      <c r="W99" s="125"/>
      <c r="X99" s="125"/>
      <c r="Y99" s="125"/>
    </row>
    <row r="100" spans="1:25" ht="15" customHeight="1" x14ac:dyDescent="0.3">
      <c r="A100" s="125"/>
      <c r="B100" s="125"/>
      <c r="C100" s="125"/>
      <c r="D100" s="125"/>
      <c r="E100" s="125"/>
      <c r="F100" s="134"/>
      <c r="G100" s="134"/>
      <c r="H100" s="134"/>
      <c r="I100" s="134"/>
      <c r="J100" s="134"/>
      <c r="K100" s="134"/>
      <c r="L100" s="134"/>
      <c r="M100" s="134"/>
      <c r="N100" s="134"/>
      <c r="O100" s="134"/>
      <c r="P100" s="134"/>
      <c r="Q100" s="134"/>
      <c r="R100" s="125"/>
      <c r="S100" s="125"/>
      <c r="T100" s="125"/>
      <c r="U100" s="125"/>
      <c r="V100" s="125"/>
      <c r="W100" s="125"/>
      <c r="X100" s="125"/>
      <c r="Y100" s="125"/>
    </row>
    <row r="101" spans="1:25" ht="15" customHeight="1" x14ac:dyDescent="0.3">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row>
    <row r="102" spans="1:25" ht="15" customHeight="1" x14ac:dyDescent="0.3">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row>
    <row r="103" spans="1:25" ht="15" customHeight="1" x14ac:dyDescent="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row>
    <row r="104" spans="1:25" ht="15" customHeight="1" x14ac:dyDescent="0.3">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row>
    <row r="105" spans="1:25" ht="15" customHeight="1" x14ac:dyDescent="0.3">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row>
    <row r="106" spans="1:25" ht="15" customHeight="1" x14ac:dyDescent="0.3">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row>
    <row r="107" spans="1:25" ht="15" customHeight="1" x14ac:dyDescent="0.3">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row>
    <row r="108" spans="1:25" ht="15" customHeight="1" x14ac:dyDescent="0.3">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row>
    <row r="109" spans="1:25" ht="15" customHeight="1" x14ac:dyDescent="0.3">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row>
    <row r="110" spans="1:25" ht="15" customHeight="1" x14ac:dyDescent="0.3">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row>
    <row r="111" spans="1:25" ht="15" customHeight="1" x14ac:dyDescent="0.3">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row>
    <row r="112" spans="1:25" ht="15" customHeight="1" x14ac:dyDescent="0.3">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row>
    <row r="113" spans="1:25" ht="15" customHeight="1" x14ac:dyDescent="0.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row>
    <row r="114" spans="1:25" ht="15" customHeight="1" x14ac:dyDescent="0.3">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row>
    <row r="115" spans="1:25" ht="15" customHeight="1" x14ac:dyDescent="0.3">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row>
    <row r="116" spans="1:25" ht="15" customHeight="1" x14ac:dyDescent="0.3">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row>
    <row r="117" spans="1:25" ht="15" customHeight="1" x14ac:dyDescent="0.3">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row>
    <row r="118" spans="1:25" ht="15" customHeight="1" x14ac:dyDescent="0.3">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row>
    <row r="119" spans="1:25" ht="15" customHeight="1" x14ac:dyDescent="0.3">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row>
    <row r="120" spans="1:25" ht="15" customHeight="1" x14ac:dyDescent="0.3">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row>
    <row r="121" spans="1:25" ht="15" customHeight="1" x14ac:dyDescent="0.3">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row>
    <row r="122" spans="1:25" ht="15" customHeight="1" x14ac:dyDescent="0.3">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row>
    <row r="123" spans="1:25" ht="15" customHeight="1" x14ac:dyDescent="0.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row>
    <row r="124" spans="1:25" ht="15" customHeight="1" x14ac:dyDescent="0.3">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row>
    <row r="125" spans="1:25" ht="15" customHeight="1" x14ac:dyDescent="0.3">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row>
    <row r="126" spans="1:25" ht="15" customHeight="1" x14ac:dyDescent="0.3">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row>
    <row r="127" spans="1:25" ht="15" customHeight="1" x14ac:dyDescent="0.3">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row>
    <row r="128" spans="1:25" ht="15" customHeight="1" x14ac:dyDescent="0.3">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row>
    <row r="129" spans="1:25" ht="15" customHeight="1" x14ac:dyDescent="0.3">
      <c r="A129" s="125"/>
      <c r="B129" s="146" t="s">
        <v>112</v>
      </c>
      <c r="C129" s="146"/>
      <c r="D129" s="146"/>
      <c r="E129" s="146"/>
      <c r="F129" s="146"/>
      <c r="G129" s="146"/>
      <c r="H129" s="146"/>
      <c r="I129" s="146"/>
      <c r="J129" s="146"/>
      <c r="K129" s="146"/>
      <c r="L129" s="146"/>
      <c r="M129" s="146"/>
      <c r="N129" s="146"/>
      <c r="O129" s="146"/>
      <c r="P129" s="146"/>
      <c r="Q129" s="146"/>
      <c r="R129" s="146"/>
      <c r="S129" s="146"/>
      <c r="T129" s="146"/>
      <c r="U129" s="146"/>
      <c r="V129" s="146"/>
      <c r="W129" s="146"/>
      <c r="X129" s="146"/>
      <c r="Y129" s="125"/>
    </row>
    <row r="130" spans="1:25" ht="15" customHeight="1" x14ac:dyDescent="0.3">
      <c r="A130" s="125"/>
      <c r="B130" s="146"/>
      <c r="C130" s="146"/>
      <c r="D130" s="146"/>
      <c r="E130" s="146"/>
      <c r="F130" s="146"/>
      <c r="G130" s="146"/>
      <c r="H130" s="146"/>
      <c r="I130" s="146"/>
      <c r="J130" s="146"/>
      <c r="K130" s="146"/>
      <c r="L130" s="146"/>
      <c r="M130" s="146"/>
      <c r="N130" s="146"/>
      <c r="O130" s="146"/>
      <c r="P130" s="146"/>
      <c r="Q130" s="146"/>
      <c r="R130" s="146"/>
      <c r="S130" s="146"/>
      <c r="T130" s="146"/>
      <c r="U130" s="146"/>
      <c r="V130" s="146"/>
      <c r="W130" s="146"/>
      <c r="X130" s="146"/>
      <c r="Y130" s="125"/>
    </row>
    <row r="131" spans="1:25" ht="15" customHeight="1" x14ac:dyDescent="0.3">
      <c r="A131" s="12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25"/>
    </row>
    <row r="132" spans="1:25" ht="15" customHeight="1" x14ac:dyDescent="0.3">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row>
    <row r="133" spans="1:25" ht="15" customHeight="1" x14ac:dyDescent="0.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row>
    <row r="134" spans="1:25" ht="15" customHeight="1" x14ac:dyDescent="0.3">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row>
    <row r="135" spans="1:25" ht="15" customHeight="1" x14ac:dyDescent="0.3">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row>
    <row r="136" spans="1:25" ht="15" customHeight="1" x14ac:dyDescent="0.3">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row>
    <row r="137" spans="1:25" ht="15" customHeight="1" x14ac:dyDescent="0.3">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row>
    <row r="138" spans="1:25" ht="15" customHeight="1" x14ac:dyDescent="0.3">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row>
    <row r="139" spans="1:25" ht="15" customHeight="1" x14ac:dyDescent="0.3">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row>
    <row r="140" spans="1:25" ht="15" customHeight="1" x14ac:dyDescent="0.3">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row>
    <row r="141" spans="1:25" ht="15" customHeight="1" x14ac:dyDescent="0.3">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row>
    <row r="142" spans="1:25" ht="15" customHeight="1" x14ac:dyDescent="0.3">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row>
    <row r="143" spans="1:25" ht="15" customHeight="1" x14ac:dyDescent="0.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row>
    <row r="144" spans="1:25" ht="15" customHeight="1" x14ac:dyDescent="0.3">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row>
    <row r="145" spans="1:25" ht="15" customHeight="1" x14ac:dyDescent="0.3">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row>
    <row r="146" spans="1:25" ht="15" customHeight="1" x14ac:dyDescent="0.3">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row>
    <row r="147" spans="1:25" ht="15" customHeight="1" x14ac:dyDescent="0.3">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row>
    <row r="148" spans="1:25" ht="15" customHeight="1" x14ac:dyDescent="0.3">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row>
    <row r="149" spans="1:25" ht="15" customHeight="1" x14ac:dyDescent="0.3">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row>
    <row r="150" spans="1:25" ht="15" customHeight="1" x14ac:dyDescent="0.3">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row>
    <row r="151" spans="1:25" ht="15" customHeight="1" x14ac:dyDescent="0.3">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row>
    <row r="152" spans="1:25" ht="15" customHeight="1" x14ac:dyDescent="0.3">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row>
    <row r="153" spans="1:25" ht="15" customHeight="1" x14ac:dyDescent="0.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row>
    <row r="154" spans="1:25" ht="15" customHeight="1" x14ac:dyDescent="0.3">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row>
    <row r="155" spans="1:25" ht="15" customHeight="1" x14ac:dyDescent="0.3">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row>
    <row r="156" spans="1:25" ht="15" customHeight="1" x14ac:dyDescent="0.3">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row>
    <row r="157" spans="1:25" ht="15" customHeight="1" x14ac:dyDescent="0.3">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row>
    <row r="158" spans="1:25" ht="15" customHeight="1" x14ac:dyDescent="0.3">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row>
    <row r="159" spans="1:25" ht="15" customHeight="1" x14ac:dyDescent="0.3">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row>
    <row r="160" spans="1:25" ht="15" customHeight="1" x14ac:dyDescent="0.3">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row>
    <row r="161" spans="1:25" ht="15" customHeight="1" x14ac:dyDescent="0.3">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row>
    <row r="162" spans="1:25" ht="15" customHeight="1" x14ac:dyDescent="0.3">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row>
    <row r="163" spans="1:25" ht="15" customHeight="1" x14ac:dyDescent="0.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row>
    <row r="164" spans="1:25" ht="15" customHeight="1" x14ac:dyDescent="0.3">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row>
    <row r="165" spans="1:25" ht="15" customHeight="1" x14ac:dyDescent="0.3">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row>
    <row r="166" spans="1:25" ht="15" customHeight="1" x14ac:dyDescent="0.3">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row>
    <row r="167" spans="1:25" ht="15" customHeight="1" x14ac:dyDescent="0.3">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row>
    <row r="168" spans="1:25" ht="15" customHeight="1" x14ac:dyDescent="0.3">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row>
    <row r="169" spans="1:25" ht="15" customHeight="1" x14ac:dyDescent="0.3">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row>
    <row r="170" spans="1:25" ht="15" customHeight="1" x14ac:dyDescent="0.3">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row>
    <row r="171" spans="1:25" ht="15" customHeight="1" x14ac:dyDescent="0.3">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row>
    <row r="172" spans="1:25" ht="15" customHeight="1" x14ac:dyDescent="0.3">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row>
    <row r="173" spans="1:25" ht="15" customHeight="1" x14ac:dyDescent="0.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row>
    <row r="174" spans="1:25" ht="15" customHeight="1" x14ac:dyDescent="0.3">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row>
    <row r="175" spans="1:25" ht="15" customHeight="1" x14ac:dyDescent="0.3">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row>
    <row r="176" spans="1:25" ht="15" customHeight="1" x14ac:dyDescent="0.3">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row>
    <row r="177" spans="1:25" ht="15" customHeight="1" x14ac:dyDescent="0.3">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row>
    <row r="178" spans="1:25" ht="15" customHeight="1" x14ac:dyDescent="0.3">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33"/>
    </row>
    <row r="179" spans="1:25" ht="15" customHeight="1" x14ac:dyDescent="0.3">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row>
    <row r="180" spans="1:25" ht="15" customHeight="1" x14ac:dyDescent="0.3">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row>
    <row r="181" spans="1:25" ht="15" customHeight="1" x14ac:dyDescent="0.3">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row>
    <row r="182" spans="1:25" ht="15" customHeight="1" x14ac:dyDescent="0.3">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row>
    <row r="183" spans="1:25" ht="15" customHeight="1" x14ac:dyDescent="0.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row>
    <row r="184" spans="1:25" ht="15" customHeight="1" x14ac:dyDescent="0.3">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row>
    <row r="185" spans="1:25" ht="15" customHeight="1" x14ac:dyDescent="0.3">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row>
    <row r="186" spans="1:25" ht="15" customHeight="1" x14ac:dyDescent="0.3">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row>
    <row r="187" spans="1:25" ht="15" customHeight="1" x14ac:dyDescent="0.3">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row>
    <row r="188" spans="1:25" ht="15" customHeight="1" x14ac:dyDescent="0.3">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row>
    <row r="189" spans="1:25" ht="15" customHeight="1" x14ac:dyDescent="0.3">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row>
    <row r="190" spans="1:25" ht="15" customHeight="1" x14ac:dyDescent="0.3">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row>
    <row r="191" spans="1:25" ht="15" customHeight="1" x14ac:dyDescent="0.3">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row>
    <row r="192" spans="1:25" ht="15" customHeight="1" x14ac:dyDescent="0.3">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row>
    <row r="193" spans="1:25" ht="15" customHeight="1" x14ac:dyDescent="0.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row>
    <row r="194" spans="1:25" ht="15" customHeight="1" x14ac:dyDescent="0.3">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row>
    <row r="195" spans="1:25" ht="15" customHeight="1" x14ac:dyDescent="0.3">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row>
    <row r="196" spans="1:25" ht="15" customHeight="1" x14ac:dyDescent="0.3">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row>
    <row r="197" spans="1:25" ht="15" customHeight="1" x14ac:dyDescent="0.3">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row>
    <row r="198" spans="1:25" ht="15" customHeight="1" x14ac:dyDescent="0.3">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row>
    <row r="199" spans="1:25" ht="15" customHeight="1" x14ac:dyDescent="0.3">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row>
    <row r="200" spans="1:25" ht="15" customHeight="1" x14ac:dyDescent="0.3">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row>
    <row r="201" spans="1:25" ht="15" customHeight="1" x14ac:dyDescent="0.3">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row>
    <row r="202" spans="1:25" ht="15" customHeight="1" x14ac:dyDescent="0.3">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row>
    <row r="203" spans="1:25" ht="15" customHeight="1" x14ac:dyDescent="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row>
    <row r="204" spans="1:25" ht="15" customHeight="1" x14ac:dyDescent="0.3">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row>
    <row r="205" spans="1:25" ht="15" customHeight="1" x14ac:dyDescent="0.3">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row>
    <row r="206" spans="1:25" ht="15" customHeight="1" x14ac:dyDescent="0.3">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row>
    <row r="207" spans="1:25" ht="15" customHeight="1" x14ac:dyDescent="0.3">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row>
    <row r="208" spans="1:25" ht="15" customHeight="1" x14ac:dyDescent="0.3">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row>
    <row r="209" spans="1:25" ht="15" customHeight="1" x14ac:dyDescent="0.3">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row>
    <row r="210" spans="1:25" ht="15" customHeight="1" x14ac:dyDescent="0.3">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row>
    <row r="211" spans="1:25" ht="15" customHeight="1" x14ac:dyDescent="0.3">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row>
    <row r="212" spans="1:25" ht="15" customHeight="1" x14ac:dyDescent="0.3">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row>
    <row r="213" spans="1:25" ht="15" customHeight="1" x14ac:dyDescent="0.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row>
    <row r="214" spans="1:25" ht="15" customHeight="1" x14ac:dyDescent="0.3">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row>
    <row r="215" spans="1:25" ht="15" customHeight="1" x14ac:dyDescent="0.3">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row>
    <row r="216" spans="1:25" ht="15" customHeight="1" x14ac:dyDescent="0.3">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row>
    <row r="217" spans="1:25" ht="15" customHeight="1" x14ac:dyDescent="0.3">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row>
    <row r="218" spans="1:25" ht="15" customHeight="1" x14ac:dyDescent="0.3">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row>
    <row r="219" spans="1:25" ht="15" customHeight="1" x14ac:dyDescent="0.3">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row>
    <row r="220" spans="1:25" ht="15" customHeight="1" x14ac:dyDescent="0.3">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row>
    <row r="221" spans="1:25" ht="15" customHeight="1" x14ac:dyDescent="0.3">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row>
    <row r="222" spans="1:25" ht="15" customHeight="1" x14ac:dyDescent="0.3">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row>
    <row r="223" spans="1:25" ht="15" customHeight="1" x14ac:dyDescent="0.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row>
    <row r="224" spans="1:25" ht="15" customHeight="1" x14ac:dyDescent="0.3">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row>
    <row r="225" spans="1:25" ht="15" customHeight="1" x14ac:dyDescent="0.3">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row>
    <row r="226" spans="1:25" ht="15" customHeight="1" x14ac:dyDescent="0.3">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row>
    <row r="227" spans="1:25" ht="15" customHeight="1" x14ac:dyDescent="0.3">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row>
    <row r="228" spans="1:25" ht="15" customHeight="1" x14ac:dyDescent="0.3">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row>
    <row r="229" spans="1:25" ht="15" customHeight="1" x14ac:dyDescent="0.3">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row>
    <row r="230" spans="1:25" ht="15" customHeight="1" x14ac:dyDescent="0.3">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row>
    <row r="231" spans="1:25" ht="15" customHeight="1" x14ac:dyDescent="0.3">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row>
    <row r="232" spans="1:25" ht="15" customHeight="1" x14ac:dyDescent="0.3">
      <c r="A232" s="125"/>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25"/>
    </row>
    <row r="233" spans="1:25" ht="15" customHeight="1" x14ac:dyDescent="0.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row>
  </sheetData>
  <mergeCells count="12">
    <mergeCell ref="B2:X4"/>
    <mergeCell ref="B47:X48"/>
    <mergeCell ref="B87:X88"/>
    <mergeCell ref="B232:X232"/>
    <mergeCell ref="C6:F6"/>
    <mergeCell ref="H6:I6"/>
    <mergeCell ref="C8:E8"/>
    <mergeCell ref="C9:E9"/>
    <mergeCell ref="C10:E10"/>
    <mergeCell ref="C11:E11"/>
    <mergeCell ref="C7:E7"/>
    <mergeCell ref="B129:X13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D0124-9110-45EA-B6FB-C927762B556B}">
  <dimension ref="B2:M53"/>
  <sheetViews>
    <sheetView topLeftCell="A17" zoomScale="45" zoomScaleNormal="70" workbookViewId="0">
      <selection activeCell="J81" sqref="J81"/>
    </sheetView>
  </sheetViews>
  <sheetFormatPr defaultRowHeight="14.4" x14ac:dyDescent="0.3"/>
  <cols>
    <col min="1" max="1" width="8.88671875" style="3"/>
    <col min="2" max="2" width="50.44140625" style="3" bestFit="1" customWidth="1"/>
    <col min="3" max="3" width="24.109375" style="3" customWidth="1"/>
    <col min="4" max="4" width="20.5546875" style="3" customWidth="1"/>
    <col min="5" max="5" width="21.21875" style="3" bestFit="1" customWidth="1"/>
    <col min="6" max="6" width="26.88671875" style="3" customWidth="1"/>
    <col min="7" max="7" width="27.109375" style="3" customWidth="1"/>
    <col min="8" max="8" width="15.21875" style="3" customWidth="1"/>
    <col min="9" max="9" width="9.33203125" style="3" customWidth="1"/>
    <col min="10" max="10" width="32.44140625" style="3" customWidth="1"/>
    <col min="11" max="11" width="15.33203125" style="3" bestFit="1" customWidth="1"/>
    <col min="12" max="12" width="11.77734375" style="3" bestFit="1" customWidth="1"/>
    <col min="13" max="16384" width="8.88671875" style="3"/>
  </cols>
  <sheetData>
    <row r="2" spans="2:13" ht="14.4" customHeight="1" x14ac:dyDescent="0.3">
      <c r="B2" s="156" t="s">
        <v>153</v>
      </c>
      <c r="C2" s="156"/>
      <c r="D2" s="156"/>
      <c r="E2" s="156"/>
      <c r="F2" s="156"/>
      <c r="G2" s="156"/>
      <c r="H2" s="156"/>
      <c r="I2" s="156"/>
      <c r="J2" s="156"/>
      <c r="K2" s="156"/>
      <c r="L2" s="156"/>
      <c r="M2" s="156"/>
    </row>
    <row r="3" spans="2:13" ht="14.4" customHeight="1" x14ac:dyDescent="0.3">
      <c r="B3" s="156"/>
      <c r="C3" s="156"/>
      <c r="D3" s="156"/>
      <c r="E3" s="156"/>
      <c r="F3" s="156"/>
      <c r="G3" s="156"/>
      <c r="H3" s="156"/>
      <c r="I3" s="156"/>
      <c r="J3" s="156"/>
      <c r="K3" s="156"/>
      <c r="L3" s="156"/>
      <c r="M3" s="156"/>
    </row>
    <row r="4" spans="2:13" ht="14.4" customHeight="1" x14ac:dyDescent="0.3">
      <c r="B4" s="156"/>
      <c r="C4" s="156"/>
      <c r="D4" s="156"/>
      <c r="E4" s="156"/>
      <c r="F4" s="156"/>
      <c r="G4" s="156"/>
      <c r="H4" s="156"/>
      <c r="I4" s="156"/>
      <c r="J4" s="156"/>
      <c r="K4" s="156"/>
      <c r="L4" s="156"/>
      <c r="M4" s="156"/>
    </row>
    <row r="6" spans="2:13" ht="14.4" customHeight="1" x14ac:dyDescent="0.3">
      <c r="B6" s="155" t="s">
        <v>145</v>
      </c>
      <c r="C6" s="155"/>
      <c r="D6" s="155"/>
      <c r="E6" s="155"/>
      <c r="F6" s="155"/>
      <c r="G6" s="155"/>
      <c r="H6" s="155"/>
      <c r="I6" s="118"/>
      <c r="J6" s="155" t="s">
        <v>146</v>
      </c>
      <c r="K6" s="155"/>
      <c r="L6" s="155"/>
      <c r="M6" s="155"/>
    </row>
    <row r="7" spans="2:13" ht="14.4" customHeight="1" x14ac:dyDescent="0.3">
      <c r="B7" s="155"/>
      <c r="C7" s="155"/>
      <c r="D7" s="155"/>
      <c r="E7" s="155"/>
      <c r="F7" s="155"/>
      <c r="G7" s="155"/>
      <c r="H7" s="155"/>
      <c r="I7" s="118"/>
      <c r="J7" s="155"/>
      <c r="K7" s="155"/>
      <c r="L7" s="155"/>
      <c r="M7" s="155"/>
    </row>
    <row r="9" spans="2:13" x14ac:dyDescent="0.3">
      <c r="B9" s="101" t="s">
        <v>138</v>
      </c>
      <c r="C9" s="102" t="s">
        <v>139</v>
      </c>
      <c r="D9" s="102" t="s">
        <v>140</v>
      </c>
      <c r="E9" s="102" t="s">
        <v>141</v>
      </c>
      <c r="F9" s="102" t="s">
        <v>142</v>
      </c>
      <c r="G9" s="102" t="s">
        <v>143</v>
      </c>
      <c r="H9" s="102" t="s">
        <v>45</v>
      </c>
      <c r="J9" s="116" t="s">
        <v>138</v>
      </c>
      <c r="K9" s="117" t="s">
        <v>150</v>
      </c>
      <c r="L9" s="117" t="s">
        <v>147</v>
      </c>
      <c r="M9" s="117" t="s">
        <v>151</v>
      </c>
    </row>
    <row r="10" spans="2:13" x14ac:dyDescent="0.3">
      <c r="B10" s="84" t="s">
        <v>135</v>
      </c>
      <c r="C10" s="99">
        <f>MIN(NPV_Impact_Electricity_Price)</f>
        <v>-6093924.1302413587</v>
      </c>
      <c r="D10" s="99">
        <f>_xlfn.XLOOKUP('Input Data (+SSA)'!$B$64,'Input Data (+SSA)'!$B$62:$B$68,NPV_Impact_Electricity_Price)</f>
        <v>5936963.4359697849</v>
      </c>
      <c r="E10" s="99">
        <f>_xlfn.XLOOKUP('Input Data (+SSA)'!$B$66,'Input Data (+SSA)'!$B$62:$B$68,NPV_Impact_Electricity_Price)</f>
        <v>11566774.942326505</v>
      </c>
      <c r="F10" s="99">
        <f>MAX(NPV_Impact_Electricity_Price)</f>
        <v>22826397.955039933</v>
      </c>
      <c r="G10" s="99">
        <f t="shared" ref="G10:G16" si="0">Max_NPV-Min_NPV</f>
        <v>28920322.08528129</v>
      </c>
      <c r="H10" s="98">
        <f t="shared" ref="H10:H16" si="1">RANK(_∆_NPV,_∆_NPV,0)</f>
        <v>1</v>
      </c>
      <c r="J10" s="84" t="s">
        <v>135</v>
      </c>
      <c r="K10" s="103">
        <v>45</v>
      </c>
      <c r="L10" s="103">
        <v>50</v>
      </c>
      <c r="M10" s="104">
        <v>55</v>
      </c>
    </row>
    <row r="11" spans="2:13" x14ac:dyDescent="0.3">
      <c r="B11" s="84" t="s">
        <v>27</v>
      </c>
      <c r="C11" s="99">
        <f>MIN(NPV_Impact_Discount_Rate)</f>
        <v>2706792.2544692885</v>
      </c>
      <c r="D11" s="99">
        <f>_xlfn.XLOOKUP('Input Data (+SSA)'!$B$120,'Input Data (+SSA)'!$B$116:$B$122,NPV_Impact_Discount_Rate)</f>
        <v>7287581.3579641944</v>
      </c>
      <c r="E11" s="99">
        <f>_xlfn.XLOOKUP('Input Data (+SSA)'!$B$118,'Input Data (+SSA)'!$B$116:$B$122,NPV_Impact_Discount_Rate)</f>
        <v>10376731.560675589</v>
      </c>
      <c r="F11" s="99">
        <f>MAX(NPV_Impact_Discount_Rate)</f>
        <v>18941094.495753184</v>
      </c>
      <c r="G11" s="99">
        <f t="shared" si="0"/>
        <v>16234302.241283895</v>
      </c>
      <c r="H11" s="98">
        <f t="shared" si="1"/>
        <v>2</v>
      </c>
      <c r="J11" s="84" t="s">
        <v>27</v>
      </c>
      <c r="K11" s="105">
        <v>7.1999999999999995E-2</v>
      </c>
      <c r="L11" s="106">
        <v>0.08</v>
      </c>
      <c r="M11" s="105">
        <v>8.7999999999999995E-2</v>
      </c>
    </row>
    <row r="12" spans="2:13" x14ac:dyDescent="0.3">
      <c r="B12" s="84" t="s">
        <v>58</v>
      </c>
      <c r="C12" s="99">
        <f>MIN(NPV_Impact_Capacity_Factor)</f>
        <v>664762.52223120467</v>
      </c>
      <c r="D12" s="99">
        <f>_xlfn.XLOOKUP('Input Data (+SSA)'!$B$102,'Input Data (+SSA)'!$B$98:$B$104,NPV_Impact_Capacity_Factor)</f>
        <v>7143351.6159033692</v>
      </c>
      <c r="E12" s="99">
        <f>_xlfn.XLOOKUP('Input Data (+SSA)'!$B$104,'Input Data (+SSA)'!$B$98:$B$104,NPV_Impact_Capacity_Factor)</f>
        <v>10360386.762392927</v>
      </c>
      <c r="F12" s="99">
        <f>MAX(NPV_Impact_Capacity_Factor)</f>
        <v>10360386.762392927</v>
      </c>
      <c r="G12" s="99">
        <f t="shared" si="0"/>
        <v>9695624.2401617225</v>
      </c>
      <c r="H12" s="98">
        <f t="shared" si="1"/>
        <v>3</v>
      </c>
      <c r="J12" s="84" t="s">
        <v>58</v>
      </c>
      <c r="K12" s="106">
        <v>0.35</v>
      </c>
      <c r="L12" s="106">
        <v>0.35</v>
      </c>
      <c r="M12" s="106">
        <v>0.35</v>
      </c>
    </row>
    <row r="13" spans="2:13" x14ac:dyDescent="0.3">
      <c r="B13" s="84" t="s">
        <v>144</v>
      </c>
      <c r="C13" s="99">
        <f>MIN(NPV_Impact_OpEx_Per_Turbine)</f>
        <v>5079454.6383609828</v>
      </c>
      <c r="D13" s="99">
        <f>_xlfn.XLOOKUP('Input Data (+SSA)'!$B$138,'Input Data (+SSA)'!$B$134:$B$140,NPV_Impact_OpEx_Per_Turbine)</f>
        <v>8017386.2789907083</v>
      </c>
      <c r="E13" s="99">
        <f>_xlfn.XLOOKUP('Input Data (+SSA)'!$B$136,'Input Data (+SSA)'!$B$134:$B$140,NPV_Impact_OpEx_Per_Turbine)</f>
        <v>9486352.0993055757</v>
      </c>
      <c r="F13" s="99">
        <f>MAX(NPV_Impact_OpEx_Per_Turbine)</f>
        <v>12424283.739935307</v>
      </c>
      <c r="G13" s="99">
        <f t="shared" si="0"/>
        <v>7344829.1015743241</v>
      </c>
      <c r="H13" s="98">
        <f t="shared" si="1"/>
        <v>4</v>
      </c>
      <c r="J13" s="84" t="s">
        <v>144</v>
      </c>
      <c r="K13" s="108">
        <v>100000</v>
      </c>
      <c r="L13" s="107">
        <v>100000</v>
      </c>
      <c r="M13" s="108">
        <v>110000</v>
      </c>
    </row>
    <row r="14" spans="2:13" x14ac:dyDescent="0.3">
      <c r="B14" s="84" t="s">
        <v>44</v>
      </c>
      <c r="C14" s="99">
        <f>MIN(NPV_Impact_Inflation)</f>
        <v>6111373.8349962477</v>
      </c>
      <c r="D14" s="99">
        <f>_xlfn.XLOOKUP('Input Data (+SSA)'!$B$172,'Input Data (+SSA)'!$B$170:$B$176,NPV_Impact_Inflation)</f>
        <v>8185150.8126628539</v>
      </c>
      <c r="E14" s="99">
        <f>_xlfn.XLOOKUP('Input Data (+SSA)'!$B$174,'Input Data (+SSA)'!$B$170:$B$176,NPV_Impact_Inflation)</f>
        <v>9339349.075178653</v>
      </c>
      <c r="F14" s="99">
        <f>MAX(NPV_Impact_Inflation)</f>
        <v>11912760.437884923</v>
      </c>
      <c r="G14" s="99">
        <f t="shared" si="0"/>
        <v>5801386.6028886754</v>
      </c>
      <c r="H14" s="98">
        <f t="shared" si="1"/>
        <v>5</v>
      </c>
      <c r="J14" s="84" t="s">
        <v>44</v>
      </c>
      <c r="K14" s="105">
        <v>2.7E-2</v>
      </c>
      <c r="L14" s="105">
        <v>0.03</v>
      </c>
      <c r="M14" s="105">
        <v>3.3000000000000002E-2</v>
      </c>
    </row>
    <row r="15" spans="2:13" x14ac:dyDescent="0.3">
      <c r="B15" s="84" t="s">
        <v>137</v>
      </c>
      <c r="C15" s="99">
        <f>MIN(NPV_Impact_Years_Before_Turbines_Operate)</f>
        <v>3841257.6233464531</v>
      </c>
      <c r="D15" s="99">
        <f>_xlfn.XLOOKUP('Input Data (+SSA)'!$B$189,'Input Data (+SSA)'!$B$188:$B$194,NPV_Impact_Years_Before_Turbines_Operate)</f>
        <v>7706494.6435577394</v>
      </c>
      <c r="E15" s="99">
        <f>_xlfn.XLOOKUP('Input Data (+SSA)'!$B$188,'Input Data (+SSA)'!$B$188:$B$194,NPV_Impact_Years_Before_Turbines_Operate)</f>
        <v>8751869.1891481467</v>
      </c>
      <c r="F15" s="99">
        <f>MAX(NPV_Impact_Years_Before_Turbines_Operate)</f>
        <v>8751869.1891481467</v>
      </c>
      <c r="G15" s="99">
        <f t="shared" si="0"/>
        <v>4910611.5658016931</v>
      </c>
      <c r="H15" s="98">
        <f t="shared" si="1"/>
        <v>6</v>
      </c>
      <c r="J15" s="84" t="s">
        <v>137</v>
      </c>
      <c r="K15" s="103">
        <v>4</v>
      </c>
      <c r="L15" s="103">
        <v>3</v>
      </c>
      <c r="M15" s="103">
        <f>years_before_turbines_start_operating</f>
        <v>3</v>
      </c>
    </row>
    <row r="16" spans="2:13" x14ac:dyDescent="0.3">
      <c r="B16" s="84" t="s">
        <v>136</v>
      </c>
      <c r="C16" s="99">
        <f>MIN(NPV_Impact_Turbine_Lifetime)</f>
        <v>6611398.3206165982</v>
      </c>
      <c r="D16" s="99">
        <f>_xlfn.XLOOKUP('Input Data (+SSA)'!$B$82,'Input Data (+SSA)'!$B$80:$B$86,NPV_Impact_Turbine_Lifetime)</f>
        <v>8071920.2283357615</v>
      </c>
      <c r="E16" s="99">
        <f>_xlfn.XLOOKUP('Input Data (+SSA)'!$B$84,'Input Data (+SSA)'!$B$80:$B$86,NPV_Impact_Turbine_Lifetime)</f>
        <v>9400339.0314044021</v>
      </c>
      <c r="F16" s="99">
        <f>MAX(NPV_Impact_Turbine_Lifetime)</f>
        <v>10608603.355971891</v>
      </c>
      <c r="G16" s="99">
        <f t="shared" si="0"/>
        <v>3997205.0353552932</v>
      </c>
      <c r="H16" s="98">
        <f t="shared" si="1"/>
        <v>7</v>
      </c>
      <c r="J16" s="84" t="s">
        <v>136</v>
      </c>
      <c r="K16" s="103">
        <f>expected_useful_life_of_turbine</f>
        <v>20</v>
      </c>
      <c r="L16" s="103">
        <v>20</v>
      </c>
      <c r="M16" s="103">
        <f>expected_useful_life_of_turbine</f>
        <v>20</v>
      </c>
    </row>
    <row r="17" spans="10:13" x14ac:dyDescent="0.3">
      <c r="J17" s="111" t="s">
        <v>101</v>
      </c>
      <c r="K17" s="112">
        <v>5922845.7598626139</v>
      </c>
      <c r="L17" s="112">
        <v>8751869.1891481467</v>
      </c>
      <c r="M17" s="112">
        <v>9801720.9595215488</v>
      </c>
    </row>
    <row r="18" spans="10:13" x14ac:dyDescent="0.3">
      <c r="J18" s="8" t="s">
        <v>148</v>
      </c>
      <c r="K18" s="113">
        <v>0.11383829440960036</v>
      </c>
      <c r="L18" s="113">
        <v>0.14704222100614017</v>
      </c>
      <c r="M18" s="113">
        <v>0.16315311863687842</v>
      </c>
    </row>
    <row r="19" spans="10:13" x14ac:dyDescent="0.3">
      <c r="J19" s="8" t="s">
        <v>95</v>
      </c>
      <c r="K19" s="114">
        <v>43691962.896512724</v>
      </c>
      <c r="L19" s="114">
        <v>44311009.57409139</v>
      </c>
      <c r="M19" s="57">
        <f>lcoe_mwh</f>
        <v>44311009.57409139</v>
      </c>
    </row>
    <row r="20" spans="10:13" x14ac:dyDescent="0.3">
      <c r="J20" s="8" t="s">
        <v>152</v>
      </c>
      <c r="K20" s="113">
        <v>0.45959377074800795</v>
      </c>
      <c r="L20" s="113">
        <v>0.68132739844701062</v>
      </c>
      <c r="M20" s="115">
        <v>0.77</v>
      </c>
    </row>
    <row r="30" spans="10:13" x14ac:dyDescent="0.3">
      <c r="J30" s="4"/>
    </row>
    <row r="45" spans="2:10" x14ac:dyDescent="0.3">
      <c r="E45" s="8"/>
    </row>
    <row r="46" spans="2:10" x14ac:dyDescent="0.3">
      <c r="B46" s="8"/>
      <c r="C46" s="8"/>
      <c r="D46" s="8"/>
      <c r="E46" s="8"/>
      <c r="F46" s="8"/>
      <c r="G46" s="8"/>
      <c r="H46" s="8"/>
      <c r="I46" s="109"/>
      <c r="J46" s="8"/>
    </row>
    <row r="47" spans="2:10" x14ac:dyDescent="0.3">
      <c r="C47" s="18"/>
      <c r="D47" s="5"/>
      <c r="E47" s="28"/>
      <c r="F47" s="5"/>
      <c r="G47" s="28"/>
      <c r="H47" s="5"/>
      <c r="I47" s="110"/>
    </row>
    <row r="48" spans="2:10" x14ac:dyDescent="0.3">
      <c r="B48" s="8"/>
      <c r="D48" s="5"/>
      <c r="F48" s="5"/>
      <c r="H48" s="5"/>
      <c r="I48" s="110"/>
    </row>
    <row r="49" spans="2:9" x14ac:dyDescent="0.3">
      <c r="B49" s="8"/>
      <c r="C49" s="28"/>
      <c r="D49" s="5"/>
      <c r="E49" s="28"/>
      <c r="F49" s="5"/>
      <c r="G49" s="28"/>
      <c r="H49" s="5"/>
      <c r="I49" s="110"/>
    </row>
    <row r="50" spans="2:9" x14ac:dyDescent="0.3">
      <c r="B50" s="8"/>
      <c r="D50" s="5"/>
      <c r="F50" s="5"/>
      <c r="H50" s="5"/>
      <c r="I50" s="110"/>
    </row>
    <row r="51" spans="2:9" x14ac:dyDescent="0.3">
      <c r="B51" s="8"/>
      <c r="D51" s="5"/>
      <c r="F51" s="5"/>
      <c r="H51" s="5"/>
      <c r="I51" s="110"/>
    </row>
    <row r="52" spans="2:9" x14ac:dyDescent="0.3">
      <c r="B52" s="8"/>
      <c r="C52" s="5"/>
      <c r="D52" s="5"/>
      <c r="E52" s="5"/>
      <c r="F52" s="5"/>
      <c r="G52" s="5"/>
      <c r="H52" s="5"/>
      <c r="I52" s="110"/>
    </row>
    <row r="53" spans="2:9" x14ac:dyDescent="0.3">
      <c r="B53" s="8"/>
      <c r="C53" s="28"/>
      <c r="D53" s="5"/>
      <c r="E53" s="28"/>
      <c r="F53" s="5"/>
      <c r="G53" s="28"/>
      <c r="H53" s="5"/>
      <c r="I53" s="110"/>
    </row>
  </sheetData>
  <sortState xmlns:xlrd2="http://schemas.microsoft.com/office/spreadsheetml/2017/richdata2" ref="C99:E105">
    <sortCondition ref="E99:E105"/>
  </sortState>
  <mergeCells count="3">
    <mergeCell ref="B6:H7"/>
    <mergeCell ref="B2:M4"/>
    <mergeCell ref="J6:M7"/>
  </mergeCells>
  <conditionalFormatting sqref="K17:M17">
    <cfRule type="colorScale" priority="2">
      <colorScale>
        <cfvo type="min"/>
        <cfvo type="percentile" val="50"/>
        <cfvo type="max"/>
        <color rgb="FFF8696B"/>
        <color rgb="FFFCFCFF"/>
        <color rgb="FF63BE7B"/>
      </colorScale>
    </cfRule>
  </conditionalFormatting>
  <conditionalFormatting sqref="K20:M20">
    <cfRule type="colorScale" priority="1">
      <colorScale>
        <cfvo type="min"/>
        <cfvo type="percentile" val="50"/>
        <cfvo type="max"/>
        <color rgb="FFF8696B"/>
        <color rgb="FFFCFCFF"/>
        <color rgb="FF63BE7B"/>
      </colorScale>
    </cfRule>
  </conditionalFormatting>
  <pageMargins left="0.7" right="0.7" top="0.75" bottom="0.75" header="0.3" footer="0.3"/>
  <pageSetup paperSize="9" orientation="portrait"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Y282"/>
  <sheetViews>
    <sheetView topLeftCell="A265" zoomScale="82" zoomScaleNormal="70" workbookViewId="0">
      <selection activeCell="J274" sqref="J274:Q282"/>
    </sheetView>
  </sheetViews>
  <sheetFormatPr defaultColWidth="8.88671875" defaultRowHeight="18.600000000000001" customHeight="1" x14ac:dyDescent="0.3"/>
  <cols>
    <col min="1" max="1" width="8.88671875" style="3"/>
    <col min="2" max="2" width="11.21875" style="3" customWidth="1"/>
    <col min="3" max="4" width="18.21875" style="3" customWidth="1"/>
    <col min="5" max="5" width="15.77734375" style="3" customWidth="1"/>
    <col min="6" max="6" width="5.77734375" style="3" customWidth="1"/>
    <col min="7" max="7" width="28.21875" style="3" customWidth="1"/>
    <col min="8" max="9" width="19.44140625" style="3" customWidth="1"/>
    <col min="10" max="10" width="35.6640625" style="3" bestFit="1" customWidth="1"/>
    <col min="11" max="19" width="19.44140625" style="3" customWidth="1"/>
    <col min="20" max="36" width="15.77734375" style="3" customWidth="1"/>
    <col min="37" max="16384" width="8.88671875" style="3"/>
  </cols>
  <sheetData>
    <row r="2" spans="2:19" ht="18.600000000000001" customHeight="1" x14ac:dyDescent="0.3">
      <c r="B2" s="156" t="s">
        <v>64</v>
      </c>
      <c r="C2" s="156"/>
      <c r="D2" s="156"/>
      <c r="E2" s="156"/>
      <c r="F2" s="156"/>
      <c r="G2" s="156"/>
      <c r="H2" s="156"/>
      <c r="I2" s="156"/>
      <c r="J2" s="156"/>
      <c r="K2" s="156"/>
      <c r="L2" s="156"/>
      <c r="M2" s="156"/>
      <c r="N2" s="156"/>
      <c r="O2" s="156"/>
      <c r="P2" s="156"/>
      <c r="Q2" s="156"/>
      <c r="R2" s="156"/>
      <c r="S2" s="119"/>
    </row>
    <row r="3" spans="2:19" ht="18.600000000000001" customHeight="1" x14ac:dyDescent="0.3">
      <c r="B3" s="156"/>
      <c r="C3" s="156"/>
      <c r="D3" s="156"/>
      <c r="E3" s="156"/>
      <c r="F3" s="156"/>
      <c r="G3" s="156"/>
      <c r="H3" s="156"/>
      <c r="I3" s="156"/>
      <c r="J3" s="156"/>
      <c r="K3" s="156"/>
      <c r="L3" s="156"/>
      <c r="M3" s="156"/>
      <c r="N3" s="156"/>
      <c r="O3" s="156"/>
      <c r="P3" s="156"/>
      <c r="Q3" s="156"/>
      <c r="R3" s="156"/>
      <c r="S3" s="119"/>
    </row>
    <row r="4" spans="2:19" ht="18.600000000000001" customHeight="1" x14ac:dyDescent="0.3">
      <c r="B4" s="156"/>
      <c r="C4" s="156"/>
      <c r="D4" s="156"/>
      <c r="E4" s="156"/>
      <c r="F4" s="156"/>
      <c r="G4" s="156"/>
      <c r="H4" s="156"/>
      <c r="I4" s="156"/>
      <c r="J4" s="156"/>
      <c r="K4" s="156"/>
      <c r="L4" s="156"/>
      <c r="M4" s="156"/>
      <c r="N4" s="156"/>
      <c r="O4" s="156"/>
      <c r="P4" s="156"/>
      <c r="Q4" s="156"/>
      <c r="R4" s="156"/>
      <c r="S4" s="119"/>
    </row>
    <row r="6" spans="2:19" ht="18.600000000000001" customHeight="1" x14ac:dyDescent="0.3">
      <c r="B6" s="10" t="s">
        <v>0</v>
      </c>
      <c r="C6" s="12"/>
      <c r="D6" s="12"/>
      <c r="E6" s="12"/>
      <c r="F6" s="13"/>
      <c r="G6" s="10" t="s">
        <v>62</v>
      </c>
      <c r="H6" s="12"/>
      <c r="I6" s="12"/>
      <c r="J6" s="12"/>
      <c r="K6" s="12"/>
      <c r="L6" s="12"/>
      <c r="M6" s="96"/>
      <c r="N6" s="12"/>
      <c r="O6" s="12"/>
      <c r="P6" s="12"/>
      <c r="Q6" s="12"/>
      <c r="R6" s="96"/>
      <c r="S6" s="94"/>
    </row>
    <row r="7" spans="2:19" ht="18.600000000000001" customHeight="1" x14ac:dyDescent="0.3">
      <c r="B7" s="3" t="s">
        <v>155</v>
      </c>
      <c r="E7" s="14">
        <v>2.5</v>
      </c>
      <c r="G7" s="3" t="s">
        <v>36</v>
      </c>
    </row>
    <row r="8" spans="2:19" ht="18.600000000000001" customHeight="1" x14ac:dyDescent="0.3">
      <c r="B8" s="15" t="s">
        <v>156</v>
      </c>
      <c r="E8" s="16">
        <v>20</v>
      </c>
      <c r="G8" s="3" t="s">
        <v>113</v>
      </c>
    </row>
    <row r="9" spans="2:19" ht="18.600000000000001" customHeight="1" x14ac:dyDescent="0.3">
      <c r="B9" s="3" t="s">
        <v>157</v>
      </c>
      <c r="E9" s="17">
        <v>8760</v>
      </c>
      <c r="G9" s="3" t="s">
        <v>22</v>
      </c>
    </row>
    <row r="10" spans="2:19" ht="18.600000000000001" customHeight="1" x14ac:dyDescent="0.3">
      <c r="B10" s="3" t="s">
        <v>158</v>
      </c>
      <c r="E10" s="18">
        <v>0.35</v>
      </c>
      <c r="G10" s="3" t="s">
        <v>114</v>
      </c>
    </row>
    <row r="11" spans="2:19" ht="18.600000000000001" customHeight="1" x14ac:dyDescent="0.3">
      <c r="B11" s="15" t="s">
        <v>159</v>
      </c>
      <c r="E11" s="17">
        <v>8</v>
      </c>
      <c r="G11" s="3" t="s">
        <v>24</v>
      </c>
    </row>
    <row r="12" spans="2:19" ht="18.600000000000001" customHeight="1" x14ac:dyDescent="0.3">
      <c r="B12" s="8" t="s">
        <v>63</v>
      </c>
      <c r="E12" s="19">
        <f>turbine_capacity_mW*number_of_turbines*total_hours_of_potential_operation_yearly*capacity_factor_percent</f>
        <v>61319.999999999993</v>
      </c>
    </row>
    <row r="13" spans="2:19" ht="18.600000000000001" customHeight="1" x14ac:dyDescent="0.3">
      <c r="B13" s="20"/>
      <c r="C13" s="20"/>
      <c r="D13" s="20"/>
      <c r="E13" s="20"/>
      <c r="G13" s="20"/>
      <c r="H13" s="20"/>
      <c r="I13" s="20"/>
      <c r="J13" s="20"/>
      <c r="K13" s="20"/>
      <c r="L13" s="20"/>
      <c r="M13" s="20"/>
      <c r="N13" s="20"/>
      <c r="O13" s="20"/>
      <c r="P13" s="20"/>
      <c r="Q13" s="20"/>
    </row>
    <row r="14" spans="2:19" ht="18.600000000000001" customHeight="1" x14ac:dyDescent="0.3">
      <c r="B14" s="15" t="s">
        <v>137</v>
      </c>
      <c r="C14" s="15"/>
      <c r="D14" s="15"/>
      <c r="E14" s="21">
        <v>3</v>
      </c>
      <c r="G14" s="3" t="s">
        <v>115</v>
      </c>
    </row>
    <row r="15" spans="2:19" ht="18.600000000000001" customHeight="1" x14ac:dyDescent="0.3">
      <c r="B15" s="83" t="s">
        <v>65</v>
      </c>
      <c r="C15" s="83"/>
      <c r="D15" s="83"/>
      <c r="E15" s="22">
        <f>50%</f>
        <v>0.5</v>
      </c>
      <c r="G15" s="3" t="s">
        <v>117</v>
      </c>
    </row>
    <row r="16" spans="2:19" ht="18.600000000000001" customHeight="1" x14ac:dyDescent="0.3">
      <c r="B16" s="83" t="s">
        <v>32</v>
      </c>
      <c r="C16" s="83"/>
      <c r="D16" s="83"/>
      <c r="E16" s="22">
        <f>25%</f>
        <v>0.25</v>
      </c>
      <c r="G16" s="3" t="s">
        <v>116</v>
      </c>
    </row>
    <row r="17" spans="2:19" ht="18.600000000000001" customHeight="1" x14ac:dyDescent="0.3">
      <c r="B17" s="83" t="s">
        <v>33</v>
      </c>
      <c r="C17" s="83"/>
      <c r="D17" s="83"/>
      <c r="E17" s="22">
        <f>25%</f>
        <v>0.25</v>
      </c>
      <c r="G17" s="3" t="s">
        <v>118</v>
      </c>
    </row>
    <row r="18" spans="2:19" ht="18.600000000000001" customHeight="1" x14ac:dyDescent="0.3">
      <c r="B18" s="3" t="s">
        <v>160</v>
      </c>
      <c r="E18" s="5">
        <v>1200000</v>
      </c>
      <c r="G18" s="3" t="s">
        <v>47</v>
      </c>
    </row>
    <row r="19" spans="2:19" ht="18.600000000000001" customHeight="1" x14ac:dyDescent="0.3">
      <c r="B19" s="3" t="s">
        <v>161</v>
      </c>
      <c r="E19" s="5">
        <v>1700000</v>
      </c>
      <c r="G19" s="3" t="s">
        <v>119</v>
      </c>
    </row>
    <row r="20" spans="2:19" ht="18.600000000000001" customHeight="1" x14ac:dyDescent="0.3">
      <c r="B20" s="3" t="s">
        <v>162</v>
      </c>
      <c r="E20" s="5">
        <v>2000000</v>
      </c>
      <c r="G20" s="3" t="s">
        <v>120</v>
      </c>
    </row>
    <row r="21" spans="2:19" ht="18.600000000000001" customHeight="1" x14ac:dyDescent="0.3">
      <c r="B21" s="8" t="s">
        <v>163</v>
      </c>
      <c r="E21" s="6">
        <f>(number_of_turbines*total_cost_of_construction_per_turbine)+grid_connection_costs+other_capital_costs</f>
        <v>13300000</v>
      </c>
      <c r="G21" s="23" t="s">
        <v>121</v>
      </c>
    </row>
    <row r="22" spans="2:19" ht="18.600000000000001" customHeight="1" x14ac:dyDescent="0.3">
      <c r="B22" s="24"/>
      <c r="C22" s="20"/>
      <c r="D22" s="20"/>
      <c r="E22" s="25"/>
      <c r="G22" s="20"/>
      <c r="H22" s="20"/>
      <c r="I22" s="20"/>
      <c r="J22" s="20"/>
      <c r="K22" s="20"/>
      <c r="L22" s="20"/>
      <c r="M22" s="20"/>
      <c r="N22" s="20"/>
      <c r="O22" s="20"/>
      <c r="P22" s="20"/>
      <c r="Q22" s="20"/>
    </row>
    <row r="23" spans="2:19" ht="18.600000000000001" customHeight="1" x14ac:dyDescent="0.3">
      <c r="B23" s="3" t="s">
        <v>164</v>
      </c>
      <c r="E23" s="5">
        <v>100000</v>
      </c>
      <c r="G23" s="3" t="s">
        <v>123</v>
      </c>
    </row>
    <row r="24" spans="2:19" ht="18.600000000000001" customHeight="1" x14ac:dyDescent="0.3">
      <c r="B24" s="8" t="s">
        <v>165</v>
      </c>
      <c r="E24" s="6">
        <f>yearly_operation_and_maintenance_costs_per_turbine*number_of_turbines</f>
        <v>800000</v>
      </c>
      <c r="G24" s="3" t="s">
        <v>122</v>
      </c>
    </row>
    <row r="25" spans="2:19" ht="18.600000000000001" customHeight="1" x14ac:dyDescent="0.3">
      <c r="B25" s="24"/>
      <c r="C25" s="26"/>
      <c r="D25" s="26"/>
      <c r="E25" s="20"/>
      <c r="F25" s="15"/>
      <c r="G25" s="20"/>
      <c r="H25" s="20"/>
      <c r="I25" s="20"/>
      <c r="J25" s="20"/>
      <c r="K25" s="20"/>
      <c r="L25" s="20"/>
      <c r="M25" s="20"/>
      <c r="N25" s="20"/>
      <c r="O25" s="20"/>
      <c r="P25" s="20"/>
      <c r="Q25" s="20"/>
      <c r="R25" s="15"/>
      <c r="S25" s="15"/>
    </row>
    <row r="26" spans="2:19" ht="18.600000000000001" customHeight="1" x14ac:dyDescent="0.3">
      <c r="B26" s="3" t="s">
        <v>166</v>
      </c>
      <c r="C26" s="15"/>
      <c r="D26" s="15"/>
      <c r="E26" s="27">
        <v>0.2</v>
      </c>
      <c r="F26" s="15"/>
      <c r="G26" s="15" t="s">
        <v>124</v>
      </c>
      <c r="R26" s="15"/>
      <c r="S26" s="15"/>
    </row>
    <row r="27" spans="2:19" ht="18.600000000000001" customHeight="1" x14ac:dyDescent="0.3">
      <c r="B27" s="15" t="s">
        <v>43</v>
      </c>
      <c r="C27" s="15"/>
      <c r="D27" s="15"/>
      <c r="E27" s="21">
        <v>3</v>
      </c>
      <c r="F27" s="15"/>
      <c r="G27" s="15" t="s">
        <v>125</v>
      </c>
      <c r="H27" s="15"/>
      <c r="I27" s="15"/>
      <c r="J27" s="15"/>
      <c r="K27" s="15"/>
      <c r="L27" s="15"/>
      <c r="M27" s="15"/>
      <c r="N27" s="15"/>
      <c r="O27" s="15"/>
      <c r="P27" s="15"/>
      <c r="Q27" s="15"/>
      <c r="R27" s="15"/>
      <c r="S27" s="15"/>
    </row>
    <row r="28" spans="2:19" ht="18.600000000000001" customHeight="1" x14ac:dyDescent="0.3">
      <c r="B28" s="83" t="s">
        <v>40</v>
      </c>
      <c r="C28" s="83"/>
      <c r="D28" s="83"/>
      <c r="E28" s="22">
        <v>0.2</v>
      </c>
      <c r="F28" s="15"/>
      <c r="G28" s="15" t="s">
        <v>51</v>
      </c>
      <c r="H28" s="15"/>
      <c r="I28" s="15"/>
      <c r="J28" s="15"/>
      <c r="K28" s="15"/>
      <c r="L28" s="15"/>
      <c r="M28" s="15"/>
      <c r="N28" s="15"/>
      <c r="O28" s="15"/>
      <c r="P28" s="15"/>
      <c r="Q28" s="15"/>
      <c r="R28" s="15"/>
      <c r="S28" s="15"/>
    </row>
    <row r="29" spans="2:19" ht="18.600000000000001" customHeight="1" x14ac:dyDescent="0.3">
      <c r="B29" s="83" t="s">
        <v>41</v>
      </c>
      <c r="C29" s="84"/>
      <c r="D29" s="84"/>
      <c r="E29" s="22">
        <v>0.4</v>
      </c>
      <c r="G29" s="15" t="s">
        <v>52</v>
      </c>
      <c r="H29" s="15"/>
      <c r="I29" s="15"/>
      <c r="J29" s="15"/>
      <c r="K29" s="15"/>
      <c r="L29" s="15"/>
      <c r="M29" s="15"/>
      <c r="N29" s="15"/>
      <c r="O29" s="15"/>
      <c r="P29" s="15"/>
      <c r="Q29" s="15"/>
    </row>
    <row r="30" spans="2:19" ht="18.600000000000001" customHeight="1" x14ac:dyDescent="0.3">
      <c r="B30" s="83" t="s">
        <v>42</v>
      </c>
      <c r="C30" s="84"/>
      <c r="D30" s="84"/>
      <c r="E30" s="22">
        <v>0.4</v>
      </c>
      <c r="G30" s="15" t="s">
        <v>53</v>
      </c>
      <c r="H30" s="15"/>
      <c r="I30" s="15"/>
      <c r="J30" s="15"/>
      <c r="K30" s="15"/>
      <c r="L30" s="15"/>
      <c r="M30" s="15"/>
      <c r="N30" s="15"/>
      <c r="O30" s="15"/>
      <c r="P30" s="15"/>
      <c r="Q30" s="15"/>
    </row>
    <row r="31" spans="2:19" ht="18.600000000000001" customHeight="1" x14ac:dyDescent="0.3">
      <c r="B31" s="8" t="s">
        <v>167</v>
      </c>
      <c r="E31" s="19">
        <f>decommissioning_costs_percentage*total_capital_costs</f>
        <v>2660000</v>
      </c>
      <c r="G31" s="3" t="s">
        <v>54</v>
      </c>
    </row>
    <row r="32" spans="2:19" ht="18.600000000000001" customHeight="1" x14ac:dyDescent="0.3">
      <c r="B32" s="20"/>
      <c r="C32" s="20"/>
      <c r="D32" s="20"/>
      <c r="E32" s="20"/>
      <c r="G32" s="20"/>
      <c r="H32" s="20"/>
      <c r="I32" s="20"/>
      <c r="J32" s="20"/>
      <c r="K32" s="20"/>
      <c r="L32" s="20"/>
      <c r="M32" s="20"/>
      <c r="N32" s="20"/>
      <c r="O32" s="20"/>
      <c r="P32" s="20"/>
      <c r="Q32" s="20"/>
    </row>
    <row r="33" spans="2:19" s="15" customFormat="1" ht="18.600000000000001" customHeight="1" x14ac:dyDescent="0.3">
      <c r="B33" s="8" t="s">
        <v>168</v>
      </c>
      <c r="C33" s="3"/>
      <c r="D33" s="3"/>
      <c r="E33" s="3"/>
      <c r="F33" s="3"/>
      <c r="G33" s="3"/>
      <c r="H33" s="3"/>
      <c r="I33" s="3"/>
      <c r="J33" s="3"/>
      <c r="K33" s="3"/>
      <c r="L33" s="3"/>
      <c r="M33" s="3"/>
      <c r="N33" s="3"/>
      <c r="O33" s="3"/>
      <c r="P33" s="3"/>
      <c r="Q33" s="3"/>
      <c r="R33" s="3"/>
      <c r="S33" s="3"/>
    </row>
    <row r="34" spans="2:19" s="15" customFormat="1" ht="18.600000000000001" customHeight="1" x14ac:dyDescent="0.3">
      <c r="B34" s="3" t="s">
        <v>27</v>
      </c>
      <c r="C34" s="3"/>
      <c r="D34" s="3"/>
      <c r="E34" s="30">
        <v>0.08</v>
      </c>
      <c r="F34" s="3"/>
      <c r="G34" s="3" t="s">
        <v>48</v>
      </c>
      <c r="H34" s="3"/>
      <c r="I34" s="3"/>
      <c r="J34" s="3"/>
      <c r="K34" s="3"/>
      <c r="L34" s="3"/>
      <c r="M34" s="3"/>
      <c r="N34" s="3"/>
      <c r="O34" s="3"/>
      <c r="P34" s="3"/>
      <c r="Q34" s="3"/>
      <c r="R34" s="3"/>
      <c r="S34" s="3"/>
    </row>
    <row r="35" spans="2:19" s="15" customFormat="1" ht="18.600000000000001" customHeight="1" x14ac:dyDescent="0.3">
      <c r="B35" s="3" t="s">
        <v>28</v>
      </c>
      <c r="C35" s="3"/>
      <c r="D35" s="3"/>
      <c r="E35" s="30">
        <v>0.03</v>
      </c>
      <c r="F35" s="3"/>
      <c r="G35" s="3" t="s">
        <v>49</v>
      </c>
      <c r="H35" s="3"/>
      <c r="I35" s="3"/>
      <c r="J35" s="3"/>
      <c r="K35" s="3"/>
      <c r="L35" s="3"/>
      <c r="M35" s="3"/>
      <c r="N35" s="3"/>
      <c r="O35" s="3"/>
      <c r="P35" s="3"/>
      <c r="Q35" s="3"/>
      <c r="R35" s="3"/>
      <c r="S35" s="3"/>
    </row>
    <row r="36" spans="2:19" s="15" customFormat="1" ht="18.600000000000001" customHeight="1" x14ac:dyDescent="0.3">
      <c r="B36" s="20"/>
      <c r="C36" s="20"/>
      <c r="D36" s="20"/>
      <c r="E36" s="29"/>
      <c r="F36" s="3"/>
      <c r="G36" s="20"/>
      <c r="H36" s="20"/>
      <c r="I36" s="20"/>
      <c r="J36" s="20"/>
      <c r="K36" s="20"/>
      <c r="L36" s="20"/>
      <c r="M36" s="20"/>
      <c r="N36" s="20"/>
      <c r="O36" s="20"/>
      <c r="P36" s="20"/>
      <c r="Q36" s="20"/>
      <c r="R36" s="3"/>
      <c r="S36" s="3"/>
    </row>
    <row r="37" spans="2:19" ht="18.600000000000001" customHeight="1" x14ac:dyDescent="0.3">
      <c r="B37" s="8" t="s">
        <v>169</v>
      </c>
      <c r="E37" s="28"/>
    </row>
    <row r="38" spans="2:19" ht="18.600000000000001" customHeight="1" x14ac:dyDescent="0.3">
      <c r="B38" s="3" t="s">
        <v>170</v>
      </c>
      <c r="E38" s="3">
        <v>50</v>
      </c>
      <c r="G38" s="3" t="s">
        <v>50</v>
      </c>
    </row>
    <row r="39" spans="2:19" ht="18.600000000000001" customHeight="1" x14ac:dyDescent="0.3">
      <c r="B39" s="20"/>
      <c r="C39" s="20"/>
      <c r="D39" s="20"/>
      <c r="E39" s="20"/>
      <c r="G39" s="20"/>
      <c r="H39" s="20"/>
      <c r="I39" s="20"/>
      <c r="J39" s="20"/>
      <c r="K39" s="20"/>
      <c r="L39" s="20"/>
      <c r="M39" s="20"/>
      <c r="N39" s="20"/>
      <c r="O39" s="20"/>
      <c r="P39" s="20"/>
      <c r="Q39" s="20"/>
    </row>
    <row r="40" spans="2:19" ht="18.600000000000001" customHeight="1" x14ac:dyDescent="0.3">
      <c r="B40" s="8" t="s">
        <v>171</v>
      </c>
      <c r="E40" s="30"/>
    </row>
    <row r="41" spans="2:19" ht="18.600000000000001" customHeight="1" x14ac:dyDescent="0.3">
      <c r="B41" s="3" t="s">
        <v>172</v>
      </c>
      <c r="E41" s="18">
        <v>0.2</v>
      </c>
      <c r="G41" s="3" t="s">
        <v>23</v>
      </c>
    </row>
    <row r="42" spans="2:19" ht="18.600000000000001" customHeight="1" x14ac:dyDescent="0.3">
      <c r="B42" s="3" t="s">
        <v>173</v>
      </c>
      <c r="E42" s="3">
        <v>8</v>
      </c>
      <c r="G42" s="3" t="s">
        <v>25</v>
      </c>
    </row>
    <row r="44" spans="2:19" ht="18.600000000000001" customHeight="1" x14ac:dyDescent="0.3">
      <c r="B44" s="10" t="s">
        <v>46</v>
      </c>
      <c r="C44" s="12"/>
      <c r="D44" s="12"/>
      <c r="E44" s="12"/>
      <c r="G44" s="11"/>
      <c r="H44" s="11"/>
      <c r="I44" s="11"/>
      <c r="J44" s="11"/>
      <c r="K44" s="11"/>
      <c r="L44" s="11"/>
      <c r="M44" s="11"/>
      <c r="N44" s="11"/>
      <c r="O44" s="11"/>
      <c r="P44" s="11"/>
      <c r="Q44" s="11"/>
      <c r="R44" s="97"/>
    </row>
    <row r="45" spans="2:19" ht="18.600000000000001" customHeight="1" x14ac:dyDescent="0.3">
      <c r="B45" s="15" t="s">
        <v>34</v>
      </c>
      <c r="E45" s="31">
        <f>(1+inflation)</f>
        <v>1.03</v>
      </c>
    </row>
    <row r="46" spans="2:19" ht="18.600000000000001" customHeight="1" x14ac:dyDescent="0.3">
      <c r="B46" s="15" t="s">
        <v>35</v>
      </c>
      <c r="E46" s="3">
        <f>(1+discount_rate_r)</f>
        <v>1.08</v>
      </c>
    </row>
    <row r="47" spans="2:19" ht="18.600000000000001" customHeight="1" x14ac:dyDescent="0.3">
      <c r="B47" s="15" t="s">
        <v>174</v>
      </c>
      <c r="E47" s="3">
        <f>turbine_capacity_mW*number_of_turbines</f>
        <v>20</v>
      </c>
      <c r="G47" s="3" t="s">
        <v>55</v>
      </c>
    </row>
    <row r="48" spans="2:19" ht="18.600000000000001" customHeight="1" x14ac:dyDescent="0.3">
      <c r="B48" s="3" t="s">
        <v>175</v>
      </c>
      <c r="E48" s="5">
        <f>turbine_capacity_mW*total_hours_of_potential_operation_yearly</f>
        <v>21900</v>
      </c>
      <c r="G48" s="3" t="s">
        <v>56</v>
      </c>
    </row>
    <row r="49" spans="1:19" ht="18.600000000000001" customHeight="1" x14ac:dyDescent="0.3">
      <c r="B49" s="3" t="s">
        <v>176</v>
      </c>
      <c r="E49" s="5">
        <f>maximum_possible_output_of_one_wind_turbine__mWh_yr*number_of_turbines</f>
        <v>175200</v>
      </c>
      <c r="G49" s="3" t="s">
        <v>57</v>
      </c>
    </row>
    <row r="50" spans="1:19" ht="18.600000000000001" customHeight="1" x14ac:dyDescent="0.3">
      <c r="B50" s="15" t="s">
        <v>177</v>
      </c>
      <c r="E50" s="32">
        <f>maximum_possible_output_of_one_wind_turbine__mWh_yr*capacity_factor_percent</f>
        <v>7664.9999999999991</v>
      </c>
      <c r="G50" s="3" t="s">
        <v>59</v>
      </c>
    </row>
    <row r="51" spans="1:19" s="15" customFormat="1" ht="18.600000000000001" customHeight="1" x14ac:dyDescent="0.3">
      <c r="B51" s="23" t="s">
        <v>178</v>
      </c>
      <c r="C51" s="23"/>
      <c r="D51" s="23"/>
      <c r="E51" s="33">
        <f>maximum_possible_output_of_all_wind_turbines_mWh_yr*capacity_factor_percent</f>
        <v>61319.999999999993</v>
      </c>
      <c r="F51" s="23"/>
      <c r="G51" s="8" t="s">
        <v>60</v>
      </c>
      <c r="H51" s="23"/>
      <c r="I51" s="23"/>
      <c r="J51" s="23"/>
      <c r="K51" s="23"/>
      <c r="L51" s="23"/>
      <c r="M51" s="23"/>
      <c r="N51" s="23"/>
      <c r="O51" s="23"/>
      <c r="P51" s="23"/>
      <c r="Q51" s="23"/>
      <c r="R51" s="23"/>
      <c r="S51" s="23"/>
    </row>
    <row r="52" spans="1:19" s="15" customFormat="1" ht="18.600000000000001" customHeight="1" x14ac:dyDescent="0.3">
      <c r="B52" s="23"/>
      <c r="C52" s="23"/>
      <c r="D52" s="23"/>
      <c r="E52" s="33"/>
      <c r="F52" s="23"/>
      <c r="G52" s="8"/>
      <c r="H52" s="23"/>
      <c r="I52" s="23"/>
      <c r="J52" s="23"/>
      <c r="K52" s="23"/>
      <c r="L52" s="23"/>
      <c r="M52" s="23"/>
      <c r="N52" s="23"/>
      <c r="O52" s="23"/>
      <c r="P52" s="23"/>
      <c r="Q52" s="23"/>
      <c r="R52" s="23"/>
      <c r="S52" s="23"/>
    </row>
    <row r="53" spans="1:19" s="15" customFormat="1" ht="18.600000000000001" customHeight="1" x14ac:dyDescent="0.3">
      <c r="B53" s="23"/>
      <c r="C53" s="23"/>
      <c r="D53" s="23"/>
      <c r="E53" s="33"/>
      <c r="F53" s="23"/>
      <c r="G53" s="8"/>
      <c r="H53" s="23"/>
      <c r="I53" s="23"/>
      <c r="J53" s="23"/>
      <c r="K53" s="23"/>
      <c r="L53" s="23"/>
      <c r="M53" s="23"/>
      <c r="N53" s="23"/>
      <c r="O53" s="23"/>
      <c r="P53" s="23"/>
      <c r="Q53" s="23"/>
      <c r="R53" s="23"/>
      <c r="S53" s="23"/>
    </row>
    <row r="54" spans="1:19" s="15" customFormat="1" ht="18.600000000000001" customHeight="1" x14ac:dyDescent="0.3">
      <c r="B54" s="23"/>
      <c r="C54" s="23"/>
      <c r="D54" s="23"/>
      <c r="E54" s="33"/>
      <c r="F54" s="23"/>
      <c r="G54" s="8"/>
      <c r="H54" s="23"/>
      <c r="I54" s="23"/>
      <c r="J54" s="23"/>
      <c r="K54" s="23"/>
      <c r="L54" s="23"/>
      <c r="M54" s="23"/>
      <c r="N54" s="23"/>
      <c r="O54" s="23"/>
      <c r="P54" s="23"/>
      <c r="Q54" s="23"/>
      <c r="R54" s="23"/>
      <c r="S54" s="23"/>
    </row>
    <row r="55" spans="1:19" ht="18.600000000000001" customHeight="1" x14ac:dyDescent="0.3">
      <c r="B55" s="4"/>
    </row>
    <row r="56" spans="1:19" ht="18.600000000000001" customHeight="1" x14ac:dyDescent="0.3">
      <c r="A56" s="4"/>
      <c r="B56" s="155" t="s">
        <v>112</v>
      </c>
      <c r="C56" s="155"/>
      <c r="D56" s="155"/>
      <c r="E56" s="155"/>
      <c r="F56" s="155"/>
      <c r="G56" s="155"/>
      <c r="H56" s="155"/>
      <c r="I56" s="155"/>
      <c r="J56" s="155"/>
      <c r="K56" s="155"/>
      <c r="L56" s="155"/>
      <c r="M56" s="155"/>
      <c r="N56" s="155"/>
      <c r="O56" s="155"/>
      <c r="P56" s="155"/>
      <c r="Q56" s="155"/>
      <c r="R56" s="155"/>
      <c r="S56" s="118"/>
    </row>
    <row r="57" spans="1:19" ht="18.600000000000001" customHeight="1" x14ac:dyDescent="0.3">
      <c r="A57" s="4"/>
      <c r="B57" s="155"/>
      <c r="C57" s="155"/>
      <c r="D57" s="155"/>
      <c r="E57" s="155"/>
      <c r="F57" s="155"/>
      <c r="G57" s="155"/>
      <c r="H57" s="155"/>
      <c r="I57" s="155"/>
      <c r="J57" s="155"/>
      <c r="K57" s="155"/>
      <c r="L57" s="155"/>
      <c r="M57" s="155"/>
      <c r="N57" s="155"/>
      <c r="O57" s="155"/>
      <c r="P57" s="155"/>
      <c r="Q57" s="155"/>
      <c r="R57" s="155"/>
      <c r="S57" s="118"/>
    </row>
    <row r="59" spans="1:19" ht="18.600000000000001" customHeight="1" x14ac:dyDescent="0.3">
      <c r="B59" s="74" t="s">
        <v>100</v>
      </c>
      <c r="M59" s="4"/>
    </row>
    <row r="60" spans="1:19" ht="18.600000000000001" customHeight="1" x14ac:dyDescent="0.3">
      <c r="B60" s="8" t="s">
        <v>99</v>
      </c>
      <c r="C60" s="8" t="s">
        <v>110</v>
      </c>
      <c r="D60" s="8" t="s">
        <v>101</v>
      </c>
    </row>
    <row r="61" spans="1:19" ht="18.600000000000001" customHeight="1" x14ac:dyDescent="0.3">
      <c r="D61" s="91">
        <f>post_tax_npv</f>
        <v>8751869.1891481467</v>
      </c>
      <c r="O61" s="8"/>
      <c r="P61" s="8"/>
    </row>
    <row r="62" spans="1:19" ht="18.600000000000001" customHeight="1" x14ac:dyDescent="0.3">
      <c r="B62" s="18">
        <f t="shared" ref="B62:B64" si="0">-1+(C62/$C$65)</f>
        <v>-0.5</v>
      </c>
      <c r="C62" s="3">
        <v>25</v>
      </c>
      <c r="D62" s="9">
        <f t="dataTable" ref="D62:D68" dt2D="0" dtr="0" r1="E38" ca="1"/>
        <v>-6093924.1302413587</v>
      </c>
      <c r="O62" s="6"/>
      <c r="P62" s="35"/>
    </row>
    <row r="63" spans="1:19" ht="18.600000000000001" customHeight="1" x14ac:dyDescent="0.3">
      <c r="B63" s="18">
        <f t="shared" si="0"/>
        <v>-0.25</v>
      </c>
      <c r="C63" s="3">
        <v>37.5</v>
      </c>
      <c r="D63" s="9">
        <v>1710801.4188406933</v>
      </c>
      <c r="O63" s="36"/>
      <c r="P63" s="5"/>
    </row>
    <row r="64" spans="1:19" ht="18.600000000000001" customHeight="1" x14ac:dyDescent="0.3">
      <c r="B64" s="18">
        <f t="shared" si="0"/>
        <v>-9.9999999999999978E-2</v>
      </c>
      <c r="C64" s="3">
        <v>45</v>
      </c>
      <c r="D64" s="9">
        <v>5936963.4359697849</v>
      </c>
      <c r="O64" s="36"/>
      <c r="P64" s="5"/>
    </row>
    <row r="65" spans="2:16" ht="18.600000000000001" customHeight="1" x14ac:dyDescent="0.3">
      <c r="B65" s="18">
        <f>-1+(C65/$C$65)</f>
        <v>0</v>
      </c>
      <c r="C65" s="3">
        <v>50</v>
      </c>
      <c r="D65" s="9">
        <v>8751869.1891481467</v>
      </c>
      <c r="O65" s="36"/>
      <c r="P65" s="5"/>
    </row>
    <row r="66" spans="2:16" ht="18.600000000000001" customHeight="1" x14ac:dyDescent="0.3">
      <c r="B66" s="18">
        <f>-1+(C66/$C$65)</f>
        <v>0.10000000000000009</v>
      </c>
      <c r="C66" s="3">
        <v>55</v>
      </c>
      <c r="D66" s="9">
        <v>11566774.942326505</v>
      </c>
      <c r="O66" s="36"/>
      <c r="P66" s="5"/>
    </row>
    <row r="67" spans="2:16" ht="18.600000000000001" customHeight="1" x14ac:dyDescent="0.3">
      <c r="B67" s="18">
        <f>-1+(C67/$C$65)</f>
        <v>0.25</v>
      </c>
      <c r="C67" s="3">
        <v>62.5</v>
      </c>
      <c r="D67" s="9">
        <v>15789133.572094042</v>
      </c>
      <c r="O67" s="36"/>
      <c r="P67" s="5"/>
    </row>
    <row r="68" spans="2:16" ht="18.600000000000001" customHeight="1" x14ac:dyDescent="0.3">
      <c r="B68" s="18">
        <f>-1+(C68/$C$65)</f>
        <v>0.5</v>
      </c>
      <c r="C68" s="3">
        <v>75</v>
      </c>
      <c r="D68" s="9">
        <v>22826397.955039933</v>
      </c>
      <c r="O68" s="36"/>
      <c r="P68" s="5"/>
    </row>
    <row r="69" spans="2:16" ht="18.600000000000001" customHeight="1" x14ac:dyDescent="0.3">
      <c r="B69" s="18"/>
      <c r="D69" s="9"/>
      <c r="O69" s="36"/>
      <c r="P69" s="5"/>
    </row>
    <row r="70" spans="2:16" ht="18.600000000000001" customHeight="1" x14ac:dyDescent="0.3">
      <c r="B70" s="18"/>
      <c r="D70" s="9"/>
      <c r="O70" s="36"/>
      <c r="P70" s="5"/>
    </row>
    <row r="71" spans="2:16" ht="18.600000000000001" customHeight="1" x14ac:dyDescent="0.3">
      <c r="B71" s="18"/>
      <c r="D71" s="9"/>
      <c r="O71" s="36"/>
      <c r="P71" s="5"/>
    </row>
    <row r="72" spans="2:16" ht="18.600000000000001" customHeight="1" x14ac:dyDescent="0.3">
      <c r="B72" s="18"/>
      <c r="D72" s="9"/>
      <c r="O72" s="36"/>
      <c r="P72" s="5"/>
    </row>
    <row r="73" spans="2:16" ht="18.600000000000001" customHeight="1" x14ac:dyDescent="0.3">
      <c r="B73" s="18"/>
      <c r="D73" s="9"/>
      <c r="O73" s="36"/>
      <c r="P73" s="5"/>
    </row>
    <row r="74" spans="2:16" ht="18.600000000000001" customHeight="1" x14ac:dyDescent="0.3">
      <c r="B74" s="18"/>
      <c r="D74" s="9"/>
      <c r="O74" s="36"/>
      <c r="P74" s="5"/>
    </row>
    <row r="75" spans="2:16" ht="18.600000000000001" customHeight="1" x14ac:dyDescent="0.3">
      <c r="O75" s="36"/>
      <c r="P75" s="5"/>
    </row>
    <row r="77" spans="2:16" ht="18.600000000000001" customHeight="1" x14ac:dyDescent="0.3">
      <c r="B77" s="74" t="s">
        <v>106</v>
      </c>
    </row>
    <row r="78" spans="2:16" ht="18.600000000000001" customHeight="1" x14ac:dyDescent="0.3">
      <c r="B78" s="8" t="s">
        <v>99</v>
      </c>
      <c r="C78" s="8" t="s">
        <v>109</v>
      </c>
      <c r="D78" s="8" t="s">
        <v>101</v>
      </c>
    </row>
    <row r="79" spans="2:16" ht="18.600000000000001" customHeight="1" x14ac:dyDescent="0.3">
      <c r="D79" s="91">
        <f>post_tax_npv</f>
        <v>8751869.1891481467</v>
      </c>
    </row>
    <row r="80" spans="2:16" ht="18.600000000000001" customHeight="1" x14ac:dyDescent="0.3">
      <c r="B80" s="18">
        <f t="shared" ref="B80:B86" si="1">-1+(C80/$C$83)</f>
        <v>-0.15000000000000002</v>
      </c>
      <c r="C80" s="3">
        <v>17</v>
      </c>
      <c r="D80" s="9">
        <f t="dataTable" ref="D80:D86" dt2D="0" dtr="0" r1="E8"/>
        <v>6611398.3206165982</v>
      </c>
    </row>
    <row r="81" spans="2:4" ht="18.600000000000001" customHeight="1" x14ac:dyDescent="0.3">
      <c r="B81" s="18">
        <f t="shared" si="1"/>
        <v>-9.9999999999999978E-2</v>
      </c>
      <c r="C81" s="3">
        <v>18</v>
      </c>
      <c r="D81" s="9">
        <v>7358964.0364159811</v>
      </c>
    </row>
    <row r="82" spans="2:4" ht="18.600000000000001" customHeight="1" x14ac:dyDescent="0.3">
      <c r="B82" s="18">
        <f t="shared" si="1"/>
        <v>-5.0000000000000044E-2</v>
      </c>
      <c r="C82" s="3">
        <v>19</v>
      </c>
      <c r="D82" s="9">
        <v>8071920.2283357615</v>
      </c>
    </row>
    <row r="83" spans="2:4" ht="18.600000000000001" customHeight="1" x14ac:dyDescent="0.3">
      <c r="B83" s="18">
        <f t="shared" si="1"/>
        <v>0</v>
      </c>
      <c r="C83" s="3">
        <v>20</v>
      </c>
      <c r="D83" s="9">
        <v>8751869.1891481467</v>
      </c>
    </row>
    <row r="84" spans="2:4" ht="18.600000000000001" customHeight="1" x14ac:dyDescent="0.3">
      <c r="B84" s="18">
        <f t="shared" si="1"/>
        <v>5.0000000000000044E-2</v>
      </c>
      <c r="C84" s="3">
        <v>21</v>
      </c>
      <c r="D84" s="9">
        <v>9400339.0314044021</v>
      </c>
    </row>
    <row r="85" spans="2:4" ht="18.600000000000001" customHeight="1" x14ac:dyDescent="0.3">
      <c r="B85" s="18">
        <f t="shared" si="1"/>
        <v>0.10000000000000009</v>
      </c>
      <c r="C85" s="3">
        <v>22</v>
      </c>
      <c r="D85" s="9">
        <v>10018787.121704347</v>
      </c>
    </row>
    <row r="86" spans="2:4" ht="18.600000000000001" customHeight="1" x14ac:dyDescent="0.3">
      <c r="B86" s="18">
        <f t="shared" si="1"/>
        <v>0.14999999999999991</v>
      </c>
      <c r="C86" s="3">
        <v>23</v>
      </c>
      <c r="D86" s="9">
        <v>10608603.355971891</v>
      </c>
    </row>
    <row r="87" spans="2:4" ht="18.600000000000001" customHeight="1" x14ac:dyDescent="0.3">
      <c r="B87" s="18"/>
      <c r="D87" s="9"/>
    </row>
    <row r="88" spans="2:4" ht="18.600000000000001" customHeight="1" x14ac:dyDescent="0.3">
      <c r="B88" s="18"/>
      <c r="D88" s="9"/>
    </row>
    <row r="89" spans="2:4" ht="18.600000000000001" customHeight="1" x14ac:dyDescent="0.3">
      <c r="B89" s="18"/>
      <c r="D89" s="9"/>
    </row>
    <row r="90" spans="2:4" ht="18.600000000000001" customHeight="1" x14ac:dyDescent="0.3">
      <c r="B90" s="18"/>
      <c r="D90" s="9"/>
    </row>
    <row r="91" spans="2:4" ht="18.600000000000001" customHeight="1" x14ac:dyDescent="0.3">
      <c r="B91" s="18"/>
      <c r="D91" s="9"/>
    </row>
    <row r="92" spans="2:4" ht="18.600000000000001" customHeight="1" x14ac:dyDescent="0.3">
      <c r="B92" s="18"/>
      <c r="D92" s="9"/>
    </row>
    <row r="95" spans="2:4" ht="18.600000000000001" customHeight="1" x14ac:dyDescent="0.3">
      <c r="B95" s="74" t="s">
        <v>58</v>
      </c>
    </row>
    <row r="96" spans="2:4" ht="18.600000000000001" customHeight="1" x14ac:dyDescent="0.3">
      <c r="B96" s="8" t="s">
        <v>99</v>
      </c>
      <c r="C96" s="8" t="s">
        <v>58</v>
      </c>
      <c r="D96" s="8" t="s">
        <v>101</v>
      </c>
    </row>
    <row r="97" spans="2:16" ht="18.600000000000001" customHeight="1" x14ac:dyDescent="0.3">
      <c r="D97" s="91">
        <f>post_tax_npv</f>
        <v>8751869.1891481467</v>
      </c>
    </row>
    <row r="98" spans="2:16" ht="18.600000000000001" customHeight="1" x14ac:dyDescent="0.3">
      <c r="B98" s="100">
        <f t="shared" ref="B98:B104" si="2">-1+(C98/$C$103)</f>
        <v>-0.2857142857142857</v>
      </c>
      <c r="C98" s="18">
        <v>0.25</v>
      </c>
      <c r="D98" s="9">
        <f t="dataTable" ref="D98:D104" dt2D="0" dtr="0" r1="E10" ca="1"/>
        <v>664762.52223120467</v>
      </c>
      <c r="O98" s="36"/>
      <c r="P98" s="5"/>
    </row>
    <row r="99" spans="2:16" ht="18.600000000000001" customHeight="1" x14ac:dyDescent="0.3">
      <c r="B99" s="100">
        <f t="shared" si="2"/>
        <v>-0.22857142857142843</v>
      </c>
      <c r="C99" s="18">
        <v>0.27</v>
      </c>
      <c r="D99" s="9">
        <v>2317798.8961690413</v>
      </c>
    </row>
    <row r="100" spans="2:16" ht="18.600000000000001" customHeight="1" x14ac:dyDescent="0.3">
      <c r="B100" s="100">
        <f t="shared" si="2"/>
        <v>-0.17142857142857149</v>
      </c>
      <c r="C100" s="18">
        <v>0.28999999999999998</v>
      </c>
      <c r="D100" s="9">
        <v>3926316.4694138179</v>
      </c>
    </row>
    <row r="101" spans="2:16" ht="18.600000000000001" customHeight="1" x14ac:dyDescent="0.3">
      <c r="B101" s="100">
        <f t="shared" si="2"/>
        <v>-0.11428571428571421</v>
      </c>
      <c r="C101" s="18">
        <v>0.31</v>
      </c>
      <c r="D101" s="9">
        <v>5534834.0426585972</v>
      </c>
    </row>
    <row r="102" spans="2:16" ht="18.600000000000001" customHeight="1" x14ac:dyDescent="0.3">
      <c r="B102" s="100">
        <f t="shared" si="2"/>
        <v>-5.7142857142857051E-2</v>
      </c>
      <c r="C102" s="18">
        <v>0.33</v>
      </c>
      <c r="D102" s="9">
        <v>7143351.6159033692</v>
      </c>
    </row>
    <row r="103" spans="2:16" ht="18.600000000000001" customHeight="1" x14ac:dyDescent="0.3">
      <c r="B103" s="100">
        <f>-1+(C103/$C$103)</f>
        <v>0</v>
      </c>
      <c r="C103" s="18">
        <v>0.35</v>
      </c>
      <c r="D103" s="9">
        <v>8751869.1891481467</v>
      </c>
    </row>
    <row r="104" spans="2:16" ht="18.600000000000001" customHeight="1" x14ac:dyDescent="0.3">
      <c r="B104" s="100">
        <f t="shared" si="2"/>
        <v>5.7142857142857162E-2</v>
      </c>
      <c r="C104" s="18">
        <v>0.37</v>
      </c>
      <c r="D104" s="9">
        <v>10360386.762392927</v>
      </c>
    </row>
    <row r="105" spans="2:16" ht="18.600000000000001" customHeight="1" x14ac:dyDescent="0.3">
      <c r="B105" s="18"/>
      <c r="C105" s="18"/>
      <c r="D105" s="9"/>
    </row>
    <row r="106" spans="2:16" ht="18.600000000000001" customHeight="1" x14ac:dyDescent="0.3">
      <c r="B106" s="18"/>
      <c r="C106" s="18"/>
      <c r="D106" s="9"/>
    </row>
    <row r="107" spans="2:16" ht="18.600000000000001" customHeight="1" x14ac:dyDescent="0.3">
      <c r="B107" s="18"/>
      <c r="C107" s="18"/>
      <c r="D107" s="9"/>
    </row>
    <row r="108" spans="2:16" ht="18.600000000000001" customHeight="1" x14ac:dyDescent="0.3">
      <c r="B108" s="18"/>
      <c r="C108" s="18"/>
      <c r="D108" s="9"/>
    </row>
    <row r="109" spans="2:16" ht="18.600000000000001" customHeight="1" x14ac:dyDescent="0.3">
      <c r="B109" s="18"/>
      <c r="C109" s="18"/>
      <c r="D109" s="9"/>
    </row>
    <row r="110" spans="2:16" ht="18.600000000000001" customHeight="1" x14ac:dyDescent="0.3">
      <c r="B110" s="18"/>
      <c r="C110" s="18"/>
      <c r="D110" s="9"/>
    </row>
    <row r="113" spans="2:4" ht="18.600000000000001" customHeight="1" x14ac:dyDescent="0.3">
      <c r="B113" s="74" t="s">
        <v>27</v>
      </c>
    </row>
    <row r="114" spans="2:4" ht="18.600000000000001" customHeight="1" x14ac:dyDescent="0.3">
      <c r="B114" s="8" t="s">
        <v>99</v>
      </c>
      <c r="C114" s="8" t="s">
        <v>27</v>
      </c>
      <c r="D114" s="8" t="s">
        <v>101</v>
      </c>
    </row>
    <row r="115" spans="2:4" ht="18.600000000000001" customHeight="1" x14ac:dyDescent="0.3">
      <c r="D115" s="91">
        <f>post_tax_npv</f>
        <v>8751869.1891481467</v>
      </c>
    </row>
    <row r="116" spans="2:4" ht="18.600000000000001" customHeight="1" x14ac:dyDescent="0.3">
      <c r="B116" s="18">
        <f t="shared" ref="B116:B122" si="3">-1+(C116/$C$119)</f>
        <v>-0.5</v>
      </c>
      <c r="C116" s="87">
        <v>0.04</v>
      </c>
      <c r="D116" s="9">
        <f t="dataTable" ref="D116:D122" dt2D="0" dtr="0" r1="E34" ca="1"/>
        <v>18941094.495753184</v>
      </c>
    </row>
    <row r="117" spans="2:4" ht="18.600000000000001" customHeight="1" x14ac:dyDescent="0.3">
      <c r="B117" s="18">
        <f t="shared" si="3"/>
        <v>-0.25</v>
      </c>
      <c r="C117" s="87">
        <v>0.06</v>
      </c>
      <c r="D117" s="9">
        <v>13160978.297631457</v>
      </c>
    </row>
    <row r="118" spans="2:4" ht="18.600000000000001" customHeight="1" x14ac:dyDescent="0.3">
      <c r="B118" s="18">
        <f t="shared" si="3"/>
        <v>-9.9999999999999867E-2</v>
      </c>
      <c r="C118" s="87">
        <f>C119*0.9</f>
        <v>7.2000000000000008E-2</v>
      </c>
      <c r="D118" s="9">
        <v>10376731.560675589</v>
      </c>
    </row>
    <row r="119" spans="2:4" ht="18.600000000000001" customHeight="1" x14ac:dyDescent="0.3">
      <c r="B119" s="18">
        <f t="shared" si="3"/>
        <v>0</v>
      </c>
      <c r="C119" s="87">
        <v>0.08</v>
      </c>
      <c r="D119" s="9">
        <v>8751869.1891481467</v>
      </c>
    </row>
    <row r="120" spans="2:4" ht="18.600000000000001" customHeight="1" x14ac:dyDescent="0.3">
      <c r="B120" s="18">
        <f t="shared" si="3"/>
        <v>9.9999999999999867E-2</v>
      </c>
      <c r="C120" s="87">
        <v>8.7999999999999995E-2</v>
      </c>
      <c r="D120" s="9">
        <v>7287581.3579641944</v>
      </c>
    </row>
    <row r="121" spans="2:4" ht="18.600000000000001" customHeight="1" x14ac:dyDescent="0.3">
      <c r="B121" s="18">
        <f t="shared" si="3"/>
        <v>0.25</v>
      </c>
      <c r="C121" s="87">
        <v>0.1</v>
      </c>
      <c r="D121" s="9">
        <v>5353357.2939132852</v>
      </c>
    </row>
    <row r="122" spans="2:4" ht="18.600000000000001" customHeight="1" x14ac:dyDescent="0.3">
      <c r="B122" s="18">
        <f t="shared" si="3"/>
        <v>0.5</v>
      </c>
      <c r="C122" s="87">
        <v>0.12</v>
      </c>
      <c r="D122" s="9">
        <v>2706792.2544692885</v>
      </c>
    </row>
    <row r="123" spans="2:4" ht="18.600000000000001" customHeight="1" x14ac:dyDescent="0.3">
      <c r="B123" s="18"/>
      <c r="C123" s="18"/>
      <c r="D123" s="9"/>
    </row>
    <row r="124" spans="2:4" ht="18.600000000000001" customHeight="1" x14ac:dyDescent="0.3">
      <c r="B124" s="18"/>
      <c r="C124" s="18"/>
      <c r="D124" s="9"/>
    </row>
    <row r="125" spans="2:4" ht="18.600000000000001" customHeight="1" x14ac:dyDescent="0.3">
      <c r="B125" s="18"/>
      <c r="C125" s="18"/>
      <c r="D125" s="9"/>
    </row>
    <row r="126" spans="2:4" ht="18.600000000000001" customHeight="1" x14ac:dyDescent="0.3">
      <c r="B126" s="18"/>
      <c r="C126" s="18"/>
      <c r="D126" s="9"/>
    </row>
    <row r="127" spans="2:4" ht="18.600000000000001" customHeight="1" x14ac:dyDescent="0.3">
      <c r="B127" s="18"/>
      <c r="C127" s="18"/>
      <c r="D127" s="9"/>
    </row>
    <row r="128" spans="2:4" ht="18.600000000000001" customHeight="1" x14ac:dyDescent="0.3">
      <c r="B128" s="18"/>
      <c r="C128" s="18"/>
      <c r="D128" s="9"/>
    </row>
    <row r="131" spans="2:4" ht="18.600000000000001" customHeight="1" x14ac:dyDescent="0.3">
      <c r="B131" s="74" t="s">
        <v>102</v>
      </c>
    </row>
    <row r="132" spans="2:4" ht="18.600000000000001" customHeight="1" x14ac:dyDescent="0.3">
      <c r="B132" s="8" t="s">
        <v>99</v>
      </c>
      <c r="C132" s="8" t="s">
        <v>108</v>
      </c>
      <c r="D132" s="8" t="s">
        <v>101</v>
      </c>
    </row>
    <row r="133" spans="2:4" ht="18.600000000000001" customHeight="1" x14ac:dyDescent="0.3">
      <c r="D133" s="91">
        <f>post_tax_npv</f>
        <v>8751869.1891481467</v>
      </c>
    </row>
    <row r="134" spans="2:4" ht="18.600000000000001" customHeight="1" x14ac:dyDescent="0.3">
      <c r="B134" s="18">
        <f t="shared" ref="B134:B140" si="4">-1+(C134/$C$137)</f>
        <v>-0.5</v>
      </c>
      <c r="C134" s="72">
        <f>C137*0.5</f>
        <v>50000</v>
      </c>
      <c r="D134" s="9">
        <f t="dataTable" ref="D134:D140" dt2D="0" dtr="0" r1="E23" ca="1"/>
        <v>12424283.739935307</v>
      </c>
    </row>
    <row r="135" spans="2:4" ht="18.600000000000001" customHeight="1" x14ac:dyDescent="0.3">
      <c r="B135" s="18">
        <f t="shared" si="4"/>
        <v>-0.25</v>
      </c>
      <c r="C135" s="73">
        <f>C137*0.75</f>
        <v>75000</v>
      </c>
      <c r="D135" s="9">
        <v>10588076.464541724</v>
      </c>
    </row>
    <row r="136" spans="2:4" ht="18.600000000000001" customHeight="1" x14ac:dyDescent="0.3">
      <c r="B136" s="18">
        <f t="shared" si="4"/>
        <v>-9.9999999999999978E-2</v>
      </c>
      <c r="C136" s="72">
        <f>C137*0.9</f>
        <v>90000</v>
      </c>
      <c r="D136" s="9">
        <v>9486352.0993055757</v>
      </c>
    </row>
    <row r="137" spans="2:4" ht="18.600000000000001" customHeight="1" x14ac:dyDescent="0.3">
      <c r="B137" s="18">
        <f t="shared" si="4"/>
        <v>0</v>
      </c>
      <c r="C137" s="72">
        <v>100000</v>
      </c>
      <c r="D137" s="9">
        <v>8751869.1891481467</v>
      </c>
    </row>
    <row r="138" spans="2:4" ht="18.600000000000001" customHeight="1" x14ac:dyDescent="0.3">
      <c r="B138" s="18">
        <f t="shared" si="4"/>
        <v>0.10000000000000009</v>
      </c>
      <c r="C138" s="72">
        <f>C137*1.1</f>
        <v>110000.00000000001</v>
      </c>
      <c r="D138" s="9">
        <v>8017386.2789907083</v>
      </c>
    </row>
    <row r="139" spans="2:4" ht="18.600000000000001" customHeight="1" x14ac:dyDescent="0.3">
      <c r="B139" s="18">
        <f t="shared" si="4"/>
        <v>0.25</v>
      </c>
      <c r="C139" s="72">
        <f>C137*1.25</f>
        <v>125000</v>
      </c>
      <c r="D139" s="9">
        <v>6915661.9137545638</v>
      </c>
    </row>
    <row r="140" spans="2:4" ht="18.600000000000001" customHeight="1" x14ac:dyDescent="0.3">
      <c r="B140" s="18">
        <f t="shared" si="4"/>
        <v>0.5</v>
      </c>
      <c r="C140" s="72">
        <f>C137*1.5</f>
        <v>150000</v>
      </c>
      <c r="D140" s="9">
        <v>5079454.6383609828</v>
      </c>
    </row>
    <row r="141" spans="2:4" ht="18.600000000000001" customHeight="1" x14ac:dyDescent="0.3">
      <c r="B141" s="18"/>
      <c r="C141" s="72"/>
      <c r="D141" s="9"/>
    </row>
    <row r="142" spans="2:4" ht="18.600000000000001" customHeight="1" x14ac:dyDescent="0.3">
      <c r="B142" s="18"/>
      <c r="C142" s="72"/>
      <c r="D142" s="9"/>
    </row>
    <row r="143" spans="2:4" ht="18.600000000000001" customHeight="1" x14ac:dyDescent="0.3">
      <c r="B143" s="18"/>
      <c r="C143" s="72"/>
      <c r="D143" s="9"/>
    </row>
    <row r="144" spans="2:4" ht="18.600000000000001" customHeight="1" x14ac:dyDescent="0.3">
      <c r="B144" s="18"/>
      <c r="C144" s="72"/>
      <c r="D144" s="9"/>
    </row>
    <row r="145" spans="2:4" ht="18.600000000000001" customHeight="1" x14ac:dyDescent="0.3">
      <c r="B145" s="18"/>
      <c r="C145" s="72"/>
      <c r="D145" s="9"/>
    </row>
    <row r="146" spans="2:4" ht="18.600000000000001" customHeight="1" x14ac:dyDescent="0.3">
      <c r="B146" s="18"/>
      <c r="C146" s="72"/>
      <c r="D146" s="9"/>
    </row>
    <row r="149" spans="2:4" ht="18.600000000000001" customHeight="1" x14ac:dyDescent="0.3">
      <c r="B149" s="74" t="s">
        <v>105</v>
      </c>
    </row>
    <row r="150" spans="2:4" ht="18.600000000000001" customHeight="1" x14ac:dyDescent="0.3">
      <c r="B150" s="8" t="s">
        <v>99</v>
      </c>
      <c r="C150" s="8" t="s">
        <v>105</v>
      </c>
      <c r="D150" s="8" t="s">
        <v>101</v>
      </c>
    </row>
    <row r="151" spans="2:4" ht="18.600000000000001" customHeight="1" x14ac:dyDescent="0.3">
      <c r="D151" s="91">
        <f>post_tax_npv</f>
        <v>8751869.1891481467</v>
      </c>
    </row>
    <row r="152" spans="2:4" ht="18.600000000000001" customHeight="1" x14ac:dyDescent="0.3">
      <c r="B152" s="100">
        <f t="shared" ref="B152:B154" si="5">-1+(C152/$C$155)</f>
        <v>-0.375</v>
      </c>
      <c r="C152" s="15">
        <v>5</v>
      </c>
      <c r="D152" s="9">
        <f t="dataTable" ref="D152:D158" dt2D="0" dtr="0" r1="E11" ca="1"/>
        <v>4212576.2547234371</v>
      </c>
    </row>
    <row r="153" spans="2:4" ht="18.600000000000001" customHeight="1" x14ac:dyDescent="0.3">
      <c r="B153" s="100">
        <f t="shared" si="5"/>
        <v>-0.25</v>
      </c>
      <c r="C153" s="15">
        <v>6</v>
      </c>
      <c r="D153" s="9">
        <v>5725673.8995316774</v>
      </c>
    </row>
    <row r="154" spans="2:4" ht="18.600000000000001" customHeight="1" x14ac:dyDescent="0.3">
      <c r="B154" s="100">
        <f t="shared" si="5"/>
        <v>-0.125</v>
      </c>
      <c r="C154" s="15">
        <v>7</v>
      </c>
      <c r="D154" s="9">
        <v>7238771.544339912</v>
      </c>
    </row>
    <row r="155" spans="2:4" ht="18.600000000000001" customHeight="1" x14ac:dyDescent="0.3">
      <c r="B155" s="100">
        <f>-1+(C155/$C$155)</f>
        <v>0</v>
      </c>
      <c r="C155" s="15">
        <v>8</v>
      </c>
      <c r="D155" s="9">
        <v>8751869.1891481467</v>
      </c>
    </row>
    <row r="156" spans="2:4" ht="18.600000000000001" customHeight="1" x14ac:dyDescent="0.3">
      <c r="B156" s="100">
        <f t="shared" ref="B156:B158" si="6">-1+(C156/$C$155)</f>
        <v>0.125</v>
      </c>
      <c r="C156" s="15">
        <v>9</v>
      </c>
      <c r="D156" s="9">
        <v>10264966.833956389</v>
      </c>
    </row>
    <row r="157" spans="2:4" ht="18.600000000000001" customHeight="1" x14ac:dyDescent="0.3">
      <c r="B157" s="100">
        <f t="shared" si="6"/>
        <v>0.25</v>
      </c>
      <c r="C157" s="15">
        <v>10</v>
      </c>
      <c r="D157" s="9">
        <v>11778064.478764627</v>
      </c>
    </row>
    <row r="158" spans="2:4" ht="18.600000000000001" customHeight="1" x14ac:dyDescent="0.3">
      <c r="B158" s="100">
        <f t="shared" si="6"/>
        <v>0.375</v>
      </c>
      <c r="C158" s="15">
        <v>11</v>
      </c>
      <c r="D158" s="9">
        <v>13291162.123572864</v>
      </c>
    </row>
    <row r="159" spans="2:4" ht="18.600000000000001" customHeight="1" x14ac:dyDescent="0.3">
      <c r="C159" s="15"/>
      <c r="D159" s="9"/>
    </row>
    <row r="160" spans="2:4" ht="18.600000000000001" customHeight="1" x14ac:dyDescent="0.3">
      <c r="C160" s="15"/>
      <c r="D160" s="9"/>
    </row>
    <row r="161" spans="2:4" ht="18.600000000000001" customHeight="1" x14ac:dyDescent="0.3">
      <c r="C161" s="15"/>
      <c r="D161" s="9"/>
    </row>
    <row r="162" spans="2:4" ht="18.600000000000001" customHeight="1" x14ac:dyDescent="0.3">
      <c r="C162" s="15"/>
      <c r="D162" s="9"/>
    </row>
    <row r="163" spans="2:4" ht="18.600000000000001" customHeight="1" x14ac:dyDescent="0.3">
      <c r="C163" s="15"/>
      <c r="D163" s="9"/>
    </row>
    <row r="164" spans="2:4" ht="18.600000000000001" customHeight="1" x14ac:dyDescent="0.3">
      <c r="C164" s="15"/>
      <c r="D164" s="9"/>
    </row>
    <row r="165" spans="2:4" ht="18.600000000000001" customHeight="1" x14ac:dyDescent="0.3">
      <c r="B165" s="8"/>
      <c r="C165" s="8"/>
    </row>
    <row r="166" spans="2:4" ht="18.600000000000001" customHeight="1" x14ac:dyDescent="0.3">
      <c r="C166" s="35"/>
    </row>
    <row r="167" spans="2:4" ht="18.600000000000001" customHeight="1" x14ac:dyDescent="0.3">
      <c r="B167" s="74" t="s">
        <v>44</v>
      </c>
    </row>
    <row r="168" spans="2:4" ht="18.600000000000001" customHeight="1" x14ac:dyDescent="0.3">
      <c r="B168" s="8" t="s">
        <v>99</v>
      </c>
      <c r="C168" s="8" t="s">
        <v>44</v>
      </c>
      <c r="D168" s="8" t="s">
        <v>101</v>
      </c>
    </row>
    <row r="169" spans="2:4" ht="18.600000000000001" customHeight="1" x14ac:dyDescent="0.3">
      <c r="D169" s="91">
        <f>post_tax_npv</f>
        <v>8751869.1891481467</v>
      </c>
    </row>
    <row r="170" spans="2:4" ht="18.600000000000001" customHeight="1" x14ac:dyDescent="0.3">
      <c r="B170" s="18">
        <f t="shared" ref="B170:B176" si="7">-1+(C170/$C$173)</f>
        <v>-0.5</v>
      </c>
      <c r="C170" s="71">
        <f>C173*0.5</f>
        <v>1.4999999999999999E-2</v>
      </c>
      <c r="D170" s="9">
        <f t="dataTable" ref="D170:D176" dt2D="0" dtr="0" r1="E35" ca="1"/>
        <v>6111373.8349962477</v>
      </c>
    </row>
    <row r="171" spans="2:4" ht="18.600000000000001" customHeight="1" x14ac:dyDescent="0.3">
      <c r="B171" s="18">
        <f t="shared" si="7"/>
        <v>-0.25</v>
      </c>
      <c r="C171" s="71">
        <f>C173*0.75</f>
        <v>2.2499999999999999E-2</v>
      </c>
      <c r="D171" s="9">
        <v>7372377.764809005</v>
      </c>
    </row>
    <row r="172" spans="2:4" ht="18.600000000000001" customHeight="1" x14ac:dyDescent="0.3">
      <c r="B172" s="18">
        <f t="shared" si="7"/>
        <v>-9.9999999999999978E-2</v>
      </c>
      <c r="C172" s="71">
        <f>C173*0.9</f>
        <v>2.7E-2</v>
      </c>
      <c r="D172" s="9">
        <v>8185150.8126628539</v>
      </c>
    </row>
    <row r="173" spans="2:4" ht="18.600000000000001" customHeight="1" x14ac:dyDescent="0.3">
      <c r="B173" s="18">
        <f t="shared" si="7"/>
        <v>0</v>
      </c>
      <c r="C173" s="71">
        <v>0.03</v>
      </c>
      <c r="D173" s="9">
        <v>8751869.1891481467</v>
      </c>
    </row>
    <row r="174" spans="2:4" ht="18.600000000000001" customHeight="1" x14ac:dyDescent="0.3">
      <c r="B174" s="18">
        <f t="shared" si="7"/>
        <v>0.10000000000000009</v>
      </c>
      <c r="C174" s="71">
        <f>C173*1.1</f>
        <v>3.3000000000000002E-2</v>
      </c>
      <c r="D174" s="9">
        <v>9339349.075178653</v>
      </c>
    </row>
    <row r="175" spans="2:4" ht="18.600000000000001" customHeight="1" x14ac:dyDescent="0.3">
      <c r="B175" s="18">
        <f t="shared" si="7"/>
        <v>0.25</v>
      </c>
      <c r="C175" s="71">
        <f>C173*1.25</f>
        <v>3.7499999999999999E-2</v>
      </c>
      <c r="D175" s="9">
        <v>10261194.283568392</v>
      </c>
    </row>
    <row r="176" spans="2:4" ht="18.600000000000001" customHeight="1" x14ac:dyDescent="0.3">
      <c r="B176" s="18">
        <f t="shared" si="7"/>
        <v>0.5</v>
      </c>
      <c r="C176" s="71">
        <f>C173*1.5</f>
        <v>4.4999999999999998E-2</v>
      </c>
      <c r="D176" s="9">
        <v>11912760.437884923</v>
      </c>
    </row>
    <row r="177" spans="2:4" ht="18.600000000000001" customHeight="1" x14ac:dyDescent="0.3">
      <c r="B177" s="18"/>
      <c r="C177" s="71"/>
      <c r="D177" s="9"/>
    </row>
    <row r="178" spans="2:4" ht="18.600000000000001" customHeight="1" x14ac:dyDescent="0.3">
      <c r="B178" s="18"/>
      <c r="C178" s="71"/>
      <c r="D178" s="9"/>
    </row>
    <row r="179" spans="2:4" ht="18.600000000000001" customHeight="1" x14ac:dyDescent="0.3">
      <c r="B179" s="18"/>
      <c r="C179" s="71"/>
      <c r="D179" s="9"/>
    </row>
    <row r="180" spans="2:4" ht="18.600000000000001" customHeight="1" x14ac:dyDescent="0.3">
      <c r="B180" s="18"/>
      <c r="C180" s="71"/>
      <c r="D180" s="9"/>
    </row>
    <row r="181" spans="2:4" ht="18.600000000000001" customHeight="1" x14ac:dyDescent="0.3">
      <c r="B181" s="18"/>
      <c r="C181" s="71"/>
      <c r="D181" s="9"/>
    </row>
    <row r="182" spans="2:4" ht="18.600000000000001" customHeight="1" x14ac:dyDescent="0.3">
      <c r="B182" s="18"/>
      <c r="C182" s="71"/>
      <c r="D182" s="9"/>
    </row>
    <row r="185" spans="2:4" ht="18.600000000000001" customHeight="1" x14ac:dyDescent="0.3">
      <c r="B185" s="74" t="s">
        <v>103</v>
      </c>
    </row>
    <row r="186" spans="2:4" ht="18.600000000000001" customHeight="1" x14ac:dyDescent="0.3">
      <c r="B186" s="8" t="s">
        <v>99</v>
      </c>
      <c r="C186" s="8" t="s">
        <v>104</v>
      </c>
      <c r="D186" s="8" t="s">
        <v>101</v>
      </c>
    </row>
    <row r="187" spans="2:4" ht="18.600000000000001" customHeight="1" x14ac:dyDescent="0.3">
      <c r="D187" s="91">
        <f>post_tax_npv</f>
        <v>8751869.1891481467</v>
      </c>
    </row>
    <row r="188" spans="2:4" ht="18.600000000000001" customHeight="1" x14ac:dyDescent="0.3">
      <c r="B188" s="18">
        <f>-1+(C188/$C$188)</f>
        <v>0</v>
      </c>
      <c r="C188" s="15">
        <v>3</v>
      </c>
      <c r="D188" s="9">
        <f t="dataTable" ref="D188:D194" dt2D="0" dtr="0" r1="E14" ca="1"/>
        <v>8751869.1891481467</v>
      </c>
    </row>
    <row r="189" spans="2:4" ht="18.600000000000001" customHeight="1" x14ac:dyDescent="0.3">
      <c r="B189" s="18">
        <f t="shared" ref="B189:B194" si="8">-1+(C189/$C$188)</f>
        <v>0.33333333333333326</v>
      </c>
      <c r="C189" s="15">
        <v>4</v>
      </c>
      <c r="D189" s="9">
        <v>7706494.6435577394</v>
      </c>
    </row>
    <row r="190" spans="2:4" ht="18.600000000000001" customHeight="1" x14ac:dyDescent="0.3">
      <c r="B190" s="18">
        <f t="shared" si="8"/>
        <v>0.66666666666666674</v>
      </c>
      <c r="C190" s="15">
        <v>5</v>
      </c>
      <c r="D190" s="9">
        <v>6712887.7807097435</v>
      </c>
    </row>
    <row r="191" spans="2:4" ht="18.600000000000001" customHeight="1" x14ac:dyDescent="0.3">
      <c r="B191" s="18">
        <f t="shared" si="8"/>
        <v>1</v>
      </c>
      <c r="C191" s="15">
        <v>6</v>
      </c>
      <c r="D191" s="9">
        <v>5768402.2661779998</v>
      </c>
    </row>
    <row r="192" spans="2:4" ht="18.600000000000001" customHeight="1" x14ac:dyDescent="0.3">
      <c r="B192" s="18">
        <f t="shared" si="8"/>
        <v>1.3333333333333335</v>
      </c>
      <c r="C192" s="15">
        <v>7</v>
      </c>
      <c r="D192" s="9">
        <v>5139644.2625854444</v>
      </c>
    </row>
    <row r="193" spans="2:19" ht="18.600000000000001" customHeight="1" x14ac:dyDescent="0.3">
      <c r="B193" s="18">
        <f t="shared" si="8"/>
        <v>1.6666666666666665</v>
      </c>
      <c r="C193" s="15">
        <v>8</v>
      </c>
      <c r="D193" s="9">
        <v>4542671.2065115813</v>
      </c>
    </row>
    <row r="194" spans="2:19" ht="18.600000000000001" customHeight="1" x14ac:dyDescent="0.3">
      <c r="B194" s="18">
        <f t="shared" si="8"/>
        <v>2</v>
      </c>
      <c r="C194" s="15">
        <v>9</v>
      </c>
      <c r="D194" s="9">
        <v>3841257.6233464531</v>
      </c>
    </row>
    <row r="204" spans="2:19" ht="18.600000000000001" customHeight="1" x14ac:dyDescent="0.3">
      <c r="B204" s="155" t="s">
        <v>111</v>
      </c>
      <c r="C204" s="155"/>
      <c r="D204" s="155"/>
      <c r="E204" s="155"/>
      <c r="F204" s="155"/>
      <c r="G204" s="155"/>
      <c r="H204" s="155"/>
      <c r="I204" s="155"/>
      <c r="J204" s="155"/>
      <c r="K204" s="155"/>
      <c r="L204" s="155"/>
      <c r="M204" s="155"/>
      <c r="N204" s="155"/>
      <c r="O204" s="155"/>
      <c r="P204" s="155"/>
      <c r="Q204" s="155"/>
      <c r="R204" s="155"/>
      <c r="S204" s="118"/>
    </row>
    <row r="205" spans="2:19" ht="18.600000000000001" customHeight="1" x14ac:dyDescent="0.3">
      <c r="B205" s="155"/>
      <c r="C205" s="155"/>
      <c r="D205" s="155"/>
      <c r="E205" s="155"/>
      <c r="F205" s="155"/>
      <c r="G205" s="155"/>
      <c r="H205" s="155"/>
      <c r="I205" s="155"/>
      <c r="J205" s="155"/>
      <c r="K205" s="155"/>
      <c r="L205" s="155"/>
      <c r="M205" s="155"/>
      <c r="N205" s="155"/>
      <c r="O205" s="155"/>
      <c r="P205" s="155"/>
      <c r="Q205" s="155"/>
      <c r="R205" s="155"/>
      <c r="S205" s="118"/>
    </row>
    <row r="206" spans="2:19" ht="18.600000000000001" customHeight="1" x14ac:dyDescent="0.3">
      <c r="B206" s="120"/>
      <c r="C206" s="120"/>
      <c r="D206" s="120"/>
      <c r="E206" s="120"/>
      <c r="F206" s="120"/>
      <c r="G206" s="120"/>
      <c r="H206" s="120"/>
      <c r="I206" s="120"/>
      <c r="J206" s="120"/>
      <c r="K206" s="120"/>
      <c r="L206" s="120"/>
      <c r="M206" s="120"/>
      <c r="N206" s="120"/>
      <c r="O206" s="120"/>
      <c r="P206" s="120"/>
      <c r="Q206" s="120"/>
      <c r="R206" s="120"/>
      <c r="S206" s="118"/>
    </row>
    <row r="208" spans="2:19" ht="18.600000000000001" customHeight="1" x14ac:dyDescent="0.3">
      <c r="B208" s="37"/>
      <c r="C208" s="74" t="s">
        <v>127</v>
      </c>
      <c r="J208" s="75" t="s">
        <v>126</v>
      </c>
      <c r="K208" s="158" t="s">
        <v>27</v>
      </c>
      <c r="L208" s="158"/>
      <c r="M208" s="158"/>
      <c r="N208" s="158"/>
      <c r="O208" s="158"/>
      <c r="P208" s="158"/>
      <c r="Q208" s="158"/>
    </row>
    <row r="209" spans="2:17" ht="18.600000000000001" customHeight="1" x14ac:dyDescent="0.3">
      <c r="B209" s="8"/>
      <c r="J209" s="76">
        <f>post_tax_npv</f>
        <v>8751869.1891481467</v>
      </c>
      <c r="K209" s="88">
        <v>0.04</v>
      </c>
      <c r="L209" s="89">
        <v>0.06</v>
      </c>
      <c r="M209" s="90">
        <v>7.2000000000000008E-2</v>
      </c>
      <c r="N209" s="89">
        <v>0.08</v>
      </c>
      <c r="O209" s="90">
        <v>8.7999999999999995E-2</v>
      </c>
      <c r="P209" s="89">
        <v>0.1</v>
      </c>
      <c r="Q209" s="90">
        <v>0.12</v>
      </c>
    </row>
    <row r="210" spans="2:17" ht="18.600000000000001" customHeight="1" x14ac:dyDescent="0.3">
      <c r="J210" s="85">
        <v>25</v>
      </c>
      <c r="K210" s="79">
        <f t="dataTable" ref="K210:Q216" dt2D="1" dtr="1" r1="E34" r2="E38" ca="1"/>
        <v>-3798279.046815569</v>
      </c>
      <c r="L210" s="79">
        <v>-5068969.7499467935</v>
      </c>
      <c r="M210" s="79">
        <v>-5710854.1387221767</v>
      </c>
      <c r="N210" s="79">
        <v>-6093924.1302413587</v>
      </c>
      <c r="O210" s="79">
        <v>-6444136.8425048124</v>
      </c>
      <c r="P210" s="79">
        <v>-6913310.3357233657</v>
      </c>
      <c r="Q210" s="79">
        <v>-7564847.2668719087</v>
      </c>
    </row>
    <row r="211" spans="2:17" ht="18.600000000000001" customHeight="1" x14ac:dyDescent="0.3">
      <c r="J211" s="86">
        <v>37.5</v>
      </c>
      <c r="K211" s="79">
        <v>8051181.362764053</v>
      </c>
      <c r="L211" s="79">
        <v>4473168.2165271752</v>
      </c>
      <c r="M211" s="79">
        <v>2732109.5073713083</v>
      </c>
      <c r="N211" s="79">
        <v>1710801.4188406933</v>
      </c>
      <c r="O211" s="79">
        <v>787182.06846501678</v>
      </c>
      <c r="P211" s="79">
        <v>-437387.54299672897</v>
      </c>
      <c r="Q211" s="79">
        <v>-2120547.4694734318</v>
      </c>
    </row>
    <row r="212" spans="2:17" ht="18.600000000000001" customHeight="1" x14ac:dyDescent="0.3">
      <c r="J212" s="86">
        <v>45</v>
      </c>
      <c r="K212" s="79">
        <v>14586832.976591159</v>
      </c>
      <c r="L212" s="79">
        <v>9687463.3695846498</v>
      </c>
      <c r="M212" s="79">
        <v>7320438.4092966048</v>
      </c>
      <c r="N212" s="79">
        <v>5936963.4359697849</v>
      </c>
      <c r="O212" s="79">
        <v>4688909.6839636536</v>
      </c>
      <c r="P212" s="79">
        <v>3038499.2307345551</v>
      </c>
      <c r="Q212" s="79">
        <v>777220.46972888941</v>
      </c>
    </row>
    <row r="213" spans="2:17" ht="18.600000000000001" customHeight="1" x14ac:dyDescent="0.3">
      <c r="J213" s="86">
        <v>50</v>
      </c>
      <c r="K213" s="79">
        <v>18941094.495753184</v>
      </c>
      <c r="L213" s="79">
        <v>13160978.297631457</v>
      </c>
      <c r="M213" s="79">
        <v>10376731.560675589</v>
      </c>
      <c r="N213" s="79">
        <v>8751869.1891481467</v>
      </c>
      <c r="O213" s="79">
        <v>7287581.3579641944</v>
      </c>
      <c r="P213" s="79">
        <v>5353357.2939132852</v>
      </c>
      <c r="Q213" s="79">
        <v>2706792.2544692885</v>
      </c>
    </row>
    <row r="214" spans="2:17" ht="18.600000000000001" customHeight="1" x14ac:dyDescent="0.3">
      <c r="J214" s="86">
        <v>55</v>
      </c>
      <c r="K214" s="79">
        <v>23295356.01491522</v>
      </c>
      <c r="L214" s="79">
        <v>16634493.225678273</v>
      </c>
      <c r="M214" s="79">
        <v>13433024.712054577</v>
      </c>
      <c r="N214" s="79">
        <v>11566774.942326505</v>
      </c>
      <c r="O214" s="79">
        <v>9886253.0319647323</v>
      </c>
      <c r="P214" s="79">
        <v>7668215.3570920201</v>
      </c>
      <c r="Q214" s="79">
        <v>4636364.0392096853</v>
      </c>
    </row>
    <row r="215" spans="2:17" ht="18.600000000000001" customHeight="1" x14ac:dyDescent="0.3">
      <c r="J215" s="86">
        <v>62.5</v>
      </c>
      <c r="K215" s="79">
        <v>29826748.29365826</v>
      </c>
      <c r="L215" s="79">
        <v>21844765.61774848</v>
      </c>
      <c r="M215" s="79">
        <v>18017464.439123053</v>
      </c>
      <c r="N215" s="79">
        <v>15789133.572094042</v>
      </c>
      <c r="O215" s="79">
        <v>13784260.542965544</v>
      </c>
      <c r="P215" s="79">
        <v>11140502.451860126</v>
      </c>
      <c r="Q215" s="79">
        <v>7530721.7163202865</v>
      </c>
    </row>
    <row r="216" spans="2:17" ht="18.600000000000001" customHeight="1" x14ac:dyDescent="0.3">
      <c r="J216" s="86">
        <v>75</v>
      </c>
      <c r="K216" s="79">
        <v>40712402.091563322</v>
      </c>
      <c r="L216" s="79">
        <v>30528552.937865507</v>
      </c>
      <c r="M216" s="79">
        <v>25658197.317570511</v>
      </c>
      <c r="N216" s="79">
        <v>22826397.955039933</v>
      </c>
      <c r="O216" s="79">
        <v>20280939.72796689</v>
      </c>
      <c r="P216" s="79">
        <v>16927647.609806951</v>
      </c>
      <c r="Q216" s="79">
        <v>12354651.178171281</v>
      </c>
    </row>
    <row r="219" spans="2:17" ht="18.600000000000001" customHeight="1" x14ac:dyDescent="0.3">
      <c r="B219" s="7"/>
      <c r="C219" s="74" t="s">
        <v>128</v>
      </c>
      <c r="D219" s="7"/>
      <c r="E219" s="7"/>
      <c r="F219" s="7"/>
      <c r="J219" s="75" t="s">
        <v>129</v>
      </c>
      <c r="K219" s="157" t="s">
        <v>27</v>
      </c>
      <c r="L219" s="157"/>
      <c r="M219" s="157"/>
      <c r="N219" s="157"/>
      <c r="O219" s="157"/>
      <c r="P219" s="157"/>
      <c r="Q219" s="157"/>
    </row>
    <row r="220" spans="2:17" ht="18.600000000000001" customHeight="1" x14ac:dyDescent="0.3">
      <c r="J220" s="76">
        <f>post_tax_npv</f>
        <v>8751869.1891481467</v>
      </c>
      <c r="K220" s="88">
        <v>0.04</v>
      </c>
      <c r="L220" s="89">
        <v>0.06</v>
      </c>
      <c r="M220" s="90">
        <v>7.2000000000000008E-2</v>
      </c>
      <c r="N220" s="89">
        <v>0.08</v>
      </c>
      <c r="O220" s="90">
        <v>8.7999999999999995E-2</v>
      </c>
      <c r="P220" s="89">
        <v>0.1</v>
      </c>
      <c r="Q220" s="90">
        <v>0.12</v>
      </c>
    </row>
    <row r="221" spans="2:17" ht="18.600000000000001" customHeight="1" x14ac:dyDescent="0.3">
      <c r="J221" s="81">
        <v>3</v>
      </c>
      <c r="K221" s="78">
        <f t="dataTable" ref="K221:Q227" dt2D="1" dtr="1" r1="E34" r2="E14" ca="1"/>
        <v>18941094.495753184</v>
      </c>
      <c r="L221" s="78">
        <v>13160978.297631457</v>
      </c>
      <c r="M221" s="78">
        <v>10376731.560675589</v>
      </c>
      <c r="N221" s="78">
        <v>8751869.1891481467</v>
      </c>
      <c r="O221" s="78">
        <v>7287581.3579641944</v>
      </c>
      <c r="P221" s="78">
        <v>5353357.2939132852</v>
      </c>
      <c r="Q221" s="78">
        <v>2706792.2544692885</v>
      </c>
    </row>
    <row r="222" spans="2:17" s="4" customFormat="1" ht="18.600000000000001" customHeight="1" x14ac:dyDescent="0.3">
      <c r="J222" s="82">
        <v>4</v>
      </c>
      <c r="K222" s="78">
        <v>18572299.038530178</v>
      </c>
      <c r="L222" s="78">
        <v>12367988.97194567</v>
      </c>
      <c r="M222" s="78">
        <v>9416232.5193950217</v>
      </c>
      <c r="N222" s="78">
        <v>7706494.6435577394</v>
      </c>
      <c r="O222" s="78">
        <v>6174737.0051078619</v>
      </c>
      <c r="P222" s="78">
        <v>4165881.3535537566</v>
      </c>
      <c r="Q222" s="78">
        <v>1447947.8510302664</v>
      </c>
    </row>
    <row r="223" spans="2:17" s="4" customFormat="1" ht="18.600000000000001" customHeight="1" x14ac:dyDescent="0.3">
      <c r="J223" s="82">
        <v>5</v>
      </c>
      <c r="K223" s="78">
        <v>18209346.007708739</v>
      </c>
      <c r="L223" s="78">
        <v>11600386.605272185</v>
      </c>
      <c r="M223" s="78">
        <v>8496587.3454116359</v>
      </c>
      <c r="N223" s="78">
        <v>6712887.7807097435</v>
      </c>
      <c r="O223" s="78">
        <v>5124710.2348696114</v>
      </c>
      <c r="P223" s="78">
        <v>3057606.780754983</v>
      </c>
      <c r="Q223" s="78">
        <v>294039.54593326122</v>
      </c>
    </row>
    <row r="224" spans="2:17" s="4" customFormat="1" ht="18.600000000000001" customHeight="1" x14ac:dyDescent="0.3">
      <c r="J224" s="82">
        <v>6</v>
      </c>
      <c r="K224" s="78">
        <v>17852090.906256702</v>
      </c>
      <c r="L224" s="78">
        <v>10857286.06490938</v>
      </c>
      <c r="M224" s="78">
        <v>7615978.992618083</v>
      </c>
      <c r="N224" s="78">
        <v>5768402.2661779998</v>
      </c>
      <c r="O224" s="78">
        <v>4133869.7808719771</v>
      </c>
      <c r="P224" s="78">
        <v>2023163.0596894089</v>
      </c>
      <c r="Q224" s="78">
        <v>-763769.91430776671</v>
      </c>
    </row>
    <row r="225" spans="3:17" s="4" customFormat="1" ht="18.600000000000001" customHeight="1" x14ac:dyDescent="0.3">
      <c r="J225" s="82">
        <v>7</v>
      </c>
      <c r="K225" s="78">
        <v>18304390.794823352</v>
      </c>
      <c r="L225" s="78">
        <v>10600591.62850881</v>
      </c>
      <c r="M225" s="78">
        <v>7106542.2759903176</v>
      </c>
      <c r="N225" s="78">
        <v>5139644.2625854444</v>
      </c>
      <c r="O225" s="78">
        <v>3416062.5101108649</v>
      </c>
      <c r="P225" s="78">
        <v>1215615.5852467995</v>
      </c>
      <c r="Q225" s="78">
        <v>-1639829.9773776543</v>
      </c>
    </row>
    <row r="226" spans="3:17" s="4" customFormat="1" ht="18.600000000000001" customHeight="1" x14ac:dyDescent="0.3">
      <c r="J226" s="82">
        <v>8</v>
      </c>
      <c r="K226" s="78">
        <v>18754383.062772069</v>
      </c>
      <c r="L226" s="78">
        <v>10353633.854715047</v>
      </c>
      <c r="M226" s="78">
        <v>6619680.5565479072</v>
      </c>
      <c r="N226" s="78">
        <v>4542671.2065115813</v>
      </c>
      <c r="O226" s="78">
        <v>2739232.9629613888</v>
      </c>
      <c r="P226" s="78">
        <v>462188.31207833975</v>
      </c>
      <c r="Q226" s="78">
        <v>-2442802.568591123</v>
      </c>
    </row>
    <row r="227" spans="3:17" s="4" customFormat="1" ht="18.600000000000001" customHeight="1" x14ac:dyDescent="0.3">
      <c r="J227" s="82">
        <v>9</v>
      </c>
      <c r="K227" s="78">
        <v>18800012.997048225</v>
      </c>
      <c r="L227" s="78">
        <v>9884619.8049406726</v>
      </c>
      <c r="M227" s="78">
        <v>5987400.6159284897</v>
      </c>
      <c r="N227" s="78">
        <v>3841257.6233464531</v>
      </c>
      <c r="O227" s="78">
        <v>1992346.439643567</v>
      </c>
      <c r="P227" s="78">
        <v>-319843.08449178311</v>
      </c>
      <c r="Q227" s="78">
        <v>-3225716.1241878797</v>
      </c>
    </row>
    <row r="228" spans="3:17" s="4" customFormat="1" ht="18.600000000000001" customHeight="1" x14ac:dyDescent="0.3">
      <c r="H228" s="3"/>
      <c r="I228" s="3"/>
      <c r="J228" s="3"/>
      <c r="K228" s="3"/>
      <c r="L228" s="3"/>
      <c r="M228" s="3"/>
      <c r="N228" s="3"/>
      <c r="O228" s="3"/>
    </row>
    <row r="229" spans="3:17" s="4" customFormat="1" ht="18.600000000000001" customHeight="1" x14ac:dyDescent="0.3">
      <c r="H229" s="3"/>
      <c r="I229" s="3"/>
      <c r="J229" s="3"/>
      <c r="K229" s="3"/>
      <c r="L229" s="3"/>
      <c r="M229" s="3"/>
      <c r="N229" s="3"/>
      <c r="O229" s="3"/>
    </row>
    <row r="230" spans="3:17" s="4" customFormat="1" ht="18.600000000000001" customHeight="1" x14ac:dyDescent="0.3">
      <c r="C230" s="74" t="s">
        <v>130</v>
      </c>
      <c r="J230" s="75" t="s">
        <v>126</v>
      </c>
      <c r="K230" s="157" t="s">
        <v>58</v>
      </c>
      <c r="L230" s="157"/>
      <c r="M230" s="157"/>
      <c r="N230" s="157"/>
      <c r="O230" s="157"/>
      <c r="P230" s="157"/>
      <c r="Q230" s="157"/>
    </row>
    <row r="231" spans="3:17" ht="18.600000000000001" customHeight="1" x14ac:dyDescent="0.3">
      <c r="J231" s="76">
        <f>post_tax_npv</f>
        <v>8751869.1891481467</v>
      </c>
      <c r="K231" s="80">
        <v>0.25</v>
      </c>
      <c r="L231" s="77">
        <v>0.27</v>
      </c>
      <c r="M231" s="77">
        <v>0.28999999999999998</v>
      </c>
      <c r="N231" s="77">
        <v>0.31</v>
      </c>
      <c r="O231" s="77">
        <v>0.33</v>
      </c>
      <c r="P231" s="77">
        <v>0.35</v>
      </c>
      <c r="Q231" s="77">
        <v>0.37</v>
      </c>
    </row>
    <row r="232" spans="3:17" ht="18.600000000000001" customHeight="1" x14ac:dyDescent="0.3">
      <c r="J232" s="85">
        <v>25</v>
      </c>
      <c r="K232" s="78">
        <f t="dataTable" ref="K232:Q238" dt2D="1" dtr="1" r1="E10" r2="E38" ca="1"/>
        <v>-10633230.435503319</v>
      </c>
      <c r="L232" s="78">
        <v>-9725369.1744509302</v>
      </c>
      <c r="M232" s="78">
        <v>-8817507.9133985322</v>
      </c>
      <c r="N232" s="78">
        <v>-7909646.6523461398</v>
      </c>
      <c r="O232" s="78">
        <v>-7001785.3912937492</v>
      </c>
      <c r="P232" s="78">
        <v>-6093924.1302413587</v>
      </c>
      <c r="Q232" s="78">
        <v>-5186062.8691889634</v>
      </c>
    </row>
    <row r="233" spans="3:17" ht="18.600000000000001" customHeight="1" x14ac:dyDescent="0.3">
      <c r="J233" s="86">
        <v>37.5</v>
      </c>
      <c r="K233" s="78">
        <v>-4959097.5539258616</v>
      </c>
      <c r="L233" s="78">
        <v>-3597305.6623472739</v>
      </c>
      <c r="M233" s="78">
        <v>-2235513.7707686853</v>
      </c>
      <c r="N233" s="78">
        <v>-873721.8791900957</v>
      </c>
      <c r="O233" s="78">
        <v>449523.434070552</v>
      </c>
      <c r="P233" s="78">
        <v>1710801.4188406933</v>
      </c>
      <c r="Q233" s="78">
        <v>2920992.986135833</v>
      </c>
    </row>
    <row r="234" spans="3:17" ht="18.600000000000001" customHeight="1" x14ac:dyDescent="0.3">
      <c r="J234" s="86">
        <v>45</v>
      </c>
      <c r="K234" s="78">
        <v>-1554617.8249793903</v>
      </c>
      <c r="L234" s="78">
        <v>58779.877756102884</v>
      </c>
      <c r="M234" s="78">
        <v>1587882.9634730835</v>
      </c>
      <c r="N234" s="78">
        <v>3041631.8041291907</v>
      </c>
      <c r="O234" s="78">
        <v>4489297.6200494952</v>
      </c>
      <c r="P234" s="78">
        <v>5936963.4359697849</v>
      </c>
      <c r="Q234" s="78">
        <v>7384629.2518900884</v>
      </c>
    </row>
    <row r="235" spans="3:17" ht="18.600000000000001" customHeight="1" x14ac:dyDescent="0.3">
      <c r="J235" s="86">
        <v>50</v>
      </c>
      <c r="K235" s="78">
        <v>664762.52223120467</v>
      </c>
      <c r="L235" s="78">
        <v>2317798.8961690413</v>
      </c>
      <c r="M235" s="78">
        <v>3926316.4694138179</v>
      </c>
      <c r="N235" s="78">
        <v>5534834.0426585972</v>
      </c>
      <c r="O235" s="78">
        <v>7143351.6159033692</v>
      </c>
      <c r="P235" s="78">
        <v>8751869.1891481467</v>
      </c>
      <c r="Q235" s="78">
        <v>10360386.762392927</v>
      </c>
    </row>
    <row r="236" spans="3:17" ht="18.600000000000001" customHeight="1" x14ac:dyDescent="0.3">
      <c r="J236" s="86">
        <v>55</v>
      </c>
      <c r="K236" s="78">
        <v>2719928.2894802354</v>
      </c>
      <c r="L236" s="78">
        <v>4489297.6200494952</v>
      </c>
      <c r="M236" s="78">
        <v>6258666.9506187467</v>
      </c>
      <c r="N236" s="78">
        <v>8028036.2811879981</v>
      </c>
      <c r="O236" s="78">
        <v>9797405.6117572542</v>
      </c>
      <c r="P236" s="78">
        <v>11566774.942326505</v>
      </c>
      <c r="Q236" s="78">
        <v>13336144.272895761</v>
      </c>
    </row>
    <row r="237" spans="3:17" ht="18.600000000000001" customHeight="1" x14ac:dyDescent="0.3">
      <c r="J237" s="86">
        <v>62.5</v>
      </c>
      <c r="K237" s="78">
        <v>5735898.7393141938</v>
      </c>
      <c r="L237" s="78">
        <v>7746545.7058701608</v>
      </c>
      <c r="M237" s="78">
        <v>9757192.6724261362</v>
      </c>
      <c r="N237" s="78">
        <v>11767839.638982106</v>
      </c>
      <c r="O237" s="78">
        <v>13778486.605538078</v>
      </c>
      <c r="P237" s="78">
        <v>15789133.572094042</v>
      </c>
      <c r="Q237" s="78">
        <v>17799780.538650014</v>
      </c>
    </row>
    <row r="238" spans="3:17" ht="18.600000000000001" customHeight="1" x14ac:dyDescent="0.3">
      <c r="J238" s="86">
        <v>75</v>
      </c>
      <c r="K238" s="78">
        <v>10762516.155704122</v>
      </c>
      <c r="L238" s="78">
        <v>13175292.515571283</v>
      </c>
      <c r="M238" s="78">
        <v>15588068.875438452</v>
      </c>
      <c r="N238" s="78">
        <v>18000845.235305615</v>
      </c>
      <c r="O238" s="78">
        <v>20413621.595172774</v>
      </c>
      <c r="P238" s="78">
        <v>22826397.955039933</v>
      </c>
      <c r="Q238" s="78">
        <v>25239174.314907111</v>
      </c>
    </row>
    <row r="241" spans="3:25" ht="18.600000000000001" customHeight="1" x14ac:dyDescent="0.3">
      <c r="C241" s="74" t="s">
        <v>131</v>
      </c>
      <c r="J241" s="75" t="s">
        <v>104</v>
      </c>
      <c r="K241" s="157" t="s">
        <v>58</v>
      </c>
      <c r="L241" s="157"/>
      <c r="M241" s="157"/>
      <c r="N241" s="157"/>
      <c r="O241" s="157"/>
      <c r="P241" s="157"/>
      <c r="Q241" s="157"/>
    </row>
    <row r="242" spans="3:25" ht="18.600000000000001" customHeight="1" x14ac:dyDescent="0.3">
      <c r="J242" s="76">
        <f>post_tax_npv</f>
        <v>8751869.1891481467</v>
      </c>
      <c r="K242" s="80">
        <v>0.25</v>
      </c>
      <c r="L242" s="77">
        <v>0.27</v>
      </c>
      <c r="M242" s="77">
        <v>0.28999999999999998</v>
      </c>
      <c r="N242" s="77">
        <v>0.31</v>
      </c>
      <c r="O242" s="77">
        <v>0.33</v>
      </c>
      <c r="P242" s="77">
        <v>0.35</v>
      </c>
      <c r="Q242" s="77">
        <v>0.37</v>
      </c>
    </row>
    <row r="243" spans="3:25" ht="18.600000000000001" customHeight="1" x14ac:dyDescent="0.3">
      <c r="J243" s="81">
        <v>3</v>
      </c>
      <c r="K243" s="78">
        <f t="dataTable" ref="K243:Q249" dt2D="1" dtr="1" r1="E10" r2="E14" ca="1"/>
        <v>664762.52223120467</v>
      </c>
      <c r="L243" s="78">
        <v>2317798.8961690413</v>
      </c>
      <c r="M243" s="78">
        <v>3926316.4694138179</v>
      </c>
      <c r="N243" s="78">
        <v>5534834.0426585972</v>
      </c>
      <c r="O243" s="78">
        <v>7143351.6159033692</v>
      </c>
      <c r="P243" s="78">
        <v>8751869.1891481467</v>
      </c>
      <c r="Q243" s="78">
        <v>10360386.762392927</v>
      </c>
      <c r="S243" s="18"/>
      <c r="T243" s="18"/>
      <c r="U243" s="18"/>
      <c r="V243" s="18"/>
      <c r="W243" s="18"/>
      <c r="X243" s="18"/>
      <c r="Y243" s="18"/>
    </row>
    <row r="244" spans="3:25" ht="18.600000000000001" customHeight="1" x14ac:dyDescent="0.3">
      <c r="J244" s="82">
        <v>4</v>
      </c>
      <c r="K244" s="78">
        <v>14530.372964860988</v>
      </c>
      <c r="L244" s="78">
        <v>1570297.975253596</v>
      </c>
      <c r="M244" s="78">
        <v>3104347.1423296314</v>
      </c>
      <c r="N244" s="78">
        <v>4638396.3094056677</v>
      </c>
      <c r="O244" s="78">
        <v>6172445.4764817059</v>
      </c>
      <c r="P244" s="78">
        <v>7706494.6435577394</v>
      </c>
      <c r="Q244" s="78">
        <v>9240543.8106337804</v>
      </c>
    </row>
    <row r="245" spans="3:25" ht="18.600000000000001" customHeight="1" x14ac:dyDescent="0.3">
      <c r="J245" s="82">
        <v>5</v>
      </c>
      <c r="K245" s="78">
        <v>-609559.6458001635</v>
      </c>
      <c r="L245" s="78">
        <v>860774.29149375507</v>
      </c>
      <c r="M245" s="78">
        <v>2323802.6637977529</v>
      </c>
      <c r="N245" s="78">
        <v>3786831.0361017538</v>
      </c>
      <c r="O245" s="78">
        <v>5249859.4084057501</v>
      </c>
      <c r="P245" s="78">
        <v>6712887.7807097435</v>
      </c>
      <c r="Q245" s="78">
        <v>8175916.1530137435</v>
      </c>
    </row>
    <row r="246" spans="3:25" ht="18.600000000000001" customHeight="1" x14ac:dyDescent="0.3">
      <c r="J246" s="82">
        <v>6</v>
      </c>
      <c r="K246" s="78">
        <v>-1208424.3949394876</v>
      </c>
      <c r="L246" s="78">
        <v>187219.95701830561</v>
      </c>
      <c r="M246" s="78">
        <v>1582515.5343082298</v>
      </c>
      <c r="N246" s="78">
        <v>2977811.1115981545</v>
      </c>
      <c r="O246" s="78">
        <v>4373106.6888880795</v>
      </c>
      <c r="P246" s="78">
        <v>5768402.2661779998</v>
      </c>
      <c r="Q246" s="78">
        <v>7163697.8434679266</v>
      </c>
    </row>
    <row r="247" spans="3:25" ht="18.600000000000001" customHeight="1" x14ac:dyDescent="0.3">
      <c r="J247" s="82">
        <v>7</v>
      </c>
      <c r="K247" s="78">
        <v>-1513848.5365285391</v>
      </c>
      <c r="L247" s="78">
        <v>-183149.97670574527</v>
      </c>
      <c r="M247" s="78">
        <v>1147548.5831170543</v>
      </c>
      <c r="N247" s="78">
        <v>2478247.1429398521</v>
      </c>
      <c r="O247" s="78">
        <v>3808945.7027626489</v>
      </c>
      <c r="P247" s="78">
        <v>5139644.2625854444</v>
      </c>
      <c r="Q247" s="78">
        <v>6470342.822408244</v>
      </c>
    </row>
    <row r="248" spans="3:25" ht="18.600000000000001" customHeight="1" x14ac:dyDescent="0.3">
      <c r="J248" s="82">
        <v>8</v>
      </c>
      <c r="K248" s="78">
        <v>-1802789.5185693463</v>
      </c>
      <c r="L248" s="78">
        <v>-533697.37355316011</v>
      </c>
      <c r="M248" s="78">
        <v>735394.77146302466</v>
      </c>
      <c r="N248" s="78">
        <v>2004486.916479212</v>
      </c>
      <c r="O248" s="78">
        <v>3273579.0614954005</v>
      </c>
      <c r="P248" s="78">
        <v>4542671.2065115813</v>
      </c>
      <c r="Q248" s="78">
        <v>5811763.3515277728</v>
      </c>
    </row>
    <row r="249" spans="3:25" ht="18.600000000000001" customHeight="1" x14ac:dyDescent="0.3">
      <c r="J249" s="82">
        <v>9</v>
      </c>
      <c r="K249" s="78">
        <v>-2210431.7718696157</v>
      </c>
      <c r="L249" s="78">
        <v>-1000093.8928263996</v>
      </c>
      <c r="M249" s="78">
        <v>210243.98621681234</v>
      </c>
      <c r="N249" s="78">
        <v>1420581.8652600297</v>
      </c>
      <c r="O249" s="78">
        <v>2630919.7443032446</v>
      </c>
      <c r="P249" s="78">
        <v>3841257.6233464531</v>
      </c>
      <c r="Q249" s="78">
        <v>5051595.5023896731</v>
      </c>
    </row>
    <row r="250" spans="3:25" ht="18.600000000000001" customHeight="1" x14ac:dyDescent="0.3">
      <c r="I250" s="8"/>
    </row>
    <row r="251" spans="3:25" ht="18.600000000000001" customHeight="1" x14ac:dyDescent="0.3">
      <c r="I251" s="8"/>
    </row>
    <row r="252" spans="3:25" ht="18.600000000000001" customHeight="1" x14ac:dyDescent="0.3">
      <c r="C252" s="74" t="s">
        <v>132</v>
      </c>
      <c r="J252" s="75" t="s">
        <v>126</v>
      </c>
      <c r="K252" s="157" t="s">
        <v>105</v>
      </c>
      <c r="L252" s="157"/>
      <c r="M252" s="157"/>
      <c r="N252" s="157"/>
      <c r="O252" s="157"/>
      <c r="P252" s="157"/>
      <c r="Q252" s="157"/>
    </row>
    <row r="253" spans="3:25" ht="18.600000000000001" customHeight="1" x14ac:dyDescent="0.3">
      <c r="J253" s="76">
        <f>post_tax_npv</f>
        <v>8751869.1891481467</v>
      </c>
      <c r="K253" s="92">
        <v>5</v>
      </c>
      <c r="L253" s="93">
        <v>6</v>
      </c>
      <c r="M253" s="93">
        <v>7</v>
      </c>
      <c r="N253" s="93">
        <v>8</v>
      </c>
      <c r="O253" s="93">
        <v>9</v>
      </c>
      <c r="P253" s="93">
        <v>10</v>
      </c>
      <c r="Q253" s="93">
        <v>11</v>
      </c>
    </row>
    <row r="254" spans="3:25" ht="18.600000000000001" customHeight="1" x14ac:dyDescent="0.3">
      <c r="J254" s="85">
        <v>25</v>
      </c>
      <c r="K254" s="78">
        <f t="dataTable" ref="K254:Q260" dt2D="1" dtr="1" r1="E11" r2="E38" ca="1"/>
        <v>-5236943.5225360114</v>
      </c>
      <c r="L254" s="78">
        <v>-5522603.7251044568</v>
      </c>
      <c r="M254" s="78">
        <v>-5808263.9276729021</v>
      </c>
      <c r="N254" s="78">
        <v>-6093924.1302413587</v>
      </c>
      <c r="O254" s="78">
        <v>-6379584.3328098012</v>
      </c>
      <c r="P254" s="78">
        <v>-6665244.5353782522</v>
      </c>
      <c r="Q254" s="78">
        <v>-6950904.7379466956</v>
      </c>
    </row>
    <row r="255" spans="3:25" ht="18.600000000000001" customHeight="1" x14ac:dyDescent="0.3">
      <c r="J255" s="86">
        <v>37.5</v>
      </c>
      <c r="K255" s="78">
        <v>-277463.64665512554</v>
      </c>
      <c r="L255" s="78">
        <v>401824.38497382728</v>
      </c>
      <c r="M255" s="78">
        <v>1063401.3182584085</v>
      </c>
      <c r="N255" s="78">
        <v>1710801.4188406933</v>
      </c>
      <c r="O255" s="78">
        <v>2348044.4031422548</v>
      </c>
      <c r="P255" s="78">
        <v>2981484.0000822549</v>
      </c>
      <c r="Q255" s="78">
        <v>3614923.5970222573</v>
      </c>
    </row>
    <row r="256" spans="3:25" ht="18.600000000000001" customHeight="1" x14ac:dyDescent="0.3">
      <c r="J256" s="86">
        <v>45</v>
      </c>
      <c r="K256" s="78">
        <v>2453260.1589869624</v>
      </c>
      <c r="L256" s="78">
        <v>3614494.5846479065</v>
      </c>
      <c r="M256" s="78">
        <v>4775729.0103088478</v>
      </c>
      <c r="N256" s="78">
        <v>5936963.4359697849</v>
      </c>
      <c r="O256" s="78">
        <v>7098197.8616307378</v>
      </c>
      <c r="P256" s="78">
        <v>8259432.2872916777</v>
      </c>
      <c r="Q256" s="78">
        <v>9420666.7129526213</v>
      </c>
    </row>
    <row r="257" spans="3:17" ht="18.600000000000001" customHeight="1" x14ac:dyDescent="0.3">
      <c r="J257" s="86">
        <v>50</v>
      </c>
      <c r="K257" s="78">
        <v>4212576.2547234371</v>
      </c>
      <c r="L257" s="78">
        <v>5725673.8995316774</v>
      </c>
      <c r="M257" s="78">
        <v>7238771.544339912</v>
      </c>
      <c r="N257" s="78">
        <v>8751869.1891481467</v>
      </c>
      <c r="O257" s="78">
        <v>10264966.833956389</v>
      </c>
      <c r="P257" s="78">
        <v>11778064.478764627</v>
      </c>
      <c r="Q257" s="78">
        <v>13291162.123572864</v>
      </c>
    </row>
    <row r="258" spans="3:17" ht="18.600000000000001" customHeight="1" x14ac:dyDescent="0.3">
      <c r="J258" s="86">
        <v>55</v>
      </c>
      <c r="K258" s="78">
        <v>5971892.3504599119</v>
      </c>
      <c r="L258" s="78">
        <v>7836853.2144154441</v>
      </c>
      <c r="M258" s="78">
        <v>9701814.0783709772</v>
      </c>
      <c r="N258" s="78">
        <v>11566774.942326505</v>
      </c>
      <c r="O258" s="78">
        <v>13431735.806282045</v>
      </c>
      <c r="P258" s="78">
        <v>15296696.670237575</v>
      </c>
      <c r="Q258" s="78">
        <v>17161657.53419311</v>
      </c>
    </row>
    <row r="259" spans="3:17" ht="18.600000000000001" customHeight="1" x14ac:dyDescent="0.3">
      <c r="J259" s="86">
        <v>62.5</v>
      </c>
      <c r="K259" s="78">
        <v>8610866.4940646235</v>
      </c>
      <c r="L259" s="78">
        <v>11003622.186741097</v>
      </c>
      <c r="M259" s="78">
        <v>13396377.87941757</v>
      </c>
      <c r="N259" s="78">
        <v>15789133.572094042</v>
      </c>
      <c r="O259" s="78">
        <v>18181889.264770523</v>
      </c>
      <c r="P259" s="78">
        <v>20574644.957446996</v>
      </c>
      <c r="Q259" s="78">
        <v>22967400.65012347</v>
      </c>
    </row>
    <row r="260" spans="3:17" ht="18.600000000000001" customHeight="1" x14ac:dyDescent="0.3">
      <c r="J260" s="86">
        <v>75</v>
      </c>
      <c r="K260" s="78">
        <v>13009156.733405808</v>
      </c>
      <c r="L260" s="78">
        <v>16281570.473950524</v>
      </c>
      <c r="M260" s="78">
        <v>19553984.214495234</v>
      </c>
      <c r="N260" s="78">
        <v>22826397.955039933</v>
      </c>
      <c r="O260" s="78">
        <v>26098811.695584651</v>
      </c>
      <c r="P260" s="78">
        <v>29371225.436129365</v>
      </c>
      <c r="Q260" s="78">
        <v>32643639.176674083</v>
      </c>
    </row>
    <row r="263" spans="3:17" ht="18.600000000000001" customHeight="1" x14ac:dyDescent="0.3">
      <c r="C263" s="74" t="s">
        <v>133</v>
      </c>
      <c r="J263" s="75" t="s">
        <v>105</v>
      </c>
      <c r="K263" s="157" t="s">
        <v>58</v>
      </c>
      <c r="L263" s="157"/>
      <c r="M263" s="157"/>
      <c r="N263" s="157"/>
      <c r="O263" s="157"/>
      <c r="P263" s="157"/>
      <c r="Q263" s="157"/>
    </row>
    <row r="264" spans="3:17" ht="18.600000000000001" customHeight="1" x14ac:dyDescent="0.3">
      <c r="J264" s="76">
        <f>post_tax_npv</f>
        <v>8751869.1891481467</v>
      </c>
      <c r="K264" s="80">
        <v>0.25</v>
      </c>
      <c r="L264" s="77">
        <v>0.27</v>
      </c>
      <c r="M264" s="77">
        <v>0.28999999999999998</v>
      </c>
      <c r="N264" s="77">
        <v>0.31</v>
      </c>
      <c r="O264" s="77">
        <v>0.33</v>
      </c>
      <c r="P264" s="77">
        <v>0.35</v>
      </c>
      <c r="Q264" s="77">
        <v>0.37</v>
      </c>
    </row>
    <row r="265" spans="3:17" ht="18.600000000000001" customHeight="1" x14ac:dyDescent="0.3">
      <c r="J265" s="92">
        <v>5</v>
      </c>
      <c r="K265" s="78">
        <f t="dataTable" ref="K265:Q271" dt2D="1" dtr="1" r1="E10" r2="E11" ca="1"/>
        <v>-981343.86135291844</v>
      </c>
      <c r="L265" s="78">
        <v>134736.73775834322</v>
      </c>
      <c r="M265" s="78">
        <v>1192813.4768414791</v>
      </c>
      <c r="N265" s="78">
        <v>2201929.2881674678</v>
      </c>
      <c r="O265" s="78">
        <v>3207252.7714454518</v>
      </c>
      <c r="P265" s="78">
        <v>4212576.2547234371</v>
      </c>
      <c r="Q265" s="78">
        <v>5217899.738001422</v>
      </c>
    </row>
    <row r="266" spans="3:17" ht="18.600000000000001" customHeight="1" x14ac:dyDescent="0.3">
      <c r="J266" s="93">
        <v>6</v>
      </c>
      <c r="K266" s="78">
        <v>-419453.76245144277</v>
      </c>
      <c r="L266" s="78">
        <v>881172.05667587277</v>
      </c>
      <c r="M266" s="78">
        <v>2106509.3597309291</v>
      </c>
      <c r="N266" s="78">
        <v>3312897.5396645088</v>
      </c>
      <c r="O266" s="78">
        <v>4519285.7195980931</v>
      </c>
      <c r="P266" s="78">
        <v>5725673.8995316774</v>
      </c>
      <c r="Q266" s="78">
        <v>6932062.0794652589</v>
      </c>
    </row>
    <row r="267" spans="3:17" ht="18.600000000000001" customHeight="1" x14ac:dyDescent="0.3">
      <c r="J267" s="93">
        <v>7</v>
      </c>
      <c r="K267" s="78">
        <v>127775.28348127694</v>
      </c>
      <c r="L267" s="78">
        <v>1606426.8022674127</v>
      </c>
      <c r="M267" s="78">
        <v>3016412.9145723744</v>
      </c>
      <c r="N267" s="78">
        <v>4423865.7911615539</v>
      </c>
      <c r="O267" s="78">
        <v>5831318.6677507358</v>
      </c>
      <c r="P267" s="78">
        <v>7238771.544339912</v>
      </c>
      <c r="Q267" s="78">
        <v>8646224.4209290929</v>
      </c>
    </row>
    <row r="268" spans="3:17" ht="18.600000000000001" customHeight="1" x14ac:dyDescent="0.3">
      <c r="J268" s="93">
        <v>8</v>
      </c>
      <c r="K268" s="78">
        <v>664762.52223120467</v>
      </c>
      <c r="L268" s="78">
        <v>2317798.8961690413</v>
      </c>
      <c r="M268" s="78">
        <v>3926316.4694138179</v>
      </c>
      <c r="N268" s="78">
        <v>5534834.0426585972</v>
      </c>
      <c r="O268" s="78">
        <v>7143351.6159033692</v>
      </c>
      <c r="P268" s="78">
        <v>8751869.1891481467</v>
      </c>
      <c r="Q268" s="78">
        <v>10360386.762392927</v>
      </c>
    </row>
    <row r="269" spans="3:17" ht="18.600000000000001" customHeight="1" x14ac:dyDescent="0.3">
      <c r="J269" s="93">
        <v>9</v>
      </c>
      <c r="K269" s="78">
        <v>1192868.062248244</v>
      </c>
      <c r="L269" s="78">
        <v>3026637.7543548932</v>
      </c>
      <c r="M269" s="78">
        <v>4836220.0242552655</v>
      </c>
      <c r="N269" s="78">
        <v>6645802.2941556377</v>
      </c>
      <c r="O269" s="78">
        <v>8455384.5640560146</v>
      </c>
      <c r="P269" s="78">
        <v>10264966.833956389</v>
      </c>
      <c r="Q269" s="78">
        <v>12074549.103856763</v>
      </c>
    </row>
    <row r="270" spans="3:17" ht="18.600000000000001" customHeight="1" x14ac:dyDescent="0.3">
      <c r="J270" s="93">
        <v>10</v>
      </c>
      <c r="K270" s="78">
        <v>1713668.0372753558</v>
      </c>
      <c r="L270" s="78">
        <v>3735476.6125407452</v>
      </c>
      <c r="M270" s="78">
        <v>5746123.5790967084</v>
      </c>
      <c r="N270" s="78">
        <v>7756770.5456526829</v>
      </c>
      <c r="O270" s="78">
        <v>9767417.5122086573</v>
      </c>
      <c r="P270" s="78">
        <v>11778064.478764627</v>
      </c>
      <c r="Q270" s="78">
        <v>13788711.445320599</v>
      </c>
    </row>
    <row r="271" spans="3:17" ht="18.600000000000001" customHeight="1" x14ac:dyDescent="0.3">
      <c r="J271" s="93">
        <v>11</v>
      </c>
      <c r="K271" s="78">
        <v>2228789.360839915</v>
      </c>
      <c r="L271" s="78">
        <v>4444315.4707266018</v>
      </c>
      <c r="M271" s="78">
        <v>6656027.1339381635</v>
      </c>
      <c r="N271" s="78">
        <v>8867738.797149729</v>
      </c>
      <c r="O271" s="78">
        <v>11079450.460361298</v>
      </c>
      <c r="P271" s="78">
        <v>13291162.123572864</v>
      </c>
      <c r="Q271" s="78">
        <v>15502873.786784433</v>
      </c>
    </row>
    <row r="274" spans="3:17" ht="18.600000000000001" customHeight="1" x14ac:dyDescent="0.3">
      <c r="C274" s="74" t="s">
        <v>134</v>
      </c>
      <c r="J274" s="75" t="s">
        <v>126</v>
      </c>
      <c r="K274" s="157" t="s">
        <v>103</v>
      </c>
      <c r="L274" s="157"/>
      <c r="M274" s="157"/>
      <c r="N274" s="157"/>
      <c r="O274" s="157"/>
      <c r="P274" s="157"/>
      <c r="Q274" s="157"/>
    </row>
    <row r="275" spans="3:17" ht="18.600000000000001" customHeight="1" x14ac:dyDescent="0.3">
      <c r="J275" s="76">
        <f>post_tax_npv</f>
        <v>8751869.1891481467</v>
      </c>
      <c r="K275" s="81">
        <v>3</v>
      </c>
      <c r="L275" s="82">
        <v>4</v>
      </c>
      <c r="M275" s="82">
        <v>5</v>
      </c>
      <c r="N275" s="82">
        <v>6</v>
      </c>
      <c r="O275" s="82">
        <v>7</v>
      </c>
      <c r="P275" s="82">
        <v>8</v>
      </c>
      <c r="Q275" s="82">
        <v>9</v>
      </c>
    </row>
    <row r="276" spans="3:17" ht="18.600000000000001" customHeight="1" x14ac:dyDescent="0.3">
      <c r="J276" s="85">
        <v>25</v>
      </c>
      <c r="K276" s="78">
        <f t="dataTable" ref="K276:Q282" dt2D="1" dtr="1" r1="E14" r2="E38" ca="1"/>
        <v>-6093924.1302413587</v>
      </c>
      <c r="L276" s="78">
        <v>-6406488.8035351932</v>
      </c>
      <c r="M276" s="78">
        <v>-6704582.8901024619</v>
      </c>
      <c r="N276" s="78">
        <v>-6988876.3245138396</v>
      </c>
      <c r="O276" s="78">
        <v>-6990896.5392803103</v>
      </c>
      <c r="P276" s="78">
        <v>-6992823.2255853666</v>
      </c>
      <c r="Q276" s="78">
        <v>-7129216.4567355318</v>
      </c>
    </row>
    <row r="277" spans="3:17" ht="18.600000000000001" customHeight="1" x14ac:dyDescent="0.3">
      <c r="J277" s="86">
        <v>37.5</v>
      </c>
      <c r="K277" s="78">
        <v>1710801.4188406933</v>
      </c>
      <c r="L277" s="78">
        <v>995029.53760007932</v>
      </c>
      <c r="M277" s="78">
        <v>312138.6518797524</v>
      </c>
      <c r="N277" s="78">
        <v>-336015.88446542085</v>
      </c>
      <c r="O277" s="78">
        <v>-682161.93663929473</v>
      </c>
      <c r="P277" s="78">
        <v>-1009606.9279342324</v>
      </c>
      <c r="Q277" s="78">
        <v>-1453970.5974676078</v>
      </c>
    </row>
    <row r="278" spans="3:17" ht="18.600000000000001" customHeight="1" x14ac:dyDescent="0.3">
      <c r="J278" s="86">
        <v>45</v>
      </c>
      <c r="K278" s="78">
        <v>5936963.4359697849</v>
      </c>
      <c r="L278" s="78">
        <v>5021908.601174674</v>
      </c>
      <c r="M278" s="78">
        <v>4152588.1291777464</v>
      </c>
      <c r="N278" s="78">
        <v>3326635.0059206327</v>
      </c>
      <c r="O278" s="78">
        <v>2810921.7828955483</v>
      </c>
      <c r="P278" s="78">
        <v>2321759.9527332578</v>
      </c>
      <c r="Q278" s="78">
        <v>1723166.3350208297</v>
      </c>
    </row>
    <row r="279" spans="3:17" ht="18.600000000000001" customHeight="1" x14ac:dyDescent="0.3">
      <c r="J279" s="86">
        <v>50</v>
      </c>
      <c r="K279" s="78">
        <v>8751869.1891481467</v>
      </c>
      <c r="L279" s="78">
        <v>7706494.6435577394</v>
      </c>
      <c r="M279" s="78">
        <v>6712887.7807097435</v>
      </c>
      <c r="N279" s="78">
        <v>5768402.2661779998</v>
      </c>
      <c r="O279" s="78">
        <v>5139644.2625854444</v>
      </c>
      <c r="P279" s="78">
        <v>4542671.2065115813</v>
      </c>
      <c r="Q279" s="78">
        <v>3841257.6233464531</v>
      </c>
    </row>
    <row r="280" spans="3:17" ht="18.600000000000001" customHeight="1" x14ac:dyDescent="0.3">
      <c r="J280" s="86">
        <v>55</v>
      </c>
      <c r="K280" s="78">
        <v>11566774.942326505</v>
      </c>
      <c r="L280" s="78">
        <v>10391080.685940804</v>
      </c>
      <c r="M280" s="78">
        <v>9273187.4322417378</v>
      </c>
      <c r="N280" s="78">
        <v>8210169.5264353678</v>
      </c>
      <c r="O280" s="78">
        <v>7468366.7422753405</v>
      </c>
      <c r="P280" s="78">
        <v>6763582.4602899114</v>
      </c>
      <c r="Q280" s="78">
        <v>5959348.9116720837</v>
      </c>
    </row>
    <row r="281" spans="3:17" ht="18.600000000000001" customHeight="1" x14ac:dyDescent="0.3">
      <c r="J281" s="86">
        <v>62.5</v>
      </c>
      <c r="K281" s="78">
        <v>15789133.572094042</v>
      </c>
      <c r="L281" s="78">
        <v>14417959.749515403</v>
      </c>
      <c r="M281" s="78">
        <v>13113636.909539733</v>
      </c>
      <c r="N281" s="78">
        <v>11872820.416821415</v>
      </c>
      <c r="O281" s="78">
        <v>10961450.461810183</v>
      </c>
      <c r="P281" s="78">
        <v>10094949.340957401</v>
      </c>
      <c r="Q281" s="78">
        <v>9136485.8441605233</v>
      </c>
    </row>
    <row r="282" spans="3:17" ht="18.600000000000001" customHeight="1" x14ac:dyDescent="0.3">
      <c r="J282" s="86">
        <v>75</v>
      </c>
      <c r="K282" s="78">
        <v>22826397.955039933</v>
      </c>
      <c r="L282" s="78">
        <v>21129424.855473056</v>
      </c>
      <c r="M282" s="78">
        <v>19514386.038369723</v>
      </c>
      <c r="N282" s="78">
        <v>17977238.567464832</v>
      </c>
      <c r="O282" s="78">
        <v>16783256.661034919</v>
      </c>
      <c r="P282" s="78">
        <v>15647227.47540321</v>
      </c>
      <c r="Q282" s="78">
        <v>14431714.064974582</v>
      </c>
    </row>
  </sheetData>
  <mergeCells count="10">
    <mergeCell ref="B2:R4"/>
    <mergeCell ref="K252:Q252"/>
    <mergeCell ref="K263:Q263"/>
    <mergeCell ref="K274:Q274"/>
    <mergeCell ref="B204:R205"/>
    <mergeCell ref="B56:R57"/>
    <mergeCell ref="K208:Q208"/>
    <mergeCell ref="K219:Q219"/>
    <mergeCell ref="K230:Q230"/>
    <mergeCell ref="K241:Q241"/>
  </mergeCells>
  <conditionalFormatting sqref="D62:D68 D80:D86 D98:D104 D116:D122 D134:D140 D152:D158 D170:D176 D188:D194">
    <cfRule type="colorScale" priority="12">
      <colorScale>
        <cfvo type="min"/>
        <cfvo type="num" val="0"/>
        <cfvo type="max"/>
        <color rgb="FFF8696B"/>
        <color rgb="FFFCFCFF"/>
        <color rgb="FF63BE7B"/>
      </colorScale>
    </cfRule>
  </conditionalFormatting>
  <conditionalFormatting sqref="K210:Q216 K221:Q227 K232:Q238 K243:Q249">
    <cfRule type="colorScale" priority="11">
      <colorScale>
        <cfvo type="num" val="-1E-3"/>
        <cfvo type="num" val="0"/>
        <cfvo type="percentile" val="75"/>
        <color rgb="FFF8696B"/>
        <color theme="9" tint="0.79998168889431442"/>
        <color rgb="FF63BE7B"/>
      </colorScale>
    </cfRule>
  </conditionalFormatting>
  <conditionalFormatting sqref="K254:Q260">
    <cfRule type="colorScale" priority="8">
      <colorScale>
        <cfvo type="num" val="-1E-3"/>
        <cfvo type="num" val="0"/>
        <cfvo type="percentile" val="75"/>
        <color rgb="FFF8696B"/>
        <color theme="9" tint="0.79998168889431442"/>
        <color rgb="FF63BE7B"/>
      </colorScale>
    </cfRule>
  </conditionalFormatting>
  <conditionalFormatting sqref="K265:Q271">
    <cfRule type="colorScale" priority="4">
      <colorScale>
        <cfvo type="num" val="-1E-3"/>
        <cfvo type="num" val="0"/>
        <cfvo type="percentile" val="75"/>
        <color rgb="FFF8696B"/>
        <color theme="9" tint="0.79998168889431442"/>
        <color rgb="FF63BE7B"/>
      </colorScale>
    </cfRule>
  </conditionalFormatting>
  <conditionalFormatting sqref="K276:Q282">
    <cfRule type="colorScale" priority="2">
      <colorScale>
        <cfvo type="num" val="-1E-3"/>
        <cfvo type="num" val="0"/>
        <cfvo type="percentile" val="75"/>
        <color rgb="FFF8696B"/>
        <color theme="9" tint="0.79998168889431442"/>
        <color rgb="FF63BE7B"/>
      </colorScale>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cellIs" priority="7" operator="equal" id="{E9BC16F3-3E61-4FF5-B036-F6FEBE4BB5DA}">
            <xm:f>Calculations!$D$51</xm:f>
            <x14:dxf>
              <fill>
                <patternFill>
                  <bgColor theme="0"/>
                </patternFill>
              </fill>
            </x14:dxf>
          </x14:cfRule>
          <xm:sqref>K254:Q260</xm:sqref>
        </x14:conditionalFormatting>
        <x14:conditionalFormatting xmlns:xm="http://schemas.microsoft.com/office/excel/2006/main">
          <x14:cfRule type="cellIs" priority="3" operator="equal" id="{08EF3DF0-8C47-40CC-931B-F34464CF3117}">
            <xm:f>Calculations!$D$51</xm:f>
            <x14:dxf>
              <fill>
                <patternFill>
                  <bgColor theme="0"/>
                </patternFill>
              </fill>
            </x14:dxf>
          </x14:cfRule>
          <xm:sqref>K265:Q271</xm:sqref>
        </x14:conditionalFormatting>
        <x14:conditionalFormatting xmlns:xm="http://schemas.microsoft.com/office/excel/2006/main">
          <x14:cfRule type="cellIs" priority="1" operator="equal" id="{979C1AC6-080A-400C-9CA0-8B0F4938FA78}">
            <xm:f>Calculations!$D$51</xm:f>
            <x14:dxf>
              <fill>
                <patternFill>
                  <bgColor theme="0"/>
                </patternFill>
              </fill>
            </x14:dxf>
          </x14:cfRule>
          <xm:sqref>K276:Q282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2CA60-1480-4139-9E05-DB9E7C42243D}">
  <dimension ref="B2:AG120"/>
  <sheetViews>
    <sheetView topLeftCell="A41" zoomScale="108" zoomScaleNormal="75" workbookViewId="0">
      <selection activeCell="H55" sqref="H55"/>
    </sheetView>
  </sheetViews>
  <sheetFormatPr defaultRowHeight="18.600000000000001" customHeight="1" x14ac:dyDescent="0.3"/>
  <cols>
    <col min="1" max="1" width="8.88671875" style="38"/>
    <col min="2" max="2" width="65.77734375" style="38" bestFit="1" customWidth="1"/>
    <col min="3" max="3" width="13.21875" style="41" bestFit="1" customWidth="1"/>
    <col min="4" max="5" width="9" style="41" bestFit="1" customWidth="1"/>
    <col min="6" max="7" width="10" style="41" bestFit="1" customWidth="1"/>
    <col min="8" max="10" width="9" style="41" bestFit="1" customWidth="1"/>
    <col min="11" max="11" width="8.5546875" style="41" bestFit="1" customWidth="1"/>
    <col min="12" max="18" width="7.77734375" style="41" bestFit="1" customWidth="1"/>
    <col min="19" max="19" width="8.77734375" style="41" bestFit="1" customWidth="1"/>
    <col min="20" max="20" width="8.33203125" style="41" bestFit="1" customWidth="1"/>
    <col min="21" max="27" width="8.77734375" style="41" bestFit="1" customWidth="1"/>
    <col min="28" max="29" width="9" style="41" bestFit="1" customWidth="1"/>
    <col min="30" max="32" width="8.77734375" style="41" bestFit="1" customWidth="1"/>
    <col min="33" max="33" width="13.5546875" style="38" bestFit="1" customWidth="1"/>
    <col min="34" max="16384" width="8.88671875" style="38"/>
  </cols>
  <sheetData>
    <row r="2" spans="2:32" ht="18.600000000000001" customHeight="1" x14ac:dyDescent="0.3">
      <c r="B2" s="159" t="s">
        <v>68</v>
      </c>
      <c r="C2" s="159"/>
      <c r="D2" s="159"/>
      <c r="E2" s="159"/>
      <c r="F2" s="159"/>
      <c r="G2" s="159"/>
      <c r="H2" s="159"/>
      <c r="I2" s="159"/>
      <c r="J2" s="159"/>
      <c r="K2" s="159"/>
      <c r="L2" s="159"/>
      <c r="M2" s="159"/>
      <c r="N2" s="159"/>
      <c r="O2" s="159"/>
      <c r="P2" s="159"/>
      <c r="Q2" s="159"/>
      <c r="R2" s="159"/>
      <c r="S2" s="159"/>
      <c r="T2" s="159"/>
      <c r="U2" s="159"/>
      <c r="V2" s="159"/>
      <c r="W2" s="159"/>
      <c r="X2" s="159"/>
      <c r="Y2" s="159"/>
      <c r="Z2" s="159"/>
      <c r="AA2" s="159"/>
      <c r="AB2" s="159"/>
      <c r="AC2" s="159"/>
      <c r="AD2" s="159"/>
      <c r="AE2" s="159"/>
      <c r="AF2" s="159"/>
    </row>
    <row r="3" spans="2:32" ht="18.600000000000001" customHeight="1" x14ac:dyDescent="0.3">
      <c r="B3" s="159"/>
      <c r="C3" s="159"/>
      <c r="D3" s="159"/>
      <c r="E3" s="159"/>
      <c r="F3" s="159"/>
      <c r="G3" s="159"/>
      <c r="H3" s="159"/>
      <c r="I3" s="159"/>
      <c r="J3" s="159"/>
      <c r="K3" s="159"/>
      <c r="L3" s="159"/>
      <c r="M3" s="159"/>
      <c r="N3" s="159"/>
      <c r="O3" s="159"/>
      <c r="P3" s="159"/>
      <c r="Q3" s="159"/>
      <c r="R3" s="159"/>
      <c r="S3" s="159"/>
      <c r="T3" s="159"/>
      <c r="U3" s="159"/>
      <c r="V3" s="159"/>
      <c r="W3" s="159"/>
      <c r="X3" s="159"/>
      <c r="Y3" s="159"/>
      <c r="Z3" s="159"/>
      <c r="AA3" s="159"/>
      <c r="AB3" s="159"/>
      <c r="AC3" s="159"/>
      <c r="AD3" s="159"/>
      <c r="AE3" s="159"/>
      <c r="AF3" s="159"/>
    </row>
    <row r="4" spans="2:32" ht="18.600000000000001" customHeight="1" x14ac:dyDescent="0.3">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row>
    <row r="5" spans="2:32" ht="18.600000000000001" customHeight="1" x14ac:dyDescent="0.3">
      <c r="B5" s="39"/>
      <c r="C5" s="40"/>
    </row>
    <row r="6" spans="2:32" ht="18.600000000000001" customHeight="1" x14ac:dyDescent="0.3">
      <c r="B6" s="42" t="s">
        <v>26</v>
      </c>
      <c r="C6" s="43"/>
      <c r="D6" s="43">
        <v>0</v>
      </c>
      <c r="E6" s="43">
        <v>1</v>
      </c>
      <c r="F6" s="43">
        <v>2</v>
      </c>
      <c r="G6" s="43">
        <v>3</v>
      </c>
      <c r="H6" s="43">
        <v>4</v>
      </c>
      <c r="I6" s="43">
        <v>5</v>
      </c>
      <c r="J6" s="43">
        <v>6</v>
      </c>
      <c r="K6" s="43">
        <v>7</v>
      </c>
      <c r="L6" s="43">
        <v>8</v>
      </c>
      <c r="M6" s="43">
        <v>9</v>
      </c>
      <c r="N6" s="43">
        <v>10</v>
      </c>
      <c r="O6" s="43">
        <v>11</v>
      </c>
      <c r="P6" s="43">
        <v>12</v>
      </c>
      <c r="Q6" s="43">
        <v>13</v>
      </c>
      <c r="R6" s="43">
        <v>14</v>
      </c>
      <c r="S6" s="43">
        <v>15</v>
      </c>
      <c r="T6" s="43">
        <v>16</v>
      </c>
      <c r="U6" s="43">
        <v>17</v>
      </c>
      <c r="V6" s="43">
        <v>18</v>
      </c>
      <c r="W6" s="43">
        <v>19</v>
      </c>
      <c r="X6" s="43">
        <v>20</v>
      </c>
      <c r="Y6" s="43">
        <v>21</v>
      </c>
      <c r="Z6" s="43">
        <v>22</v>
      </c>
      <c r="AA6" s="43">
        <v>23</v>
      </c>
      <c r="AB6" s="43">
        <v>24</v>
      </c>
      <c r="AC6" s="43">
        <v>25</v>
      </c>
      <c r="AD6" s="43">
        <v>26</v>
      </c>
      <c r="AE6" s="43">
        <v>27</v>
      </c>
      <c r="AF6" s="43">
        <v>28</v>
      </c>
    </row>
    <row r="8" spans="2:32" ht="18.600000000000001" customHeight="1" thickBot="1" x14ac:dyDescent="0.35">
      <c r="B8" s="44" t="s">
        <v>66</v>
      </c>
      <c r="C8" s="45" t="s">
        <v>69</v>
      </c>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row>
    <row r="9" spans="2:32" ht="18.600000000000001" customHeight="1" thickTop="1" x14ac:dyDescent="0.3">
      <c r="B9" s="38" t="s">
        <v>29</v>
      </c>
      <c r="C9" s="41" t="str">
        <f>IF(SUM(CapEx_Perc_Years)=100%, "✓", "✗")</f>
        <v>✓</v>
      </c>
      <c r="D9" s="47">
        <f>percentage_of_capital_costs_in_year_zero</f>
        <v>0.5</v>
      </c>
      <c r="E9" s="47">
        <f>percentage_of_capital_costs_in_year_one</f>
        <v>0.25</v>
      </c>
      <c r="F9" s="47">
        <f>percentage_of_capital_costs_in_year_two</f>
        <v>0.25</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row>
    <row r="10" spans="2:32" ht="18.600000000000001" customHeight="1" x14ac:dyDescent="0.3">
      <c r="B10" s="38" t="s">
        <v>30</v>
      </c>
      <c r="C10" s="41" t="str">
        <f>IF(SUM(OpEx_Perc_Years)=100%, "✓", "✗")</f>
        <v>✓</v>
      </c>
      <c r="D10" s="47">
        <f t="shared" ref="D10:AF10" si="0">IF(Year&lt;years_before_turbines_start_operating, 0, IF(Year&lt;(years_before_turbines_start_operating+expected_useful_life_of_turbine),1/expected_useful_life_of_turbine, 0))</f>
        <v>0</v>
      </c>
      <c r="E10" s="47">
        <f t="shared" si="0"/>
        <v>0</v>
      </c>
      <c r="F10" s="47">
        <f t="shared" si="0"/>
        <v>0</v>
      </c>
      <c r="G10" s="47">
        <f t="shared" si="0"/>
        <v>0.05</v>
      </c>
      <c r="H10" s="47">
        <f t="shared" si="0"/>
        <v>0.05</v>
      </c>
      <c r="I10" s="47">
        <f t="shared" si="0"/>
        <v>0.05</v>
      </c>
      <c r="J10" s="47">
        <f t="shared" si="0"/>
        <v>0.05</v>
      </c>
      <c r="K10" s="47">
        <f t="shared" si="0"/>
        <v>0.05</v>
      </c>
      <c r="L10" s="47">
        <f t="shared" si="0"/>
        <v>0.05</v>
      </c>
      <c r="M10" s="47">
        <f t="shared" si="0"/>
        <v>0.05</v>
      </c>
      <c r="N10" s="47">
        <f t="shared" si="0"/>
        <v>0.05</v>
      </c>
      <c r="O10" s="47">
        <f t="shared" si="0"/>
        <v>0.05</v>
      </c>
      <c r="P10" s="47">
        <f t="shared" si="0"/>
        <v>0.05</v>
      </c>
      <c r="Q10" s="47">
        <f t="shared" si="0"/>
        <v>0.05</v>
      </c>
      <c r="R10" s="47">
        <f t="shared" si="0"/>
        <v>0.05</v>
      </c>
      <c r="S10" s="47">
        <f t="shared" si="0"/>
        <v>0.05</v>
      </c>
      <c r="T10" s="47">
        <f t="shared" si="0"/>
        <v>0.05</v>
      </c>
      <c r="U10" s="47">
        <f t="shared" si="0"/>
        <v>0.05</v>
      </c>
      <c r="V10" s="47">
        <f t="shared" si="0"/>
        <v>0.05</v>
      </c>
      <c r="W10" s="47">
        <f t="shared" si="0"/>
        <v>0.05</v>
      </c>
      <c r="X10" s="47">
        <f t="shared" si="0"/>
        <v>0.05</v>
      </c>
      <c r="Y10" s="47">
        <f t="shared" si="0"/>
        <v>0.05</v>
      </c>
      <c r="Z10" s="47">
        <f t="shared" si="0"/>
        <v>0.05</v>
      </c>
      <c r="AA10" s="47">
        <f t="shared" si="0"/>
        <v>0</v>
      </c>
      <c r="AB10" s="47">
        <f t="shared" si="0"/>
        <v>0</v>
      </c>
      <c r="AC10" s="47">
        <f t="shared" si="0"/>
        <v>0</v>
      </c>
      <c r="AD10" s="47">
        <f t="shared" si="0"/>
        <v>0</v>
      </c>
      <c r="AE10" s="47">
        <f t="shared" si="0"/>
        <v>0</v>
      </c>
      <c r="AF10" s="47">
        <f t="shared" si="0"/>
        <v>0</v>
      </c>
    </row>
    <row r="11" spans="2:32" ht="18.600000000000001" customHeight="1" x14ac:dyDescent="0.3">
      <c r="B11" s="38" t="s">
        <v>67</v>
      </c>
      <c r="C11" s="41" t="str">
        <f>IF(SUM(Decomm_Perc_Years)=100%, "✓", "✗")</f>
        <v>✓</v>
      </c>
      <c r="D11" s="47">
        <f t="shared" ref="D11:AF11" si="1">IF(Year&lt;(years_before_turbines_start_operating+expected_useful_life_of_turbine),0,
IF(Year&gt;=(years_before_turbines_start_operating+expected_useful_life_of_turbine+number_of_years_of_decommissioning),0,
IF(Year&lt;(years_before_turbines_start_operating+expected_useful_life_of_turbine+1),percentage_of_decommissioning_costs_in_year_n_1,
IF(Year&lt;(years_before_turbines_start_operating+expected_useful_life_of_turbine+2),percentage_of_decommissioning_costs_in_year_n_2,
percentage_of_decommissioning_costs_in_year_n_3))))</f>
        <v>0</v>
      </c>
      <c r="E11" s="47">
        <f t="shared" si="1"/>
        <v>0</v>
      </c>
      <c r="F11" s="47">
        <f t="shared" si="1"/>
        <v>0</v>
      </c>
      <c r="G11" s="47">
        <f t="shared" si="1"/>
        <v>0</v>
      </c>
      <c r="H11" s="47">
        <f t="shared" si="1"/>
        <v>0</v>
      </c>
      <c r="I11" s="47">
        <f t="shared" si="1"/>
        <v>0</v>
      </c>
      <c r="J11" s="47">
        <f t="shared" si="1"/>
        <v>0</v>
      </c>
      <c r="K11" s="47">
        <f t="shared" si="1"/>
        <v>0</v>
      </c>
      <c r="L11" s="47">
        <f t="shared" si="1"/>
        <v>0</v>
      </c>
      <c r="M11" s="47">
        <f t="shared" si="1"/>
        <v>0</v>
      </c>
      <c r="N11" s="47">
        <f t="shared" si="1"/>
        <v>0</v>
      </c>
      <c r="O11" s="47">
        <f t="shared" si="1"/>
        <v>0</v>
      </c>
      <c r="P11" s="47">
        <f t="shared" si="1"/>
        <v>0</v>
      </c>
      <c r="Q11" s="47">
        <f t="shared" si="1"/>
        <v>0</v>
      </c>
      <c r="R11" s="47">
        <f t="shared" si="1"/>
        <v>0</v>
      </c>
      <c r="S11" s="47">
        <f t="shared" si="1"/>
        <v>0</v>
      </c>
      <c r="T11" s="47">
        <f t="shared" si="1"/>
        <v>0</v>
      </c>
      <c r="U11" s="47">
        <f t="shared" si="1"/>
        <v>0</v>
      </c>
      <c r="V11" s="47">
        <f t="shared" si="1"/>
        <v>0</v>
      </c>
      <c r="W11" s="47">
        <f t="shared" si="1"/>
        <v>0</v>
      </c>
      <c r="X11" s="47">
        <f t="shared" si="1"/>
        <v>0</v>
      </c>
      <c r="Y11" s="47">
        <f t="shared" si="1"/>
        <v>0</v>
      </c>
      <c r="Z11" s="47">
        <f t="shared" si="1"/>
        <v>0</v>
      </c>
      <c r="AA11" s="47">
        <f t="shared" si="1"/>
        <v>0.2</v>
      </c>
      <c r="AB11" s="47">
        <f t="shared" si="1"/>
        <v>0.4</v>
      </c>
      <c r="AC11" s="47">
        <f t="shared" si="1"/>
        <v>0.4</v>
      </c>
      <c r="AD11" s="47">
        <f t="shared" si="1"/>
        <v>0</v>
      </c>
      <c r="AE11" s="47">
        <f t="shared" si="1"/>
        <v>0</v>
      </c>
      <c r="AF11" s="47">
        <f t="shared" si="1"/>
        <v>0</v>
      </c>
    </row>
    <row r="13" spans="2:32" ht="18.600000000000001" customHeight="1" thickBot="1" x14ac:dyDescent="0.35">
      <c r="B13" s="44" t="s">
        <v>93</v>
      </c>
      <c r="C13" s="48"/>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row>
    <row r="14" spans="2:32" ht="18.600000000000001" customHeight="1" thickTop="1" x14ac:dyDescent="0.3">
      <c r="B14" s="38" t="s">
        <v>29</v>
      </c>
      <c r="D14" s="49">
        <f t="shared" ref="D14:AF14" si="2">IF(CapEx_Perc_Years=0,0,(total_capital_costs*CapEx_Perc_Years)*((one_plus_inflation_rate)^Year))</f>
        <v>6650000</v>
      </c>
      <c r="E14" s="49">
        <f t="shared" si="2"/>
        <v>3424750</v>
      </c>
      <c r="F14" s="49">
        <f t="shared" si="2"/>
        <v>3527492.5</v>
      </c>
      <c r="G14" s="49">
        <f t="shared" si="2"/>
        <v>0</v>
      </c>
      <c r="H14" s="49">
        <f t="shared" si="2"/>
        <v>0</v>
      </c>
      <c r="I14" s="49">
        <f t="shared" si="2"/>
        <v>0</v>
      </c>
      <c r="J14" s="49">
        <f t="shared" si="2"/>
        <v>0</v>
      </c>
      <c r="K14" s="49">
        <f t="shared" si="2"/>
        <v>0</v>
      </c>
      <c r="L14" s="49">
        <f t="shared" si="2"/>
        <v>0</v>
      </c>
      <c r="M14" s="49">
        <f t="shared" si="2"/>
        <v>0</v>
      </c>
      <c r="N14" s="49">
        <f t="shared" si="2"/>
        <v>0</v>
      </c>
      <c r="O14" s="49">
        <f t="shared" si="2"/>
        <v>0</v>
      </c>
      <c r="P14" s="49">
        <f t="shared" si="2"/>
        <v>0</v>
      </c>
      <c r="Q14" s="49">
        <f t="shared" si="2"/>
        <v>0</v>
      </c>
      <c r="R14" s="49">
        <f t="shared" si="2"/>
        <v>0</v>
      </c>
      <c r="S14" s="49">
        <f t="shared" si="2"/>
        <v>0</v>
      </c>
      <c r="T14" s="49">
        <f t="shared" si="2"/>
        <v>0</v>
      </c>
      <c r="U14" s="49">
        <f t="shared" si="2"/>
        <v>0</v>
      </c>
      <c r="V14" s="49">
        <f t="shared" si="2"/>
        <v>0</v>
      </c>
      <c r="W14" s="49">
        <f t="shared" si="2"/>
        <v>0</v>
      </c>
      <c r="X14" s="49">
        <f t="shared" si="2"/>
        <v>0</v>
      </c>
      <c r="Y14" s="49">
        <f t="shared" si="2"/>
        <v>0</v>
      </c>
      <c r="Z14" s="49">
        <f t="shared" si="2"/>
        <v>0</v>
      </c>
      <c r="AA14" s="49">
        <f t="shared" si="2"/>
        <v>0</v>
      </c>
      <c r="AB14" s="49">
        <f t="shared" si="2"/>
        <v>0</v>
      </c>
      <c r="AC14" s="49">
        <f t="shared" si="2"/>
        <v>0</v>
      </c>
      <c r="AD14" s="49">
        <f t="shared" si="2"/>
        <v>0</v>
      </c>
      <c r="AE14" s="49">
        <f t="shared" si="2"/>
        <v>0</v>
      </c>
      <c r="AF14" s="49">
        <f t="shared" si="2"/>
        <v>0</v>
      </c>
    </row>
    <row r="15" spans="2:32" s="50" customFormat="1" ht="18.600000000000001" customHeight="1" x14ac:dyDescent="0.3">
      <c r="B15" s="50" t="s">
        <v>30</v>
      </c>
      <c r="C15" s="51"/>
      <c r="D15" s="49">
        <f t="shared" ref="D15:AF15" si="3">IF(OpEx_Perc_Years=0,0,OpEx_Perc_Years*(total_opex_per_year*expected_useful_life_of_turbine)*((one_plus_inflation_rate)^Year))</f>
        <v>0</v>
      </c>
      <c r="E15" s="49">
        <f t="shared" si="3"/>
        <v>0</v>
      </c>
      <c r="F15" s="49">
        <f t="shared" si="3"/>
        <v>0</v>
      </c>
      <c r="G15" s="49">
        <f t="shared" si="3"/>
        <v>874181.6</v>
      </c>
      <c r="H15" s="49">
        <f t="shared" si="3"/>
        <v>900407.04799999995</v>
      </c>
      <c r="I15" s="49">
        <f t="shared" si="3"/>
        <v>927419.25943999982</v>
      </c>
      <c r="J15" s="49">
        <f t="shared" si="3"/>
        <v>955241.83722319989</v>
      </c>
      <c r="K15" s="49">
        <f t="shared" si="3"/>
        <v>983899.09233989601</v>
      </c>
      <c r="L15" s="49">
        <f t="shared" si="3"/>
        <v>1013416.0651100927</v>
      </c>
      <c r="M15" s="49">
        <f t="shared" si="3"/>
        <v>1043818.5470633956</v>
      </c>
      <c r="N15" s="49">
        <f t="shared" si="3"/>
        <v>1075133.1034752973</v>
      </c>
      <c r="O15" s="49">
        <f t="shared" si="3"/>
        <v>1107387.0965795564</v>
      </c>
      <c r="P15" s="49">
        <f t="shared" si="3"/>
        <v>1140608.7094769429</v>
      </c>
      <c r="Q15" s="49">
        <f t="shared" si="3"/>
        <v>1174826.9707612512</v>
      </c>
      <c r="R15" s="49">
        <f t="shared" si="3"/>
        <v>1210071.7798840888</v>
      </c>
      <c r="S15" s="49">
        <f t="shared" si="3"/>
        <v>1246373.9332806116</v>
      </c>
      <c r="T15" s="49">
        <f t="shared" si="3"/>
        <v>1283765.1512790297</v>
      </c>
      <c r="U15" s="49">
        <f t="shared" si="3"/>
        <v>1322278.1058174006</v>
      </c>
      <c r="V15" s="49">
        <f t="shared" si="3"/>
        <v>1361946.4489919227</v>
      </c>
      <c r="W15" s="49">
        <f t="shared" si="3"/>
        <v>1402804.8424616803</v>
      </c>
      <c r="X15" s="49">
        <f t="shared" si="3"/>
        <v>1444888.9877355306</v>
      </c>
      <c r="Y15" s="49">
        <f t="shared" si="3"/>
        <v>1488235.6573675964</v>
      </c>
      <c r="Z15" s="49">
        <f t="shared" si="3"/>
        <v>1532882.7270886244</v>
      </c>
      <c r="AA15" s="49">
        <f t="shared" si="3"/>
        <v>0</v>
      </c>
      <c r="AB15" s="49">
        <f t="shared" si="3"/>
        <v>0</v>
      </c>
      <c r="AC15" s="49">
        <f t="shared" si="3"/>
        <v>0</v>
      </c>
      <c r="AD15" s="49">
        <f t="shared" si="3"/>
        <v>0</v>
      </c>
      <c r="AE15" s="49">
        <f t="shared" si="3"/>
        <v>0</v>
      </c>
      <c r="AF15" s="49">
        <f t="shared" si="3"/>
        <v>0</v>
      </c>
    </row>
    <row r="16" spans="2:32" s="50" customFormat="1" ht="18.600000000000001" customHeight="1" x14ac:dyDescent="0.3">
      <c r="B16" s="52" t="s">
        <v>72</v>
      </c>
      <c r="C16" s="53"/>
      <c r="D16" s="49">
        <f t="shared" ref="D16:AF16" si="4">IF(Decomm_Perc_Years=0,0,(total_decommissioning_costs*Decomm_Perc_Years)*((one_plus_inflation_rate)^Year))</f>
        <v>0</v>
      </c>
      <c r="E16" s="49">
        <f t="shared" si="4"/>
        <v>0</v>
      </c>
      <c r="F16" s="49">
        <f t="shared" si="4"/>
        <v>0</v>
      </c>
      <c r="G16" s="49">
        <f t="shared" si="4"/>
        <v>0</v>
      </c>
      <c r="H16" s="49">
        <f t="shared" si="4"/>
        <v>0</v>
      </c>
      <c r="I16" s="49">
        <f t="shared" si="4"/>
        <v>0</v>
      </c>
      <c r="J16" s="49">
        <f t="shared" si="4"/>
        <v>0</v>
      </c>
      <c r="K16" s="49">
        <f t="shared" si="4"/>
        <v>0</v>
      </c>
      <c r="L16" s="49">
        <f t="shared" si="4"/>
        <v>0</v>
      </c>
      <c r="M16" s="49">
        <f t="shared" si="4"/>
        <v>0</v>
      </c>
      <c r="N16" s="49">
        <f t="shared" si="4"/>
        <v>0</v>
      </c>
      <c r="O16" s="49">
        <f t="shared" si="4"/>
        <v>0</v>
      </c>
      <c r="P16" s="49">
        <f t="shared" si="4"/>
        <v>0</v>
      </c>
      <c r="Q16" s="49">
        <f t="shared" si="4"/>
        <v>0</v>
      </c>
      <c r="R16" s="49">
        <f t="shared" si="4"/>
        <v>0</v>
      </c>
      <c r="S16" s="49">
        <f t="shared" si="4"/>
        <v>0</v>
      </c>
      <c r="T16" s="49">
        <f t="shared" si="4"/>
        <v>0</v>
      </c>
      <c r="U16" s="49">
        <f t="shared" si="4"/>
        <v>0</v>
      </c>
      <c r="V16" s="49">
        <f t="shared" si="4"/>
        <v>0</v>
      </c>
      <c r="W16" s="49">
        <f t="shared" si="4"/>
        <v>0</v>
      </c>
      <c r="X16" s="49">
        <f t="shared" si="4"/>
        <v>0</v>
      </c>
      <c r="Y16" s="49">
        <f t="shared" si="4"/>
        <v>0</v>
      </c>
      <c r="Z16" s="49">
        <f t="shared" si="4"/>
        <v>0</v>
      </c>
      <c r="AA16" s="49">
        <f t="shared" si="4"/>
        <v>1049948.0239193533</v>
      </c>
      <c r="AB16" s="49">
        <f t="shared" si="4"/>
        <v>2162892.9292738675</v>
      </c>
      <c r="AC16" s="49">
        <f t="shared" si="4"/>
        <v>2227779.7171520833</v>
      </c>
      <c r="AD16" s="49">
        <f t="shared" si="4"/>
        <v>0</v>
      </c>
      <c r="AE16" s="49">
        <f t="shared" si="4"/>
        <v>0</v>
      </c>
      <c r="AF16" s="49">
        <f t="shared" si="4"/>
        <v>0</v>
      </c>
    </row>
    <row r="17" spans="2:32" s="50" customFormat="1" ht="18.600000000000001" customHeight="1" x14ac:dyDescent="0.3">
      <c r="B17" s="50" t="s">
        <v>71</v>
      </c>
      <c r="C17" s="51"/>
      <c r="D17" s="54">
        <f t="shared" ref="D17:AF17" si="5">Capex+Opex+Decommissioning_Costs</f>
        <v>6650000</v>
      </c>
      <c r="E17" s="54">
        <f t="shared" si="5"/>
        <v>3424750</v>
      </c>
      <c r="F17" s="54">
        <f t="shared" si="5"/>
        <v>3527492.5</v>
      </c>
      <c r="G17" s="54">
        <f t="shared" si="5"/>
        <v>874181.6</v>
      </c>
      <c r="H17" s="54">
        <f t="shared" si="5"/>
        <v>900407.04799999995</v>
      </c>
      <c r="I17" s="54">
        <f t="shared" si="5"/>
        <v>927419.25943999982</v>
      </c>
      <c r="J17" s="54">
        <f t="shared" si="5"/>
        <v>955241.83722319989</v>
      </c>
      <c r="K17" s="54">
        <f t="shared" si="5"/>
        <v>983899.09233989601</v>
      </c>
      <c r="L17" s="54">
        <f t="shared" si="5"/>
        <v>1013416.0651100927</v>
      </c>
      <c r="M17" s="54">
        <f t="shared" si="5"/>
        <v>1043818.5470633956</v>
      </c>
      <c r="N17" s="54">
        <f t="shared" si="5"/>
        <v>1075133.1034752973</v>
      </c>
      <c r="O17" s="54">
        <f t="shared" si="5"/>
        <v>1107387.0965795564</v>
      </c>
      <c r="P17" s="54">
        <f t="shared" si="5"/>
        <v>1140608.7094769429</v>
      </c>
      <c r="Q17" s="54">
        <f t="shared" si="5"/>
        <v>1174826.9707612512</v>
      </c>
      <c r="R17" s="54">
        <f t="shared" si="5"/>
        <v>1210071.7798840888</v>
      </c>
      <c r="S17" s="54">
        <f t="shared" si="5"/>
        <v>1246373.9332806116</v>
      </c>
      <c r="T17" s="54">
        <f t="shared" si="5"/>
        <v>1283765.1512790297</v>
      </c>
      <c r="U17" s="54">
        <f t="shared" si="5"/>
        <v>1322278.1058174006</v>
      </c>
      <c r="V17" s="54">
        <f t="shared" si="5"/>
        <v>1361946.4489919227</v>
      </c>
      <c r="W17" s="54">
        <f t="shared" si="5"/>
        <v>1402804.8424616803</v>
      </c>
      <c r="X17" s="54">
        <f t="shared" si="5"/>
        <v>1444888.9877355306</v>
      </c>
      <c r="Y17" s="54">
        <f t="shared" si="5"/>
        <v>1488235.6573675964</v>
      </c>
      <c r="Z17" s="54">
        <f t="shared" si="5"/>
        <v>1532882.7270886244</v>
      </c>
      <c r="AA17" s="54">
        <f t="shared" si="5"/>
        <v>1049948.0239193533</v>
      </c>
      <c r="AB17" s="54">
        <f t="shared" si="5"/>
        <v>2162892.9292738675</v>
      </c>
      <c r="AC17" s="54">
        <f t="shared" si="5"/>
        <v>2227779.7171520833</v>
      </c>
      <c r="AD17" s="54">
        <f t="shared" si="5"/>
        <v>0</v>
      </c>
      <c r="AE17" s="54">
        <f t="shared" si="5"/>
        <v>0</v>
      </c>
      <c r="AF17" s="54">
        <f t="shared" si="5"/>
        <v>0</v>
      </c>
    </row>
    <row r="18" spans="2:32" s="50" customFormat="1" ht="18.600000000000001" customHeight="1" x14ac:dyDescent="0.3">
      <c r="B18" s="55" t="s">
        <v>70</v>
      </c>
      <c r="C18" s="56"/>
      <c r="D18" s="57">
        <f t="shared" ref="D18:AE18" si="6">Total_Expenditure_Undiscounted/((one_plus_discount_rate)^Year)</f>
        <v>6650000</v>
      </c>
      <c r="E18" s="57">
        <f t="shared" si="6"/>
        <v>3171064.8148148148</v>
      </c>
      <c r="F18" s="57">
        <f t="shared" si="6"/>
        <v>3024256.2585733877</v>
      </c>
      <c r="G18" s="57">
        <f t="shared" si="6"/>
        <v>693953.53858659742</v>
      </c>
      <c r="H18" s="57">
        <f t="shared" si="6"/>
        <v>661826.059948329</v>
      </c>
      <c r="I18" s="57">
        <f t="shared" si="6"/>
        <v>631185.96458035067</v>
      </c>
      <c r="J18" s="57">
        <f t="shared" si="6"/>
        <v>601964.39214607514</v>
      </c>
      <c r="K18" s="57">
        <f t="shared" si="6"/>
        <v>574095.67028746067</v>
      </c>
      <c r="L18" s="57">
        <f t="shared" si="6"/>
        <v>547517.16703341145</v>
      </c>
      <c r="M18" s="57">
        <f t="shared" si="6"/>
        <v>522169.15004112391</v>
      </c>
      <c r="N18" s="57">
        <f t="shared" si="6"/>
        <v>497994.65235403471</v>
      </c>
      <c r="O18" s="57">
        <f t="shared" si="6"/>
        <v>474939.3443746813</v>
      </c>
      <c r="P18" s="57">
        <f t="shared" si="6"/>
        <v>452951.41176474228</v>
      </c>
      <c r="Q18" s="57">
        <f t="shared" si="6"/>
        <v>431981.43899785605</v>
      </c>
      <c r="R18" s="57">
        <f t="shared" si="6"/>
        <v>411982.29830351082</v>
      </c>
      <c r="S18" s="57">
        <f t="shared" si="6"/>
        <v>392909.04375242238</v>
      </c>
      <c r="T18" s="57">
        <f t="shared" si="6"/>
        <v>374718.81024536572</v>
      </c>
      <c r="U18" s="57">
        <f t="shared" si="6"/>
        <v>357370.71717845066</v>
      </c>
      <c r="V18" s="57">
        <f t="shared" si="6"/>
        <v>340825.77656833717</v>
      </c>
      <c r="W18" s="57">
        <f t="shared" si="6"/>
        <v>325046.8054309141</v>
      </c>
      <c r="X18" s="57">
        <f t="shared" si="6"/>
        <v>309998.34221651993</v>
      </c>
      <c r="Y18" s="57">
        <f t="shared" si="6"/>
        <v>295646.56711390323</v>
      </c>
      <c r="Z18" s="57">
        <f t="shared" si="6"/>
        <v>281959.22604381508</v>
      </c>
      <c r="AA18" s="57">
        <f t="shared" si="6"/>
        <v>178822.19618399179</v>
      </c>
      <c r="AB18" s="57">
        <f t="shared" si="6"/>
        <v>341086.78161020653</v>
      </c>
      <c r="AC18" s="57">
        <f t="shared" si="6"/>
        <v>325295.72690603021</v>
      </c>
      <c r="AD18" s="57">
        <f t="shared" si="6"/>
        <v>0</v>
      </c>
      <c r="AE18" s="57">
        <f t="shared" si="6"/>
        <v>0</v>
      </c>
      <c r="AF18" s="57">
        <f>IFERROR(Total_Expenditure_Undiscounted/((one_plus_discount_rate)^Year),0)</f>
        <v>0</v>
      </c>
    </row>
    <row r="19" spans="2:32" ht="18.600000000000001" customHeight="1" x14ac:dyDescent="0.3">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row>
    <row r="20" spans="2:32" ht="18.600000000000001" customHeight="1" thickBot="1" x14ac:dyDescent="0.35">
      <c r="B20" s="44" t="s">
        <v>92</v>
      </c>
      <c r="C20" s="4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row>
    <row r="21" spans="2:32" ht="18.600000000000001" customHeight="1" thickTop="1" x14ac:dyDescent="0.3">
      <c r="B21" s="38" t="s">
        <v>31</v>
      </c>
      <c r="D21" s="54">
        <f t="shared" ref="D21:AF21" si="7">IF(Year&lt;years_before_turbines_start_operating,0,IF(Year&lt;(years_before_turbines_start_operating+expected_useful_life_of_turbine),actual__expected__output_of_all_wind_turbines__mWh_yr*average_electricity_price*(one_plus_inflation_rate^Year),0))</f>
        <v>0</v>
      </c>
      <c r="E21" s="54">
        <f t="shared" si="7"/>
        <v>0</v>
      </c>
      <c r="F21" s="54">
        <f t="shared" si="7"/>
        <v>0</v>
      </c>
      <c r="G21" s="54">
        <f t="shared" si="7"/>
        <v>3350300.9819999994</v>
      </c>
      <c r="H21" s="54">
        <f t="shared" si="7"/>
        <v>3450810.0114599993</v>
      </c>
      <c r="I21" s="54">
        <f t="shared" si="7"/>
        <v>3554334.3118037991</v>
      </c>
      <c r="J21" s="54">
        <f t="shared" si="7"/>
        <v>3660964.3411579132</v>
      </c>
      <c r="K21" s="54">
        <f t="shared" si="7"/>
        <v>3770793.2713926509</v>
      </c>
      <c r="L21" s="54">
        <f t="shared" si="7"/>
        <v>3883917.0695344298</v>
      </c>
      <c r="M21" s="54">
        <f t="shared" si="7"/>
        <v>4000434.5816204627</v>
      </c>
      <c r="N21" s="54">
        <f t="shared" si="7"/>
        <v>4120447.6190690766</v>
      </c>
      <c r="O21" s="54">
        <f t="shared" si="7"/>
        <v>4244061.0476411488</v>
      </c>
      <c r="P21" s="54">
        <f t="shared" si="7"/>
        <v>4371382.8790703826</v>
      </c>
      <c r="Q21" s="54">
        <f t="shared" si="7"/>
        <v>4502524.3654424939</v>
      </c>
      <c r="R21" s="54">
        <f t="shared" si="7"/>
        <v>4637600.0964057697</v>
      </c>
      <c r="S21" s="54">
        <f t="shared" si="7"/>
        <v>4776728.0992979426</v>
      </c>
      <c r="T21" s="54">
        <f t="shared" si="7"/>
        <v>4920029.9422768801</v>
      </c>
      <c r="U21" s="54">
        <f t="shared" si="7"/>
        <v>5067630.8405451868</v>
      </c>
      <c r="V21" s="54">
        <f t="shared" si="7"/>
        <v>5219659.7657615421</v>
      </c>
      <c r="W21" s="54">
        <f t="shared" si="7"/>
        <v>5376249.558734389</v>
      </c>
      <c r="X21" s="54">
        <f t="shared" si="7"/>
        <v>5537537.04549642</v>
      </c>
      <c r="Y21" s="54">
        <f t="shared" si="7"/>
        <v>5703663.1568613118</v>
      </c>
      <c r="Z21" s="54">
        <f t="shared" si="7"/>
        <v>5874773.0515671521</v>
      </c>
      <c r="AA21" s="54">
        <f t="shared" si="7"/>
        <v>0</v>
      </c>
      <c r="AB21" s="54">
        <f t="shared" si="7"/>
        <v>0</v>
      </c>
      <c r="AC21" s="54">
        <f t="shared" si="7"/>
        <v>0</v>
      </c>
      <c r="AD21" s="54">
        <f t="shared" si="7"/>
        <v>0</v>
      </c>
      <c r="AE21" s="54">
        <f t="shared" si="7"/>
        <v>0</v>
      </c>
      <c r="AF21" s="54">
        <f t="shared" si="7"/>
        <v>0</v>
      </c>
    </row>
    <row r="22" spans="2:32" ht="18.600000000000001" customHeight="1" x14ac:dyDescent="0.3">
      <c r="B22" s="59" t="s">
        <v>73</v>
      </c>
      <c r="C22" s="60"/>
      <c r="D22" s="57">
        <f t="shared" ref="D22:AF22" si="8">Total_Sales_Undiscounted/((one_plus_discount_rate)^Year)</f>
        <v>0</v>
      </c>
      <c r="E22" s="57">
        <f t="shared" si="8"/>
        <v>0</v>
      </c>
      <c r="F22" s="57">
        <f t="shared" si="8"/>
        <v>0</v>
      </c>
      <c r="G22" s="57">
        <f t="shared" si="8"/>
        <v>2659576.9366331343</v>
      </c>
      <c r="H22" s="57">
        <f t="shared" si="8"/>
        <v>2536448.3747519706</v>
      </c>
      <c r="I22" s="57">
        <f t="shared" si="8"/>
        <v>2419020.2092541941</v>
      </c>
      <c r="J22" s="57">
        <f t="shared" si="8"/>
        <v>2307028.5328998328</v>
      </c>
      <c r="K22" s="57">
        <f t="shared" si="8"/>
        <v>2200221.6563766925</v>
      </c>
      <c r="L22" s="57">
        <f t="shared" si="8"/>
        <v>2098359.542655549</v>
      </c>
      <c r="M22" s="57">
        <f t="shared" si="8"/>
        <v>2001213.2675326068</v>
      </c>
      <c r="N22" s="57">
        <f t="shared" si="8"/>
        <v>1908564.505146838</v>
      </c>
      <c r="O22" s="57">
        <f t="shared" si="8"/>
        <v>1820205.0373159659</v>
      </c>
      <c r="P22" s="57">
        <f t="shared" si="8"/>
        <v>1735936.2855883744</v>
      </c>
      <c r="Q22" s="57">
        <f t="shared" si="8"/>
        <v>1655568.8649592828</v>
      </c>
      <c r="R22" s="57">
        <f t="shared" si="8"/>
        <v>1578922.158248205</v>
      </c>
      <c r="S22" s="57">
        <f t="shared" si="8"/>
        <v>1505823.9101811582</v>
      </c>
      <c r="T22" s="57">
        <f t="shared" si="8"/>
        <v>1436109.8402653637</v>
      </c>
      <c r="U22" s="57">
        <f t="shared" si="8"/>
        <v>1369623.2735864117</v>
      </c>
      <c r="V22" s="57">
        <f t="shared" si="8"/>
        <v>1306214.7886981517</v>
      </c>
      <c r="W22" s="57">
        <f t="shared" si="8"/>
        <v>1245741.8818139781</v>
      </c>
      <c r="X22" s="57">
        <f t="shared" si="8"/>
        <v>1188068.6465448125</v>
      </c>
      <c r="Y22" s="57">
        <f t="shared" si="8"/>
        <v>1133065.4684640339</v>
      </c>
      <c r="Z22" s="57">
        <f t="shared" si="8"/>
        <v>1080608.7338129212</v>
      </c>
      <c r="AA22" s="57">
        <f t="shared" si="8"/>
        <v>0</v>
      </c>
      <c r="AB22" s="57">
        <f t="shared" si="8"/>
        <v>0</v>
      </c>
      <c r="AC22" s="57">
        <f t="shared" si="8"/>
        <v>0</v>
      </c>
      <c r="AD22" s="57">
        <f t="shared" si="8"/>
        <v>0</v>
      </c>
      <c r="AE22" s="57">
        <f t="shared" si="8"/>
        <v>0</v>
      </c>
      <c r="AF22" s="57">
        <f t="shared" si="8"/>
        <v>0</v>
      </c>
    </row>
    <row r="23" spans="2:32" ht="18.600000000000001" customHeight="1" x14ac:dyDescent="0.3">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row>
    <row r="24" spans="2:32" ht="18.600000000000001" customHeight="1" thickBot="1" x14ac:dyDescent="0.35">
      <c r="B24" s="44" t="s">
        <v>94</v>
      </c>
      <c r="C24" s="4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row>
    <row r="25" spans="2:32" s="50" customFormat="1" ht="18.600000000000001" customHeight="1" thickTop="1" x14ac:dyDescent="0.3">
      <c r="B25" s="50" t="s">
        <v>74</v>
      </c>
      <c r="C25" s="51"/>
      <c r="D25" s="54">
        <f t="shared" ref="D25:AF25" si="9">Total_Sales_Undiscounted-Total_Expenditure_Undiscounted</f>
        <v>-6650000</v>
      </c>
      <c r="E25" s="54">
        <f t="shared" si="9"/>
        <v>-3424750</v>
      </c>
      <c r="F25" s="54">
        <f t="shared" si="9"/>
        <v>-3527492.5</v>
      </c>
      <c r="G25" s="54">
        <f t="shared" si="9"/>
        <v>2476119.3819999993</v>
      </c>
      <c r="H25" s="54">
        <f t="shared" si="9"/>
        <v>2550402.9634599993</v>
      </c>
      <c r="I25" s="54">
        <f t="shared" si="9"/>
        <v>2626915.0523637994</v>
      </c>
      <c r="J25" s="54">
        <f t="shared" si="9"/>
        <v>2705722.5039347131</v>
      </c>
      <c r="K25" s="54">
        <f t="shared" si="9"/>
        <v>2786894.1790527548</v>
      </c>
      <c r="L25" s="54">
        <f t="shared" si="9"/>
        <v>2870501.0044243373</v>
      </c>
      <c r="M25" s="54">
        <f t="shared" si="9"/>
        <v>2956616.0345570669</v>
      </c>
      <c r="N25" s="54">
        <f t="shared" si="9"/>
        <v>3045314.5155937793</v>
      </c>
      <c r="O25" s="54">
        <f t="shared" si="9"/>
        <v>3136673.9510615924</v>
      </c>
      <c r="P25" s="54">
        <f t="shared" si="9"/>
        <v>3230774.1695934394</v>
      </c>
      <c r="Q25" s="54">
        <f t="shared" si="9"/>
        <v>3327697.3946812428</v>
      </c>
      <c r="R25" s="54">
        <f t="shared" si="9"/>
        <v>3427528.3165216809</v>
      </c>
      <c r="S25" s="54">
        <f t="shared" si="9"/>
        <v>3530354.1660173312</v>
      </c>
      <c r="T25" s="54">
        <f t="shared" si="9"/>
        <v>3636264.7909978507</v>
      </c>
      <c r="U25" s="54">
        <f t="shared" si="9"/>
        <v>3745352.7347277859</v>
      </c>
      <c r="V25" s="54">
        <f t="shared" si="9"/>
        <v>3857713.3167696195</v>
      </c>
      <c r="W25" s="54">
        <f t="shared" si="9"/>
        <v>3973444.716272709</v>
      </c>
      <c r="X25" s="54">
        <f t="shared" si="9"/>
        <v>4092648.0577608896</v>
      </c>
      <c r="Y25" s="54">
        <f t="shared" si="9"/>
        <v>4215427.4994937154</v>
      </c>
      <c r="Z25" s="54">
        <f t="shared" si="9"/>
        <v>4341890.3244785275</v>
      </c>
      <c r="AA25" s="54">
        <f t="shared" si="9"/>
        <v>-1049948.0239193533</v>
      </c>
      <c r="AB25" s="54">
        <f t="shared" si="9"/>
        <v>-2162892.9292738675</v>
      </c>
      <c r="AC25" s="54">
        <f t="shared" si="9"/>
        <v>-2227779.7171520833</v>
      </c>
      <c r="AD25" s="54">
        <f t="shared" si="9"/>
        <v>0</v>
      </c>
      <c r="AE25" s="54">
        <f t="shared" si="9"/>
        <v>0</v>
      </c>
      <c r="AF25" s="54">
        <f t="shared" si="9"/>
        <v>0</v>
      </c>
    </row>
    <row r="26" spans="2:32" s="50" customFormat="1" ht="18.600000000000001" customHeight="1" x14ac:dyDescent="0.3">
      <c r="B26" s="50" t="s">
        <v>79</v>
      </c>
      <c r="C26" s="51"/>
      <c r="D26" s="54">
        <f t="shared" ref="D26:AF26" si="10">Pre_Tax_Net_Cash_Flow_Undiscounted/((one_plus_discount_rate)^Year)</f>
        <v>-6650000</v>
      </c>
      <c r="E26" s="54">
        <f t="shared" si="10"/>
        <v>-3171064.8148148148</v>
      </c>
      <c r="F26" s="54">
        <f t="shared" si="10"/>
        <v>-3024256.2585733877</v>
      </c>
      <c r="G26" s="54">
        <f t="shared" si="10"/>
        <v>1965623.3980465368</v>
      </c>
      <c r="H26" s="54">
        <f t="shared" si="10"/>
        <v>1874622.3148036415</v>
      </c>
      <c r="I26" s="54">
        <f t="shared" si="10"/>
        <v>1787834.2446738433</v>
      </c>
      <c r="J26" s="54">
        <f t="shared" si="10"/>
        <v>1705064.1407537577</v>
      </c>
      <c r="K26" s="54">
        <f t="shared" si="10"/>
        <v>1626125.9860892319</v>
      </c>
      <c r="L26" s="54">
        <f t="shared" si="10"/>
        <v>1550842.3756221377</v>
      </c>
      <c r="M26" s="54">
        <f t="shared" si="10"/>
        <v>1479044.1174914828</v>
      </c>
      <c r="N26" s="54">
        <f t="shared" si="10"/>
        <v>1410569.8527928032</v>
      </c>
      <c r="O26" s="54">
        <f t="shared" si="10"/>
        <v>1345265.6929412845</v>
      </c>
      <c r="P26" s="54">
        <f t="shared" si="10"/>
        <v>1282984.873823632</v>
      </c>
      <c r="Q26" s="54">
        <f t="shared" si="10"/>
        <v>1223587.4259614269</v>
      </c>
      <c r="R26" s="54">
        <f t="shared" si="10"/>
        <v>1166939.8599446942</v>
      </c>
      <c r="S26" s="54">
        <f t="shared" si="10"/>
        <v>1112914.8664287359</v>
      </c>
      <c r="T26" s="54">
        <f t="shared" si="10"/>
        <v>1061391.0300199981</v>
      </c>
      <c r="U26" s="54">
        <f t="shared" si="10"/>
        <v>1012252.5564079611</v>
      </c>
      <c r="V26" s="54">
        <f t="shared" si="10"/>
        <v>965389.0121298146</v>
      </c>
      <c r="W26" s="54">
        <f t="shared" si="10"/>
        <v>920695.07638306404</v>
      </c>
      <c r="X26" s="54">
        <f t="shared" si="10"/>
        <v>878070.30432829249</v>
      </c>
      <c r="Y26" s="54">
        <f t="shared" si="10"/>
        <v>837418.90135013056</v>
      </c>
      <c r="Z26" s="54">
        <f t="shared" si="10"/>
        <v>798649.50776910607</v>
      </c>
      <c r="AA26" s="54">
        <f t="shared" si="10"/>
        <v>-178822.19618399179</v>
      </c>
      <c r="AB26" s="54">
        <f t="shared" si="10"/>
        <v>-341086.78161020653</v>
      </c>
      <c r="AC26" s="54">
        <f t="shared" si="10"/>
        <v>-325295.72690603021</v>
      </c>
      <c r="AD26" s="54">
        <f t="shared" si="10"/>
        <v>0</v>
      </c>
      <c r="AE26" s="54">
        <f t="shared" si="10"/>
        <v>0</v>
      </c>
      <c r="AF26" s="54">
        <f t="shared" si="10"/>
        <v>0</v>
      </c>
    </row>
    <row r="27" spans="2:32" s="50" customFormat="1" ht="18.600000000000001" customHeight="1" x14ac:dyDescent="0.3">
      <c r="B27" s="52" t="s">
        <v>37</v>
      </c>
      <c r="C27" s="53"/>
      <c r="D27" s="54">
        <f t="shared" ref="D27:AF27" si="11">IF(Year&lt;years_before_turbines_start_operating,0,IF(Year&gt;=(depreciation_allowance_years+years_before_turbines_start_operating),0,(total_capital_costs/depreciation_allowance_years)))</f>
        <v>0</v>
      </c>
      <c r="E27" s="54">
        <f t="shared" si="11"/>
        <v>0</v>
      </c>
      <c r="F27" s="54">
        <f t="shared" si="11"/>
        <v>0</v>
      </c>
      <c r="G27" s="54">
        <f t="shared" si="11"/>
        <v>1662500</v>
      </c>
      <c r="H27" s="54">
        <f t="shared" si="11"/>
        <v>1662500</v>
      </c>
      <c r="I27" s="54">
        <f t="shared" si="11"/>
        <v>1662500</v>
      </c>
      <c r="J27" s="54">
        <f t="shared" si="11"/>
        <v>1662500</v>
      </c>
      <c r="K27" s="54">
        <f t="shared" si="11"/>
        <v>1662500</v>
      </c>
      <c r="L27" s="54">
        <f t="shared" si="11"/>
        <v>1662500</v>
      </c>
      <c r="M27" s="54">
        <f t="shared" si="11"/>
        <v>1662500</v>
      </c>
      <c r="N27" s="54">
        <f t="shared" si="11"/>
        <v>1662500</v>
      </c>
      <c r="O27" s="54">
        <f t="shared" si="11"/>
        <v>0</v>
      </c>
      <c r="P27" s="54">
        <f t="shared" si="11"/>
        <v>0</v>
      </c>
      <c r="Q27" s="54">
        <f t="shared" si="11"/>
        <v>0</v>
      </c>
      <c r="R27" s="54">
        <f t="shared" si="11"/>
        <v>0</v>
      </c>
      <c r="S27" s="54">
        <f t="shared" si="11"/>
        <v>0</v>
      </c>
      <c r="T27" s="54">
        <f t="shared" si="11"/>
        <v>0</v>
      </c>
      <c r="U27" s="54">
        <f t="shared" si="11"/>
        <v>0</v>
      </c>
      <c r="V27" s="54">
        <f t="shared" si="11"/>
        <v>0</v>
      </c>
      <c r="W27" s="54">
        <f t="shared" si="11"/>
        <v>0</v>
      </c>
      <c r="X27" s="54">
        <f t="shared" si="11"/>
        <v>0</v>
      </c>
      <c r="Y27" s="54">
        <f t="shared" si="11"/>
        <v>0</v>
      </c>
      <c r="Z27" s="54">
        <f t="shared" si="11"/>
        <v>0</v>
      </c>
      <c r="AA27" s="54">
        <f t="shared" si="11"/>
        <v>0</v>
      </c>
      <c r="AB27" s="54">
        <f t="shared" si="11"/>
        <v>0</v>
      </c>
      <c r="AC27" s="54">
        <f t="shared" si="11"/>
        <v>0</v>
      </c>
      <c r="AD27" s="54">
        <f t="shared" si="11"/>
        <v>0</v>
      </c>
      <c r="AE27" s="54">
        <f t="shared" si="11"/>
        <v>0</v>
      </c>
      <c r="AF27" s="54">
        <f t="shared" si="11"/>
        <v>0</v>
      </c>
    </row>
    <row r="28" spans="2:32" s="50" customFormat="1" ht="18.600000000000001" customHeight="1" x14ac:dyDescent="0.3">
      <c r="B28" s="52" t="s">
        <v>38</v>
      </c>
      <c r="C28" s="53"/>
      <c r="D28" s="54">
        <f t="shared" ref="D28:AF28" si="12">Decommissioning_Costs</f>
        <v>0</v>
      </c>
      <c r="E28" s="54">
        <f t="shared" si="12"/>
        <v>0</v>
      </c>
      <c r="F28" s="54">
        <f t="shared" si="12"/>
        <v>0</v>
      </c>
      <c r="G28" s="54">
        <f t="shared" si="12"/>
        <v>0</v>
      </c>
      <c r="H28" s="54">
        <f t="shared" si="12"/>
        <v>0</v>
      </c>
      <c r="I28" s="54">
        <f t="shared" si="12"/>
        <v>0</v>
      </c>
      <c r="J28" s="54">
        <f t="shared" si="12"/>
        <v>0</v>
      </c>
      <c r="K28" s="54">
        <f t="shared" si="12"/>
        <v>0</v>
      </c>
      <c r="L28" s="54">
        <f t="shared" si="12"/>
        <v>0</v>
      </c>
      <c r="M28" s="54">
        <f t="shared" si="12"/>
        <v>0</v>
      </c>
      <c r="N28" s="54">
        <f t="shared" si="12"/>
        <v>0</v>
      </c>
      <c r="O28" s="54">
        <f t="shared" si="12"/>
        <v>0</v>
      </c>
      <c r="P28" s="54">
        <f t="shared" si="12"/>
        <v>0</v>
      </c>
      <c r="Q28" s="54">
        <f t="shared" si="12"/>
        <v>0</v>
      </c>
      <c r="R28" s="54">
        <f t="shared" si="12"/>
        <v>0</v>
      </c>
      <c r="S28" s="54">
        <f t="shared" si="12"/>
        <v>0</v>
      </c>
      <c r="T28" s="54">
        <f t="shared" si="12"/>
        <v>0</v>
      </c>
      <c r="U28" s="54">
        <f t="shared" si="12"/>
        <v>0</v>
      </c>
      <c r="V28" s="54">
        <f t="shared" si="12"/>
        <v>0</v>
      </c>
      <c r="W28" s="54">
        <f t="shared" si="12"/>
        <v>0</v>
      </c>
      <c r="X28" s="54">
        <f t="shared" si="12"/>
        <v>0</v>
      </c>
      <c r="Y28" s="54">
        <f t="shared" si="12"/>
        <v>0</v>
      </c>
      <c r="Z28" s="54">
        <f t="shared" si="12"/>
        <v>0</v>
      </c>
      <c r="AA28" s="54">
        <f t="shared" si="12"/>
        <v>1049948.0239193533</v>
      </c>
      <c r="AB28" s="54">
        <f t="shared" si="12"/>
        <v>2162892.9292738675</v>
      </c>
      <c r="AC28" s="54">
        <f t="shared" si="12"/>
        <v>2227779.7171520833</v>
      </c>
      <c r="AD28" s="54">
        <f t="shared" si="12"/>
        <v>0</v>
      </c>
      <c r="AE28" s="54">
        <f t="shared" si="12"/>
        <v>0</v>
      </c>
      <c r="AF28" s="54">
        <f t="shared" si="12"/>
        <v>0</v>
      </c>
    </row>
    <row r="29" spans="2:32" s="50" customFormat="1" ht="18.600000000000001" customHeight="1" x14ac:dyDescent="0.3">
      <c r="B29" s="52" t="s">
        <v>75</v>
      </c>
      <c r="C29" s="53"/>
      <c r="D29" s="54">
        <f t="shared" ref="D29:AF29" si="13">MAX(Pre_Tax_Net_Cash_Flow_Undiscounted-Depreciation_Allowance-Decommissioning_Cost_Allowance,0)</f>
        <v>0</v>
      </c>
      <c r="E29" s="54">
        <f t="shared" si="13"/>
        <v>0</v>
      </c>
      <c r="F29" s="54">
        <f t="shared" si="13"/>
        <v>0</v>
      </c>
      <c r="G29" s="54">
        <f t="shared" si="13"/>
        <v>813619.38199999928</v>
      </c>
      <c r="H29" s="54">
        <f t="shared" si="13"/>
        <v>887902.9634599993</v>
      </c>
      <c r="I29" s="54">
        <f t="shared" si="13"/>
        <v>964415.05236379942</v>
      </c>
      <c r="J29" s="54">
        <f t="shared" si="13"/>
        <v>1043222.5039347131</v>
      </c>
      <c r="K29" s="54">
        <f t="shared" si="13"/>
        <v>1124394.1790527548</v>
      </c>
      <c r="L29" s="54">
        <f t="shared" si="13"/>
        <v>1208001.0044243373</v>
      </c>
      <c r="M29" s="54">
        <f t="shared" si="13"/>
        <v>1294116.0345570669</v>
      </c>
      <c r="N29" s="54">
        <f t="shared" si="13"/>
        <v>1382814.5155937793</v>
      </c>
      <c r="O29" s="54">
        <f t="shared" si="13"/>
        <v>3136673.9510615924</v>
      </c>
      <c r="P29" s="54">
        <f t="shared" si="13"/>
        <v>3230774.1695934394</v>
      </c>
      <c r="Q29" s="54">
        <f t="shared" si="13"/>
        <v>3327697.3946812428</v>
      </c>
      <c r="R29" s="54">
        <f t="shared" si="13"/>
        <v>3427528.3165216809</v>
      </c>
      <c r="S29" s="54">
        <f t="shared" si="13"/>
        <v>3530354.1660173312</v>
      </c>
      <c r="T29" s="54">
        <f t="shared" si="13"/>
        <v>3636264.7909978507</v>
      </c>
      <c r="U29" s="54">
        <f t="shared" si="13"/>
        <v>3745352.7347277859</v>
      </c>
      <c r="V29" s="54">
        <f t="shared" si="13"/>
        <v>3857713.3167696195</v>
      </c>
      <c r="W29" s="54">
        <f t="shared" si="13"/>
        <v>3973444.716272709</v>
      </c>
      <c r="X29" s="54">
        <f t="shared" si="13"/>
        <v>4092648.0577608896</v>
      </c>
      <c r="Y29" s="54">
        <f t="shared" si="13"/>
        <v>4215427.4994937154</v>
      </c>
      <c r="Z29" s="54">
        <f t="shared" si="13"/>
        <v>4341890.3244785275</v>
      </c>
      <c r="AA29" s="54">
        <f t="shared" si="13"/>
        <v>0</v>
      </c>
      <c r="AB29" s="54">
        <f t="shared" si="13"/>
        <v>0</v>
      </c>
      <c r="AC29" s="54">
        <f t="shared" si="13"/>
        <v>0</v>
      </c>
      <c r="AD29" s="54">
        <f t="shared" si="13"/>
        <v>0</v>
      </c>
      <c r="AE29" s="54">
        <f t="shared" si="13"/>
        <v>0</v>
      </c>
      <c r="AF29" s="54">
        <f t="shared" si="13"/>
        <v>0</v>
      </c>
    </row>
    <row r="30" spans="2:32" s="50" customFormat="1" ht="18.600000000000001" customHeight="1" x14ac:dyDescent="0.3">
      <c r="B30" s="52" t="s">
        <v>76</v>
      </c>
      <c r="C30" s="53"/>
      <c r="D30" s="54">
        <f t="shared" ref="D30:AF30" si="14">corporation_tax_rate*Taxable_Cash_Flow</f>
        <v>0</v>
      </c>
      <c r="E30" s="54">
        <f t="shared" si="14"/>
        <v>0</v>
      </c>
      <c r="F30" s="54">
        <f t="shared" si="14"/>
        <v>0</v>
      </c>
      <c r="G30" s="54">
        <f t="shared" si="14"/>
        <v>162723.87639999986</v>
      </c>
      <c r="H30" s="54">
        <f t="shared" si="14"/>
        <v>177580.59269199986</v>
      </c>
      <c r="I30" s="54">
        <f t="shared" si="14"/>
        <v>192883.0104727599</v>
      </c>
      <c r="J30" s="54">
        <f t="shared" si="14"/>
        <v>208644.50078694263</v>
      </c>
      <c r="K30" s="54">
        <f t="shared" si="14"/>
        <v>224878.83581055095</v>
      </c>
      <c r="L30" s="54">
        <f t="shared" si="14"/>
        <v>241600.20088486746</v>
      </c>
      <c r="M30" s="54">
        <f t="shared" si="14"/>
        <v>258823.20691141338</v>
      </c>
      <c r="N30" s="54">
        <f t="shared" si="14"/>
        <v>276562.90311875584</v>
      </c>
      <c r="O30" s="54">
        <f t="shared" si="14"/>
        <v>627334.79021231853</v>
      </c>
      <c r="P30" s="54">
        <f t="shared" si="14"/>
        <v>646154.83391868789</v>
      </c>
      <c r="Q30" s="54">
        <f t="shared" si="14"/>
        <v>665539.47893624858</v>
      </c>
      <c r="R30" s="54">
        <f t="shared" si="14"/>
        <v>685505.66330433625</v>
      </c>
      <c r="S30" s="54">
        <f t="shared" si="14"/>
        <v>706070.83320346626</v>
      </c>
      <c r="T30" s="54">
        <f t="shared" si="14"/>
        <v>727252.95819957019</v>
      </c>
      <c r="U30" s="54">
        <f t="shared" si="14"/>
        <v>749070.54694555723</v>
      </c>
      <c r="V30" s="54">
        <f t="shared" si="14"/>
        <v>771542.66335392394</v>
      </c>
      <c r="W30" s="54">
        <f t="shared" si="14"/>
        <v>794688.94325454184</v>
      </c>
      <c r="X30" s="54">
        <f t="shared" si="14"/>
        <v>818529.61155217793</v>
      </c>
      <c r="Y30" s="54">
        <f t="shared" si="14"/>
        <v>843085.49989874312</v>
      </c>
      <c r="Z30" s="54">
        <f t="shared" si="14"/>
        <v>868378.06489570555</v>
      </c>
      <c r="AA30" s="54">
        <f t="shared" si="14"/>
        <v>0</v>
      </c>
      <c r="AB30" s="54">
        <f t="shared" si="14"/>
        <v>0</v>
      </c>
      <c r="AC30" s="54">
        <f t="shared" si="14"/>
        <v>0</v>
      </c>
      <c r="AD30" s="54">
        <f t="shared" si="14"/>
        <v>0</v>
      </c>
      <c r="AE30" s="54">
        <f t="shared" si="14"/>
        <v>0</v>
      </c>
      <c r="AF30" s="54">
        <f t="shared" si="14"/>
        <v>0</v>
      </c>
    </row>
    <row r="31" spans="2:32" s="50" customFormat="1" ht="18.600000000000001" customHeight="1" x14ac:dyDescent="0.3">
      <c r="B31" s="52" t="s">
        <v>77</v>
      </c>
      <c r="C31" s="53"/>
      <c r="D31" s="54">
        <f t="shared" ref="D31:AF31" si="15">Pre_Tax_Net_Cash_Flow_Undiscounted-Tax_Paid</f>
        <v>-6650000</v>
      </c>
      <c r="E31" s="54">
        <f t="shared" si="15"/>
        <v>-3424750</v>
      </c>
      <c r="F31" s="54">
        <f t="shared" si="15"/>
        <v>-3527492.5</v>
      </c>
      <c r="G31" s="54">
        <f t="shared" si="15"/>
        <v>2313395.5055999993</v>
      </c>
      <c r="H31" s="54">
        <f t="shared" si="15"/>
        <v>2372822.3707679994</v>
      </c>
      <c r="I31" s="54">
        <f t="shared" si="15"/>
        <v>2434032.0418910393</v>
      </c>
      <c r="J31" s="54">
        <f t="shared" si="15"/>
        <v>2497078.0031477707</v>
      </c>
      <c r="K31" s="54">
        <f t="shared" si="15"/>
        <v>2562015.3432422038</v>
      </c>
      <c r="L31" s="54">
        <f t="shared" si="15"/>
        <v>2628900.8035394698</v>
      </c>
      <c r="M31" s="54">
        <f t="shared" si="15"/>
        <v>2697792.8276456534</v>
      </c>
      <c r="N31" s="54">
        <f t="shared" si="15"/>
        <v>2768751.6124750236</v>
      </c>
      <c r="O31" s="54">
        <f t="shared" si="15"/>
        <v>2509339.1608492741</v>
      </c>
      <c r="P31" s="54">
        <f t="shared" si="15"/>
        <v>2584619.3356747515</v>
      </c>
      <c r="Q31" s="54">
        <f t="shared" si="15"/>
        <v>2662157.9157449943</v>
      </c>
      <c r="R31" s="54">
        <f t="shared" si="15"/>
        <v>2742022.6532173445</v>
      </c>
      <c r="S31" s="54">
        <f t="shared" si="15"/>
        <v>2824283.332813865</v>
      </c>
      <c r="T31" s="54">
        <f t="shared" si="15"/>
        <v>2909011.8327982808</v>
      </c>
      <c r="U31" s="54">
        <f t="shared" si="15"/>
        <v>2996282.1877822289</v>
      </c>
      <c r="V31" s="54">
        <f t="shared" si="15"/>
        <v>3086170.6534156958</v>
      </c>
      <c r="W31" s="54">
        <f t="shared" si="15"/>
        <v>3178755.7730181674</v>
      </c>
      <c r="X31" s="54">
        <f t="shared" si="15"/>
        <v>3274118.4462087117</v>
      </c>
      <c r="Y31" s="54">
        <f t="shared" si="15"/>
        <v>3372341.9995949725</v>
      </c>
      <c r="Z31" s="54">
        <f t="shared" si="15"/>
        <v>3473512.2595828222</v>
      </c>
      <c r="AA31" s="54">
        <f t="shared" si="15"/>
        <v>-1049948.0239193533</v>
      </c>
      <c r="AB31" s="54">
        <f t="shared" si="15"/>
        <v>-2162892.9292738675</v>
      </c>
      <c r="AC31" s="54">
        <f t="shared" si="15"/>
        <v>-2227779.7171520833</v>
      </c>
      <c r="AD31" s="54">
        <f t="shared" si="15"/>
        <v>0</v>
      </c>
      <c r="AE31" s="54">
        <f t="shared" si="15"/>
        <v>0</v>
      </c>
      <c r="AF31" s="54">
        <f t="shared" si="15"/>
        <v>0</v>
      </c>
    </row>
    <row r="32" spans="2:32" s="50" customFormat="1" ht="18.600000000000001" customHeight="1" x14ac:dyDescent="0.3">
      <c r="B32" s="61" t="s">
        <v>78</v>
      </c>
      <c r="C32" s="62"/>
      <c r="D32" s="57">
        <f t="shared" ref="D32:AF32" si="16">Post_Tax_Net_Cash_Flow_Undiscounted/((one_plus_discount_rate)^Year)</f>
        <v>-6650000</v>
      </c>
      <c r="E32" s="57">
        <f t="shared" si="16"/>
        <v>-3171064.8148148148</v>
      </c>
      <c r="F32" s="57">
        <f t="shared" si="16"/>
        <v>-3024256.2585733877</v>
      </c>
      <c r="G32" s="57">
        <f t="shared" si="16"/>
        <v>1836447.9385764357</v>
      </c>
      <c r="H32" s="57">
        <f t="shared" si="16"/>
        <v>1744095.277897734</v>
      </c>
      <c r="I32" s="57">
        <f t="shared" si="16"/>
        <v>1656561.3087527973</v>
      </c>
      <c r="J32" s="57">
        <f t="shared" si="16"/>
        <v>1573582.7135416383</v>
      </c>
      <c r="K32" s="57">
        <f t="shared" si="16"/>
        <v>1494911.3452960451</v>
      </c>
      <c r="L32" s="57">
        <f t="shared" si="16"/>
        <v>1420313.3045946171</v>
      </c>
      <c r="M32" s="57">
        <f t="shared" si="16"/>
        <v>1349568.0755643963</v>
      </c>
      <c r="N32" s="57">
        <f t="shared" si="16"/>
        <v>1282467.7170224001</v>
      </c>
      <c r="O32" s="57">
        <f t="shared" si="16"/>
        <v>1076212.5543530276</v>
      </c>
      <c r="P32" s="57">
        <f t="shared" si="16"/>
        <v>1026387.8990589055</v>
      </c>
      <c r="Q32" s="57">
        <f t="shared" si="16"/>
        <v>978869.94076914154</v>
      </c>
      <c r="R32" s="57">
        <f t="shared" si="16"/>
        <v>933551.88795575534</v>
      </c>
      <c r="S32" s="57">
        <f t="shared" si="16"/>
        <v>890331.89314298879</v>
      </c>
      <c r="T32" s="57">
        <f t="shared" si="16"/>
        <v>849112.82401599863</v>
      </c>
      <c r="U32" s="57">
        <f t="shared" si="16"/>
        <v>809802.04512636887</v>
      </c>
      <c r="V32" s="57">
        <f t="shared" si="16"/>
        <v>772311.20970385172</v>
      </c>
      <c r="W32" s="57">
        <f t="shared" si="16"/>
        <v>736556.06110645132</v>
      </c>
      <c r="X32" s="57">
        <f t="shared" si="16"/>
        <v>702456.24346263404</v>
      </c>
      <c r="Y32" s="57">
        <f t="shared" si="16"/>
        <v>669935.12108010449</v>
      </c>
      <c r="Z32" s="57">
        <f t="shared" si="16"/>
        <v>638919.6062152849</v>
      </c>
      <c r="AA32" s="57">
        <f t="shared" si="16"/>
        <v>-178822.19618399179</v>
      </c>
      <c r="AB32" s="57">
        <f t="shared" si="16"/>
        <v>-341086.78161020653</v>
      </c>
      <c r="AC32" s="57">
        <f t="shared" si="16"/>
        <v>-325295.72690603021</v>
      </c>
      <c r="AD32" s="57">
        <f t="shared" si="16"/>
        <v>0</v>
      </c>
      <c r="AE32" s="57">
        <f t="shared" si="16"/>
        <v>0</v>
      </c>
      <c r="AF32" s="57">
        <f t="shared" si="16"/>
        <v>0</v>
      </c>
    </row>
    <row r="33" spans="2:33" ht="18.600000000000001" customHeight="1" x14ac:dyDescent="0.3">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row>
    <row r="34" spans="2:33" ht="18.600000000000001" customHeight="1" thickBot="1" x14ac:dyDescent="0.35">
      <c r="B34" s="63" t="s">
        <v>39</v>
      </c>
      <c r="C34" s="64"/>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row>
    <row r="35" spans="2:33" ht="18.600000000000001" customHeight="1" thickTop="1" x14ac:dyDescent="0.3">
      <c r="B35" s="50" t="s">
        <v>90</v>
      </c>
      <c r="C35" s="51"/>
      <c r="D35" s="54">
        <f>SUM(Post_Tax_Net_Cash_Flow_Undiscounted todate)</f>
        <v>-6650000</v>
      </c>
      <c r="E35" s="54">
        <f>SUM(Post_Tax_Net_Cash_Flow_Undiscounted todate)</f>
        <v>-10074750</v>
      </c>
      <c r="F35" s="54">
        <f>SUM(Post_Tax_Net_Cash_Flow_Undiscounted todate)</f>
        <v>-13602242.5</v>
      </c>
      <c r="G35" s="54">
        <f>SUM(Post_Tax_Net_Cash_Flow_Undiscounted todate)</f>
        <v>-11288846.9944</v>
      </c>
      <c r="H35" s="54">
        <f>SUM(Post_Tax_Net_Cash_Flow_Undiscounted todate)</f>
        <v>-8916024.6236320008</v>
      </c>
      <c r="I35" s="54">
        <f>SUM(Post_Tax_Net_Cash_Flow_Undiscounted todate)</f>
        <v>-6481992.5817409614</v>
      </c>
      <c r="J35" s="54">
        <f>SUM(Post_Tax_Net_Cash_Flow_Undiscounted todate)</f>
        <v>-3984914.5785931908</v>
      </c>
      <c r="K35" s="54">
        <f>SUM(Post_Tax_Net_Cash_Flow_Undiscounted todate)</f>
        <v>-1422899.2353509869</v>
      </c>
      <c r="L35" s="54">
        <f>SUM(Post_Tax_Net_Cash_Flow_Undiscounted todate)</f>
        <v>1206001.5681884829</v>
      </c>
      <c r="M35" s="54">
        <f>SUM(Post_Tax_Net_Cash_Flow_Undiscounted todate)</f>
        <v>3903794.3958341363</v>
      </c>
      <c r="N35" s="54">
        <f>SUM(Post_Tax_Net_Cash_Flow_Undiscounted todate)</f>
        <v>6672546.0083091594</v>
      </c>
      <c r="O35" s="54">
        <f>SUM(Post_Tax_Net_Cash_Flow_Undiscounted todate)</f>
        <v>9181885.1691584326</v>
      </c>
      <c r="P35" s="54">
        <f>SUM(Post_Tax_Net_Cash_Flow_Undiscounted todate)</f>
        <v>11766504.504833184</v>
      </c>
      <c r="Q35" s="54">
        <f>SUM(Post_Tax_Net_Cash_Flow_Undiscounted todate)</f>
        <v>14428662.420578178</v>
      </c>
      <c r="R35" s="54">
        <f>SUM(Post_Tax_Net_Cash_Flow_Undiscounted todate)</f>
        <v>17170685.073795523</v>
      </c>
      <c r="S35" s="54">
        <f>SUM(Post_Tax_Net_Cash_Flow_Undiscounted todate)</f>
        <v>19994968.40660939</v>
      </c>
      <c r="T35" s="54">
        <f>SUM(Post_Tax_Net_Cash_Flow_Undiscounted todate)</f>
        <v>22903980.23940767</v>
      </c>
      <c r="U35" s="54">
        <f>SUM(Post_Tax_Net_Cash_Flow_Undiscounted todate)</f>
        <v>25900262.427189898</v>
      </c>
      <c r="V35" s="54">
        <f>SUM(Post_Tax_Net_Cash_Flow_Undiscounted todate)</f>
        <v>28986433.080605593</v>
      </c>
      <c r="W35" s="54">
        <f>SUM(Post_Tax_Net_Cash_Flow_Undiscounted todate)</f>
        <v>32165188.853623759</v>
      </c>
      <c r="X35" s="54">
        <f>SUM(Post_Tax_Net_Cash_Flow_Undiscounted todate)</f>
        <v>35439307.299832471</v>
      </c>
      <c r="Y35" s="54">
        <f>SUM(Post_Tax_Net_Cash_Flow_Undiscounted todate)</f>
        <v>38811649.299427442</v>
      </c>
      <c r="Z35" s="54">
        <f>SUM(Post_Tax_Net_Cash_Flow_Undiscounted todate)</f>
        <v>42285161.559010267</v>
      </c>
      <c r="AA35" s="54">
        <f>SUM(Post_Tax_Net_Cash_Flow_Undiscounted todate)</f>
        <v>41235213.535090916</v>
      </c>
      <c r="AB35" s="54">
        <f>SUM(Post_Tax_Net_Cash_Flow_Undiscounted todate)</f>
        <v>39072320.60581705</v>
      </c>
      <c r="AC35" s="54">
        <f>SUM(Post_Tax_Net_Cash_Flow_Undiscounted todate)</f>
        <v>36844540.888664968</v>
      </c>
      <c r="AD35" s="54">
        <f>SUM(Post_Tax_Net_Cash_Flow_Undiscounted todate)</f>
        <v>36844540.888664968</v>
      </c>
      <c r="AE35" s="54">
        <f>SUM(Post_Tax_Net_Cash_Flow_Undiscounted todate)</f>
        <v>36844540.888664968</v>
      </c>
      <c r="AF35" s="54">
        <f>SUM(Post_Tax_Net_Cash_Flow_Undiscounted todate)</f>
        <v>36844540.888664968</v>
      </c>
    </row>
    <row r="36" spans="2:33" ht="18.600000000000001" customHeight="1" x14ac:dyDescent="0.3">
      <c r="B36" s="55" t="s">
        <v>91</v>
      </c>
      <c r="C36" s="56"/>
      <c r="D36" s="57">
        <f>SUM(Post_Tax_Net_Cash_Flow_Discounted todate)</f>
        <v>-6650000</v>
      </c>
      <c r="E36" s="57">
        <f>SUM(Post_Tax_Net_Cash_Flow_Discounted todate)</f>
        <v>-9821064.8148148153</v>
      </c>
      <c r="F36" s="57">
        <f>SUM(Post_Tax_Net_Cash_Flow_Discounted todate)</f>
        <v>-12845321.073388204</v>
      </c>
      <c r="G36" s="57">
        <f>SUM(Post_Tax_Net_Cash_Flow_Discounted todate)</f>
        <v>-11008873.134811768</v>
      </c>
      <c r="H36" s="57">
        <f>SUM(Post_Tax_Net_Cash_Flow_Discounted todate)</f>
        <v>-9264777.8569140341</v>
      </c>
      <c r="I36" s="57">
        <f>SUM(Post_Tax_Net_Cash_Flow_Discounted todate)</f>
        <v>-7608216.5481612366</v>
      </c>
      <c r="J36" s="57">
        <f>SUM(Post_Tax_Net_Cash_Flow_Discounted todate)</f>
        <v>-6034633.8346195985</v>
      </c>
      <c r="K36" s="57">
        <f>SUM(Post_Tax_Net_Cash_Flow_Discounted todate)</f>
        <v>-4539722.4893235536</v>
      </c>
      <c r="L36" s="57">
        <f>SUM(Post_Tax_Net_Cash_Flow_Discounted todate)</f>
        <v>-3119409.1847289363</v>
      </c>
      <c r="M36" s="57">
        <f>SUM(Post_Tax_Net_Cash_Flow_Discounted todate)</f>
        <v>-1769841.10916454</v>
      </c>
      <c r="N36" s="57">
        <f>SUM(Post_Tax_Net_Cash_Flow_Discounted todate)</f>
        <v>-487373.39214213984</v>
      </c>
      <c r="O36" s="57">
        <f>SUM(Post_Tax_Net_Cash_Flow_Discounted todate)</f>
        <v>588839.16221088776</v>
      </c>
      <c r="P36" s="57">
        <f>SUM(Post_Tax_Net_Cash_Flow_Discounted todate)</f>
        <v>1615227.0612697932</v>
      </c>
      <c r="Q36" s="57">
        <f>SUM(Post_Tax_Net_Cash_Flow_Discounted todate)</f>
        <v>2594097.0020389347</v>
      </c>
      <c r="R36" s="57">
        <f>SUM(Post_Tax_Net_Cash_Flow_Discounted todate)</f>
        <v>3527648.8899946902</v>
      </c>
      <c r="S36" s="57">
        <f>SUM(Post_Tax_Net_Cash_Flow_Discounted todate)</f>
        <v>4417980.7831376791</v>
      </c>
      <c r="T36" s="57">
        <f>SUM(Post_Tax_Net_Cash_Flow_Discounted todate)</f>
        <v>5267093.6071536774</v>
      </c>
      <c r="U36" s="57">
        <f>SUM(Post_Tax_Net_Cash_Flow_Discounted todate)</f>
        <v>6076895.6522800466</v>
      </c>
      <c r="V36" s="57">
        <f>SUM(Post_Tax_Net_Cash_Flow_Discounted todate)</f>
        <v>6849206.8619838981</v>
      </c>
      <c r="W36" s="57">
        <f>SUM(Post_Tax_Net_Cash_Flow_Discounted todate)</f>
        <v>7585762.9230903499</v>
      </c>
      <c r="X36" s="57">
        <f>SUM(Post_Tax_Net_Cash_Flow_Discounted todate)</f>
        <v>8288219.1665529842</v>
      </c>
      <c r="Y36" s="57">
        <f>SUM(Post_Tax_Net_Cash_Flow_Discounted todate)</f>
        <v>8958154.2876330893</v>
      </c>
      <c r="Z36" s="57">
        <f>SUM(Post_Tax_Net_Cash_Flow_Discounted todate)</f>
        <v>9597073.8938483745</v>
      </c>
      <c r="AA36" s="57">
        <f>SUM(Post_Tax_Net_Cash_Flow_Discounted todate)</f>
        <v>9418251.6976643819</v>
      </c>
      <c r="AB36" s="57">
        <f>SUM(Post_Tax_Net_Cash_Flow_Discounted todate)</f>
        <v>9077164.9160541762</v>
      </c>
      <c r="AC36" s="57">
        <f>SUM(Post_Tax_Net_Cash_Flow_Discounted todate)</f>
        <v>8751869.1891481467</v>
      </c>
      <c r="AD36" s="57">
        <f>SUM(Post_Tax_Net_Cash_Flow_Discounted todate)</f>
        <v>8751869.1891481467</v>
      </c>
      <c r="AE36" s="57">
        <f>SUM(Post_Tax_Net_Cash_Flow_Discounted todate)</f>
        <v>8751869.1891481467</v>
      </c>
      <c r="AF36" s="57">
        <f>SUM(Post_Tax_Net_Cash_Flow_Discounted todate)</f>
        <v>8751869.1891481467</v>
      </c>
    </row>
    <row r="37" spans="2:33" ht="18.600000000000001" customHeight="1" x14ac:dyDescent="0.3">
      <c r="B37" s="50" t="s">
        <v>81</v>
      </c>
      <c r="C37" s="51"/>
      <c r="D37" s="51">
        <f t="shared" ref="D37:AF37" si="17">IF(Cumulative_Net_Cash_Flow_Undiscounted&gt;0,1,0)</f>
        <v>0</v>
      </c>
      <c r="E37" s="51">
        <f t="shared" si="17"/>
        <v>0</v>
      </c>
      <c r="F37" s="51">
        <f t="shared" si="17"/>
        <v>0</v>
      </c>
      <c r="G37" s="51">
        <f t="shared" si="17"/>
        <v>0</v>
      </c>
      <c r="H37" s="51">
        <f t="shared" si="17"/>
        <v>0</v>
      </c>
      <c r="I37" s="51">
        <f t="shared" si="17"/>
        <v>0</v>
      </c>
      <c r="J37" s="51">
        <f t="shared" si="17"/>
        <v>0</v>
      </c>
      <c r="K37" s="51">
        <f t="shared" si="17"/>
        <v>0</v>
      </c>
      <c r="L37" s="51">
        <f t="shared" si="17"/>
        <v>1</v>
      </c>
      <c r="M37" s="51">
        <f t="shared" si="17"/>
        <v>1</v>
      </c>
      <c r="N37" s="51">
        <f t="shared" si="17"/>
        <v>1</v>
      </c>
      <c r="O37" s="51">
        <f t="shared" si="17"/>
        <v>1</v>
      </c>
      <c r="P37" s="51">
        <f t="shared" si="17"/>
        <v>1</v>
      </c>
      <c r="Q37" s="51">
        <f t="shared" si="17"/>
        <v>1</v>
      </c>
      <c r="R37" s="51">
        <f t="shared" si="17"/>
        <v>1</v>
      </c>
      <c r="S37" s="51">
        <f t="shared" si="17"/>
        <v>1</v>
      </c>
      <c r="T37" s="51">
        <f t="shared" si="17"/>
        <v>1</v>
      </c>
      <c r="U37" s="51">
        <f t="shared" si="17"/>
        <v>1</v>
      </c>
      <c r="V37" s="51">
        <f t="shared" si="17"/>
        <v>1</v>
      </c>
      <c r="W37" s="51">
        <f t="shared" si="17"/>
        <v>1</v>
      </c>
      <c r="X37" s="51">
        <f t="shared" si="17"/>
        <v>1</v>
      </c>
      <c r="Y37" s="51">
        <f t="shared" si="17"/>
        <v>1</v>
      </c>
      <c r="Z37" s="51">
        <f t="shared" si="17"/>
        <v>1</v>
      </c>
      <c r="AA37" s="51">
        <f t="shared" si="17"/>
        <v>1</v>
      </c>
      <c r="AB37" s="51">
        <f t="shared" si="17"/>
        <v>1</v>
      </c>
      <c r="AC37" s="51">
        <f t="shared" si="17"/>
        <v>1</v>
      </c>
      <c r="AD37" s="51">
        <f t="shared" si="17"/>
        <v>1</v>
      </c>
      <c r="AE37" s="51">
        <f t="shared" si="17"/>
        <v>1</v>
      </c>
      <c r="AF37" s="51">
        <f t="shared" si="17"/>
        <v>1</v>
      </c>
    </row>
    <row r="38" spans="2:33" ht="18.600000000000001" customHeight="1" x14ac:dyDescent="0.3">
      <c r="B38" s="50" t="s">
        <v>82</v>
      </c>
      <c r="C38" s="51"/>
      <c r="D38" s="51"/>
      <c r="E38" s="51" cm="1">
        <f t="array" ref="E38">Cumulative_Net_Cash_Flow_Positive_Indicator lag</f>
        <v>0</v>
      </c>
      <c r="F38" s="51" cm="1">
        <f t="array" ref="F38">Cumulative_Net_Cash_Flow_Positive_Indicator lag</f>
        <v>0</v>
      </c>
      <c r="G38" s="51" cm="1">
        <f t="array" ref="G38">Cumulative_Net_Cash_Flow_Positive_Indicator lag</f>
        <v>0</v>
      </c>
      <c r="H38" s="51" cm="1">
        <f t="array" ref="H38">Cumulative_Net_Cash_Flow_Positive_Indicator lag</f>
        <v>0</v>
      </c>
      <c r="I38" s="51" cm="1">
        <f t="array" ref="I38">Cumulative_Net_Cash_Flow_Positive_Indicator lag</f>
        <v>0</v>
      </c>
      <c r="J38" s="51" cm="1">
        <f t="array" ref="J38">Cumulative_Net_Cash_Flow_Positive_Indicator lag</f>
        <v>0</v>
      </c>
      <c r="K38" s="51" cm="1">
        <f t="array" ref="K38">Cumulative_Net_Cash_Flow_Positive_Indicator lag</f>
        <v>0</v>
      </c>
      <c r="L38" s="51" cm="1">
        <f t="array" ref="L38">Cumulative_Net_Cash_Flow_Positive_Indicator lag</f>
        <v>0</v>
      </c>
      <c r="M38" s="51" cm="1">
        <f t="array" ref="M38">Cumulative_Net_Cash_Flow_Positive_Indicator lag</f>
        <v>1</v>
      </c>
      <c r="N38" s="51" cm="1">
        <f t="array" ref="N38">Cumulative_Net_Cash_Flow_Positive_Indicator lag</f>
        <v>1</v>
      </c>
      <c r="O38" s="51" cm="1">
        <f t="array" ref="O38">Cumulative_Net_Cash_Flow_Positive_Indicator lag</f>
        <v>1</v>
      </c>
      <c r="P38" s="51" cm="1">
        <f t="array" ref="P38">Cumulative_Net_Cash_Flow_Positive_Indicator lag</f>
        <v>1</v>
      </c>
      <c r="Q38" s="51" cm="1">
        <f t="array" ref="Q38">Cumulative_Net_Cash_Flow_Positive_Indicator lag</f>
        <v>1</v>
      </c>
      <c r="R38" s="51" cm="1">
        <f t="array" ref="R38">Cumulative_Net_Cash_Flow_Positive_Indicator lag</f>
        <v>1</v>
      </c>
      <c r="S38" s="51" cm="1">
        <f t="array" ref="S38">Cumulative_Net_Cash_Flow_Positive_Indicator lag</f>
        <v>1</v>
      </c>
      <c r="T38" s="51" cm="1">
        <f t="array" ref="T38">Cumulative_Net_Cash_Flow_Positive_Indicator lag</f>
        <v>1</v>
      </c>
      <c r="U38" s="51" cm="1">
        <f t="array" ref="U38">Cumulative_Net_Cash_Flow_Positive_Indicator lag</f>
        <v>1</v>
      </c>
      <c r="V38" s="51" cm="1">
        <f t="array" ref="V38">Cumulative_Net_Cash_Flow_Positive_Indicator lag</f>
        <v>1</v>
      </c>
      <c r="W38" s="51" cm="1">
        <f t="array" ref="W38">Cumulative_Net_Cash_Flow_Positive_Indicator lag</f>
        <v>1</v>
      </c>
      <c r="X38" s="51" cm="1">
        <f t="array" ref="X38">Cumulative_Net_Cash_Flow_Positive_Indicator lag</f>
        <v>1</v>
      </c>
      <c r="Y38" s="51" cm="1">
        <f t="array" ref="Y38">Cumulative_Net_Cash_Flow_Positive_Indicator lag</f>
        <v>1</v>
      </c>
      <c r="Z38" s="51" cm="1">
        <f t="array" ref="Z38">Cumulative_Net_Cash_Flow_Positive_Indicator lag</f>
        <v>1</v>
      </c>
      <c r="AA38" s="51" cm="1">
        <f t="array" ref="AA38">Cumulative_Net_Cash_Flow_Positive_Indicator lag</f>
        <v>1</v>
      </c>
      <c r="AB38" s="51" cm="1">
        <f t="array" ref="AB38">Cumulative_Net_Cash_Flow_Positive_Indicator lag</f>
        <v>1</v>
      </c>
      <c r="AC38" s="51" cm="1">
        <f t="array" ref="AC38">Cumulative_Net_Cash_Flow_Positive_Indicator lag</f>
        <v>1</v>
      </c>
      <c r="AD38" s="51" cm="1">
        <f t="array" ref="AD38">Cumulative_Net_Cash_Flow_Positive_Indicator lag</f>
        <v>1</v>
      </c>
      <c r="AE38" s="51" cm="1">
        <f t="array" ref="AE38">Cumulative_Net_Cash_Flow_Positive_Indicator lag</f>
        <v>1</v>
      </c>
      <c r="AF38" s="51" cm="1">
        <f t="array" ref="AF38">Cumulative_Net_Cash_Flow_Positive_Indicator lag</f>
        <v>1</v>
      </c>
    </row>
    <row r="39" spans="2:33" ht="18.600000000000001" customHeight="1" x14ac:dyDescent="0.3">
      <c r="B39" s="50" t="s">
        <v>80</v>
      </c>
      <c r="C39" s="51"/>
      <c r="D39" s="51">
        <f t="shared" ref="D39:AF39" si="18">(Cumulative_Net_Cash_Flow_Positive_Indicator-Lagged_Cumulative_Net_Cash_Flow_Positive_Indicator)*Year</f>
        <v>0</v>
      </c>
      <c r="E39" s="51">
        <f t="shared" si="18"/>
        <v>0</v>
      </c>
      <c r="F39" s="51">
        <f t="shared" si="18"/>
        <v>0</v>
      </c>
      <c r="G39" s="51">
        <f t="shared" si="18"/>
        <v>0</v>
      </c>
      <c r="H39" s="51">
        <f t="shared" si="18"/>
        <v>0</v>
      </c>
      <c r="I39" s="51">
        <f t="shared" si="18"/>
        <v>0</v>
      </c>
      <c r="J39" s="51">
        <f t="shared" si="18"/>
        <v>0</v>
      </c>
      <c r="K39" s="51">
        <f t="shared" si="18"/>
        <v>0</v>
      </c>
      <c r="L39" s="51">
        <f t="shared" si="18"/>
        <v>8</v>
      </c>
      <c r="M39" s="51">
        <f t="shared" si="18"/>
        <v>0</v>
      </c>
      <c r="N39" s="51">
        <f t="shared" si="18"/>
        <v>0</v>
      </c>
      <c r="O39" s="51">
        <f t="shared" si="18"/>
        <v>0</v>
      </c>
      <c r="P39" s="51">
        <f t="shared" si="18"/>
        <v>0</v>
      </c>
      <c r="Q39" s="51">
        <f t="shared" si="18"/>
        <v>0</v>
      </c>
      <c r="R39" s="51">
        <f t="shared" si="18"/>
        <v>0</v>
      </c>
      <c r="S39" s="51">
        <f t="shared" si="18"/>
        <v>0</v>
      </c>
      <c r="T39" s="51">
        <f t="shared" si="18"/>
        <v>0</v>
      </c>
      <c r="U39" s="51">
        <f t="shared" si="18"/>
        <v>0</v>
      </c>
      <c r="V39" s="51">
        <f t="shared" si="18"/>
        <v>0</v>
      </c>
      <c r="W39" s="51">
        <f t="shared" si="18"/>
        <v>0</v>
      </c>
      <c r="X39" s="51">
        <f t="shared" si="18"/>
        <v>0</v>
      </c>
      <c r="Y39" s="51">
        <f t="shared" si="18"/>
        <v>0</v>
      </c>
      <c r="Z39" s="51">
        <f t="shared" si="18"/>
        <v>0</v>
      </c>
      <c r="AA39" s="51">
        <f t="shared" si="18"/>
        <v>0</v>
      </c>
      <c r="AB39" s="51">
        <f t="shared" si="18"/>
        <v>0</v>
      </c>
      <c r="AC39" s="51">
        <f t="shared" si="18"/>
        <v>0</v>
      </c>
      <c r="AD39" s="51">
        <f t="shared" si="18"/>
        <v>0</v>
      </c>
      <c r="AE39" s="51">
        <f t="shared" si="18"/>
        <v>0</v>
      </c>
      <c r="AF39" s="51">
        <f t="shared" si="18"/>
        <v>0</v>
      </c>
    </row>
    <row r="40" spans="2:33" ht="18.600000000000001" customHeight="1" x14ac:dyDescent="0.3">
      <c r="B40" s="50" t="s">
        <v>83</v>
      </c>
      <c r="C40" s="51"/>
      <c r="D40" s="41">
        <f t="shared" ref="D40:AF40" si="19">IF(Cumulative_Net_Cash_Flow_Discounted&gt;0,1,0)</f>
        <v>0</v>
      </c>
      <c r="E40" s="41">
        <f t="shared" si="19"/>
        <v>0</v>
      </c>
      <c r="F40" s="41">
        <f t="shared" si="19"/>
        <v>0</v>
      </c>
      <c r="G40" s="41">
        <f t="shared" si="19"/>
        <v>0</v>
      </c>
      <c r="H40" s="41">
        <f t="shared" si="19"/>
        <v>0</v>
      </c>
      <c r="I40" s="41">
        <f t="shared" si="19"/>
        <v>0</v>
      </c>
      <c r="J40" s="41">
        <f t="shared" si="19"/>
        <v>0</v>
      </c>
      <c r="K40" s="41">
        <f t="shared" si="19"/>
        <v>0</v>
      </c>
      <c r="L40" s="41">
        <f t="shared" si="19"/>
        <v>0</v>
      </c>
      <c r="M40" s="41">
        <f t="shared" si="19"/>
        <v>0</v>
      </c>
      <c r="N40" s="41">
        <f t="shared" si="19"/>
        <v>0</v>
      </c>
      <c r="O40" s="41">
        <f t="shared" si="19"/>
        <v>1</v>
      </c>
      <c r="P40" s="41">
        <f t="shared" si="19"/>
        <v>1</v>
      </c>
      <c r="Q40" s="41">
        <f t="shared" si="19"/>
        <v>1</v>
      </c>
      <c r="R40" s="41">
        <f t="shared" si="19"/>
        <v>1</v>
      </c>
      <c r="S40" s="41">
        <f t="shared" si="19"/>
        <v>1</v>
      </c>
      <c r="T40" s="41">
        <f t="shared" si="19"/>
        <v>1</v>
      </c>
      <c r="U40" s="41">
        <f t="shared" si="19"/>
        <v>1</v>
      </c>
      <c r="V40" s="41">
        <f t="shared" si="19"/>
        <v>1</v>
      </c>
      <c r="W40" s="41">
        <f t="shared" si="19"/>
        <v>1</v>
      </c>
      <c r="X40" s="41">
        <f t="shared" si="19"/>
        <v>1</v>
      </c>
      <c r="Y40" s="41">
        <f t="shared" si="19"/>
        <v>1</v>
      </c>
      <c r="Z40" s="41">
        <f t="shared" si="19"/>
        <v>1</v>
      </c>
      <c r="AA40" s="41">
        <f t="shared" si="19"/>
        <v>1</v>
      </c>
      <c r="AB40" s="41">
        <f t="shared" si="19"/>
        <v>1</v>
      </c>
      <c r="AC40" s="41">
        <f t="shared" si="19"/>
        <v>1</v>
      </c>
      <c r="AD40" s="41">
        <f t="shared" si="19"/>
        <v>1</v>
      </c>
      <c r="AE40" s="41">
        <f t="shared" si="19"/>
        <v>1</v>
      </c>
      <c r="AF40" s="41">
        <f t="shared" si="19"/>
        <v>1</v>
      </c>
    </row>
    <row r="41" spans="2:33" ht="18.600000000000001" customHeight="1" x14ac:dyDescent="0.3">
      <c r="B41" s="50" t="s">
        <v>84</v>
      </c>
      <c r="C41" s="51"/>
      <c r="E41" s="51" cm="1">
        <f t="array" ref="E41">Cumulative_Net_Cash_Flow_Discounted_Positive_Indicator lag</f>
        <v>0</v>
      </c>
      <c r="F41" s="51" cm="1">
        <f t="array" ref="F41">Cumulative_Net_Cash_Flow_Discounted_Positive_Indicator lag</f>
        <v>0</v>
      </c>
      <c r="G41" s="51" cm="1">
        <f t="array" ref="G41">Cumulative_Net_Cash_Flow_Discounted_Positive_Indicator lag</f>
        <v>0</v>
      </c>
      <c r="H41" s="51" cm="1">
        <f t="array" ref="H41">Cumulative_Net_Cash_Flow_Discounted_Positive_Indicator lag</f>
        <v>0</v>
      </c>
      <c r="I41" s="51" cm="1">
        <f t="array" ref="I41">Cumulative_Net_Cash_Flow_Discounted_Positive_Indicator lag</f>
        <v>0</v>
      </c>
      <c r="J41" s="51" cm="1">
        <f t="array" ref="J41">Cumulative_Net_Cash_Flow_Discounted_Positive_Indicator lag</f>
        <v>0</v>
      </c>
      <c r="K41" s="51" cm="1">
        <f t="array" ref="K41">Cumulative_Net_Cash_Flow_Discounted_Positive_Indicator lag</f>
        <v>0</v>
      </c>
      <c r="L41" s="51" cm="1">
        <f t="array" ref="L41">Cumulative_Net_Cash_Flow_Discounted_Positive_Indicator lag</f>
        <v>0</v>
      </c>
      <c r="M41" s="51" cm="1">
        <f t="array" ref="M41">Cumulative_Net_Cash_Flow_Discounted_Positive_Indicator lag</f>
        <v>0</v>
      </c>
      <c r="N41" s="51" cm="1">
        <f t="array" ref="N41">Cumulative_Net_Cash_Flow_Discounted_Positive_Indicator lag</f>
        <v>0</v>
      </c>
      <c r="O41" s="51" cm="1">
        <f t="array" ref="O41">Cumulative_Net_Cash_Flow_Discounted_Positive_Indicator lag</f>
        <v>0</v>
      </c>
      <c r="P41" s="51" cm="1">
        <f t="array" ref="P41">Cumulative_Net_Cash_Flow_Discounted_Positive_Indicator lag</f>
        <v>1</v>
      </c>
      <c r="Q41" s="51" cm="1">
        <f t="array" ref="Q41">Cumulative_Net_Cash_Flow_Discounted_Positive_Indicator lag</f>
        <v>1</v>
      </c>
      <c r="R41" s="51" cm="1">
        <f t="array" ref="R41">Cumulative_Net_Cash_Flow_Discounted_Positive_Indicator lag</f>
        <v>1</v>
      </c>
      <c r="S41" s="51" cm="1">
        <f t="array" ref="S41">Cumulative_Net_Cash_Flow_Discounted_Positive_Indicator lag</f>
        <v>1</v>
      </c>
      <c r="T41" s="51" cm="1">
        <f t="array" ref="T41">Cumulative_Net_Cash_Flow_Discounted_Positive_Indicator lag</f>
        <v>1</v>
      </c>
      <c r="U41" s="51" cm="1">
        <f t="array" ref="U41">Cumulative_Net_Cash_Flow_Discounted_Positive_Indicator lag</f>
        <v>1</v>
      </c>
      <c r="V41" s="51" cm="1">
        <f t="array" ref="V41">Cumulative_Net_Cash_Flow_Discounted_Positive_Indicator lag</f>
        <v>1</v>
      </c>
      <c r="W41" s="51" cm="1">
        <f t="array" ref="W41">Cumulative_Net_Cash_Flow_Discounted_Positive_Indicator lag</f>
        <v>1</v>
      </c>
      <c r="X41" s="51" cm="1">
        <f t="array" ref="X41">Cumulative_Net_Cash_Flow_Discounted_Positive_Indicator lag</f>
        <v>1</v>
      </c>
      <c r="Y41" s="51" cm="1">
        <f t="array" ref="Y41">Cumulative_Net_Cash_Flow_Discounted_Positive_Indicator lag</f>
        <v>1</v>
      </c>
      <c r="Z41" s="51" cm="1">
        <f t="array" ref="Z41">Cumulative_Net_Cash_Flow_Discounted_Positive_Indicator lag</f>
        <v>1</v>
      </c>
      <c r="AA41" s="51" cm="1">
        <f t="array" ref="AA41">Cumulative_Net_Cash_Flow_Discounted_Positive_Indicator lag</f>
        <v>1</v>
      </c>
      <c r="AB41" s="51" cm="1">
        <f t="array" ref="AB41">Cumulative_Net_Cash_Flow_Discounted_Positive_Indicator lag</f>
        <v>1</v>
      </c>
      <c r="AC41" s="51" cm="1">
        <f t="array" ref="AC41">Cumulative_Net_Cash_Flow_Discounted_Positive_Indicator lag</f>
        <v>1</v>
      </c>
      <c r="AD41" s="51" cm="1">
        <f t="array" ref="AD41">Cumulative_Net_Cash_Flow_Discounted_Positive_Indicator lag</f>
        <v>1</v>
      </c>
      <c r="AE41" s="51" cm="1">
        <f t="array" ref="AE41">Cumulative_Net_Cash_Flow_Discounted_Positive_Indicator lag</f>
        <v>1</v>
      </c>
      <c r="AF41" s="51" cm="1">
        <f t="array" ref="AF41">Cumulative_Net_Cash_Flow_Discounted_Positive_Indicator lag</f>
        <v>1</v>
      </c>
    </row>
    <row r="42" spans="2:33" ht="18.600000000000001" customHeight="1" x14ac:dyDescent="0.3">
      <c r="B42" s="59" t="s">
        <v>85</v>
      </c>
      <c r="C42" s="60"/>
      <c r="D42" s="60">
        <f t="shared" ref="D42:AF42" si="20">(Cumulative_Net_Cash_Flow_Discounted_Positive_Indicator-Lagged_Cumulative_Net_Cash_Flow_Discounted_Positive_Indicator)*Year</f>
        <v>0</v>
      </c>
      <c r="E42" s="60">
        <f t="shared" si="20"/>
        <v>0</v>
      </c>
      <c r="F42" s="60">
        <f t="shared" si="20"/>
        <v>0</v>
      </c>
      <c r="G42" s="60">
        <f t="shared" si="20"/>
        <v>0</v>
      </c>
      <c r="H42" s="60">
        <f t="shared" si="20"/>
        <v>0</v>
      </c>
      <c r="I42" s="60">
        <f t="shared" si="20"/>
        <v>0</v>
      </c>
      <c r="J42" s="60">
        <f t="shared" si="20"/>
        <v>0</v>
      </c>
      <c r="K42" s="60">
        <f t="shared" si="20"/>
        <v>0</v>
      </c>
      <c r="L42" s="60">
        <f t="shared" si="20"/>
        <v>0</v>
      </c>
      <c r="M42" s="60">
        <f t="shared" si="20"/>
        <v>0</v>
      </c>
      <c r="N42" s="60">
        <f t="shared" si="20"/>
        <v>0</v>
      </c>
      <c r="O42" s="60">
        <f t="shared" si="20"/>
        <v>11</v>
      </c>
      <c r="P42" s="60">
        <f t="shared" si="20"/>
        <v>0</v>
      </c>
      <c r="Q42" s="60">
        <f t="shared" si="20"/>
        <v>0</v>
      </c>
      <c r="R42" s="60">
        <f t="shared" si="20"/>
        <v>0</v>
      </c>
      <c r="S42" s="60">
        <f t="shared" si="20"/>
        <v>0</v>
      </c>
      <c r="T42" s="60">
        <f t="shared" si="20"/>
        <v>0</v>
      </c>
      <c r="U42" s="60">
        <f t="shared" si="20"/>
        <v>0</v>
      </c>
      <c r="V42" s="60">
        <f t="shared" si="20"/>
        <v>0</v>
      </c>
      <c r="W42" s="60">
        <f t="shared" si="20"/>
        <v>0</v>
      </c>
      <c r="X42" s="60">
        <f t="shared" si="20"/>
        <v>0</v>
      </c>
      <c r="Y42" s="60">
        <f t="shared" si="20"/>
        <v>0</v>
      </c>
      <c r="Z42" s="60">
        <f t="shared" si="20"/>
        <v>0</v>
      </c>
      <c r="AA42" s="60">
        <f t="shared" si="20"/>
        <v>0</v>
      </c>
      <c r="AB42" s="60">
        <f t="shared" si="20"/>
        <v>0</v>
      </c>
      <c r="AC42" s="60">
        <f t="shared" si="20"/>
        <v>0</v>
      </c>
      <c r="AD42" s="60">
        <f t="shared" si="20"/>
        <v>0</v>
      </c>
      <c r="AE42" s="60">
        <f t="shared" si="20"/>
        <v>0</v>
      </c>
      <c r="AF42" s="60">
        <f t="shared" si="20"/>
        <v>0</v>
      </c>
    </row>
    <row r="44" spans="2:33" ht="18.600000000000001" customHeight="1" thickBot="1" x14ac:dyDescent="0.35">
      <c r="B44" s="63" t="s">
        <v>95</v>
      </c>
      <c r="C44" s="64"/>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row>
    <row r="45" spans="2:33" ht="18.600000000000001" customHeight="1" thickTop="1" x14ac:dyDescent="0.3">
      <c r="B45" s="38" t="s">
        <v>96</v>
      </c>
      <c r="D45" s="54">
        <f t="shared" ref="D45:AF45" si="21">IFERROR(Total_Expenditure_Discounted,0)</f>
        <v>6650000</v>
      </c>
      <c r="E45" s="54">
        <f t="shared" si="21"/>
        <v>3171064.8148148148</v>
      </c>
      <c r="F45" s="54">
        <f t="shared" si="21"/>
        <v>3024256.2585733877</v>
      </c>
      <c r="G45" s="54">
        <f t="shared" si="21"/>
        <v>693953.53858659742</v>
      </c>
      <c r="H45" s="54">
        <f t="shared" si="21"/>
        <v>661826.059948329</v>
      </c>
      <c r="I45" s="54">
        <f t="shared" si="21"/>
        <v>631185.96458035067</v>
      </c>
      <c r="J45" s="54">
        <f t="shared" si="21"/>
        <v>601964.39214607514</v>
      </c>
      <c r="K45" s="54">
        <f t="shared" si="21"/>
        <v>574095.67028746067</v>
      </c>
      <c r="L45" s="54">
        <f t="shared" si="21"/>
        <v>547517.16703341145</v>
      </c>
      <c r="M45" s="54">
        <f t="shared" si="21"/>
        <v>522169.15004112391</v>
      </c>
      <c r="N45" s="54">
        <f t="shared" si="21"/>
        <v>497994.65235403471</v>
      </c>
      <c r="O45" s="54">
        <f t="shared" si="21"/>
        <v>474939.3443746813</v>
      </c>
      <c r="P45" s="54">
        <f t="shared" si="21"/>
        <v>452951.41176474228</v>
      </c>
      <c r="Q45" s="54">
        <f t="shared" si="21"/>
        <v>431981.43899785605</v>
      </c>
      <c r="R45" s="54">
        <f t="shared" si="21"/>
        <v>411982.29830351082</v>
      </c>
      <c r="S45" s="54">
        <f t="shared" si="21"/>
        <v>392909.04375242238</v>
      </c>
      <c r="T45" s="54">
        <f t="shared" si="21"/>
        <v>374718.81024536572</v>
      </c>
      <c r="U45" s="54">
        <f t="shared" si="21"/>
        <v>357370.71717845066</v>
      </c>
      <c r="V45" s="54">
        <f t="shared" si="21"/>
        <v>340825.77656833717</v>
      </c>
      <c r="W45" s="54">
        <f t="shared" si="21"/>
        <v>325046.8054309141</v>
      </c>
      <c r="X45" s="54">
        <f t="shared" si="21"/>
        <v>309998.34221651993</v>
      </c>
      <c r="Y45" s="54">
        <f t="shared" si="21"/>
        <v>295646.56711390323</v>
      </c>
      <c r="Z45" s="54">
        <f t="shared" si="21"/>
        <v>281959.22604381508</v>
      </c>
      <c r="AA45" s="54">
        <f t="shared" si="21"/>
        <v>178822.19618399179</v>
      </c>
      <c r="AB45" s="54">
        <f t="shared" si="21"/>
        <v>341086.78161020653</v>
      </c>
      <c r="AC45" s="54">
        <f t="shared" si="21"/>
        <v>325295.72690603021</v>
      </c>
      <c r="AD45" s="54">
        <f t="shared" si="21"/>
        <v>0</v>
      </c>
      <c r="AE45" s="54">
        <f t="shared" si="21"/>
        <v>0</v>
      </c>
      <c r="AF45" s="54">
        <f t="shared" si="21"/>
        <v>0</v>
      </c>
      <c r="AG45" s="65"/>
    </row>
    <row r="46" spans="2:33" ht="18.600000000000001" customHeight="1" x14ac:dyDescent="0.3">
      <c r="B46" s="38" t="s">
        <v>97</v>
      </c>
      <c r="D46" s="66">
        <f t="shared" ref="D46:AF46" si="22">IF(OpEx_Perc_Years=0,0,((actual__expected__output_of_all_wind_turbines__mWh_yr/(one_plus_discount_rate^Year)/10^3)))</f>
        <v>0</v>
      </c>
      <c r="E46" s="66">
        <f t="shared" si="22"/>
        <v>0</v>
      </c>
      <c r="F46" s="66">
        <f t="shared" si="22"/>
        <v>0</v>
      </c>
      <c r="G46" s="66">
        <f t="shared" si="22"/>
        <v>48.677793019356798</v>
      </c>
      <c r="H46" s="66">
        <f t="shared" si="22"/>
        <v>45.072030573478507</v>
      </c>
      <c r="I46" s="66">
        <f t="shared" si="22"/>
        <v>41.733361642109735</v>
      </c>
      <c r="J46" s="66">
        <f t="shared" si="22"/>
        <v>38.642001520471965</v>
      </c>
      <c r="K46" s="66">
        <f t="shared" si="22"/>
        <v>35.77963103747404</v>
      </c>
      <c r="L46" s="66">
        <f t="shared" si="22"/>
        <v>33.129287997661152</v>
      </c>
      <c r="M46" s="66">
        <f t="shared" si="22"/>
        <v>30.675266664501063</v>
      </c>
      <c r="N46" s="66">
        <f t="shared" si="22"/>
        <v>28.403024689352836</v>
      </c>
      <c r="O46" s="66">
        <f t="shared" si="22"/>
        <v>26.299096934585961</v>
      </c>
      <c r="P46" s="66">
        <f t="shared" si="22"/>
        <v>24.351015680172182</v>
      </c>
      <c r="Q46" s="66">
        <f t="shared" si="22"/>
        <v>22.547236740900168</v>
      </c>
      <c r="R46" s="66">
        <f t="shared" si="22"/>
        <v>20.877071056389042</v>
      </c>
      <c r="S46" s="66">
        <f t="shared" si="22"/>
        <v>19.33062134850837</v>
      </c>
      <c r="T46" s="66">
        <f t="shared" si="22"/>
        <v>17.898723470841084</v>
      </c>
      <c r="U46" s="66">
        <f t="shared" si="22"/>
        <v>16.572892102630636</v>
      </c>
      <c r="V46" s="66">
        <f t="shared" si="22"/>
        <v>15.345270465398732</v>
      </c>
      <c r="W46" s="66">
        <f t="shared" si="22"/>
        <v>14.208583764258085</v>
      </c>
      <c r="X46" s="66">
        <f t="shared" si="22"/>
        <v>13.156096078016747</v>
      </c>
      <c r="Y46" s="66">
        <f t="shared" si="22"/>
        <v>12.181570442608097</v>
      </c>
      <c r="Z46" s="66">
        <f t="shared" si="22"/>
        <v>11.279231891303793</v>
      </c>
      <c r="AA46" s="66">
        <f t="shared" si="22"/>
        <v>0</v>
      </c>
      <c r="AB46" s="66">
        <f t="shared" si="22"/>
        <v>0</v>
      </c>
      <c r="AC46" s="66">
        <f t="shared" si="22"/>
        <v>0</v>
      </c>
      <c r="AD46" s="66">
        <f t="shared" si="22"/>
        <v>0</v>
      </c>
      <c r="AE46" s="66">
        <f t="shared" si="22"/>
        <v>0</v>
      </c>
      <c r="AF46" s="66">
        <f t="shared" si="22"/>
        <v>0</v>
      </c>
    </row>
    <row r="47" spans="2:33" ht="18.600000000000001" customHeight="1" x14ac:dyDescent="0.3">
      <c r="B47" s="38" t="s">
        <v>98</v>
      </c>
      <c r="D47" s="67" cm="1">
        <f t="array" ref="D47">SUM((NPV_Total_Cost)*10^6)/(SUM(NPV_Total_Energy)*10^3)</f>
        <v>44311009.57409139</v>
      </c>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row>
    <row r="49" spans="2:32" ht="18.600000000000001" customHeight="1" thickBot="1" x14ac:dyDescent="0.35">
      <c r="B49" s="68" t="s">
        <v>86</v>
      </c>
      <c r="C49" s="69"/>
      <c r="D49" s="46"/>
    </row>
    <row r="50" spans="2:32" ht="18.600000000000001" customHeight="1" thickTop="1" x14ac:dyDescent="0.3">
      <c r="B50" s="38" t="s">
        <v>88</v>
      </c>
      <c r="D50" s="54">
        <f>SUM(Net_Cash_Flow_Pre_Tax_Discounted)</f>
        <v>12314759.759673145</v>
      </c>
      <c r="E50" s="41" t="str">
        <f>IF((NPV(discount_rate_r,Pre_Tax_Net_Cash_Flow_Undiscounted)*(1+discount_rate_r))-(SUM(Net_Cash_Flow_Pre_Tax_Discounted)&lt;1),"✓", "✗")</f>
        <v>✓</v>
      </c>
    </row>
    <row r="51" spans="2:32" ht="18.600000000000001" customHeight="1" x14ac:dyDescent="0.3">
      <c r="B51" s="38" t="s">
        <v>181</v>
      </c>
      <c r="D51" s="54">
        <f>SUM(Post_Tax_Net_Cash_Flow_Discounted)</f>
        <v>8751869.1891481467</v>
      </c>
      <c r="E51" s="41" t="str">
        <f>IF((NPV(discount_rate_r,Post_Tax_Net_Cash_Flow_Undiscounted)*(1+discount_rate_r))-(SUM(Post_Tax_Net_Cash_Flow_Discounted)&lt;1),"✓", "✗")</f>
        <v>✓</v>
      </c>
    </row>
    <row r="52" spans="2:32" ht="18.600000000000001" customHeight="1" x14ac:dyDescent="0.3">
      <c r="B52" s="38" t="s">
        <v>149</v>
      </c>
      <c r="D52" s="70">
        <f>IRR(Post_Tax_Net_Cash_Flow_Undiscounted)</f>
        <v>0.14704222100614017</v>
      </c>
    </row>
    <row r="53" spans="2:32" ht="18.600000000000001" customHeight="1" x14ac:dyDescent="0.3">
      <c r="B53" s="38" t="s">
        <v>89</v>
      </c>
      <c r="D53" s="49">
        <f>(NPV(discount_rate_r,Capex)*(1+discount_rate_r))</f>
        <v>12845321.073388204</v>
      </c>
      <c r="E53" s="51"/>
    </row>
    <row r="54" spans="2:32" ht="18.600000000000001" customHeight="1" x14ac:dyDescent="0.3">
      <c r="B54" s="38" t="s">
        <v>61</v>
      </c>
      <c r="D54" s="54">
        <f>lcoe_mwh</f>
        <v>44311009.57409139</v>
      </c>
    </row>
    <row r="55" spans="2:32" ht="18.600000000000001" customHeight="1" x14ac:dyDescent="0.3">
      <c r="B55" s="38" t="s">
        <v>87</v>
      </c>
      <c r="D55" s="47">
        <f>post_tax_npv/npv_capex</f>
        <v>0.68132739844701062</v>
      </c>
    </row>
    <row r="59" spans="2:32" ht="18.600000000000001" customHeight="1" x14ac:dyDescent="0.3">
      <c r="B59" s="160" t="s">
        <v>107</v>
      </c>
      <c r="C59" s="160"/>
      <c r="D59" s="160"/>
      <c r="E59" s="160"/>
      <c r="F59" s="160"/>
      <c r="G59" s="160"/>
      <c r="H59" s="160"/>
      <c r="I59" s="160"/>
      <c r="J59" s="160"/>
      <c r="K59" s="160"/>
      <c r="L59" s="160"/>
      <c r="M59" s="160"/>
      <c r="N59" s="160"/>
      <c r="O59" s="160"/>
      <c r="P59" s="160"/>
      <c r="Q59" s="160"/>
      <c r="R59" s="160"/>
      <c r="S59" s="160"/>
      <c r="T59" s="160"/>
      <c r="U59" s="160"/>
      <c r="V59" s="160"/>
      <c r="W59" s="160"/>
      <c r="X59" s="160"/>
      <c r="Y59" s="160"/>
      <c r="Z59" s="160"/>
      <c r="AA59" s="160"/>
      <c r="AB59" s="160"/>
      <c r="AC59" s="160"/>
      <c r="AD59" s="160"/>
      <c r="AE59" s="160"/>
      <c r="AF59" s="160"/>
    </row>
    <row r="60" spans="2:32" ht="18.600000000000001" customHeight="1" x14ac:dyDescent="0.3">
      <c r="B60" s="160"/>
      <c r="C60" s="160"/>
      <c r="D60" s="160"/>
      <c r="E60" s="160"/>
      <c r="F60" s="160"/>
      <c r="G60" s="160"/>
      <c r="H60" s="160"/>
      <c r="I60" s="160"/>
      <c r="J60" s="160"/>
      <c r="K60" s="160"/>
      <c r="L60" s="160"/>
      <c r="M60" s="160"/>
      <c r="N60" s="160"/>
      <c r="O60" s="160"/>
      <c r="P60" s="160"/>
      <c r="Q60" s="160"/>
      <c r="R60" s="160"/>
      <c r="S60" s="160"/>
      <c r="T60" s="160"/>
      <c r="U60" s="160"/>
      <c r="V60" s="160"/>
      <c r="W60" s="160"/>
      <c r="X60" s="160"/>
      <c r="Y60" s="160"/>
      <c r="Z60" s="160"/>
      <c r="AA60" s="160"/>
      <c r="AB60" s="160"/>
      <c r="AC60" s="160"/>
      <c r="AD60" s="160"/>
      <c r="AE60" s="160"/>
      <c r="AF60" s="160"/>
    </row>
    <row r="112" spans="3:4" ht="18.600000000000001" customHeight="1" x14ac:dyDescent="0.3">
      <c r="C112" s="8"/>
      <c r="D112" s="8"/>
    </row>
    <row r="113" spans="3:4" ht="18.600000000000001" customHeight="1" x14ac:dyDescent="0.3">
      <c r="C113" s="3"/>
      <c r="D113" s="91"/>
    </row>
    <row r="114" spans="3:4" ht="18.600000000000001" customHeight="1" x14ac:dyDescent="0.3">
      <c r="C114" s="3"/>
      <c r="D114" s="9"/>
    </row>
    <row r="115" spans="3:4" ht="18.600000000000001" customHeight="1" x14ac:dyDescent="0.3">
      <c r="C115" s="3"/>
      <c r="D115" s="9"/>
    </row>
    <row r="116" spans="3:4" ht="18.600000000000001" customHeight="1" x14ac:dyDescent="0.3">
      <c r="C116" s="3"/>
      <c r="D116" s="9"/>
    </row>
    <row r="117" spans="3:4" ht="18.600000000000001" customHeight="1" x14ac:dyDescent="0.3">
      <c r="C117" s="3"/>
      <c r="D117" s="9"/>
    </row>
    <row r="118" spans="3:4" ht="18.600000000000001" customHeight="1" x14ac:dyDescent="0.3">
      <c r="C118" s="3"/>
      <c r="D118" s="9"/>
    </row>
    <row r="119" spans="3:4" ht="18.600000000000001" customHeight="1" x14ac:dyDescent="0.3">
      <c r="C119" s="3"/>
      <c r="D119" s="9"/>
    </row>
    <row r="120" spans="3:4" ht="18.600000000000001" customHeight="1" x14ac:dyDescent="0.3">
      <c r="C120" s="3"/>
      <c r="D120" s="9"/>
    </row>
  </sheetData>
  <mergeCells count="2">
    <mergeCell ref="B2:AF4"/>
    <mergeCell ref="B59:AF60"/>
  </mergeCells>
  <conditionalFormatting sqref="D50">
    <cfRule type="colorScale" priority="2">
      <colorScale>
        <cfvo type="min"/>
        <cfvo type="num" val="0"/>
        <cfvo type="max"/>
        <color rgb="FFF8696B"/>
        <color rgb="FFFCFCFF"/>
        <color rgb="FF63BE7B"/>
      </colorScale>
    </cfRule>
  </conditionalFormatting>
  <conditionalFormatting sqref="D51">
    <cfRule type="colorScale" priority="4">
      <colorScale>
        <cfvo type="min"/>
        <cfvo type="num" val="0"/>
        <cfvo type="max"/>
        <color rgb="FFF8696B"/>
        <color rgb="FFFCFCFF"/>
        <color rgb="FF63BE7B"/>
      </colorScale>
    </cfRule>
  </conditionalFormatting>
  <conditionalFormatting sqref="D55">
    <cfRule type="colorScale" priority="3">
      <colorScale>
        <cfvo type="min"/>
        <cfvo type="num" val="0"/>
        <cfvo type="max"/>
        <color rgb="FFF8696B"/>
        <color rgb="FFFCFCFF"/>
        <color rgb="FF63BE7B"/>
      </colorScale>
    </cfRule>
  </conditionalFormatting>
  <conditionalFormatting sqref="D114:D120">
    <cfRule type="colorScale" priority="1">
      <colorScale>
        <cfvo type="min"/>
        <cfvo type="num" val="0"/>
        <cfvo type="max"/>
        <color rgb="FFF8696B"/>
        <color rgb="FFFCFCFF"/>
        <color rgb="FF63BE7B"/>
      </colorScale>
    </cfRule>
  </conditionalFormatting>
  <conditionalFormatting sqref="D9:AF9">
    <cfRule type="dataBar" priority="21">
      <dataBar>
        <cfvo type="min"/>
        <cfvo type="num" val="0.7"/>
        <color theme="9" tint="0.39997558519241921"/>
      </dataBar>
      <extLst>
        <ext xmlns:x14="http://schemas.microsoft.com/office/spreadsheetml/2009/9/main" uri="{B025F937-C7B1-47D3-B67F-A62EFF666E3E}">
          <x14:id>{21EDD741-4D04-4C8C-A6B2-82612E98DA2D}</x14:id>
        </ext>
      </extLst>
    </cfRule>
  </conditionalFormatting>
  <conditionalFormatting sqref="D9:AF47">
    <cfRule type="cellIs" dxfId="2" priority="9" operator="equal">
      <formula>0</formula>
    </cfRule>
  </conditionalFormatting>
  <conditionalFormatting sqref="D10:AF10">
    <cfRule type="dataBar" priority="20">
      <dataBar>
        <cfvo type="min"/>
        <cfvo type="num" val="0.3"/>
        <color theme="9" tint="0.39997558519241921"/>
      </dataBar>
      <extLst>
        <ext xmlns:x14="http://schemas.microsoft.com/office/spreadsheetml/2009/9/main" uri="{B025F937-C7B1-47D3-B67F-A62EFF666E3E}">
          <x14:id>{5A1662EE-DCD2-42E2-98CA-1A1FBA717776}</x14:id>
        </ext>
      </extLst>
    </cfRule>
  </conditionalFormatting>
  <conditionalFormatting sqref="D11:AF11">
    <cfRule type="dataBar" priority="19">
      <dataBar>
        <cfvo type="min"/>
        <cfvo type="num" val="0.85"/>
        <color theme="9" tint="0.39997558519241921"/>
      </dataBar>
      <extLst>
        <ext xmlns:x14="http://schemas.microsoft.com/office/spreadsheetml/2009/9/main" uri="{B025F937-C7B1-47D3-B67F-A62EFF666E3E}">
          <x14:id>{0C3302D7-F324-48C5-964F-E0953E2561EF}</x14:id>
        </ext>
      </extLst>
    </cfRule>
  </conditionalFormatting>
  <conditionalFormatting sqref="D18:AF18">
    <cfRule type="dataBar" priority="8">
      <dataBar>
        <cfvo type="min"/>
        <cfvo type="max"/>
        <color rgb="FFFF5B5B"/>
      </dataBar>
      <extLst>
        <ext xmlns:x14="http://schemas.microsoft.com/office/spreadsheetml/2009/9/main" uri="{B025F937-C7B1-47D3-B67F-A62EFF666E3E}">
          <x14:id>{643D6CF3-66C6-4DE4-92A7-0799336637E3}</x14:id>
        </ext>
      </extLst>
    </cfRule>
  </conditionalFormatting>
  <conditionalFormatting sqref="D21:AF22">
    <cfRule type="dataBar" priority="16">
      <dataBar>
        <cfvo type="min"/>
        <cfvo type="max"/>
        <color rgb="FF63C384"/>
      </dataBar>
      <extLst>
        <ext xmlns:x14="http://schemas.microsoft.com/office/spreadsheetml/2009/9/main" uri="{B025F937-C7B1-47D3-B67F-A62EFF666E3E}">
          <x14:id>{114B7510-C4CE-4C85-AA21-1D21E029A851}</x14:id>
        </ext>
      </extLst>
    </cfRule>
  </conditionalFormatting>
  <conditionalFormatting sqref="D25:AF26">
    <cfRule type="colorScale" priority="15">
      <colorScale>
        <cfvo type="min"/>
        <cfvo type="num" val="0"/>
        <cfvo type="max"/>
        <color rgb="FFF8696B"/>
        <color rgb="FFFCFCFF"/>
        <color rgb="FF63BE7B"/>
      </colorScale>
    </cfRule>
  </conditionalFormatting>
  <conditionalFormatting sqref="D31:AF31">
    <cfRule type="colorScale" priority="14">
      <colorScale>
        <cfvo type="min"/>
        <cfvo type="num" val="0"/>
        <cfvo type="max"/>
        <color rgb="FFF8696B"/>
        <color rgb="FFFCFCFF"/>
        <color rgb="FF63BE7B"/>
      </colorScale>
    </cfRule>
  </conditionalFormatting>
  <conditionalFormatting sqref="D32:AF32">
    <cfRule type="colorScale" priority="12">
      <colorScale>
        <cfvo type="min"/>
        <cfvo type="num" val="0"/>
        <cfvo type="max"/>
        <color rgb="FFF8696B"/>
        <color rgb="FFFCFCFF"/>
        <color rgb="FF63BE7B"/>
      </colorScale>
    </cfRule>
  </conditionalFormatting>
  <conditionalFormatting sqref="D35:AF36">
    <cfRule type="colorScale" priority="13">
      <colorScale>
        <cfvo type="min"/>
        <cfvo type="num" val="0"/>
        <cfvo type="max"/>
        <color rgb="FFF8696B"/>
        <color rgb="FFFCFCFF"/>
        <color rgb="FF63BE7B"/>
      </colorScale>
    </cfRule>
  </conditionalFormatting>
  <conditionalFormatting sqref="D39:AF39">
    <cfRule type="cellIs" dxfId="1" priority="11" operator="greaterThan">
      <formula>0</formula>
    </cfRule>
  </conditionalFormatting>
  <conditionalFormatting sqref="D42:AF42">
    <cfRule type="cellIs" dxfId="0" priority="10" operator="greaterThan">
      <formula>0</formula>
    </cfRule>
  </conditionalFormatting>
  <conditionalFormatting sqref="D45:AF45">
    <cfRule type="dataBar" priority="17">
      <dataBar>
        <cfvo type="min"/>
        <cfvo type="max"/>
        <color rgb="FFFF5B5B"/>
      </dataBar>
      <extLst>
        <ext xmlns:x14="http://schemas.microsoft.com/office/spreadsheetml/2009/9/main" uri="{B025F937-C7B1-47D3-B67F-A62EFF666E3E}">
          <x14:id>{5ADC18D2-36CE-4FC3-BA1A-2BF6BD36749A}</x14:id>
        </ext>
      </extLst>
    </cfRule>
  </conditionalFormatting>
  <conditionalFormatting sqref="D46:AF46">
    <cfRule type="dataBar" priority="6">
      <dataBar>
        <cfvo type="min"/>
        <cfvo type="max"/>
        <color rgb="FFFFB628"/>
      </dataBar>
      <extLst>
        <ext xmlns:x14="http://schemas.microsoft.com/office/spreadsheetml/2009/9/main" uri="{B025F937-C7B1-47D3-B67F-A62EFF666E3E}">
          <x14:id>{AB94BD88-49D1-4AF2-91DF-95BFB36AF767}</x14:id>
        </ext>
      </extLst>
    </cfRule>
    <cfRule type="dataBar" priority="7">
      <dataBar>
        <cfvo type="min"/>
        <cfvo type="max"/>
        <color rgb="FFFFB628"/>
      </dataBar>
      <extLst>
        <ext xmlns:x14="http://schemas.microsoft.com/office/spreadsheetml/2009/9/main" uri="{B025F937-C7B1-47D3-B67F-A62EFF666E3E}">
          <x14:id>{DD6BF784-FAC1-4062-9104-713841BAC966}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21EDD741-4D04-4C8C-A6B2-82612E98DA2D}">
            <x14:dataBar minLength="0" maxLength="100" border="1" gradient="0" negativeBarBorderColorSameAsPositive="0">
              <x14:cfvo type="autoMin"/>
              <x14:cfvo type="num">
                <xm:f>0.7</xm:f>
              </x14:cfvo>
              <x14:borderColor theme="0"/>
              <x14:negativeFillColor rgb="FFFF0000"/>
              <x14:negativeBorderColor rgb="FFFF0000"/>
              <x14:axisColor rgb="FF000000"/>
            </x14:dataBar>
          </x14:cfRule>
          <xm:sqref>D9:AF9</xm:sqref>
        </x14:conditionalFormatting>
        <x14:conditionalFormatting xmlns:xm="http://schemas.microsoft.com/office/excel/2006/main">
          <x14:cfRule type="dataBar" id="{5A1662EE-DCD2-42E2-98CA-1A1FBA717776}">
            <x14:dataBar minLength="0" maxLength="100" border="1" gradient="0" negativeBarBorderColorSameAsPositive="0">
              <x14:cfvo type="autoMin"/>
              <x14:cfvo type="num">
                <xm:f>0.3</xm:f>
              </x14:cfvo>
              <x14:borderColor theme="0"/>
              <x14:negativeFillColor rgb="FFFF0000"/>
              <x14:negativeBorderColor rgb="FFFF0000"/>
              <x14:axisColor rgb="FF000000"/>
            </x14:dataBar>
          </x14:cfRule>
          <xm:sqref>D10:AF10</xm:sqref>
        </x14:conditionalFormatting>
        <x14:conditionalFormatting xmlns:xm="http://schemas.microsoft.com/office/excel/2006/main">
          <x14:cfRule type="dataBar" id="{0C3302D7-F324-48C5-964F-E0953E2561EF}">
            <x14:dataBar minLength="0" maxLength="100" border="1" gradient="0" negativeBarBorderColorSameAsPositive="0">
              <x14:cfvo type="autoMin"/>
              <x14:cfvo type="num">
                <xm:f>0.85</xm:f>
              </x14:cfvo>
              <x14:borderColor theme="0"/>
              <x14:negativeFillColor rgb="FFFF0000"/>
              <x14:negativeBorderColor rgb="FFFF0000"/>
              <x14:axisColor rgb="FF000000"/>
            </x14:dataBar>
          </x14:cfRule>
          <xm:sqref>D11:AF11</xm:sqref>
        </x14:conditionalFormatting>
        <x14:conditionalFormatting xmlns:xm="http://schemas.microsoft.com/office/excel/2006/main">
          <x14:cfRule type="dataBar" id="{643D6CF3-66C6-4DE4-92A7-0799336637E3}">
            <x14:dataBar minLength="0" maxLength="100" border="1" gradient="0" negativeBarBorderColorSameAsPositive="0">
              <x14:cfvo type="autoMin"/>
              <x14:cfvo type="autoMax"/>
              <x14:borderColor theme="0"/>
              <x14:negativeFillColor rgb="FFFF0000"/>
              <x14:negativeBorderColor rgb="FFFF0000"/>
              <x14:axisColor rgb="FF000000"/>
            </x14:dataBar>
          </x14:cfRule>
          <xm:sqref>D18:AF18</xm:sqref>
        </x14:conditionalFormatting>
        <x14:conditionalFormatting xmlns:xm="http://schemas.microsoft.com/office/excel/2006/main">
          <x14:cfRule type="dataBar" id="{114B7510-C4CE-4C85-AA21-1D21E029A851}">
            <x14:dataBar minLength="0" maxLength="100" gradient="0">
              <x14:cfvo type="autoMin"/>
              <x14:cfvo type="autoMax"/>
              <x14:negativeFillColor rgb="FFFF0000"/>
              <x14:axisColor rgb="FF000000"/>
            </x14:dataBar>
          </x14:cfRule>
          <xm:sqref>D21:AF22</xm:sqref>
        </x14:conditionalFormatting>
        <x14:conditionalFormatting xmlns:xm="http://schemas.microsoft.com/office/excel/2006/main">
          <x14:cfRule type="dataBar" id="{5ADC18D2-36CE-4FC3-BA1A-2BF6BD36749A}">
            <x14:dataBar minLength="0" maxLength="100" border="1" gradient="0" negativeBarBorderColorSameAsPositive="0">
              <x14:cfvo type="autoMin"/>
              <x14:cfvo type="autoMax"/>
              <x14:borderColor theme="0"/>
              <x14:negativeFillColor rgb="FFFF0000"/>
              <x14:negativeBorderColor rgb="FFFF0000"/>
              <x14:axisColor rgb="FF000000"/>
            </x14:dataBar>
          </x14:cfRule>
          <xm:sqref>D45:AF45</xm:sqref>
        </x14:conditionalFormatting>
        <x14:conditionalFormatting xmlns:xm="http://schemas.microsoft.com/office/excel/2006/main">
          <x14:cfRule type="dataBar" id="{AB94BD88-49D1-4AF2-91DF-95BFB36AF767}">
            <x14:dataBar minLength="0" maxLength="100" gradient="0">
              <x14:cfvo type="autoMin"/>
              <x14:cfvo type="autoMax"/>
              <x14:negativeFillColor rgb="FFFF0000"/>
              <x14:axisColor rgb="FF000000"/>
            </x14:dataBar>
          </x14:cfRule>
          <x14:cfRule type="dataBar" id="{DD6BF784-FAC1-4062-9104-713841BAC966}">
            <x14:dataBar minLength="0" maxLength="100" gradient="0">
              <x14:cfvo type="autoMin"/>
              <x14:cfvo type="autoMax"/>
              <x14:negativeFillColor rgb="FFFF0000"/>
              <x14:axisColor rgb="FF000000"/>
            </x14:dataBar>
          </x14:cfRule>
          <xm:sqref>D46:AF46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97FDA-F816-4545-971B-8515533EB335}">
  <dimension ref="A1"/>
  <sheetViews>
    <sheetView zoomScale="66" workbookViewId="0">
      <selection activeCell="Z24" sqref="Z24"/>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
  <sheetViews>
    <sheetView workbookViewId="0"/>
  </sheetViews>
  <sheetFormatPr defaultColWidth="8.88671875" defaultRowHeight="14.4" x14ac:dyDescent="0.3"/>
  <cols>
    <col min="1" max="3" width="36.6640625" customWidth="1"/>
    <col min="4" max="4" width="36.88671875" customWidth="1"/>
  </cols>
  <sheetData>
    <row r="1" spans="1:4" x14ac:dyDescent="0.3">
      <c r="A1" s="1" t="s">
        <v>1</v>
      </c>
    </row>
    <row r="3" spans="1:4" x14ac:dyDescent="0.3">
      <c r="A3" t="s">
        <v>2</v>
      </c>
      <c r="B3" t="s">
        <v>3</v>
      </c>
      <c r="C3">
        <v>0</v>
      </c>
    </row>
    <row r="4" spans="1:4" x14ac:dyDescent="0.3">
      <c r="A4" t="s">
        <v>4</v>
      </c>
    </row>
    <row r="5" spans="1:4" x14ac:dyDescent="0.3">
      <c r="A5" t="s">
        <v>5</v>
      </c>
    </row>
    <row r="7" spans="1:4" x14ac:dyDescent="0.3">
      <c r="A7" s="1" t="s">
        <v>6</v>
      </c>
      <c r="B7" t="s">
        <v>7</v>
      </c>
    </row>
    <row r="8" spans="1:4" x14ac:dyDescent="0.3">
      <c r="B8">
        <v>4</v>
      </c>
    </row>
    <row r="10" spans="1:4" x14ac:dyDescent="0.3">
      <c r="A10" t="s">
        <v>8</v>
      </c>
    </row>
    <row r="11" spans="1:4" x14ac:dyDescent="0.3">
      <c r="A11" t="e">
        <f>CB_DATA_!#REF!</f>
        <v>#REF!</v>
      </c>
      <c r="C11" t="e">
        <f>'Input Data (+SSA)'!#REF!</f>
        <v>#REF!</v>
      </c>
      <c r="D11" t="e">
        <f>#REF!</f>
        <v>#REF!</v>
      </c>
    </row>
    <row r="13" spans="1:4" x14ac:dyDescent="0.3">
      <c r="A13" t="s">
        <v>9</v>
      </c>
    </row>
    <row r="14" spans="1:4" x14ac:dyDescent="0.3">
      <c r="A14" t="s">
        <v>13</v>
      </c>
      <c r="C14" t="s">
        <v>18</v>
      </c>
      <c r="D14" t="s">
        <v>19</v>
      </c>
    </row>
    <row r="16" spans="1:4" x14ac:dyDescent="0.3">
      <c r="A16" t="s">
        <v>10</v>
      </c>
    </row>
    <row r="17" spans="1:4" x14ac:dyDescent="0.3">
      <c r="D17">
        <v>3</v>
      </c>
    </row>
    <row r="19" spans="1:4" x14ac:dyDescent="0.3">
      <c r="A19" t="s">
        <v>11</v>
      </c>
    </row>
    <row r="20" spans="1:4" x14ac:dyDescent="0.3">
      <c r="A20">
        <v>28</v>
      </c>
      <c r="C20">
        <v>26</v>
      </c>
      <c r="D20">
        <v>31</v>
      </c>
    </row>
    <row r="25" spans="1:4" x14ac:dyDescent="0.3">
      <c r="A25" s="1" t="s">
        <v>12</v>
      </c>
    </row>
    <row r="26" spans="1:4" x14ac:dyDescent="0.3">
      <c r="A26" s="2" t="s">
        <v>14</v>
      </c>
      <c r="D26" s="2" t="s">
        <v>17</v>
      </c>
    </row>
    <row r="27" spans="1:4" x14ac:dyDescent="0.3">
      <c r="A27" t="s">
        <v>15</v>
      </c>
      <c r="D27" t="s">
        <v>21</v>
      </c>
    </row>
    <row r="28" spans="1:4" x14ac:dyDescent="0.3">
      <c r="A28" s="2" t="s">
        <v>16</v>
      </c>
      <c r="D28" s="2" t="s">
        <v>16</v>
      </c>
    </row>
    <row r="29" spans="1:4" x14ac:dyDescent="0.3">
      <c r="D29" s="2" t="s">
        <v>14</v>
      </c>
    </row>
    <row r="30" spans="1:4" x14ac:dyDescent="0.3">
      <c r="D30" t="s">
        <v>20</v>
      </c>
    </row>
    <row r="31" spans="1:4" x14ac:dyDescent="0.3">
      <c r="D31" s="2" t="s">
        <v>16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CB8C80-07C4-494E-9C98-A3B13F69244C}">
  <ds:schemaRefs>
    <ds:schemaRef ds:uri="http://schemas.microsoft.com/DataMashup"/>
  </ds:schemaRefs>
</ds:datastoreItem>
</file>

<file path=docMetadata/LabelInfo.xml><?xml version="1.0" encoding="utf-8"?>
<clbl:labelList xmlns:clbl="http://schemas.microsoft.com/office/2020/mipLabelMetadata">
  <clbl:label id="{58b0b9cd-9e5b-476d-81c5-d33d4f29b317}" enabled="0" method="" siteId="{58b0b9cd-9e5b-476d-81c5-d33d4f29b31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81</vt:i4>
      </vt:variant>
    </vt:vector>
  </HeadingPairs>
  <TitlesOfParts>
    <vt:vector size="86" baseType="lpstr">
      <vt:lpstr>Dashboard</vt:lpstr>
      <vt:lpstr>Further analysis</vt:lpstr>
      <vt:lpstr>Input Data (+SSA)</vt:lpstr>
      <vt:lpstr>Calculations</vt:lpstr>
      <vt:lpstr>Sheet1</vt:lpstr>
      <vt:lpstr>_∆_NPV</vt:lpstr>
      <vt:lpstr>actual__expected__output_of_all_wind_turbines__mWh_yr</vt:lpstr>
      <vt:lpstr>actual__expected__output_of_one_wind_turbine__mWh_yr</vt:lpstr>
      <vt:lpstr>annual_expected_power</vt:lpstr>
      <vt:lpstr>average_electricity_price</vt:lpstr>
      <vt:lpstr>capacity_factor_percent</vt:lpstr>
      <vt:lpstr>Capex</vt:lpstr>
      <vt:lpstr>CapEx_Perc_Years</vt:lpstr>
      <vt:lpstr>corporation_tax_rate</vt:lpstr>
      <vt:lpstr>Cumulative_Net_Cash_Flow_Discounted</vt:lpstr>
      <vt:lpstr>Cumulative_Net_Cash_Flow_Discounted_Positive_Indicator</vt:lpstr>
      <vt:lpstr>Cumulative_Net_Cash_Flow_Positive_Indicator</vt:lpstr>
      <vt:lpstr>Cumulative_Net_Cash_Flow_Undiscounted</vt:lpstr>
      <vt:lpstr>Decomm_Perc_Years</vt:lpstr>
      <vt:lpstr>Decommissioning_Cost_Allowance</vt:lpstr>
      <vt:lpstr>Decommissioning_Costs</vt:lpstr>
      <vt:lpstr>decommissioning_costs_percentage</vt:lpstr>
      <vt:lpstr>Depreciation_Allowance</vt:lpstr>
      <vt:lpstr>depreciation_allowance_years</vt:lpstr>
      <vt:lpstr>discount_rate_r</vt:lpstr>
      <vt:lpstr>expected_useful_life_of_turbine</vt:lpstr>
      <vt:lpstr>grid_connection_costs</vt:lpstr>
      <vt:lpstr>inflation</vt:lpstr>
      <vt:lpstr>irr_post_tax</vt:lpstr>
      <vt:lpstr>lag</vt:lpstr>
      <vt:lpstr>Lagged_Cumulative_Net_Cash_Flow_Discounted_Positive_Indicator</vt:lpstr>
      <vt:lpstr>Lagged_Cumulative_Net_Cash_Flow_Positive_Indicator</vt:lpstr>
      <vt:lpstr>lcoe_mwh</vt:lpstr>
      <vt:lpstr>levelised_cost_of_electricity____MWh</vt:lpstr>
      <vt:lpstr>Max_NPV</vt:lpstr>
      <vt:lpstr>maximum_possible_output_of_all_wind_turbines_mWh_yr</vt:lpstr>
      <vt:lpstr>maximum_possible_output_of_one_wind_turbine__mWh_yr</vt:lpstr>
      <vt:lpstr>Min_NPV</vt:lpstr>
      <vt:lpstr>Net_Cash_Flow_Pre_Tax_Discounted</vt:lpstr>
      <vt:lpstr>npv_capex</vt:lpstr>
      <vt:lpstr>NPV_Impact_Capacity_Factor</vt:lpstr>
      <vt:lpstr>NPV_Impact_Discount_Rate</vt:lpstr>
      <vt:lpstr>NPV_Impact_Electricity_Price</vt:lpstr>
      <vt:lpstr>NPV_Impact_Inflation</vt:lpstr>
      <vt:lpstr>NPV_Impact_Number_Of_Turbines</vt:lpstr>
      <vt:lpstr>NPV_Impact_OpEx_Per_Turbine</vt:lpstr>
      <vt:lpstr>NPV_Impact_Turbine_Lifetime</vt:lpstr>
      <vt:lpstr>NPV_Impact_Years_Before_Turbines_Operate</vt:lpstr>
      <vt:lpstr>NPV_Total_Cost</vt:lpstr>
      <vt:lpstr>NPV_Total_Energy</vt:lpstr>
      <vt:lpstr>number_of_turbines</vt:lpstr>
      <vt:lpstr>number_of_years_of_decommissioning</vt:lpstr>
      <vt:lpstr>one_plus_discount_rate</vt:lpstr>
      <vt:lpstr>one_plus_inflation_rate</vt:lpstr>
      <vt:lpstr>Opex</vt:lpstr>
      <vt:lpstr>OpEx_Perc_Years</vt:lpstr>
      <vt:lpstr>other_capital_costs</vt:lpstr>
      <vt:lpstr>Payback_Year</vt:lpstr>
      <vt:lpstr>percentage_of_capital_costs_in_year_one</vt:lpstr>
      <vt:lpstr>percentage_of_capital_costs_in_year_two</vt:lpstr>
      <vt:lpstr>percentage_of_capital_costs_in_year_zero</vt:lpstr>
      <vt:lpstr>percentage_of_decommissioning_costs_in_year_n_1</vt:lpstr>
      <vt:lpstr>percentage_of_decommissioning_costs_in_year_n_2</vt:lpstr>
      <vt:lpstr>percentage_of_decommissioning_costs_in_year_n_3</vt:lpstr>
      <vt:lpstr>Post_Tax_Net_Cash_Flow_Discounted</vt:lpstr>
      <vt:lpstr>Post_Tax_Net_Cash_Flow_Undiscounted</vt:lpstr>
      <vt:lpstr>post_tax_npv</vt:lpstr>
      <vt:lpstr>post_tax_npv_capex_ratio__profitability_index</vt:lpstr>
      <vt:lpstr>Pre_Tax_Net_Cash_Flow_Undiscounted</vt:lpstr>
      <vt:lpstr>pre_tax_npv</vt:lpstr>
      <vt:lpstr>Tax_Paid</vt:lpstr>
      <vt:lpstr>Taxable_Cash_Flow</vt:lpstr>
      <vt:lpstr>todate</vt:lpstr>
      <vt:lpstr>total_capacity_of_all_turbines__mW</vt:lpstr>
      <vt:lpstr>total_capital_costs</vt:lpstr>
      <vt:lpstr>total_cost_of_construction_per_turbine</vt:lpstr>
      <vt:lpstr>total_decommissioning_costs</vt:lpstr>
      <vt:lpstr>Total_Expenditure_Discounted</vt:lpstr>
      <vt:lpstr>Total_Expenditure_Undiscounted</vt:lpstr>
      <vt:lpstr>total_hours_of_potential_operation_yearly</vt:lpstr>
      <vt:lpstr>total_opex_per_year</vt:lpstr>
      <vt:lpstr>Total_Sales_Undiscounted</vt:lpstr>
      <vt:lpstr>turbine_capacity_mW</vt:lpstr>
      <vt:lpstr>Year</vt:lpstr>
      <vt:lpstr>yearly_operation_and_maintenance_costs_per_turbine</vt:lpstr>
      <vt:lpstr>years_before_turbines_start_operating</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fac044</dc:creator>
  <cp:lastModifiedBy>DAVIES, JAMES (PGT)</cp:lastModifiedBy>
  <dcterms:created xsi:type="dcterms:W3CDTF">2011-08-16T00:51:40Z</dcterms:created>
  <dcterms:modified xsi:type="dcterms:W3CDTF">2025-03-04T18:29:51Z</dcterms:modified>
</cp:coreProperties>
</file>