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3.xml" ContentType="application/vnd.openxmlformats-officedocument.drawing+xml"/>
  <Override PartName="/xl/tables/table1.xml" ContentType="application/vnd.openxmlformats-officedocument.spreadsheetml.tab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4.xml" ContentType="application/vnd.openxmlformats-officedocument.drawing+xml"/>
  <Override PartName="/xl/tables/table2.xml" ContentType="application/vnd.openxmlformats-officedocument.spreadsheetml.table+xml"/>
  <Override PartName="/xl/pivotTables/pivotTable5.xml" ContentType="application/vnd.openxmlformats-officedocument.spreadsheetml.pivotTable+xml"/>
  <Override PartName="/xl/drawings/drawing5.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7.xml" ContentType="application/vnd.openxmlformats-officedocument.drawing+xml"/>
  <Override PartName="/xl/comments5.xml" ContentType="application/vnd.openxmlformats-officedocument.spreadsheetml.comments+xml"/>
  <Override PartName="/xl/threadedComments/threadedComment5.xml" ContentType="application/vnd.ms-excel.threadedcomment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drawings/drawing8.xml" ContentType="application/vnd.openxmlformats-officedocument.drawing+xml"/>
  <Override PartName="/xl/tables/table3.xml" ContentType="application/vnd.openxmlformats-officedocument.spreadsheetml.table+xml"/>
  <Override PartName="/xl/charts/chartEx2.xml" ContentType="application/vnd.ms-office.chartex+xml"/>
  <Override PartName="/xl/charts/style23.xml" ContentType="application/vnd.ms-office.chartstyle+xml"/>
  <Override PartName="/xl/charts/colors23.xml" ContentType="application/vnd.ms-office.chartcolorstyle+xml"/>
  <Override PartName="/xl/charts/chartEx3.xml" ContentType="application/vnd.ms-office.chartex+xml"/>
  <Override PartName="/xl/charts/style24.xml" ContentType="application/vnd.ms-office.chartstyle+xml"/>
  <Override PartName="/xl/charts/colors24.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autoCompressPictures="0"/>
  <mc:AlternateContent xmlns:mc="http://schemas.openxmlformats.org/markup-compatibility/2006">
    <mc:Choice Requires="x15">
      <x15ac:absPath xmlns:x15ac="http://schemas.microsoft.com/office/spreadsheetml/2010/11/ac" url="https://365abdn-my.sharepoint.com/personal/t12jd22_abdn_ac_uk/Documents/01 - Turing College/E01 - General/GitHub portfolio/Monte Carlo simulation/"/>
    </mc:Choice>
  </mc:AlternateContent>
  <xr:revisionPtr revIDLastSave="65" documentId="8_{AD9D5795-79E8-4E1F-A4CC-85719A52EC15}" xr6:coauthVersionLast="47" xr6:coauthVersionMax="47" xr10:uidLastSave="{8C1B106D-728E-4B7F-8195-A924849C7ED6}"/>
  <bookViews>
    <workbookView xWindow="-108" yWindow="-108" windowWidth="23256" windowHeight="12456" tabRatio="817" xr2:uid="{00000000-000D-0000-FFFF-FFFF00000000}"/>
  </bookViews>
  <sheets>
    <sheet name="Output.NPVDistributions" sheetId="22" r:id="rId1"/>
    <sheet name="Output.OilPriceDistributions" sheetId="21" r:id="rId2"/>
    <sheet name="Inputs" sheetId="1" r:id="rId3"/>
    <sheet name="Calculations" sheetId="4" r:id="rId4"/>
    <sheet name="Data.YearlyGrowthRate" sheetId="24" r:id="rId5"/>
    <sheet name="Data.OilPrice1974-2024" sheetId="18" r:id="rId6"/>
    <sheet name="MC.Lognormal_infl_adj" sheetId="15" r:id="rId7"/>
    <sheet name="MC.Lognormal_nominal" sheetId="14" r:id="rId8"/>
    <sheet name="MC.Uniform" sheetId="9" r:id="rId9"/>
    <sheet name="Appendix.OilPrice1986-2024" sheetId="16" r:id="rId10"/>
  </sheets>
  <definedNames>
    <definedName name="_∆_NPV">#REF!</definedName>
    <definedName name="_xlchart.v1.0" hidden="1">Output.NPVDistributions!$AY$4</definedName>
    <definedName name="_xlchart.v1.1" hidden="1">Output.NPVDistributions!$AY$5:$AY$1004</definedName>
    <definedName name="_xlchart.v1.2" hidden="1">Output.NPVDistributions!$AZ$4</definedName>
    <definedName name="_xlchart.v1.3" hidden="1">Output.NPVDistributions!$AZ$5:$AZ$1004</definedName>
    <definedName name="_xlchart.v1.4" hidden="1">Output.NPVDistributions!$BA$4</definedName>
    <definedName name="_xlchart.v1.5" hidden="1">Output.NPVDistributions!$BA$5:$BA$1004</definedName>
    <definedName name="_xlchart.v1.6" hidden="1">'Appendix.OilPrice1986-2024'!$G$20:$G$477</definedName>
    <definedName name="_xlchart.v1.7" hidden="1">'Appendix.OilPrice1986-2024'!$F$20:$F$477</definedName>
    <definedName name="base_year">Inputs!$C$7</definedName>
    <definedName name="Calendar_year">Calculations!$D$7:$AC$7</definedName>
    <definedName name="corporate_income_tax">Inputs!$C$28</definedName>
    <definedName name="Cumulative_DevEx_USDM">Calculations!$D$17:$AC$17</definedName>
    <definedName name="Cumulative_NCF_Post_Tax_Discounted_Positive_Indicator">Calculations!$D$43:$AC$43</definedName>
    <definedName name="Cumulative_NCF_Post_Tax_Discounted_Positive_Indicator_Lagged">Calculations!$D$44:$AC$44</definedName>
    <definedName name="Cumulative_NCF_Post_Tax_Positive_Indicator">Calculations!$D$40:$AC$40</definedName>
    <definedName name="Cumulative_NCF_Post_Tax_Positive_Indicator_Lagged">Calculations!$D$41:$AC$41</definedName>
    <definedName name="Cumulative_Net_Cash_Flow_Post_Tax">Calculations!$D$34:$AC$34</definedName>
    <definedName name="Cumulative_Net_Cash_Flow_Post_Tax_Discounted">Calculations!$D$37:$AC$37</definedName>
    <definedName name="Cumulative_Net_Cash_Flow_Pre_Tax">Calculations!$D$31:$AC$31</definedName>
    <definedName name="decommissioning_cost_base_usd_bbl">Inputs!$C$18</definedName>
    <definedName name="Decommissioning_Cost_Perc_Years">Calculations!$D$13:$AC$13</definedName>
    <definedName name="Decommissioning_Cost_USDM_Year">Calculations!$D$20:$AC$20</definedName>
    <definedName name="decommissioning_end">Inputs!#REF!</definedName>
    <definedName name="Decommissioning_Perc_Installments">Inputs!$G$36:$G$38</definedName>
    <definedName name="decommissioning_start">Inputs!$C$10</definedName>
    <definedName name="Decommissioning_Timeline">Inputs!$H$36:$H$38</definedName>
    <definedName name="dev_ex_installment_1_cal_year">Inputs!$H$9</definedName>
    <definedName name="dev_ex_installment_2_cal_year">Inputs!$H$10</definedName>
    <definedName name="dev_ex_installment_3_cal_year">Inputs!$H$11</definedName>
    <definedName name="dev_ex_installment_4_cal_year">Inputs!$H$12</definedName>
    <definedName name="dev_ex_installment_5_cal_year">Inputs!$H$13</definedName>
    <definedName name="dev_ex_installment_6_cal_year">Inputs!$H$14</definedName>
    <definedName name="dev_ex_installment_7_cal_year">Inputs!$H$15</definedName>
    <definedName name="dev_ex_installment_8_cal_year">Inputs!$H$16</definedName>
    <definedName name="dev_ex_perc_installment_1">Inputs!$G$9</definedName>
    <definedName name="dev_ex_perc_installment_2">Inputs!$G$10</definedName>
    <definedName name="dev_ex_perc_installment_3">Inputs!$G$11</definedName>
    <definedName name="dev_ex_perc_installment_4">Inputs!$G$12</definedName>
    <definedName name="dev_ex_perc_installment_5">Inputs!$G$13</definedName>
    <definedName name="dev_ex_perc_installment_6">Inputs!$G$14</definedName>
    <definedName name="dev_ex_perc_installment_7">Inputs!$G$15</definedName>
    <definedName name="dev_ex_perc_installment_8">Inputs!$G$16</definedName>
    <definedName name="Dev_Ex_Timeline_Year">Inputs!$I$9:$I$16</definedName>
    <definedName name="development_end">Inputs!#REF!</definedName>
    <definedName name="development_start">Inputs!$C$8</definedName>
    <definedName name="devex_base_usd_bbl">Inputs!$C$16</definedName>
    <definedName name="DevEx_Perc_Installments">Inputs!$G$9:$G$16</definedName>
    <definedName name="DevEx_Perc_Years">Calculations!$D$10:$AC$10</definedName>
    <definedName name="DevEx_Timeline">Inputs!$H$9:$H$16</definedName>
    <definedName name="DevEx_USDM_Years">Calculations!$D$16:$AC$16</definedName>
    <definedName name="DevEx_USDM_Years_Discounted">Calculations!$D$18:$AC$18</definedName>
    <definedName name="discount_rate">Inputs!$C$11</definedName>
    <definedName name="field_cost_inflation">Inputs!$C$15</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lag">Calculations!XFD:XFD</definedName>
    <definedName name="Max_NPV">#REF!</definedName>
    <definedName name="MC_max_oil_price_uniform">Inputs!$M$9</definedName>
    <definedName name="MC_min_oil_price_uniform">Inputs!$L$9</definedName>
    <definedName name="mean_growth_rate_oil_price_infl_adj_log_transformed_monthly">'Data.OilPrice1974-2024'!#REF!</definedName>
    <definedName name="mean_growth_rate_oil_price_infl_adj_log_transformed_yearly" localSheetId="4">Data.YearlyGrowthRate!$S$59</definedName>
    <definedName name="mean_growth_rate_oil_price_infl_adj_log_transformed_yearly">#REF!</definedName>
    <definedName name="mean_oil_price_infl_adj_log_transformed" localSheetId="0">Output.NPVDistributions!#REF!</definedName>
    <definedName name="mean_oil_price_infl_adj_log_transformed">Output.OilPriceDistributions!$D$74</definedName>
    <definedName name="mean_oil_price_nominal_log_transformed" localSheetId="0">Output.NPVDistributions!#REF!</definedName>
    <definedName name="mean_oil_price_nominal_log_transformed">Output.OilPriceDistributions!$D$96</definedName>
    <definedName name="Min_NPV">#REF!</definedName>
    <definedName name="Net_Cash_Flow_Post_Tax_Discounted">Calculations!$D$36:$AC$36</definedName>
    <definedName name="Net_Cash_Flow_Post_Tax_Undiscounted">Calculations!$D$33:$AC$33</definedName>
    <definedName name="Net_Cash_Flow_Pre_Tax">Calculations!$D$30:$AC$30</definedName>
    <definedName name="Net_Cash_Flow_Pre_Tax_Discounted">Calculations!$D$35:$AC$35</definedName>
    <definedName name="npv_devex">Calculations!$C$51</definedName>
    <definedName name="NPV_Impact_Corporate_Income_Tax">Inputs!#REF!</definedName>
    <definedName name="NPV_Impact_DevEx">Inputs!#REF!</definedName>
    <definedName name="NPV_Impact_Discount_Rate">Inputs!#REF!</definedName>
    <definedName name="NPV_Impact_Oil_Price">Inputs!#REF!</definedName>
    <definedName name="NPV_Impact_Oil_Price_Inflation">Inputs!#REF!</definedName>
    <definedName name="NPV_Impact_Production_Cost">Inputs!#REF!</definedName>
    <definedName name="NPV_Impact_Total_Field_Production">Inputs!#REF!</definedName>
    <definedName name="NPV_Inflation_Adjusted_Oil_Price_MC_Log_Normal_1000_Trials">MC.Lognormal_infl_adj!$D$11:$D$1010</definedName>
    <definedName name="NPV_MC_Random_Walk_10000_Trials">#REF!</definedName>
    <definedName name="NPV_MC_Uniform_1000_Trials">MC.Uniform!$D$11:$D$1010</definedName>
    <definedName name="NPV_Nominal_Oil_Price_MC_Log_Normal_1000_Trials">MC.Lognormal_nominal!$D$11:$D$1010</definedName>
    <definedName name="npv_post_tax">Calculations!$C$49</definedName>
    <definedName name="npv_pre_tax">Calculations!$C$48</definedName>
    <definedName name="oil_price_base">Inputs!$C$20</definedName>
    <definedName name="oil_price_growth_rate_infl_adj_MC_log_normal">Inputs!#REF!</definedName>
    <definedName name="Oil_Price_Growth_Rate_Perc">Calculations!#REF!</definedName>
    <definedName name="Oil_price_indexed_to_year_0_MC">Calculations!#REF!</definedName>
    <definedName name="oil_price_infl_adj_MC_log_normal">Inputs!$C$24</definedName>
    <definedName name="oil_price_inflation">Inputs!$C$26</definedName>
    <definedName name="Oil_Price_Inflation_Adjusted_MC_Log_Normal_1000_Trials">MC.Lognormal_infl_adj!$C$11:$C$1010</definedName>
    <definedName name="Oil_Price_MC_Random_Walk_10000_Trials">#REF!</definedName>
    <definedName name="oil_price_MC_uniform">Inputs!$C$22</definedName>
    <definedName name="Oil_Price_MC_Uniform_1000_Trials">MC.Uniform!$C$11:$C$1010</definedName>
    <definedName name="oil_price_no_uncertainty">Inputs!$C$21</definedName>
    <definedName name="oil_price_nominal_MC_log_normal">Inputs!$C$23</definedName>
    <definedName name="Oil_Price_Nominal_MC_Log_Normal_1000_Trials">MC.Lognormal_nominal!$C$11:$C$1010</definedName>
    <definedName name="oil_price_std_dev_infl_adj_MC_log_normal">Inputs!#REF!</definedName>
    <definedName name="Oil_Price_Whole_Period">Calculations!#REF!</definedName>
    <definedName name="Payback_Year_Discounted">Calculations!$D$45:$AC$45</definedName>
    <definedName name="Payback_Year_Undiscounted">Calculations!$D$42:$AC$42</definedName>
    <definedName name="Prob_Loss_MC_Inflation_Adjusted_Log_Normal_1000_Trials">MC.Lognormal_infl_adj!$E$11:$E$1010</definedName>
    <definedName name="Prob_Loss_MC_Nominal_Log_Normal_1000_Trials">MC.Lognormal_nominal!$E$11:$E$1010</definedName>
    <definedName name="Prob_Loss_MC_Random_Walk_10000_Trials">#REF!</definedName>
    <definedName name="Prob_Loss_MC_Uniform_1000_Trials">MC.Uniform!$E$11:$E$1010</definedName>
    <definedName name="production_cost_base_perc">Inputs!$C$17</definedName>
    <definedName name="Production_Cost_USDM_Year">Calculations!$D$19:$AC$19</definedName>
    <definedName name="production_end">Inputs!#REF!</definedName>
    <definedName name="production_perc_installment_1">Inputs!$G$19</definedName>
    <definedName name="production_perc_installment_10">Inputs!$G$28</definedName>
    <definedName name="production_perc_installment_11">Inputs!$G$29</definedName>
    <definedName name="production_perc_installment_12">Inputs!$G$30</definedName>
    <definedName name="production_perc_installment_13">Inputs!$G$31</definedName>
    <definedName name="production_perc_installment_14">Inputs!$G$32</definedName>
    <definedName name="production_perc_installment_15">Inputs!$G$33</definedName>
    <definedName name="production_perc_installment_2">Inputs!$G$20</definedName>
    <definedName name="production_perc_installment_3">Inputs!$G$21</definedName>
    <definedName name="production_perc_installment_4">Inputs!$G$22</definedName>
    <definedName name="production_perc_installment_5">Inputs!$G$23</definedName>
    <definedName name="production_perc_installment_6">Inputs!$G$24</definedName>
    <definedName name="production_perc_installment_7">Inputs!$G$25</definedName>
    <definedName name="production_perc_installment_8">Inputs!$G$26</definedName>
    <definedName name="production_perc_installment_9">Inputs!$G$27</definedName>
    <definedName name="Production_Perc_Installments">Inputs!$G$19:$G$33</definedName>
    <definedName name="Production_Perc_Per_Year">Calculations!$D$11:$AC$11</definedName>
    <definedName name="production_start">Inputs!$C$9</definedName>
    <definedName name="Production_Timeline">Inputs!$H$19:$H$33</definedName>
    <definedName name="Production_Vol_Per_Year">Calculations!$D$12:$AC$12</definedName>
    <definedName name="Revenue_Sales">Calculations!$D$25:$AC$25</definedName>
    <definedName name="std_dev_growth_rate_oil_price_infl_adj_log_transformed_monthly">'Data.OilPrice1974-2024'!#REF!</definedName>
    <definedName name="std_dev_growth_rate_oil_price_infl_adj_log_transformed_yearly" localSheetId="4">Data.YearlyGrowthRate!$S$62</definedName>
    <definedName name="std_dev_growth_rate_oil_price_infl_adj_log_transformed_yearly">#REF!</definedName>
    <definedName name="std_dev_oil_price_infl_adj_log_transformed" localSheetId="0">Output.NPVDistributions!#REF!</definedName>
    <definedName name="std_dev_oil_price_infl_adj_log_transformed">Output.OilPriceDistributions!$D$77</definedName>
    <definedName name="std_dev_oil_price_nominal_log_transformed" localSheetId="0">Output.NPVDistributions!#REF!</definedName>
    <definedName name="std_dev_oil_price_nominal_log_transformed">Output.OilPriceDistributions!$D$99</definedName>
    <definedName name="Tax_Paid">Calculations!$D$32:$AC$32</definedName>
    <definedName name="to_date">Calculations!$D$4:A$1048576</definedName>
    <definedName name="to_date_minus_1_year">Calculations!$D$4:XFD$1048576</definedName>
    <definedName name="to_date_plus_1_year">Calculations!$D$4:B$1048576</definedName>
    <definedName name="Total_Expenditure_Discounted">Calculations!$D$22:$AC$22</definedName>
    <definedName name="Total_Expenditure_Undiscounted">Calculations!$D$21:$AC$21</definedName>
    <definedName name="total_field_production">Inputs!$C$13</definedName>
    <definedName name="Total_Revenue_Discounted">Calculations!$D$27:$AC$27</definedName>
    <definedName name="Total_Revenue_Undiscounted">Calculations!$D$26:$AC$26</definedName>
    <definedName name="Year">Calculations!$D$6:$AC$6</definedName>
  </definedNames>
  <calcPr calcId="191029" calcMode="manual"/>
  <pivotCaches>
    <pivotCache cacheId="0" r:id="rId11"/>
    <pivotCache cacheId="1" r:id="rId12"/>
    <pivotCache cacheId="2" r:id="rId13"/>
    <pivotCache cacheId="3" r:id="rId14"/>
    <pivotCache cacheId="4" r:id="rId15"/>
    <pivotCache cacheId="5" r:id="rId16"/>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H9" i="1" l="1"/>
  <c r="C24" i="1"/>
  <c r="G107" i="24"/>
  <c r="G106" i="24"/>
  <c r="G105" i="24"/>
  <c r="G104" i="24"/>
  <c r="G103" i="24"/>
  <c r="G102" i="24"/>
  <c r="G101" i="24"/>
  <c r="G100" i="24"/>
  <c r="G99" i="24"/>
  <c r="G98" i="24"/>
  <c r="G97" i="24"/>
  <c r="G96" i="24"/>
  <c r="G95" i="24"/>
  <c r="G94" i="24"/>
  <c r="G93" i="24"/>
  <c r="G92" i="24"/>
  <c r="G91" i="24"/>
  <c r="G90" i="24"/>
  <c r="G89" i="24"/>
  <c r="G88" i="24"/>
  <c r="G87" i="24"/>
  <c r="G86" i="24"/>
  <c r="G85" i="24"/>
  <c r="G84" i="24"/>
  <c r="G83" i="24"/>
  <c r="G82" i="24"/>
  <c r="G81" i="24"/>
  <c r="G80" i="24"/>
  <c r="G79" i="24"/>
  <c r="G78" i="24"/>
  <c r="G77" i="24"/>
  <c r="G76" i="24"/>
  <c r="G75" i="24"/>
  <c r="G74" i="24"/>
  <c r="G73" i="24"/>
  <c r="G72" i="24"/>
  <c r="G71" i="24"/>
  <c r="G70" i="24"/>
  <c r="G69" i="24"/>
  <c r="G68" i="24"/>
  <c r="G67" i="24"/>
  <c r="G66" i="24"/>
  <c r="G65" i="24"/>
  <c r="G64" i="24"/>
  <c r="G63" i="24"/>
  <c r="G62" i="24"/>
  <c r="G61" i="24"/>
  <c r="G60" i="24"/>
  <c r="G59" i="24"/>
  <c r="G58" i="24"/>
  <c r="G57" i="24"/>
  <c r="D64" i="22" l="1"/>
  <c r="D63" i="22"/>
  <c r="D62" i="22"/>
  <c r="D61" i="22"/>
  <c r="E59" i="22"/>
  <c r="D59" i="22"/>
  <c r="E58" i="22"/>
  <c r="D58" i="22"/>
  <c r="E57" i="22"/>
  <c r="D57" i="22"/>
  <c r="E56" i="22"/>
  <c r="D56" i="22"/>
  <c r="E55" i="22"/>
  <c r="D55" i="22"/>
  <c r="E54" i="22"/>
  <c r="D54" i="22"/>
  <c r="E53" i="22"/>
  <c r="D53" i="22"/>
  <c r="E52" i="22"/>
  <c r="D52" i="22"/>
  <c r="J16" i="15"/>
  <c r="J15" i="15"/>
  <c r="J14" i="15"/>
  <c r="J13" i="15"/>
  <c r="I16" i="15"/>
  <c r="I15" i="15"/>
  <c r="I14" i="15"/>
  <c r="I13" i="15"/>
  <c r="D21" i="22"/>
  <c r="D20" i="22"/>
  <c r="D19" i="22"/>
  <c r="D18" i="22"/>
  <c r="E16" i="22"/>
  <c r="D16" i="22"/>
  <c r="E15" i="22"/>
  <c r="D15" i="22"/>
  <c r="E14" i="22"/>
  <c r="D14" i="22"/>
  <c r="E13" i="22"/>
  <c r="D13" i="22"/>
  <c r="E12" i="22"/>
  <c r="D12" i="22"/>
  <c r="E11" i="22"/>
  <c r="D11" i="22"/>
  <c r="E10" i="22"/>
  <c r="D10" i="22"/>
  <c r="E9" i="22"/>
  <c r="D9" i="22"/>
  <c r="K14" i="9"/>
  <c r="K15" i="9"/>
  <c r="K16" i="9"/>
  <c r="J16" i="9"/>
  <c r="J15" i="9"/>
  <c r="J14" i="9"/>
  <c r="J8" i="9"/>
  <c r="K13" i="9"/>
  <c r="J13" i="9"/>
  <c r="E37" i="22"/>
  <c r="D37" i="22"/>
  <c r="E36" i="22"/>
  <c r="D36" i="22"/>
  <c r="E35" i="22"/>
  <c r="D35" i="22"/>
  <c r="E34" i="22"/>
  <c r="D34" i="22"/>
  <c r="E33" i="22"/>
  <c r="D33" i="22"/>
  <c r="E32" i="22"/>
  <c r="D32" i="22"/>
  <c r="E31" i="22"/>
  <c r="D31" i="22"/>
  <c r="E30" i="22"/>
  <c r="D30" i="22"/>
  <c r="J13" i="14"/>
  <c r="J16" i="14"/>
  <c r="I16" i="14"/>
  <c r="I13" i="14"/>
  <c r="D42" i="22"/>
  <c r="D41" i="22"/>
  <c r="D40" i="22"/>
  <c r="D39" i="22"/>
  <c r="J15" i="14"/>
  <c r="J14" i="14"/>
  <c r="I15" i="14"/>
  <c r="I14" i="14"/>
  <c r="J53" i="22"/>
  <c r="J54" i="22"/>
  <c r="J55" i="22"/>
  <c r="J56" i="22"/>
  <c r="J57" i="22"/>
  <c r="J58" i="22"/>
  <c r="J59" i="22"/>
  <c r="J60" i="22"/>
  <c r="J61" i="22"/>
  <c r="J62" i="22"/>
  <c r="J63" i="22"/>
  <c r="J64" i="22"/>
  <c r="J65" i="22"/>
  <c r="J66" i="22"/>
  <c r="J67" i="22"/>
  <c r="J52" i="22"/>
  <c r="J31" i="22"/>
  <c r="J32" i="22"/>
  <c r="J33" i="22"/>
  <c r="J34" i="22"/>
  <c r="J35" i="22"/>
  <c r="J36" i="22"/>
  <c r="J37" i="22"/>
  <c r="J38" i="22"/>
  <c r="J39" i="22"/>
  <c r="J40" i="22"/>
  <c r="J41" i="22"/>
  <c r="J42" i="22"/>
  <c r="J43" i="22"/>
  <c r="J44" i="22"/>
  <c r="J45" i="22"/>
  <c r="J30" i="22"/>
  <c r="J10" i="22"/>
  <c r="J11" i="22"/>
  <c r="J12" i="22"/>
  <c r="J13" i="22"/>
  <c r="J14" i="22"/>
  <c r="J15" i="22"/>
  <c r="J16" i="22"/>
  <c r="J17" i="22"/>
  <c r="J18" i="22"/>
  <c r="J19" i="22"/>
  <c r="J20" i="22"/>
  <c r="J21" i="22"/>
  <c r="J22" i="22"/>
  <c r="J23" i="22"/>
  <c r="J24" i="22"/>
  <c r="J9" i="22"/>
  <c r="L26" i="15"/>
  <c r="K27" i="15"/>
  <c r="K28" i="15"/>
  <c r="K29" i="15"/>
  <c r="L29" i="15" s="1"/>
  <c r="K30" i="15"/>
  <c r="K31" i="15"/>
  <c r="K32" i="15"/>
  <c r="K33" i="15"/>
  <c r="K34" i="15"/>
  <c r="K35" i="15"/>
  <c r="K26" i="15"/>
  <c r="K35" i="22" l="1"/>
  <c r="K36" i="22"/>
  <c r="K34" i="22"/>
  <c r="K31" i="22"/>
  <c r="K53" i="22"/>
  <c r="L28" i="15"/>
  <c r="L27" i="15"/>
  <c r="K15" i="22"/>
  <c r="K62" i="22"/>
  <c r="K52" i="22"/>
  <c r="K67" i="22"/>
  <c r="K66" i="22"/>
  <c r="K64" i="22"/>
  <c r="K61" i="22"/>
  <c r="K60" i="22"/>
  <c r="K65" i="22"/>
  <c r="K59" i="22"/>
  <c r="K63" i="22"/>
  <c r="K58" i="22"/>
  <c r="K57" i="22"/>
  <c r="K56" i="22"/>
  <c r="K55" i="22"/>
  <c r="K54" i="22"/>
  <c r="K30" i="22"/>
  <c r="K45" i="22"/>
  <c r="K44" i="22"/>
  <c r="K43" i="22"/>
  <c r="K42" i="22"/>
  <c r="K41" i="22"/>
  <c r="K18" i="22"/>
  <c r="K40" i="22"/>
  <c r="K39" i="22"/>
  <c r="K38" i="22"/>
  <c r="K37" i="22"/>
  <c r="K9" i="22"/>
  <c r="K11" i="22"/>
  <c r="K12" i="22"/>
  <c r="K10" i="22"/>
  <c r="K17" i="22"/>
  <c r="K33" i="22"/>
  <c r="K16" i="22"/>
  <c r="K32" i="22"/>
  <c r="K14" i="22"/>
  <c r="K13" i="22"/>
  <c r="K24" i="22"/>
  <c r="K23" i="22"/>
  <c r="K22" i="22"/>
  <c r="K21" i="22"/>
  <c r="K20" i="22"/>
  <c r="K19" i="22"/>
  <c r="L35" i="15"/>
  <c r="L34" i="15"/>
  <c r="L33" i="15"/>
  <c r="L32" i="15"/>
  <c r="L31" i="15"/>
  <c r="L30" i="15"/>
  <c r="J16" i="21" l="1"/>
  <c r="J15" i="21"/>
  <c r="J14" i="21"/>
  <c r="J13" i="21"/>
  <c r="J12" i="21"/>
  <c r="J11" i="21"/>
  <c r="J10" i="21"/>
  <c r="J9" i="21"/>
  <c r="K10" i="21" s="1"/>
  <c r="J104" i="21"/>
  <c r="J103" i="21"/>
  <c r="J102" i="21"/>
  <c r="J101" i="21"/>
  <c r="J100" i="21"/>
  <c r="J99" i="21"/>
  <c r="E99" i="21"/>
  <c r="J98" i="21"/>
  <c r="J97" i="21"/>
  <c r="J96" i="21"/>
  <c r="E96" i="21"/>
  <c r="J95" i="21"/>
  <c r="J82" i="21"/>
  <c r="J81" i="21"/>
  <c r="J80" i="21"/>
  <c r="J79" i="21"/>
  <c r="J78" i="21"/>
  <c r="E77" i="21"/>
  <c r="J77" i="21"/>
  <c r="J76" i="21"/>
  <c r="J75" i="21"/>
  <c r="E74" i="21"/>
  <c r="J74" i="21"/>
  <c r="J73" i="21"/>
  <c r="J61" i="21"/>
  <c r="J60" i="21"/>
  <c r="J59" i="21"/>
  <c r="J58" i="21"/>
  <c r="J57" i="21"/>
  <c r="J56" i="21"/>
  <c r="J55" i="21"/>
  <c r="J54" i="21"/>
  <c r="J53" i="21"/>
  <c r="J52" i="21"/>
  <c r="K54" i="21" s="1"/>
  <c r="J39" i="21"/>
  <c r="J38" i="21"/>
  <c r="J37" i="21"/>
  <c r="J36" i="21"/>
  <c r="J35" i="21"/>
  <c r="J34" i="21"/>
  <c r="J33" i="21"/>
  <c r="J32" i="21"/>
  <c r="J31" i="21"/>
  <c r="J30" i="21"/>
  <c r="L34" i="14"/>
  <c r="L28" i="14"/>
  <c r="K29" i="14"/>
  <c r="L30" i="14" s="1"/>
  <c r="K30" i="14"/>
  <c r="K31" i="14"/>
  <c r="K32" i="14"/>
  <c r="K33" i="14"/>
  <c r="K34" i="14"/>
  <c r="K35" i="14"/>
  <c r="K36" i="14"/>
  <c r="K37" i="14"/>
  <c r="K28" i="14"/>
  <c r="L29" i="14" s="1"/>
  <c r="K80" i="21" l="1"/>
  <c r="K11" i="21"/>
  <c r="K31" i="21"/>
  <c r="K96" i="21"/>
  <c r="L37" i="14"/>
  <c r="L36" i="14"/>
  <c r="L35" i="14"/>
  <c r="L33" i="14"/>
  <c r="L32" i="14"/>
  <c r="L31" i="14"/>
  <c r="K77" i="21"/>
  <c r="K56" i="21"/>
  <c r="K35" i="21"/>
  <c r="K30" i="21"/>
  <c r="K101" i="21"/>
  <c r="K57" i="21"/>
  <c r="K98" i="21"/>
  <c r="K13" i="21"/>
  <c r="K104" i="21"/>
  <c r="K79" i="21"/>
  <c r="K36" i="21"/>
  <c r="K16" i="21"/>
  <c r="K82" i="21"/>
  <c r="K39" i="21"/>
  <c r="K34" i="21"/>
  <c r="K73" i="21"/>
  <c r="K99" i="21"/>
  <c r="K55" i="21"/>
  <c r="K74" i="21"/>
  <c r="K81" i="21"/>
  <c r="K100" i="21"/>
  <c r="K12" i="21"/>
  <c r="K75" i="21"/>
  <c r="K37" i="21"/>
  <c r="K95" i="21"/>
  <c r="K102" i="21"/>
  <c r="K14" i="21"/>
  <c r="K76" i="21"/>
  <c r="K38" i="21"/>
  <c r="K58" i="21"/>
  <c r="K103" i="21"/>
  <c r="K15" i="21"/>
  <c r="K97" i="21"/>
  <c r="K32" i="21"/>
  <c r="K52" i="21"/>
  <c r="K60" i="21"/>
  <c r="K78" i="21"/>
  <c r="K9" i="21"/>
  <c r="K59" i="21"/>
  <c r="K33" i="21"/>
  <c r="K53" i="21"/>
  <c r="K61" i="21"/>
  <c r="C20" i="1" l="1"/>
  <c r="I23" i="15" l="1"/>
  <c r="I22" i="15"/>
  <c r="I21" i="15"/>
  <c r="I20" i="15"/>
  <c r="J18" i="15"/>
  <c r="J17" i="15"/>
  <c r="J12" i="15"/>
  <c r="J11" i="15"/>
  <c r="I18" i="15"/>
  <c r="I11" i="15"/>
  <c r="I17" i="15"/>
  <c r="I12" i="15"/>
  <c r="I23" i="14"/>
  <c r="I22" i="14"/>
  <c r="I21" i="14"/>
  <c r="I20" i="14"/>
  <c r="J18" i="14"/>
  <c r="J17" i="14"/>
  <c r="J12" i="14"/>
  <c r="I18" i="14"/>
  <c r="I17" i="14"/>
  <c r="I12" i="14"/>
  <c r="J11" i="14"/>
  <c r="I11" i="14"/>
  <c r="O11" i="1"/>
  <c r="N11" i="1"/>
  <c r="C23" i="1"/>
  <c r="O10" i="1"/>
  <c r="N10" i="1"/>
  <c r="G626" i="18" l="1"/>
  <c r="E626" i="18"/>
  <c r="G625" i="18"/>
  <c r="E625" i="18"/>
  <c r="G624" i="18"/>
  <c r="E624" i="18"/>
  <c r="G623" i="18"/>
  <c r="E623" i="18"/>
  <c r="G622" i="18"/>
  <c r="E622" i="18"/>
  <c r="G621" i="18"/>
  <c r="E621" i="18"/>
  <c r="G620" i="18"/>
  <c r="E620" i="18"/>
  <c r="G619" i="18"/>
  <c r="E619" i="18"/>
  <c r="G618" i="18"/>
  <c r="E618" i="18"/>
  <c r="G617" i="18"/>
  <c r="E617" i="18"/>
  <c r="G616" i="18"/>
  <c r="E616" i="18"/>
  <c r="G615" i="18"/>
  <c r="E615" i="18"/>
  <c r="G614" i="18"/>
  <c r="E614" i="18"/>
  <c r="G613" i="18"/>
  <c r="E613" i="18"/>
  <c r="G612" i="18"/>
  <c r="E612" i="18"/>
  <c r="G611" i="18"/>
  <c r="E611" i="18"/>
  <c r="G610" i="18"/>
  <c r="E610" i="18"/>
  <c r="G609" i="18"/>
  <c r="E609" i="18"/>
  <c r="G608" i="18"/>
  <c r="E608" i="18"/>
  <c r="G607" i="18"/>
  <c r="E607" i="18"/>
  <c r="G606" i="18"/>
  <c r="E606" i="18"/>
  <c r="G605" i="18"/>
  <c r="E605" i="18"/>
  <c r="G604" i="18"/>
  <c r="E604" i="18"/>
  <c r="G603" i="18"/>
  <c r="E603" i="18"/>
  <c r="G602" i="18"/>
  <c r="E602" i="18"/>
  <c r="G601" i="18"/>
  <c r="E601" i="18"/>
  <c r="G600" i="18"/>
  <c r="E600" i="18"/>
  <c r="G599" i="18"/>
  <c r="E599" i="18"/>
  <c r="G598" i="18"/>
  <c r="E598" i="18"/>
  <c r="G597" i="18"/>
  <c r="E597" i="18"/>
  <c r="G596" i="18"/>
  <c r="E596" i="18"/>
  <c r="G595" i="18"/>
  <c r="E595" i="18"/>
  <c r="G594" i="18"/>
  <c r="E594" i="18"/>
  <c r="G593" i="18"/>
  <c r="E593" i="18"/>
  <c r="G592" i="18"/>
  <c r="E592" i="18"/>
  <c r="G591" i="18"/>
  <c r="E591" i="18"/>
  <c r="G590" i="18"/>
  <c r="E590" i="18"/>
  <c r="G589" i="18"/>
  <c r="E589" i="18"/>
  <c r="G588" i="18"/>
  <c r="E588" i="18"/>
  <c r="G587" i="18"/>
  <c r="E587" i="18"/>
  <c r="G586" i="18"/>
  <c r="E586" i="18"/>
  <c r="G585" i="18"/>
  <c r="E585" i="18"/>
  <c r="G584" i="18"/>
  <c r="E584" i="18"/>
  <c r="G583" i="18"/>
  <c r="E583" i="18"/>
  <c r="G582" i="18"/>
  <c r="E582" i="18"/>
  <c r="G581" i="18"/>
  <c r="E581" i="18"/>
  <c r="G580" i="18"/>
  <c r="E580" i="18"/>
  <c r="G579" i="18"/>
  <c r="E579" i="18"/>
  <c r="G578" i="18"/>
  <c r="E578" i="18"/>
  <c r="G577" i="18"/>
  <c r="E577" i="18"/>
  <c r="G576" i="18"/>
  <c r="E576" i="18"/>
  <c r="G575" i="18"/>
  <c r="E575" i="18"/>
  <c r="G574" i="18"/>
  <c r="E574" i="18"/>
  <c r="G573" i="18"/>
  <c r="E573" i="18"/>
  <c r="G572" i="18"/>
  <c r="E572" i="18"/>
  <c r="G571" i="18"/>
  <c r="E571" i="18"/>
  <c r="G570" i="18"/>
  <c r="E570" i="18"/>
  <c r="G569" i="18"/>
  <c r="E569" i="18"/>
  <c r="G568" i="18"/>
  <c r="E568" i="18"/>
  <c r="G567" i="18"/>
  <c r="E567" i="18"/>
  <c r="G566" i="18"/>
  <c r="E566" i="18"/>
  <c r="G565" i="18"/>
  <c r="E565" i="18"/>
  <c r="G564" i="18"/>
  <c r="E564" i="18"/>
  <c r="G563" i="18"/>
  <c r="E563" i="18"/>
  <c r="G562" i="18"/>
  <c r="E562" i="18"/>
  <c r="G561" i="18"/>
  <c r="E561" i="18"/>
  <c r="G560" i="18"/>
  <c r="E560" i="18"/>
  <c r="G559" i="18"/>
  <c r="E559" i="18"/>
  <c r="G558" i="18"/>
  <c r="E558" i="18"/>
  <c r="G557" i="18"/>
  <c r="E557" i="18"/>
  <c r="G556" i="18"/>
  <c r="E556" i="18"/>
  <c r="G555" i="18"/>
  <c r="E555" i="18"/>
  <c r="G554" i="18"/>
  <c r="E554" i="18"/>
  <c r="G553" i="18"/>
  <c r="E553" i="18"/>
  <c r="G552" i="18"/>
  <c r="E552" i="18"/>
  <c r="G551" i="18"/>
  <c r="E551" i="18"/>
  <c r="G550" i="18"/>
  <c r="E550" i="18"/>
  <c r="G549" i="18"/>
  <c r="E549" i="18"/>
  <c r="G548" i="18"/>
  <c r="E548" i="18"/>
  <c r="G547" i="18"/>
  <c r="E547" i="18"/>
  <c r="G546" i="18"/>
  <c r="E546" i="18"/>
  <c r="G545" i="18"/>
  <c r="E545" i="18"/>
  <c r="G544" i="18"/>
  <c r="E544" i="18"/>
  <c r="G543" i="18"/>
  <c r="E543" i="18"/>
  <c r="G542" i="18"/>
  <c r="E542" i="18"/>
  <c r="G541" i="18"/>
  <c r="E541" i="18"/>
  <c r="G540" i="18"/>
  <c r="E540" i="18"/>
  <c r="G539" i="18"/>
  <c r="E539" i="18"/>
  <c r="G538" i="18"/>
  <c r="E538" i="18"/>
  <c r="G537" i="18"/>
  <c r="E537" i="18"/>
  <c r="G536" i="18"/>
  <c r="E536" i="18"/>
  <c r="G535" i="18"/>
  <c r="E535" i="18"/>
  <c r="G534" i="18"/>
  <c r="E534" i="18"/>
  <c r="G533" i="18"/>
  <c r="E533" i="18"/>
  <c r="G532" i="18"/>
  <c r="I532" i="18" s="1"/>
  <c r="E532" i="18"/>
  <c r="G531" i="18"/>
  <c r="E531" i="18"/>
  <c r="G530" i="18"/>
  <c r="E530" i="18"/>
  <c r="G529" i="18"/>
  <c r="E529" i="18"/>
  <c r="G528" i="18"/>
  <c r="E528" i="18"/>
  <c r="G527" i="18"/>
  <c r="E527" i="18"/>
  <c r="G526" i="18"/>
  <c r="E526" i="18"/>
  <c r="G525" i="18"/>
  <c r="E525" i="18"/>
  <c r="G524" i="18"/>
  <c r="I524" i="18" s="1"/>
  <c r="E524" i="18"/>
  <c r="G523" i="18"/>
  <c r="E523" i="18"/>
  <c r="G522" i="18"/>
  <c r="E522" i="18"/>
  <c r="G521" i="18"/>
  <c r="E521" i="18"/>
  <c r="G520" i="18"/>
  <c r="E520" i="18"/>
  <c r="G519" i="18"/>
  <c r="E519" i="18"/>
  <c r="G518" i="18"/>
  <c r="E518" i="18"/>
  <c r="G517" i="18"/>
  <c r="E517" i="18"/>
  <c r="G516" i="18"/>
  <c r="I516" i="18" s="1"/>
  <c r="E516" i="18"/>
  <c r="G515" i="18"/>
  <c r="E515" i="18"/>
  <c r="G514" i="18"/>
  <c r="E514" i="18"/>
  <c r="G513" i="18"/>
  <c r="E513" i="18"/>
  <c r="G512" i="18"/>
  <c r="E512" i="18"/>
  <c r="G511" i="18"/>
  <c r="E511" i="18"/>
  <c r="G510" i="18"/>
  <c r="E510" i="18"/>
  <c r="G509" i="18"/>
  <c r="E509" i="18"/>
  <c r="G508" i="18"/>
  <c r="I508" i="18" s="1"/>
  <c r="E508" i="18"/>
  <c r="G507" i="18"/>
  <c r="E507" i="18"/>
  <c r="G506" i="18"/>
  <c r="E506" i="18"/>
  <c r="G505" i="18"/>
  <c r="E505" i="18"/>
  <c r="G504" i="18"/>
  <c r="E504" i="18"/>
  <c r="G503" i="18"/>
  <c r="E503" i="18"/>
  <c r="G502" i="18"/>
  <c r="E502" i="18"/>
  <c r="G501" i="18"/>
  <c r="E501" i="18"/>
  <c r="G500" i="18"/>
  <c r="I500" i="18" s="1"/>
  <c r="E500" i="18"/>
  <c r="G499" i="18"/>
  <c r="E499" i="18"/>
  <c r="G498" i="18"/>
  <c r="E498" i="18"/>
  <c r="G497" i="18"/>
  <c r="E497" i="18"/>
  <c r="G496" i="18"/>
  <c r="E496" i="18"/>
  <c r="G495" i="18"/>
  <c r="E495" i="18"/>
  <c r="G494" i="18"/>
  <c r="E494" i="18"/>
  <c r="G493" i="18"/>
  <c r="E493" i="18"/>
  <c r="G492" i="18"/>
  <c r="I492" i="18" s="1"/>
  <c r="E492" i="18"/>
  <c r="G491" i="18"/>
  <c r="E491" i="18"/>
  <c r="G490" i="18"/>
  <c r="E490" i="18"/>
  <c r="G489" i="18"/>
  <c r="E489" i="18"/>
  <c r="G488" i="18"/>
  <c r="E488" i="18"/>
  <c r="G487" i="18"/>
  <c r="E487" i="18"/>
  <c r="G486" i="18"/>
  <c r="E486" i="18"/>
  <c r="G485" i="18"/>
  <c r="E485" i="18"/>
  <c r="G484" i="18"/>
  <c r="I484" i="18" s="1"/>
  <c r="E484" i="18"/>
  <c r="G483" i="18"/>
  <c r="E483" i="18"/>
  <c r="G482" i="18"/>
  <c r="E482" i="18"/>
  <c r="G481" i="18"/>
  <c r="E481" i="18"/>
  <c r="G480" i="18"/>
  <c r="E480" i="18"/>
  <c r="G479" i="18"/>
  <c r="E479" i="18"/>
  <c r="G478" i="18"/>
  <c r="E478" i="18"/>
  <c r="G477" i="18"/>
  <c r="E477" i="18"/>
  <c r="G476" i="18"/>
  <c r="I476" i="18" s="1"/>
  <c r="E476" i="18"/>
  <c r="G475" i="18"/>
  <c r="E475" i="18"/>
  <c r="G474" i="18"/>
  <c r="E474" i="18"/>
  <c r="G473" i="18"/>
  <c r="E473" i="18"/>
  <c r="G472" i="18"/>
  <c r="E472" i="18"/>
  <c r="G471" i="18"/>
  <c r="E471" i="18"/>
  <c r="G470" i="18"/>
  <c r="E470" i="18"/>
  <c r="G469" i="18"/>
  <c r="E469" i="18"/>
  <c r="G468" i="18"/>
  <c r="I468" i="18" s="1"/>
  <c r="E468" i="18"/>
  <c r="G467" i="18"/>
  <c r="E467" i="18"/>
  <c r="G466" i="18"/>
  <c r="E466" i="18"/>
  <c r="G465" i="18"/>
  <c r="E465" i="18"/>
  <c r="G464" i="18"/>
  <c r="E464" i="18"/>
  <c r="G463" i="18"/>
  <c r="E463" i="18"/>
  <c r="G462" i="18"/>
  <c r="E462" i="18"/>
  <c r="G461" i="18"/>
  <c r="E461" i="18"/>
  <c r="G460" i="18"/>
  <c r="I460" i="18" s="1"/>
  <c r="E460" i="18"/>
  <c r="G459" i="18"/>
  <c r="E459" i="18"/>
  <c r="G458" i="18"/>
  <c r="E458" i="18"/>
  <c r="G457" i="18"/>
  <c r="E457" i="18"/>
  <c r="G456" i="18"/>
  <c r="E456" i="18"/>
  <c r="G455" i="18"/>
  <c r="E455" i="18"/>
  <c r="G454" i="18"/>
  <c r="E454" i="18"/>
  <c r="G453" i="18"/>
  <c r="E453" i="18"/>
  <c r="G452" i="18"/>
  <c r="I452" i="18" s="1"/>
  <c r="E452" i="18"/>
  <c r="G451" i="18"/>
  <c r="E451" i="18"/>
  <c r="G450" i="18"/>
  <c r="E450" i="18"/>
  <c r="G449" i="18"/>
  <c r="E449" i="18"/>
  <c r="G448" i="18"/>
  <c r="E448" i="18"/>
  <c r="G447" i="18"/>
  <c r="E447" i="18"/>
  <c r="G446" i="18"/>
  <c r="E446" i="18"/>
  <c r="G445" i="18"/>
  <c r="E445" i="18"/>
  <c r="G444" i="18"/>
  <c r="I444" i="18" s="1"/>
  <c r="E444" i="18"/>
  <c r="G443" i="18"/>
  <c r="E443" i="18"/>
  <c r="G442" i="18"/>
  <c r="E442" i="18"/>
  <c r="G441" i="18"/>
  <c r="E441" i="18"/>
  <c r="G440" i="18"/>
  <c r="E440" i="18"/>
  <c r="G439" i="18"/>
  <c r="E439" i="18"/>
  <c r="G438" i="18"/>
  <c r="E438" i="18"/>
  <c r="G437" i="18"/>
  <c r="E437" i="18"/>
  <c r="G436" i="18"/>
  <c r="I436" i="18" s="1"/>
  <c r="E436" i="18"/>
  <c r="G435" i="18"/>
  <c r="E435" i="18"/>
  <c r="G434" i="18"/>
  <c r="E434" i="18"/>
  <c r="G433" i="18"/>
  <c r="E433" i="18"/>
  <c r="G432" i="18"/>
  <c r="E432" i="18"/>
  <c r="G431" i="18"/>
  <c r="E431" i="18"/>
  <c r="G430" i="18"/>
  <c r="E430" i="18"/>
  <c r="G429" i="18"/>
  <c r="E429" i="18"/>
  <c r="G428" i="18"/>
  <c r="I428" i="18" s="1"/>
  <c r="E428" i="18"/>
  <c r="G427" i="18"/>
  <c r="E427" i="18"/>
  <c r="G426" i="18"/>
  <c r="E426" i="18"/>
  <c r="G425" i="18"/>
  <c r="E425" i="18"/>
  <c r="G424" i="18"/>
  <c r="E424" i="18"/>
  <c r="G423" i="18"/>
  <c r="E423" i="18"/>
  <c r="G422" i="18"/>
  <c r="E422" i="18"/>
  <c r="G421" i="18"/>
  <c r="E421" i="18"/>
  <c r="G420" i="18"/>
  <c r="I420" i="18" s="1"/>
  <c r="E420" i="18"/>
  <c r="G419" i="18"/>
  <c r="E419" i="18"/>
  <c r="G418" i="18"/>
  <c r="E418" i="18"/>
  <c r="G417" i="18"/>
  <c r="E417" i="18"/>
  <c r="G416" i="18"/>
  <c r="E416" i="18"/>
  <c r="G415" i="18"/>
  <c r="E415" i="18"/>
  <c r="G414" i="18"/>
  <c r="E414" i="18"/>
  <c r="G413" i="18"/>
  <c r="E413" i="18"/>
  <c r="G412" i="18"/>
  <c r="I412" i="18" s="1"/>
  <c r="E412" i="18"/>
  <c r="G411" i="18"/>
  <c r="E411" i="18"/>
  <c r="G410" i="18"/>
  <c r="E410" i="18"/>
  <c r="G409" i="18"/>
  <c r="E409" i="18"/>
  <c r="G408" i="18"/>
  <c r="E408" i="18"/>
  <c r="G407" i="18"/>
  <c r="E407" i="18"/>
  <c r="G406" i="18"/>
  <c r="E406" i="18"/>
  <c r="G405" i="18"/>
  <c r="E405" i="18"/>
  <c r="G404" i="18"/>
  <c r="I404" i="18" s="1"/>
  <c r="E404" i="18"/>
  <c r="G403" i="18"/>
  <c r="E403" i="18"/>
  <c r="G402" i="18"/>
  <c r="E402" i="18"/>
  <c r="G401" i="18"/>
  <c r="E401" i="18"/>
  <c r="G400" i="18"/>
  <c r="E400" i="18"/>
  <c r="G399" i="18"/>
  <c r="E399" i="18"/>
  <c r="G398" i="18"/>
  <c r="E398" i="18"/>
  <c r="G397" i="18"/>
  <c r="E397" i="18"/>
  <c r="G396" i="18"/>
  <c r="I396" i="18" s="1"/>
  <c r="E396" i="18"/>
  <c r="G395" i="18"/>
  <c r="E395" i="18"/>
  <c r="G394" i="18"/>
  <c r="E394" i="18"/>
  <c r="G393" i="18"/>
  <c r="E393" i="18"/>
  <c r="G392" i="18"/>
  <c r="E392" i="18"/>
  <c r="G391" i="18"/>
  <c r="E391" i="18"/>
  <c r="G390" i="18"/>
  <c r="E390" i="18"/>
  <c r="G389" i="18"/>
  <c r="E389" i="18"/>
  <c r="G388" i="18"/>
  <c r="I388" i="18" s="1"/>
  <c r="E388" i="18"/>
  <c r="G387" i="18"/>
  <c r="E387" i="18"/>
  <c r="G386" i="18"/>
  <c r="E386" i="18"/>
  <c r="G385" i="18"/>
  <c r="E385" i="18"/>
  <c r="G384" i="18"/>
  <c r="E384" i="18"/>
  <c r="G383" i="18"/>
  <c r="E383" i="18"/>
  <c r="G382" i="18"/>
  <c r="E382" i="18"/>
  <c r="G381" i="18"/>
  <c r="E381" i="18"/>
  <c r="G380" i="18"/>
  <c r="I380" i="18" s="1"/>
  <c r="E380" i="18"/>
  <c r="G379" i="18"/>
  <c r="E379" i="18"/>
  <c r="G378" i="18"/>
  <c r="E378" i="18"/>
  <c r="G377" i="18"/>
  <c r="E377" i="18"/>
  <c r="G376" i="18"/>
  <c r="E376" i="18"/>
  <c r="G375" i="18"/>
  <c r="E375" i="18"/>
  <c r="G374" i="18"/>
  <c r="E374" i="18"/>
  <c r="G373" i="18"/>
  <c r="E373" i="18"/>
  <c r="G372" i="18"/>
  <c r="I372" i="18" s="1"/>
  <c r="E372" i="18"/>
  <c r="G371" i="18"/>
  <c r="E371" i="18"/>
  <c r="G370" i="18"/>
  <c r="E370" i="18"/>
  <c r="G369" i="18"/>
  <c r="E369" i="18"/>
  <c r="G368" i="18"/>
  <c r="E368" i="18"/>
  <c r="G367" i="18"/>
  <c r="E367" i="18"/>
  <c r="G366" i="18"/>
  <c r="E366" i="18"/>
  <c r="G365" i="18"/>
  <c r="E365" i="18"/>
  <c r="G364" i="18"/>
  <c r="I364" i="18" s="1"/>
  <c r="E364" i="18"/>
  <c r="G363" i="18"/>
  <c r="E363" i="18"/>
  <c r="G362" i="18"/>
  <c r="E362" i="18"/>
  <c r="G361" i="18"/>
  <c r="E361" i="18"/>
  <c r="G360" i="18"/>
  <c r="E360" i="18"/>
  <c r="G359" i="18"/>
  <c r="E359" i="18"/>
  <c r="G358" i="18"/>
  <c r="E358" i="18"/>
  <c r="G357" i="18"/>
  <c r="E357" i="18"/>
  <c r="G356" i="18"/>
  <c r="I356" i="18" s="1"/>
  <c r="E356" i="18"/>
  <c r="G355" i="18"/>
  <c r="E355" i="18"/>
  <c r="G354" i="18"/>
  <c r="E354" i="18"/>
  <c r="G353" i="18"/>
  <c r="E353" i="18"/>
  <c r="G352" i="18"/>
  <c r="E352" i="18"/>
  <c r="G351" i="18"/>
  <c r="E351" i="18"/>
  <c r="G350" i="18"/>
  <c r="E350" i="18"/>
  <c r="G349" i="18"/>
  <c r="E349" i="18"/>
  <c r="G348" i="18"/>
  <c r="I348" i="18" s="1"/>
  <c r="E348" i="18"/>
  <c r="G347" i="18"/>
  <c r="E347" i="18"/>
  <c r="G346" i="18"/>
  <c r="E346" i="18"/>
  <c r="G345" i="18"/>
  <c r="E345" i="18"/>
  <c r="G344" i="18"/>
  <c r="E344" i="18"/>
  <c r="G343" i="18"/>
  <c r="E343" i="18"/>
  <c r="G342" i="18"/>
  <c r="E342" i="18"/>
  <c r="G341" i="18"/>
  <c r="E341" i="18"/>
  <c r="G340" i="18"/>
  <c r="I340" i="18" s="1"/>
  <c r="E340" i="18"/>
  <c r="G339" i="18"/>
  <c r="E339" i="18"/>
  <c r="G338" i="18"/>
  <c r="E338" i="18"/>
  <c r="G337" i="18"/>
  <c r="E337" i="18"/>
  <c r="G336" i="18"/>
  <c r="E336" i="18"/>
  <c r="G335" i="18"/>
  <c r="E335" i="18"/>
  <c r="G334" i="18"/>
  <c r="E334" i="18"/>
  <c r="G333" i="18"/>
  <c r="E333" i="18"/>
  <c r="G332" i="18"/>
  <c r="I332" i="18" s="1"/>
  <c r="E332" i="18"/>
  <c r="G331" i="18"/>
  <c r="E331" i="18"/>
  <c r="G330" i="18"/>
  <c r="E330" i="18"/>
  <c r="G329" i="18"/>
  <c r="E329" i="18"/>
  <c r="G328" i="18"/>
  <c r="E328" i="18"/>
  <c r="G327" i="18"/>
  <c r="E327" i="18"/>
  <c r="G326" i="18"/>
  <c r="E326" i="18"/>
  <c r="G325" i="18"/>
  <c r="E325" i="18"/>
  <c r="G324" i="18"/>
  <c r="I324" i="18" s="1"/>
  <c r="E324" i="18"/>
  <c r="G323" i="18"/>
  <c r="E323" i="18"/>
  <c r="G322" i="18"/>
  <c r="E322" i="18"/>
  <c r="G321" i="18"/>
  <c r="E321" i="18"/>
  <c r="G320" i="18"/>
  <c r="E320" i="18"/>
  <c r="G319" i="18"/>
  <c r="E319" i="18"/>
  <c r="G318" i="18"/>
  <c r="E318" i="18"/>
  <c r="G317" i="18"/>
  <c r="I317" i="18" s="1"/>
  <c r="E317" i="18"/>
  <c r="G316" i="18"/>
  <c r="I316" i="18" s="1"/>
  <c r="E316" i="18"/>
  <c r="G315" i="18"/>
  <c r="E315" i="18"/>
  <c r="G314" i="18"/>
  <c r="E314" i="18"/>
  <c r="G313" i="18"/>
  <c r="E313" i="18"/>
  <c r="G312" i="18"/>
  <c r="E312" i="18"/>
  <c r="G311" i="18"/>
  <c r="E311" i="18"/>
  <c r="G310" i="18"/>
  <c r="E310" i="18"/>
  <c r="G309" i="18"/>
  <c r="E309" i="18"/>
  <c r="G308" i="18"/>
  <c r="I308" i="18" s="1"/>
  <c r="E308" i="18"/>
  <c r="G307" i="18"/>
  <c r="E307" i="18"/>
  <c r="G306" i="18"/>
  <c r="E306" i="18"/>
  <c r="G305" i="18"/>
  <c r="E305" i="18"/>
  <c r="G304" i="18"/>
  <c r="E304" i="18"/>
  <c r="G303" i="18"/>
  <c r="E303" i="18"/>
  <c r="G302" i="18"/>
  <c r="E302" i="18"/>
  <c r="G301" i="18"/>
  <c r="E301" i="18"/>
  <c r="G300" i="18"/>
  <c r="I300" i="18" s="1"/>
  <c r="E300" i="18"/>
  <c r="G299" i="18"/>
  <c r="E299" i="18"/>
  <c r="G298" i="18"/>
  <c r="E298" i="18"/>
  <c r="G297" i="18"/>
  <c r="E297" i="18"/>
  <c r="G296" i="18"/>
  <c r="E296" i="18"/>
  <c r="G295" i="18"/>
  <c r="E295" i="18"/>
  <c r="G294" i="18"/>
  <c r="E294" i="18"/>
  <c r="G293" i="18"/>
  <c r="E293" i="18"/>
  <c r="G292" i="18"/>
  <c r="I292" i="18" s="1"/>
  <c r="E292" i="18"/>
  <c r="G291" i="18"/>
  <c r="E291" i="18"/>
  <c r="G290" i="18"/>
  <c r="E290" i="18"/>
  <c r="G289" i="18"/>
  <c r="E289" i="18"/>
  <c r="G288" i="18"/>
  <c r="E288" i="18"/>
  <c r="G287" i="18"/>
  <c r="E287" i="18"/>
  <c r="G286" i="18"/>
  <c r="E286" i="18"/>
  <c r="G285" i="18"/>
  <c r="E285" i="18"/>
  <c r="G284" i="18"/>
  <c r="I284" i="18" s="1"/>
  <c r="E284" i="18"/>
  <c r="G283" i="18"/>
  <c r="E283" i="18"/>
  <c r="G282" i="18"/>
  <c r="E282" i="18"/>
  <c r="G281" i="18"/>
  <c r="E281" i="18"/>
  <c r="G280" i="18"/>
  <c r="E280" i="18"/>
  <c r="G279" i="18"/>
  <c r="E279" i="18"/>
  <c r="G278" i="18"/>
  <c r="E278" i="18"/>
  <c r="G277" i="18"/>
  <c r="E277" i="18"/>
  <c r="G276" i="18"/>
  <c r="I276" i="18" s="1"/>
  <c r="E276" i="18"/>
  <c r="G275" i="18"/>
  <c r="E275" i="18"/>
  <c r="G274" i="18"/>
  <c r="E274" i="18"/>
  <c r="G273" i="18"/>
  <c r="E273" i="18"/>
  <c r="G272" i="18"/>
  <c r="E272" i="18"/>
  <c r="G271" i="18"/>
  <c r="E271" i="18"/>
  <c r="G270" i="18"/>
  <c r="E270" i="18"/>
  <c r="G269" i="18"/>
  <c r="E269" i="18"/>
  <c r="G268" i="18"/>
  <c r="I268" i="18" s="1"/>
  <c r="E268" i="18"/>
  <c r="G267" i="18"/>
  <c r="E267" i="18"/>
  <c r="G266" i="18"/>
  <c r="E266" i="18"/>
  <c r="G265" i="18"/>
  <c r="E265" i="18"/>
  <c r="G264" i="18"/>
  <c r="E264" i="18"/>
  <c r="G263" i="18"/>
  <c r="E263" i="18"/>
  <c r="G262" i="18"/>
  <c r="E262" i="18"/>
  <c r="G261" i="18"/>
  <c r="E261" i="18"/>
  <c r="G260" i="18"/>
  <c r="I260" i="18" s="1"/>
  <c r="E260" i="18"/>
  <c r="G259" i="18"/>
  <c r="E259" i="18"/>
  <c r="G258" i="18"/>
  <c r="E258" i="18"/>
  <c r="G257" i="18"/>
  <c r="E257" i="18"/>
  <c r="G256" i="18"/>
  <c r="E256" i="18"/>
  <c r="G255" i="18"/>
  <c r="E255" i="18"/>
  <c r="G254" i="18"/>
  <c r="E254" i="18"/>
  <c r="G253" i="18"/>
  <c r="E253" i="18"/>
  <c r="G252" i="18"/>
  <c r="I252" i="18" s="1"/>
  <c r="E252" i="18"/>
  <c r="G251" i="18"/>
  <c r="E251" i="18"/>
  <c r="G250" i="18"/>
  <c r="E250" i="18"/>
  <c r="G249" i="18"/>
  <c r="E249" i="18"/>
  <c r="G248" i="18"/>
  <c r="E248" i="18"/>
  <c r="G247" i="18"/>
  <c r="E247" i="18"/>
  <c r="G246" i="18"/>
  <c r="E246" i="18"/>
  <c r="G245" i="18"/>
  <c r="E245" i="18"/>
  <c r="G244" i="18"/>
  <c r="I244" i="18" s="1"/>
  <c r="E244" i="18"/>
  <c r="G243" i="18"/>
  <c r="E243" i="18"/>
  <c r="G242" i="18"/>
  <c r="E242" i="18"/>
  <c r="G241" i="18"/>
  <c r="E241" i="18"/>
  <c r="G240" i="18"/>
  <c r="E240" i="18"/>
  <c r="G239" i="18"/>
  <c r="E239" i="18"/>
  <c r="G238" i="18"/>
  <c r="E238" i="18"/>
  <c r="G237" i="18"/>
  <c r="E237" i="18"/>
  <c r="G236" i="18"/>
  <c r="I236" i="18" s="1"/>
  <c r="E236" i="18"/>
  <c r="G235" i="18"/>
  <c r="E235" i="18"/>
  <c r="G234" i="18"/>
  <c r="E234" i="18"/>
  <c r="G233" i="18"/>
  <c r="E233" i="18"/>
  <c r="G232" i="18"/>
  <c r="E232" i="18"/>
  <c r="G231" i="18"/>
  <c r="E231" i="18"/>
  <c r="G230" i="18"/>
  <c r="E230" i="18"/>
  <c r="G229" i="18"/>
  <c r="E229" i="18"/>
  <c r="G228" i="18"/>
  <c r="I228" i="18" s="1"/>
  <c r="E228" i="18"/>
  <c r="G227" i="18"/>
  <c r="E227" i="18"/>
  <c r="G226" i="18"/>
  <c r="E226" i="18"/>
  <c r="G225" i="18"/>
  <c r="E225" i="18"/>
  <c r="G224" i="18"/>
  <c r="E224" i="18"/>
  <c r="G223" i="18"/>
  <c r="E223" i="18"/>
  <c r="G222" i="18"/>
  <c r="E222" i="18"/>
  <c r="G221" i="18"/>
  <c r="E221" i="18"/>
  <c r="G220" i="18"/>
  <c r="I220" i="18" s="1"/>
  <c r="E220" i="18"/>
  <c r="G219" i="18"/>
  <c r="E219" i="18"/>
  <c r="G218" i="18"/>
  <c r="E218" i="18"/>
  <c r="G217" i="18"/>
  <c r="E217" i="18"/>
  <c r="G216" i="18"/>
  <c r="E216" i="18"/>
  <c r="G215" i="18"/>
  <c r="E215" i="18"/>
  <c r="G214" i="18"/>
  <c r="E214" i="18"/>
  <c r="G213" i="18"/>
  <c r="E213" i="18"/>
  <c r="G212" i="18"/>
  <c r="I212" i="18" s="1"/>
  <c r="E212" i="18"/>
  <c r="G211" i="18"/>
  <c r="E211" i="18"/>
  <c r="G210" i="18"/>
  <c r="E210" i="18"/>
  <c r="G209" i="18"/>
  <c r="E209" i="18"/>
  <c r="G208" i="18"/>
  <c r="E208" i="18"/>
  <c r="G207" i="18"/>
  <c r="E207" i="18"/>
  <c r="G206" i="18"/>
  <c r="E206" i="18"/>
  <c r="G205" i="18"/>
  <c r="E205" i="18"/>
  <c r="G204" i="18"/>
  <c r="I204" i="18" s="1"/>
  <c r="E204" i="18"/>
  <c r="G203" i="18"/>
  <c r="E203" i="18"/>
  <c r="G202" i="18"/>
  <c r="E202" i="18"/>
  <c r="G201" i="18"/>
  <c r="E201" i="18"/>
  <c r="G200" i="18"/>
  <c r="E200" i="18"/>
  <c r="G199" i="18"/>
  <c r="E199" i="18"/>
  <c r="G198" i="18"/>
  <c r="E198" i="18"/>
  <c r="G197" i="18"/>
  <c r="E197" i="18"/>
  <c r="G196" i="18"/>
  <c r="I196" i="18" s="1"/>
  <c r="E196" i="18"/>
  <c r="G195" i="18"/>
  <c r="E195" i="18"/>
  <c r="G194" i="18"/>
  <c r="E194" i="18"/>
  <c r="G193" i="18"/>
  <c r="E193" i="18"/>
  <c r="G192" i="18"/>
  <c r="E192" i="18"/>
  <c r="G191" i="18"/>
  <c r="E191" i="18"/>
  <c r="G190" i="18"/>
  <c r="E190" i="18"/>
  <c r="G189" i="18"/>
  <c r="E189" i="18"/>
  <c r="G188" i="18"/>
  <c r="I188" i="18" s="1"/>
  <c r="E188" i="18"/>
  <c r="G187" i="18"/>
  <c r="E187" i="18"/>
  <c r="G186" i="18"/>
  <c r="E186" i="18"/>
  <c r="G185" i="18"/>
  <c r="E185" i="18"/>
  <c r="G184" i="18"/>
  <c r="E184" i="18"/>
  <c r="G183" i="18"/>
  <c r="E183" i="18"/>
  <c r="G182" i="18"/>
  <c r="E182" i="18"/>
  <c r="G181" i="18"/>
  <c r="E181" i="18"/>
  <c r="G180" i="18"/>
  <c r="I180" i="18" s="1"/>
  <c r="E180" i="18"/>
  <c r="G179" i="18"/>
  <c r="E179" i="18"/>
  <c r="G178" i="18"/>
  <c r="E178" i="18"/>
  <c r="G177" i="18"/>
  <c r="E177" i="18"/>
  <c r="G176" i="18"/>
  <c r="E176" i="18"/>
  <c r="G175" i="18"/>
  <c r="E175" i="18"/>
  <c r="G174" i="18"/>
  <c r="E174" i="18"/>
  <c r="G173" i="18"/>
  <c r="E173" i="18"/>
  <c r="G172" i="18"/>
  <c r="I172" i="18" s="1"/>
  <c r="E172" i="18"/>
  <c r="G171" i="18"/>
  <c r="E171" i="18"/>
  <c r="G170" i="18"/>
  <c r="E170" i="18"/>
  <c r="G169" i="18"/>
  <c r="E169" i="18"/>
  <c r="G168" i="18"/>
  <c r="E168" i="18"/>
  <c r="G167" i="18"/>
  <c r="E167" i="18"/>
  <c r="G166" i="18"/>
  <c r="E166" i="18"/>
  <c r="G165" i="18"/>
  <c r="E165" i="18"/>
  <c r="G164" i="18"/>
  <c r="I164" i="18" s="1"/>
  <c r="E164" i="18"/>
  <c r="G163" i="18"/>
  <c r="E163" i="18"/>
  <c r="G162" i="18"/>
  <c r="E162" i="18"/>
  <c r="G161" i="18"/>
  <c r="E161" i="18"/>
  <c r="G160" i="18"/>
  <c r="E160" i="18"/>
  <c r="G159" i="18"/>
  <c r="E159" i="18"/>
  <c r="G158" i="18"/>
  <c r="E158" i="18"/>
  <c r="G157" i="18"/>
  <c r="E157" i="18"/>
  <c r="G156" i="18"/>
  <c r="I156" i="18" s="1"/>
  <c r="E156" i="18"/>
  <c r="G155" i="18"/>
  <c r="E155" i="18"/>
  <c r="G154" i="18"/>
  <c r="E154" i="18"/>
  <c r="G153" i="18"/>
  <c r="E153" i="18"/>
  <c r="G152" i="18"/>
  <c r="E152" i="18"/>
  <c r="G151" i="18"/>
  <c r="E151" i="18"/>
  <c r="G150" i="18"/>
  <c r="E150" i="18"/>
  <c r="G149" i="18"/>
  <c r="E149" i="18"/>
  <c r="G148" i="18"/>
  <c r="I148" i="18" s="1"/>
  <c r="E148" i="18"/>
  <c r="G147" i="18"/>
  <c r="E147" i="18"/>
  <c r="G146" i="18"/>
  <c r="E146" i="18"/>
  <c r="G145" i="18"/>
  <c r="E145" i="18"/>
  <c r="G144" i="18"/>
  <c r="E144" i="18"/>
  <c r="G143" i="18"/>
  <c r="E143" i="18"/>
  <c r="G142" i="18"/>
  <c r="E142" i="18"/>
  <c r="G141" i="18"/>
  <c r="E141" i="18"/>
  <c r="G140" i="18"/>
  <c r="I140" i="18" s="1"/>
  <c r="E140" i="18"/>
  <c r="G139" i="18"/>
  <c r="E139" i="18"/>
  <c r="G138" i="18"/>
  <c r="E138" i="18"/>
  <c r="G137" i="18"/>
  <c r="E137" i="18"/>
  <c r="G136" i="18"/>
  <c r="E136" i="18"/>
  <c r="G135" i="18"/>
  <c r="E135" i="18"/>
  <c r="G134" i="18"/>
  <c r="E134" i="18"/>
  <c r="G133" i="18"/>
  <c r="E133" i="18"/>
  <c r="G132" i="18"/>
  <c r="I132" i="18" s="1"/>
  <c r="E132" i="18"/>
  <c r="G131" i="18"/>
  <c r="E131" i="18"/>
  <c r="G130" i="18"/>
  <c r="E130" i="18"/>
  <c r="G129" i="18"/>
  <c r="E129" i="18"/>
  <c r="G128" i="18"/>
  <c r="E128" i="18"/>
  <c r="G127" i="18"/>
  <c r="E127" i="18"/>
  <c r="G126" i="18"/>
  <c r="E126" i="18"/>
  <c r="G125" i="18"/>
  <c r="E125" i="18"/>
  <c r="G124" i="18"/>
  <c r="I124" i="18" s="1"/>
  <c r="E124" i="18"/>
  <c r="G123" i="18"/>
  <c r="E123" i="18"/>
  <c r="G122" i="18"/>
  <c r="E122" i="18"/>
  <c r="G121" i="18"/>
  <c r="E121" i="18"/>
  <c r="G120" i="18"/>
  <c r="E120" i="18"/>
  <c r="G119" i="18"/>
  <c r="E119" i="18"/>
  <c r="G118" i="18"/>
  <c r="E118" i="18"/>
  <c r="G117" i="18"/>
  <c r="E117" i="18"/>
  <c r="G116" i="18"/>
  <c r="I116" i="18" s="1"/>
  <c r="E116" i="18"/>
  <c r="G115" i="18"/>
  <c r="E115" i="18"/>
  <c r="G114" i="18"/>
  <c r="E114" i="18"/>
  <c r="G113" i="18"/>
  <c r="E113" i="18"/>
  <c r="G112" i="18"/>
  <c r="E112" i="18"/>
  <c r="G111" i="18"/>
  <c r="E111" i="18"/>
  <c r="G110" i="18"/>
  <c r="E110" i="18"/>
  <c r="G109" i="18"/>
  <c r="E109" i="18"/>
  <c r="G108" i="18"/>
  <c r="I108" i="18" s="1"/>
  <c r="E108" i="18"/>
  <c r="G107" i="18"/>
  <c r="E107" i="18"/>
  <c r="G106" i="18"/>
  <c r="E106" i="18"/>
  <c r="G105" i="18"/>
  <c r="E105" i="18"/>
  <c r="G104" i="18"/>
  <c r="E104" i="18"/>
  <c r="G103" i="18"/>
  <c r="E103" i="18"/>
  <c r="G102" i="18"/>
  <c r="E102" i="18"/>
  <c r="G101" i="18"/>
  <c r="E101" i="18"/>
  <c r="G100" i="18"/>
  <c r="I100" i="18" s="1"/>
  <c r="E100" i="18"/>
  <c r="G99" i="18"/>
  <c r="E99" i="18"/>
  <c r="G98" i="18"/>
  <c r="E98" i="18"/>
  <c r="G97" i="18"/>
  <c r="E97" i="18"/>
  <c r="G96" i="18"/>
  <c r="E96" i="18"/>
  <c r="G95" i="18"/>
  <c r="E95" i="18"/>
  <c r="G94" i="18"/>
  <c r="E94" i="18"/>
  <c r="G93" i="18"/>
  <c r="E93" i="18"/>
  <c r="G92" i="18"/>
  <c r="I92" i="18" s="1"/>
  <c r="E92" i="18"/>
  <c r="G91" i="18"/>
  <c r="E91" i="18"/>
  <c r="G90" i="18"/>
  <c r="E90" i="18"/>
  <c r="G89" i="18"/>
  <c r="E89" i="18"/>
  <c r="G88" i="18"/>
  <c r="E88" i="18"/>
  <c r="G87" i="18"/>
  <c r="E87" i="18"/>
  <c r="G86" i="18"/>
  <c r="E86" i="18"/>
  <c r="G85" i="18"/>
  <c r="E85" i="18"/>
  <c r="G84" i="18"/>
  <c r="I84" i="18" s="1"/>
  <c r="E84" i="18"/>
  <c r="G83" i="18"/>
  <c r="E83" i="18"/>
  <c r="G82" i="18"/>
  <c r="E82" i="18"/>
  <c r="G81" i="18"/>
  <c r="E81" i="18"/>
  <c r="G80" i="18"/>
  <c r="E80" i="18"/>
  <c r="G79" i="18"/>
  <c r="E79" i="18"/>
  <c r="G78" i="18"/>
  <c r="E78" i="18"/>
  <c r="G77" i="18"/>
  <c r="E77" i="18"/>
  <c r="G76" i="18"/>
  <c r="I76" i="18" s="1"/>
  <c r="E76" i="18"/>
  <c r="G75" i="18"/>
  <c r="E75" i="18"/>
  <c r="G74" i="18"/>
  <c r="E74" i="18"/>
  <c r="G73" i="18"/>
  <c r="E73" i="18"/>
  <c r="G72" i="18"/>
  <c r="E72" i="18"/>
  <c r="G71" i="18"/>
  <c r="E71" i="18"/>
  <c r="G70" i="18"/>
  <c r="E70" i="18"/>
  <c r="G69" i="18"/>
  <c r="E69" i="18"/>
  <c r="G68" i="18"/>
  <c r="E68" i="18"/>
  <c r="G67" i="18"/>
  <c r="E67" i="18"/>
  <c r="G66" i="18"/>
  <c r="E66" i="18"/>
  <c r="G65" i="18"/>
  <c r="E65" i="18"/>
  <c r="G64" i="18"/>
  <c r="E64" i="18"/>
  <c r="G63" i="18"/>
  <c r="E63" i="18"/>
  <c r="G62" i="18"/>
  <c r="I62" i="18" s="1"/>
  <c r="E62" i="18"/>
  <c r="G61" i="18"/>
  <c r="E61" i="18"/>
  <c r="G60" i="18"/>
  <c r="E60" i="18"/>
  <c r="G59" i="18"/>
  <c r="E59" i="18"/>
  <c r="G58" i="18"/>
  <c r="E58" i="18"/>
  <c r="G57" i="18"/>
  <c r="E57" i="18"/>
  <c r="G56" i="18"/>
  <c r="E56" i="18"/>
  <c r="G55" i="18"/>
  <c r="E55" i="18"/>
  <c r="G54" i="18"/>
  <c r="I54" i="18" s="1"/>
  <c r="E54" i="18"/>
  <c r="G53" i="18"/>
  <c r="E53" i="18"/>
  <c r="G52" i="18"/>
  <c r="E52" i="18"/>
  <c r="G51" i="18"/>
  <c r="E51" i="18"/>
  <c r="G50" i="18"/>
  <c r="E50" i="18"/>
  <c r="G49" i="18"/>
  <c r="E49" i="18"/>
  <c r="G48" i="18"/>
  <c r="E48" i="18"/>
  <c r="G47" i="18"/>
  <c r="E47" i="18"/>
  <c r="G46" i="18"/>
  <c r="I46" i="18" s="1"/>
  <c r="E46" i="18"/>
  <c r="G45" i="18"/>
  <c r="E45" i="18"/>
  <c r="G44" i="18"/>
  <c r="E44" i="18"/>
  <c r="G43" i="18"/>
  <c r="E43" i="18"/>
  <c r="G42" i="18"/>
  <c r="E42" i="18"/>
  <c r="G41" i="18"/>
  <c r="E41" i="18"/>
  <c r="G40" i="18"/>
  <c r="E40" i="18"/>
  <c r="G39" i="18"/>
  <c r="E39" i="18"/>
  <c r="G38" i="18"/>
  <c r="I38" i="18" s="1"/>
  <c r="E38" i="18"/>
  <c r="G37" i="18"/>
  <c r="I37" i="18" s="1"/>
  <c r="E37" i="18"/>
  <c r="G36" i="18"/>
  <c r="E36" i="18"/>
  <c r="G35" i="18"/>
  <c r="E35" i="18"/>
  <c r="G34" i="18"/>
  <c r="E34" i="18"/>
  <c r="G33" i="18"/>
  <c r="E33" i="18"/>
  <c r="G32" i="18"/>
  <c r="E32" i="18"/>
  <c r="G31" i="18"/>
  <c r="E31" i="18"/>
  <c r="G30" i="18"/>
  <c r="E30" i="18"/>
  <c r="G29" i="18"/>
  <c r="E29" i="18"/>
  <c r="G28" i="18"/>
  <c r="E28" i="18"/>
  <c r="G27" i="18"/>
  <c r="E27" i="18"/>
  <c r="G26" i="18"/>
  <c r="E26" i="18"/>
  <c r="G25" i="18"/>
  <c r="E25" i="18"/>
  <c r="G477" i="16"/>
  <c r="E477" i="16"/>
  <c r="G476" i="16"/>
  <c r="E476" i="16"/>
  <c r="G475" i="16"/>
  <c r="E475" i="16"/>
  <c r="G474" i="16"/>
  <c r="E474" i="16"/>
  <c r="G473" i="16"/>
  <c r="E473" i="16"/>
  <c r="G472" i="16"/>
  <c r="E472" i="16"/>
  <c r="G471" i="16"/>
  <c r="E471" i="16"/>
  <c r="G470" i="16"/>
  <c r="E470" i="16"/>
  <c r="G469" i="16"/>
  <c r="E469" i="16"/>
  <c r="G468" i="16"/>
  <c r="E468" i="16"/>
  <c r="G467" i="16"/>
  <c r="E467" i="16"/>
  <c r="G466" i="16"/>
  <c r="E466" i="16"/>
  <c r="G465" i="16"/>
  <c r="E465" i="16"/>
  <c r="G464" i="16"/>
  <c r="E464" i="16"/>
  <c r="G463" i="16"/>
  <c r="E463" i="16"/>
  <c r="G462" i="16"/>
  <c r="E462" i="16"/>
  <c r="G461" i="16"/>
  <c r="E461" i="16"/>
  <c r="G460" i="16"/>
  <c r="E460" i="16"/>
  <c r="G459" i="16"/>
  <c r="E459" i="16"/>
  <c r="G458" i="16"/>
  <c r="E458" i="16"/>
  <c r="G457" i="16"/>
  <c r="E457" i="16"/>
  <c r="G456" i="16"/>
  <c r="E456" i="16"/>
  <c r="G455" i="16"/>
  <c r="E455" i="16"/>
  <c r="G454" i="16"/>
  <c r="E454" i="16"/>
  <c r="G453" i="16"/>
  <c r="E453" i="16"/>
  <c r="G452" i="16"/>
  <c r="E452" i="16"/>
  <c r="G451" i="16"/>
  <c r="E451" i="16"/>
  <c r="G450" i="16"/>
  <c r="E450" i="16"/>
  <c r="G449" i="16"/>
  <c r="E449" i="16"/>
  <c r="G448" i="16"/>
  <c r="E448" i="16"/>
  <c r="G447" i="16"/>
  <c r="E447" i="16"/>
  <c r="G446" i="16"/>
  <c r="E446" i="16"/>
  <c r="G445" i="16"/>
  <c r="E445" i="16"/>
  <c r="G444" i="16"/>
  <c r="E444" i="16"/>
  <c r="G443" i="16"/>
  <c r="E443" i="16"/>
  <c r="G442" i="16"/>
  <c r="E442" i="16"/>
  <c r="G441" i="16"/>
  <c r="E441" i="16"/>
  <c r="G440" i="16"/>
  <c r="E440" i="16"/>
  <c r="G439" i="16"/>
  <c r="E439" i="16"/>
  <c r="G438" i="16"/>
  <c r="E438" i="16"/>
  <c r="G437" i="16"/>
  <c r="E437" i="16"/>
  <c r="G436" i="16"/>
  <c r="E436" i="16"/>
  <c r="G435" i="16"/>
  <c r="E435" i="16"/>
  <c r="G434" i="16"/>
  <c r="E434" i="16"/>
  <c r="G433" i="16"/>
  <c r="E433" i="16"/>
  <c r="G432" i="16"/>
  <c r="E432" i="16"/>
  <c r="G431" i="16"/>
  <c r="E431" i="16"/>
  <c r="G430" i="16"/>
  <c r="E430" i="16"/>
  <c r="G429" i="16"/>
  <c r="E429" i="16"/>
  <c r="G428" i="16"/>
  <c r="E428" i="16"/>
  <c r="G427" i="16"/>
  <c r="E427" i="16"/>
  <c r="G426" i="16"/>
  <c r="E426" i="16"/>
  <c r="G425" i="16"/>
  <c r="E425" i="16"/>
  <c r="G424" i="16"/>
  <c r="E424" i="16"/>
  <c r="G423" i="16"/>
  <c r="E423" i="16"/>
  <c r="G422" i="16"/>
  <c r="E422" i="16"/>
  <c r="G421" i="16"/>
  <c r="E421" i="16"/>
  <c r="G420" i="16"/>
  <c r="E420" i="16"/>
  <c r="G419" i="16"/>
  <c r="E419" i="16"/>
  <c r="G418" i="16"/>
  <c r="E418" i="16"/>
  <c r="G417" i="16"/>
  <c r="E417" i="16"/>
  <c r="G416" i="16"/>
  <c r="E416" i="16"/>
  <c r="G415" i="16"/>
  <c r="E415" i="16"/>
  <c r="G414" i="16"/>
  <c r="E414" i="16"/>
  <c r="G413" i="16"/>
  <c r="E413" i="16"/>
  <c r="G412" i="16"/>
  <c r="E412" i="16"/>
  <c r="G411" i="16"/>
  <c r="E411" i="16"/>
  <c r="G410" i="16"/>
  <c r="E410" i="16"/>
  <c r="G409" i="16"/>
  <c r="E409" i="16"/>
  <c r="G408" i="16"/>
  <c r="E408" i="16"/>
  <c r="G407" i="16"/>
  <c r="E407" i="16"/>
  <c r="G406" i="16"/>
  <c r="E406" i="16"/>
  <c r="G405" i="16"/>
  <c r="E405" i="16"/>
  <c r="G404" i="16"/>
  <c r="E404" i="16"/>
  <c r="G403" i="16"/>
  <c r="E403" i="16"/>
  <c r="G402" i="16"/>
  <c r="E402" i="16"/>
  <c r="G401" i="16"/>
  <c r="E401" i="16"/>
  <c r="G400" i="16"/>
  <c r="E400" i="16"/>
  <c r="G399" i="16"/>
  <c r="E399" i="16"/>
  <c r="G398" i="16"/>
  <c r="E398" i="16"/>
  <c r="G397" i="16"/>
  <c r="E397" i="16"/>
  <c r="G396" i="16"/>
  <c r="E396" i="16"/>
  <c r="G395" i="16"/>
  <c r="E395" i="16"/>
  <c r="G394" i="16"/>
  <c r="E394" i="16"/>
  <c r="G393" i="16"/>
  <c r="E393" i="16"/>
  <c r="G392" i="16"/>
  <c r="E392" i="16"/>
  <c r="G391" i="16"/>
  <c r="E391" i="16"/>
  <c r="G390" i="16"/>
  <c r="E390" i="16"/>
  <c r="G389" i="16"/>
  <c r="E389" i="16"/>
  <c r="G388" i="16"/>
  <c r="E388" i="16"/>
  <c r="G387" i="16"/>
  <c r="E387" i="16"/>
  <c r="G386" i="16"/>
  <c r="E386" i="16"/>
  <c r="G385" i="16"/>
  <c r="E385" i="16"/>
  <c r="G384" i="16"/>
  <c r="E384" i="16"/>
  <c r="G383" i="16"/>
  <c r="E383" i="16"/>
  <c r="G382" i="16"/>
  <c r="E382" i="16"/>
  <c r="G381" i="16"/>
  <c r="E381" i="16"/>
  <c r="G380" i="16"/>
  <c r="E380" i="16"/>
  <c r="G379" i="16"/>
  <c r="E379" i="16"/>
  <c r="G378" i="16"/>
  <c r="E378" i="16"/>
  <c r="G377" i="16"/>
  <c r="E377" i="16"/>
  <c r="G376" i="16"/>
  <c r="E376" i="16"/>
  <c r="G375" i="16"/>
  <c r="E375" i="16"/>
  <c r="G374" i="16"/>
  <c r="E374" i="16"/>
  <c r="G373" i="16"/>
  <c r="E373" i="16"/>
  <c r="G372" i="16"/>
  <c r="E372" i="16"/>
  <c r="G371" i="16"/>
  <c r="E371" i="16"/>
  <c r="G370" i="16"/>
  <c r="E370" i="16"/>
  <c r="G369" i="16"/>
  <c r="E369" i="16"/>
  <c r="G368" i="16"/>
  <c r="E368" i="16"/>
  <c r="G367" i="16"/>
  <c r="E367" i="16"/>
  <c r="G366" i="16"/>
  <c r="E366" i="16"/>
  <c r="G365" i="16"/>
  <c r="E365" i="16"/>
  <c r="G364" i="16"/>
  <c r="E364" i="16"/>
  <c r="G363" i="16"/>
  <c r="E363" i="16"/>
  <c r="G362" i="16"/>
  <c r="E362" i="16"/>
  <c r="G361" i="16"/>
  <c r="E361" i="16"/>
  <c r="G360" i="16"/>
  <c r="E360" i="16"/>
  <c r="G359" i="16"/>
  <c r="E359" i="16"/>
  <c r="G358" i="16"/>
  <c r="E358" i="16"/>
  <c r="G357" i="16"/>
  <c r="E357" i="16"/>
  <c r="G356" i="16"/>
  <c r="E356" i="16"/>
  <c r="G355" i="16"/>
  <c r="E355" i="16"/>
  <c r="G354" i="16"/>
  <c r="E354" i="16"/>
  <c r="G353" i="16"/>
  <c r="E353" i="16"/>
  <c r="G352" i="16"/>
  <c r="E352" i="16"/>
  <c r="G351" i="16"/>
  <c r="E351" i="16"/>
  <c r="G350" i="16"/>
  <c r="E350" i="16"/>
  <c r="G349" i="16"/>
  <c r="E349" i="16"/>
  <c r="G348" i="16"/>
  <c r="E348" i="16"/>
  <c r="G347" i="16"/>
  <c r="E347" i="16"/>
  <c r="G346" i="16"/>
  <c r="E346" i="16"/>
  <c r="G345" i="16"/>
  <c r="E345" i="16"/>
  <c r="G344" i="16"/>
  <c r="E344" i="16"/>
  <c r="G343" i="16"/>
  <c r="E343" i="16"/>
  <c r="G342" i="16"/>
  <c r="E342" i="16"/>
  <c r="G341" i="16"/>
  <c r="E341" i="16"/>
  <c r="G340" i="16"/>
  <c r="E340" i="16"/>
  <c r="G339" i="16"/>
  <c r="E339" i="16"/>
  <c r="G338" i="16"/>
  <c r="E338" i="16"/>
  <c r="G337" i="16"/>
  <c r="E337" i="16"/>
  <c r="G336" i="16"/>
  <c r="E336" i="16"/>
  <c r="G335" i="16"/>
  <c r="E335" i="16"/>
  <c r="G334" i="16"/>
  <c r="E334" i="16"/>
  <c r="G333" i="16"/>
  <c r="E333" i="16"/>
  <c r="G332" i="16"/>
  <c r="E332" i="16"/>
  <c r="G331" i="16"/>
  <c r="E331" i="16"/>
  <c r="G330" i="16"/>
  <c r="E330" i="16"/>
  <c r="G329" i="16"/>
  <c r="E329" i="16"/>
  <c r="G328" i="16"/>
  <c r="E328" i="16"/>
  <c r="G327" i="16"/>
  <c r="E327" i="16"/>
  <c r="G326" i="16"/>
  <c r="E326" i="16"/>
  <c r="G325" i="16"/>
  <c r="E325" i="16"/>
  <c r="G324" i="16"/>
  <c r="E324" i="16"/>
  <c r="G323" i="16"/>
  <c r="E323" i="16"/>
  <c r="G322" i="16"/>
  <c r="E322" i="16"/>
  <c r="G321" i="16"/>
  <c r="E321" i="16"/>
  <c r="G320" i="16"/>
  <c r="E320" i="16"/>
  <c r="G319" i="16"/>
  <c r="E319" i="16"/>
  <c r="G318" i="16"/>
  <c r="E318" i="16"/>
  <c r="G317" i="16"/>
  <c r="E317" i="16"/>
  <c r="G316" i="16"/>
  <c r="E316" i="16"/>
  <c r="G315" i="16"/>
  <c r="E315" i="16"/>
  <c r="G314" i="16"/>
  <c r="E314" i="16"/>
  <c r="G313" i="16"/>
  <c r="E313" i="16"/>
  <c r="G312" i="16"/>
  <c r="E312" i="16"/>
  <c r="G311" i="16"/>
  <c r="E311" i="16"/>
  <c r="G310" i="16"/>
  <c r="E310" i="16"/>
  <c r="G309" i="16"/>
  <c r="E309" i="16"/>
  <c r="G308" i="16"/>
  <c r="E308" i="16"/>
  <c r="G307" i="16"/>
  <c r="E307" i="16"/>
  <c r="G306" i="16"/>
  <c r="E306" i="16"/>
  <c r="G305" i="16"/>
  <c r="E305" i="16"/>
  <c r="G304" i="16"/>
  <c r="E304" i="16"/>
  <c r="G303" i="16"/>
  <c r="E303" i="16"/>
  <c r="G302" i="16"/>
  <c r="E302" i="16"/>
  <c r="G301" i="16"/>
  <c r="E301" i="16"/>
  <c r="G300" i="16"/>
  <c r="E300" i="16"/>
  <c r="G299" i="16"/>
  <c r="E299" i="16"/>
  <c r="G298" i="16"/>
  <c r="E298" i="16"/>
  <c r="G297" i="16"/>
  <c r="E297" i="16"/>
  <c r="G296" i="16"/>
  <c r="E296" i="16"/>
  <c r="G295" i="16"/>
  <c r="E295" i="16"/>
  <c r="G294" i="16"/>
  <c r="E294" i="16"/>
  <c r="G293" i="16"/>
  <c r="E293" i="16"/>
  <c r="G292" i="16"/>
  <c r="E292" i="16"/>
  <c r="G291" i="16"/>
  <c r="E291" i="16"/>
  <c r="G290" i="16"/>
  <c r="E290" i="16"/>
  <c r="G289" i="16"/>
  <c r="E289" i="16"/>
  <c r="G288" i="16"/>
  <c r="E288" i="16"/>
  <c r="G287" i="16"/>
  <c r="E287" i="16"/>
  <c r="G286" i="16"/>
  <c r="E286" i="16"/>
  <c r="G285" i="16"/>
  <c r="E285" i="16"/>
  <c r="G284" i="16"/>
  <c r="E284" i="16"/>
  <c r="G283" i="16"/>
  <c r="E283" i="16"/>
  <c r="G282" i="16"/>
  <c r="E282" i="16"/>
  <c r="G281" i="16"/>
  <c r="E281" i="16"/>
  <c r="G280" i="16"/>
  <c r="E280" i="16"/>
  <c r="G279" i="16"/>
  <c r="E279" i="16"/>
  <c r="G278" i="16"/>
  <c r="E278" i="16"/>
  <c r="G277" i="16"/>
  <c r="E277" i="16"/>
  <c r="G276" i="16"/>
  <c r="E276" i="16"/>
  <c r="G275" i="16"/>
  <c r="E275" i="16"/>
  <c r="G274" i="16"/>
  <c r="E274" i="16"/>
  <c r="G273" i="16"/>
  <c r="E273" i="16"/>
  <c r="G272" i="16"/>
  <c r="E272" i="16"/>
  <c r="G271" i="16"/>
  <c r="E271" i="16"/>
  <c r="G270" i="16"/>
  <c r="E270" i="16"/>
  <c r="G269" i="16"/>
  <c r="E269" i="16"/>
  <c r="G268" i="16"/>
  <c r="E268" i="16"/>
  <c r="G267" i="16"/>
  <c r="E267" i="16"/>
  <c r="G266" i="16"/>
  <c r="E266" i="16"/>
  <c r="G265" i="16"/>
  <c r="E265" i="16"/>
  <c r="G264" i="16"/>
  <c r="E264" i="16"/>
  <c r="G263" i="16"/>
  <c r="E263" i="16"/>
  <c r="G262" i="16"/>
  <c r="E262" i="16"/>
  <c r="G261" i="16"/>
  <c r="E261" i="16"/>
  <c r="G260" i="16"/>
  <c r="E260" i="16"/>
  <c r="G259" i="16"/>
  <c r="E259" i="16"/>
  <c r="G258" i="16"/>
  <c r="E258" i="16"/>
  <c r="G257" i="16"/>
  <c r="E257" i="16"/>
  <c r="G256" i="16"/>
  <c r="E256" i="16"/>
  <c r="G255" i="16"/>
  <c r="E255" i="16"/>
  <c r="G254" i="16"/>
  <c r="E254" i="16"/>
  <c r="G253" i="16"/>
  <c r="E253" i="16"/>
  <c r="G252" i="16"/>
  <c r="E252" i="16"/>
  <c r="G251" i="16"/>
  <c r="E251" i="16"/>
  <c r="G250" i="16"/>
  <c r="E250" i="16"/>
  <c r="G249" i="16"/>
  <c r="E249" i="16"/>
  <c r="G248" i="16"/>
  <c r="E248" i="16"/>
  <c r="G247" i="16"/>
  <c r="E247" i="16"/>
  <c r="G246" i="16"/>
  <c r="E246" i="16"/>
  <c r="G245" i="16"/>
  <c r="E245" i="16"/>
  <c r="G244" i="16"/>
  <c r="E244" i="16"/>
  <c r="G243" i="16"/>
  <c r="E243" i="16"/>
  <c r="G242" i="16"/>
  <c r="E242" i="16"/>
  <c r="G241" i="16"/>
  <c r="E241" i="16"/>
  <c r="G240" i="16"/>
  <c r="E240" i="16"/>
  <c r="G239" i="16"/>
  <c r="E239" i="16"/>
  <c r="G238" i="16"/>
  <c r="E238" i="16"/>
  <c r="G237" i="16"/>
  <c r="E237" i="16"/>
  <c r="G236" i="16"/>
  <c r="E236" i="16"/>
  <c r="G235" i="16"/>
  <c r="E235" i="16"/>
  <c r="G234" i="16"/>
  <c r="E234" i="16"/>
  <c r="G233" i="16"/>
  <c r="E233" i="16"/>
  <c r="G232" i="16"/>
  <c r="E232" i="16"/>
  <c r="G231" i="16"/>
  <c r="E231" i="16"/>
  <c r="G230" i="16"/>
  <c r="E230" i="16"/>
  <c r="G229" i="16"/>
  <c r="E229" i="16"/>
  <c r="G228" i="16"/>
  <c r="E228" i="16"/>
  <c r="G227" i="16"/>
  <c r="E227" i="16"/>
  <c r="G226" i="16"/>
  <c r="E226" i="16"/>
  <c r="G225" i="16"/>
  <c r="E225" i="16"/>
  <c r="G224" i="16"/>
  <c r="E224" i="16"/>
  <c r="G223" i="16"/>
  <c r="E223" i="16"/>
  <c r="G222" i="16"/>
  <c r="E222" i="16"/>
  <c r="G221" i="16"/>
  <c r="E221" i="16"/>
  <c r="G220" i="16"/>
  <c r="E220" i="16"/>
  <c r="G219" i="16"/>
  <c r="E219" i="16"/>
  <c r="G218" i="16"/>
  <c r="E218" i="16"/>
  <c r="G217" i="16"/>
  <c r="E217" i="16"/>
  <c r="G216" i="16"/>
  <c r="E216" i="16"/>
  <c r="G215" i="16"/>
  <c r="E215" i="16"/>
  <c r="G214" i="16"/>
  <c r="E214" i="16"/>
  <c r="G213" i="16"/>
  <c r="E213" i="16"/>
  <c r="G212" i="16"/>
  <c r="E212" i="16"/>
  <c r="G211" i="16"/>
  <c r="E211" i="16"/>
  <c r="G210" i="16"/>
  <c r="E210" i="16"/>
  <c r="G209" i="16"/>
  <c r="E209" i="16"/>
  <c r="G208" i="16"/>
  <c r="E208" i="16"/>
  <c r="G207" i="16"/>
  <c r="E207" i="16"/>
  <c r="G206" i="16"/>
  <c r="E206" i="16"/>
  <c r="G205" i="16"/>
  <c r="E205" i="16"/>
  <c r="G204" i="16"/>
  <c r="E204" i="16"/>
  <c r="G203" i="16"/>
  <c r="E203" i="16"/>
  <c r="G202" i="16"/>
  <c r="E202" i="16"/>
  <c r="G201" i="16"/>
  <c r="E201" i="16"/>
  <c r="G200" i="16"/>
  <c r="E200" i="16"/>
  <c r="G199" i="16"/>
  <c r="E199" i="16"/>
  <c r="G198" i="16"/>
  <c r="E198" i="16"/>
  <c r="G197" i="16"/>
  <c r="E197" i="16"/>
  <c r="G196" i="16"/>
  <c r="E196" i="16"/>
  <c r="G195" i="16"/>
  <c r="E195" i="16"/>
  <c r="G194" i="16"/>
  <c r="E194" i="16"/>
  <c r="G193" i="16"/>
  <c r="E193" i="16"/>
  <c r="G192" i="16"/>
  <c r="E192" i="16"/>
  <c r="G191" i="16"/>
  <c r="E191" i="16"/>
  <c r="G190" i="16"/>
  <c r="E190" i="16"/>
  <c r="G189" i="16"/>
  <c r="E189" i="16"/>
  <c r="G188" i="16"/>
  <c r="E188" i="16"/>
  <c r="G187" i="16"/>
  <c r="E187" i="16"/>
  <c r="G186" i="16"/>
  <c r="E186" i="16"/>
  <c r="G185" i="16"/>
  <c r="E185" i="16"/>
  <c r="G184" i="16"/>
  <c r="E184" i="16"/>
  <c r="G183" i="16"/>
  <c r="E183" i="16"/>
  <c r="G182" i="16"/>
  <c r="E182" i="16"/>
  <c r="G181" i="16"/>
  <c r="E181" i="16"/>
  <c r="G180" i="16"/>
  <c r="E180" i="16"/>
  <c r="G179" i="16"/>
  <c r="E179" i="16"/>
  <c r="G178" i="16"/>
  <c r="E178" i="16"/>
  <c r="G177" i="16"/>
  <c r="E177" i="16"/>
  <c r="G176" i="16"/>
  <c r="E176" i="16"/>
  <c r="G175" i="16"/>
  <c r="E175" i="16"/>
  <c r="G174" i="16"/>
  <c r="E174" i="16"/>
  <c r="G173" i="16"/>
  <c r="E173" i="16"/>
  <c r="G172" i="16"/>
  <c r="E172" i="16"/>
  <c r="G171" i="16"/>
  <c r="E171" i="16"/>
  <c r="G170" i="16"/>
  <c r="E170" i="16"/>
  <c r="G169" i="16"/>
  <c r="E169" i="16"/>
  <c r="G168" i="16"/>
  <c r="E168" i="16"/>
  <c r="G167" i="16"/>
  <c r="E167" i="16"/>
  <c r="G166" i="16"/>
  <c r="E166" i="16"/>
  <c r="G165" i="16"/>
  <c r="E165" i="16"/>
  <c r="G164" i="16"/>
  <c r="E164" i="16"/>
  <c r="G163" i="16"/>
  <c r="E163" i="16"/>
  <c r="G162" i="16"/>
  <c r="E162" i="16"/>
  <c r="G161" i="16"/>
  <c r="E161" i="16"/>
  <c r="G160" i="16"/>
  <c r="E160" i="16"/>
  <c r="G159" i="16"/>
  <c r="E159" i="16"/>
  <c r="G158" i="16"/>
  <c r="E158" i="16"/>
  <c r="G157" i="16"/>
  <c r="E157" i="16"/>
  <c r="G156" i="16"/>
  <c r="E156" i="16"/>
  <c r="G155" i="16"/>
  <c r="E155" i="16"/>
  <c r="G154" i="16"/>
  <c r="E154" i="16"/>
  <c r="G153" i="16"/>
  <c r="E153" i="16"/>
  <c r="G152" i="16"/>
  <c r="E152" i="16"/>
  <c r="G151" i="16"/>
  <c r="E151" i="16"/>
  <c r="G150" i="16"/>
  <c r="E150" i="16"/>
  <c r="G149" i="16"/>
  <c r="E149" i="16"/>
  <c r="G148" i="16"/>
  <c r="E148" i="16"/>
  <c r="G147" i="16"/>
  <c r="E147" i="16"/>
  <c r="G146" i="16"/>
  <c r="E146" i="16"/>
  <c r="G145" i="16"/>
  <c r="E145" i="16"/>
  <c r="G144" i="16"/>
  <c r="E144" i="16"/>
  <c r="G143" i="16"/>
  <c r="E143" i="16"/>
  <c r="G142" i="16"/>
  <c r="E142" i="16"/>
  <c r="G141" i="16"/>
  <c r="E141" i="16"/>
  <c r="G140" i="16"/>
  <c r="E140" i="16"/>
  <c r="G139" i="16"/>
  <c r="E139" i="16"/>
  <c r="G138" i="16"/>
  <c r="E138" i="16"/>
  <c r="G137" i="16"/>
  <c r="E137" i="16"/>
  <c r="G136" i="16"/>
  <c r="E136" i="16"/>
  <c r="G135" i="16"/>
  <c r="E135" i="16"/>
  <c r="G134" i="16"/>
  <c r="E134" i="16"/>
  <c r="G133" i="16"/>
  <c r="E133" i="16"/>
  <c r="G132" i="16"/>
  <c r="E132" i="16"/>
  <c r="G131" i="16"/>
  <c r="E131" i="16"/>
  <c r="G130" i="16"/>
  <c r="E130" i="16"/>
  <c r="G129" i="16"/>
  <c r="E129" i="16"/>
  <c r="G128" i="16"/>
  <c r="E128" i="16"/>
  <c r="G127" i="16"/>
  <c r="E127" i="16"/>
  <c r="G126" i="16"/>
  <c r="E126" i="16"/>
  <c r="G125" i="16"/>
  <c r="E125" i="16"/>
  <c r="G124" i="16"/>
  <c r="E124" i="16"/>
  <c r="G123" i="16"/>
  <c r="E123" i="16"/>
  <c r="G122" i="16"/>
  <c r="E122" i="16"/>
  <c r="G121" i="16"/>
  <c r="E121" i="16"/>
  <c r="G120" i="16"/>
  <c r="E120" i="16"/>
  <c r="G119" i="16"/>
  <c r="E119" i="16"/>
  <c r="G118" i="16"/>
  <c r="E118" i="16"/>
  <c r="G117" i="16"/>
  <c r="E117" i="16"/>
  <c r="G116" i="16"/>
  <c r="E116" i="16"/>
  <c r="G115" i="16"/>
  <c r="E115" i="16"/>
  <c r="G114" i="16"/>
  <c r="E114" i="16"/>
  <c r="G113" i="16"/>
  <c r="E113" i="16"/>
  <c r="G112" i="16"/>
  <c r="E112" i="16"/>
  <c r="G111" i="16"/>
  <c r="E111" i="16"/>
  <c r="G110" i="16"/>
  <c r="E110" i="16"/>
  <c r="G109" i="16"/>
  <c r="E109" i="16"/>
  <c r="G108" i="16"/>
  <c r="E108" i="16"/>
  <c r="G107" i="16"/>
  <c r="E107" i="16"/>
  <c r="G106" i="16"/>
  <c r="E106" i="16"/>
  <c r="G105" i="16"/>
  <c r="E105" i="16"/>
  <c r="G104" i="16"/>
  <c r="E104" i="16"/>
  <c r="G103" i="16"/>
  <c r="E103" i="16"/>
  <c r="G102" i="16"/>
  <c r="E102" i="16"/>
  <c r="G101" i="16"/>
  <c r="E101" i="16"/>
  <c r="G100" i="16"/>
  <c r="E100" i="16"/>
  <c r="G99" i="16"/>
  <c r="E99" i="16"/>
  <c r="G98" i="16"/>
  <c r="E98" i="16"/>
  <c r="G97" i="16"/>
  <c r="E97" i="16"/>
  <c r="G96" i="16"/>
  <c r="E96" i="16"/>
  <c r="G95" i="16"/>
  <c r="E95" i="16"/>
  <c r="G94" i="16"/>
  <c r="E94" i="16"/>
  <c r="G93" i="16"/>
  <c r="E93" i="16"/>
  <c r="G92" i="16"/>
  <c r="E92" i="16"/>
  <c r="G91" i="16"/>
  <c r="E91" i="16"/>
  <c r="G90" i="16"/>
  <c r="E90" i="16"/>
  <c r="G89" i="16"/>
  <c r="E89" i="16"/>
  <c r="G88" i="16"/>
  <c r="E88" i="16"/>
  <c r="G87" i="16"/>
  <c r="E87" i="16"/>
  <c r="G86" i="16"/>
  <c r="E86" i="16"/>
  <c r="G85" i="16"/>
  <c r="E85" i="16"/>
  <c r="G84" i="16"/>
  <c r="E84" i="16"/>
  <c r="G83" i="16"/>
  <c r="E83" i="16"/>
  <c r="G82" i="16"/>
  <c r="E82" i="16"/>
  <c r="G81" i="16"/>
  <c r="E81" i="16"/>
  <c r="G80" i="16"/>
  <c r="E80" i="16"/>
  <c r="G79" i="16"/>
  <c r="E79" i="16"/>
  <c r="G78" i="16"/>
  <c r="E78" i="16"/>
  <c r="G77" i="16"/>
  <c r="E77" i="16"/>
  <c r="G76" i="16"/>
  <c r="E76" i="16"/>
  <c r="G75" i="16"/>
  <c r="E75" i="16"/>
  <c r="G74" i="16"/>
  <c r="E74" i="16"/>
  <c r="G73" i="16"/>
  <c r="E73" i="16"/>
  <c r="G72" i="16"/>
  <c r="E72" i="16"/>
  <c r="G71" i="16"/>
  <c r="E71" i="16"/>
  <c r="G70" i="16"/>
  <c r="E70" i="16"/>
  <c r="G69" i="16"/>
  <c r="E69" i="16"/>
  <c r="G68" i="16"/>
  <c r="E68" i="16"/>
  <c r="G67" i="16"/>
  <c r="E67" i="16"/>
  <c r="G66" i="16"/>
  <c r="E66" i="16"/>
  <c r="G65" i="16"/>
  <c r="E65" i="16"/>
  <c r="G64" i="16"/>
  <c r="E64" i="16"/>
  <c r="G63" i="16"/>
  <c r="E63" i="16"/>
  <c r="G62" i="16"/>
  <c r="E62" i="16"/>
  <c r="G61" i="16"/>
  <c r="E61" i="16"/>
  <c r="G60" i="16"/>
  <c r="E60" i="16"/>
  <c r="G59" i="16"/>
  <c r="E59" i="16"/>
  <c r="G58" i="16"/>
  <c r="E58" i="16"/>
  <c r="G57" i="16"/>
  <c r="E57" i="16"/>
  <c r="G56" i="16"/>
  <c r="E56" i="16"/>
  <c r="G55" i="16"/>
  <c r="E55" i="16"/>
  <c r="G54" i="16"/>
  <c r="E54" i="16"/>
  <c r="G53" i="16"/>
  <c r="E53" i="16"/>
  <c r="G52" i="16"/>
  <c r="E52" i="16"/>
  <c r="G51" i="16"/>
  <c r="E51" i="16"/>
  <c r="G50" i="16"/>
  <c r="E50" i="16"/>
  <c r="G49" i="16"/>
  <c r="E49" i="16"/>
  <c r="G48" i="16"/>
  <c r="E48" i="16"/>
  <c r="G47" i="16"/>
  <c r="E47" i="16"/>
  <c r="G46" i="16"/>
  <c r="E46" i="16"/>
  <c r="G45" i="16"/>
  <c r="E45" i="16"/>
  <c r="G44" i="16"/>
  <c r="E44" i="16"/>
  <c r="G43" i="16"/>
  <c r="E43" i="16"/>
  <c r="G42" i="16"/>
  <c r="E42" i="16"/>
  <c r="G41" i="16"/>
  <c r="E41" i="16"/>
  <c r="G40" i="16"/>
  <c r="E40" i="16"/>
  <c r="G39" i="16"/>
  <c r="E39" i="16"/>
  <c r="G38" i="16"/>
  <c r="E38" i="16"/>
  <c r="G37" i="16"/>
  <c r="E37" i="16"/>
  <c r="G36" i="16"/>
  <c r="E36" i="16"/>
  <c r="G35" i="16"/>
  <c r="E35" i="16"/>
  <c r="G34" i="16"/>
  <c r="E34" i="16"/>
  <c r="G33" i="16"/>
  <c r="E33" i="16"/>
  <c r="G32" i="16"/>
  <c r="E32" i="16"/>
  <c r="G31" i="16"/>
  <c r="E31" i="16"/>
  <c r="G30" i="16"/>
  <c r="E30" i="16"/>
  <c r="G29" i="16"/>
  <c r="E29" i="16"/>
  <c r="G28" i="16"/>
  <c r="E28" i="16"/>
  <c r="G27" i="16"/>
  <c r="E27" i="16"/>
  <c r="G26" i="16"/>
  <c r="E26" i="16"/>
  <c r="G25" i="16"/>
  <c r="E25" i="16"/>
  <c r="G24" i="16"/>
  <c r="E24" i="16"/>
  <c r="G23" i="16"/>
  <c r="E23" i="16"/>
  <c r="G22" i="16"/>
  <c r="E22" i="16"/>
  <c r="G21" i="16"/>
  <c r="E21" i="16"/>
  <c r="G20" i="16"/>
  <c r="E20" i="16"/>
  <c r="I70" i="18" l="1"/>
  <c r="I94" i="18"/>
  <c r="I118" i="18"/>
  <c r="I126" i="18"/>
  <c r="I134" i="18"/>
  <c r="I150" i="18"/>
  <c r="I174" i="18"/>
  <c r="I182" i="18"/>
  <c r="I190" i="18"/>
  <c r="I198" i="18"/>
  <c r="I206" i="18"/>
  <c r="I214" i="18"/>
  <c r="I222" i="18"/>
  <c r="I230" i="18"/>
  <c r="I238" i="18"/>
  <c r="I246" i="18"/>
  <c r="I254" i="18"/>
  <c r="I262" i="18"/>
  <c r="I270" i="18"/>
  <c r="I278" i="18"/>
  <c r="I286" i="18"/>
  <c r="I294" i="18"/>
  <c r="I302" i="18"/>
  <c r="I310" i="18"/>
  <c r="I318" i="18"/>
  <c r="I326" i="18"/>
  <c r="I334" i="18"/>
  <c r="I342" i="18"/>
  <c r="I350" i="18"/>
  <c r="I358" i="18"/>
  <c r="I366" i="18"/>
  <c r="I374" i="18"/>
  <c r="I382" i="18"/>
  <c r="I390" i="18"/>
  <c r="I398" i="18"/>
  <c r="I406" i="18"/>
  <c r="I414" i="18"/>
  <c r="I422" i="18"/>
  <c r="I430" i="18"/>
  <c r="I438" i="18"/>
  <c r="I446" i="18"/>
  <c r="I454" i="18"/>
  <c r="I462" i="18"/>
  <c r="I470" i="18"/>
  <c r="I478" i="18"/>
  <c r="I486" i="18"/>
  <c r="I494" i="18"/>
  <c r="I502" i="18"/>
  <c r="I510" i="18"/>
  <c r="I518" i="18"/>
  <c r="I526" i="18"/>
  <c r="I534" i="18"/>
  <c r="I542" i="18"/>
  <c r="I550" i="18"/>
  <c r="I558" i="18"/>
  <c r="I566" i="18"/>
  <c r="I574" i="18"/>
  <c r="I582" i="18"/>
  <c r="I590" i="18"/>
  <c r="I598" i="18"/>
  <c r="I606" i="18"/>
  <c r="I614" i="18"/>
  <c r="I622" i="18"/>
  <c r="I78" i="18"/>
  <c r="I86" i="18"/>
  <c r="I142" i="18"/>
  <c r="I102" i="18"/>
  <c r="I158" i="18"/>
  <c r="I110" i="18"/>
  <c r="I166" i="18"/>
  <c r="I540" i="18"/>
  <c r="I548" i="18"/>
  <c r="I556" i="18"/>
  <c r="I564" i="18"/>
  <c r="I572" i="18"/>
  <c r="I580" i="18"/>
  <c r="I588" i="18"/>
  <c r="I596" i="18"/>
  <c r="I604" i="18"/>
  <c r="I612" i="18"/>
  <c r="I620" i="18"/>
  <c r="I39" i="18"/>
  <c r="I47" i="18"/>
  <c r="I55" i="18"/>
  <c r="I63" i="18"/>
  <c r="I71" i="18"/>
  <c r="I40" i="18"/>
  <c r="H27" i="18"/>
  <c r="H622" i="18"/>
  <c r="I621" i="18"/>
  <c r="H624" i="18"/>
  <c r="I623" i="18"/>
  <c r="H625" i="18"/>
  <c r="I624" i="18"/>
  <c r="H78" i="18"/>
  <c r="I77" i="18"/>
  <c r="H118" i="18"/>
  <c r="I117" i="18"/>
  <c r="H158" i="18"/>
  <c r="I157" i="18"/>
  <c r="H198" i="18"/>
  <c r="I197" i="18"/>
  <c r="H238" i="18"/>
  <c r="I237" i="18"/>
  <c r="H278" i="18"/>
  <c r="I277" i="18"/>
  <c r="H310" i="18"/>
  <c r="I309" i="18"/>
  <c r="H342" i="18"/>
  <c r="I341" i="18"/>
  <c r="H374" i="18"/>
  <c r="I373" i="18"/>
  <c r="H422" i="18"/>
  <c r="I421" i="18"/>
  <c r="H462" i="18"/>
  <c r="I461" i="18"/>
  <c r="H518" i="18"/>
  <c r="I517" i="18"/>
  <c r="H566" i="18"/>
  <c r="I565" i="18"/>
  <c r="H606" i="18"/>
  <c r="I605" i="18"/>
  <c r="H96" i="18"/>
  <c r="I95" i="18"/>
  <c r="H136" i="18"/>
  <c r="I135" i="18"/>
  <c r="H176" i="18"/>
  <c r="I175" i="18"/>
  <c r="H224" i="18"/>
  <c r="I223" i="18"/>
  <c r="H272" i="18"/>
  <c r="I271" i="18"/>
  <c r="H320" i="18"/>
  <c r="I319" i="18"/>
  <c r="H360" i="18"/>
  <c r="I359" i="18"/>
  <c r="H416" i="18"/>
  <c r="I415" i="18"/>
  <c r="H464" i="18"/>
  <c r="I463" i="18"/>
  <c r="H504" i="18"/>
  <c r="I503" i="18"/>
  <c r="H552" i="18"/>
  <c r="I551" i="18"/>
  <c r="H608" i="18"/>
  <c r="I607" i="18"/>
  <c r="H65" i="18"/>
  <c r="I64" i="18"/>
  <c r="H121" i="18"/>
  <c r="I120" i="18"/>
  <c r="H185" i="18"/>
  <c r="I184" i="18"/>
  <c r="I272" i="18"/>
  <c r="H313" i="18"/>
  <c r="I312" i="18"/>
  <c r="H353" i="18"/>
  <c r="I352" i="18"/>
  <c r="H385" i="18"/>
  <c r="I384" i="18"/>
  <c r="H425" i="18"/>
  <c r="I424" i="18"/>
  <c r="H465" i="18"/>
  <c r="I464" i="18"/>
  <c r="H505" i="18"/>
  <c r="I504" i="18"/>
  <c r="H561" i="18"/>
  <c r="I560" i="18"/>
  <c r="H593" i="18"/>
  <c r="I592" i="18"/>
  <c r="H66" i="18"/>
  <c r="I65" i="18"/>
  <c r="H54" i="18"/>
  <c r="I53" i="18"/>
  <c r="H126" i="18"/>
  <c r="I125" i="18"/>
  <c r="H182" i="18"/>
  <c r="I181" i="18"/>
  <c r="H222" i="18"/>
  <c r="I221" i="18"/>
  <c r="H254" i="18"/>
  <c r="I253" i="18"/>
  <c r="H302" i="18"/>
  <c r="I301" i="18"/>
  <c r="H350" i="18"/>
  <c r="I349" i="18"/>
  <c r="H398" i="18"/>
  <c r="I397" i="18"/>
  <c r="H438" i="18"/>
  <c r="I437" i="18"/>
  <c r="H470" i="18"/>
  <c r="I469" i="18"/>
  <c r="H510" i="18"/>
  <c r="I509" i="18"/>
  <c r="H550" i="18"/>
  <c r="I549" i="18"/>
  <c r="H582" i="18"/>
  <c r="I581" i="18"/>
  <c r="H112" i="18"/>
  <c r="I111" i="18"/>
  <c r="H152" i="18"/>
  <c r="I151" i="18"/>
  <c r="H192" i="18"/>
  <c r="I191" i="18"/>
  <c r="H232" i="18"/>
  <c r="I231" i="18"/>
  <c r="H264" i="18"/>
  <c r="I263" i="18"/>
  <c r="H296" i="18"/>
  <c r="I295" i="18"/>
  <c r="H336" i="18"/>
  <c r="I335" i="18"/>
  <c r="H376" i="18"/>
  <c r="I375" i="18"/>
  <c r="H408" i="18"/>
  <c r="I407" i="18"/>
  <c r="H448" i="18"/>
  <c r="I447" i="18"/>
  <c r="H496" i="18"/>
  <c r="I495" i="18"/>
  <c r="H536" i="18"/>
  <c r="I535" i="18"/>
  <c r="H592" i="18"/>
  <c r="I591" i="18"/>
  <c r="H97" i="18"/>
  <c r="I96" i="18"/>
  <c r="H129" i="18"/>
  <c r="I128" i="18"/>
  <c r="H161" i="18"/>
  <c r="I160" i="18"/>
  <c r="H201" i="18"/>
  <c r="I200" i="18"/>
  <c r="I232" i="18"/>
  <c r="H265" i="18"/>
  <c r="I264" i="18"/>
  <c r="H305" i="18"/>
  <c r="I304" i="18"/>
  <c r="H337" i="18"/>
  <c r="I336" i="18"/>
  <c r="H369" i="18"/>
  <c r="I368" i="18"/>
  <c r="H409" i="18"/>
  <c r="I408" i="18"/>
  <c r="H449" i="18"/>
  <c r="I448" i="18"/>
  <c r="H481" i="18"/>
  <c r="I480" i="18"/>
  <c r="H521" i="18"/>
  <c r="I520" i="18"/>
  <c r="H553" i="18"/>
  <c r="I552" i="18"/>
  <c r="H577" i="18"/>
  <c r="I576" i="18"/>
  <c r="H617" i="18"/>
  <c r="I616" i="18"/>
  <c r="H58" i="18"/>
  <c r="I57" i="18"/>
  <c r="I73" i="18"/>
  <c r="H46" i="18"/>
  <c r="I45" i="18"/>
  <c r="H94" i="18"/>
  <c r="I93" i="18"/>
  <c r="H134" i="18"/>
  <c r="I133" i="18"/>
  <c r="H174" i="18"/>
  <c r="I173" i="18"/>
  <c r="H214" i="18"/>
  <c r="I213" i="18"/>
  <c r="H246" i="18"/>
  <c r="I245" i="18"/>
  <c r="H286" i="18"/>
  <c r="I285" i="18"/>
  <c r="H334" i="18"/>
  <c r="I333" i="18"/>
  <c r="H382" i="18"/>
  <c r="I381" i="18"/>
  <c r="H430" i="18"/>
  <c r="I429" i="18"/>
  <c r="H486" i="18"/>
  <c r="I485" i="18"/>
  <c r="H534" i="18"/>
  <c r="I533" i="18"/>
  <c r="H574" i="18"/>
  <c r="I573" i="18"/>
  <c r="H598" i="18"/>
  <c r="I597" i="18"/>
  <c r="H80" i="18"/>
  <c r="I79" i="18"/>
  <c r="H120" i="18"/>
  <c r="I119" i="18"/>
  <c r="H160" i="18"/>
  <c r="I159" i="18"/>
  <c r="H200" i="18"/>
  <c r="I199" i="18"/>
  <c r="H240" i="18"/>
  <c r="I239" i="18"/>
  <c r="H288" i="18"/>
  <c r="I287" i="18"/>
  <c r="H328" i="18"/>
  <c r="I327" i="18"/>
  <c r="H384" i="18"/>
  <c r="I383" i="18"/>
  <c r="H424" i="18"/>
  <c r="I423" i="18"/>
  <c r="H472" i="18"/>
  <c r="I471" i="18"/>
  <c r="H512" i="18"/>
  <c r="I511" i="18"/>
  <c r="H560" i="18"/>
  <c r="I559" i="18"/>
  <c r="H576" i="18"/>
  <c r="I575" i="18"/>
  <c r="H600" i="18"/>
  <c r="I599" i="18"/>
  <c r="H73" i="18"/>
  <c r="I72" i="18"/>
  <c r="H105" i="18"/>
  <c r="I104" i="18"/>
  <c r="H137" i="18"/>
  <c r="I136" i="18"/>
  <c r="H177" i="18"/>
  <c r="I176" i="18"/>
  <c r="H217" i="18"/>
  <c r="I216" i="18"/>
  <c r="H281" i="18"/>
  <c r="I280" i="18"/>
  <c r="I400" i="18"/>
  <c r="H433" i="18"/>
  <c r="I432" i="18"/>
  <c r="H473" i="18"/>
  <c r="I472" i="18"/>
  <c r="H513" i="18"/>
  <c r="I512" i="18"/>
  <c r="H545" i="18"/>
  <c r="I544" i="18"/>
  <c r="H569" i="18"/>
  <c r="I568" i="18"/>
  <c r="H601" i="18"/>
  <c r="I600" i="18"/>
  <c r="H62" i="18"/>
  <c r="I61" i="18"/>
  <c r="H86" i="18"/>
  <c r="I85" i="18"/>
  <c r="H110" i="18"/>
  <c r="I109" i="18"/>
  <c r="H142" i="18"/>
  <c r="I141" i="18"/>
  <c r="H166" i="18"/>
  <c r="I165" i="18"/>
  <c r="H190" i="18"/>
  <c r="I189" i="18"/>
  <c r="H230" i="18"/>
  <c r="I229" i="18"/>
  <c r="H270" i="18"/>
  <c r="I269" i="18"/>
  <c r="H294" i="18"/>
  <c r="I293" i="18"/>
  <c r="H326" i="18"/>
  <c r="I325" i="18"/>
  <c r="H366" i="18"/>
  <c r="I365" i="18"/>
  <c r="H390" i="18"/>
  <c r="I389" i="18"/>
  <c r="H414" i="18"/>
  <c r="I413" i="18"/>
  <c r="H454" i="18"/>
  <c r="I453" i="18"/>
  <c r="H478" i="18"/>
  <c r="I477" i="18"/>
  <c r="H502" i="18"/>
  <c r="I501" i="18"/>
  <c r="H542" i="18"/>
  <c r="I541" i="18"/>
  <c r="H590" i="18"/>
  <c r="I589" i="18"/>
  <c r="H88" i="18"/>
  <c r="I87" i="18"/>
  <c r="H128" i="18"/>
  <c r="I127" i="18"/>
  <c r="H168" i="18"/>
  <c r="I167" i="18"/>
  <c r="H208" i="18"/>
  <c r="I207" i="18"/>
  <c r="H256" i="18"/>
  <c r="I255" i="18"/>
  <c r="H304" i="18"/>
  <c r="I303" i="18"/>
  <c r="H352" i="18"/>
  <c r="I351" i="18"/>
  <c r="H392" i="18"/>
  <c r="I391" i="18"/>
  <c r="H440" i="18"/>
  <c r="I439" i="18"/>
  <c r="H480" i="18"/>
  <c r="I479" i="18"/>
  <c r="H528" i="18"/>
  <c r="I527" i="18"/>
  <c r="H568" i="18"/>
  <c r="I567" i="18"/>
  <c r="H616" i="18"/>
  <c r="I615" i="18"/>
  <c r="H49" i="18"/>
  <c r="I48" i="18"/>
  <c r="H89" i="18"/>
  <c r="I88" i="18"/>
  <c r="H113" i="18"/>
  <c r="I112" i="18"/>
  <c r="H145" i="18"/>
  <c r="I144" i="18"/>
  <c r="H169" i="18"/>
  <c r="I168" i="18"/>
  <c r="H193" i="18"/>
  <c r="I192" i="18"/>
  <c r="H209" i="18"/>
  <c r="I208" i="18"/>
  <c r="H225" i="18"/>
  <c r="I224" i="18"/>
  <c r="H249" i="18"/>
  <c r="I248" i="18"/>
  <c r="H289" i="18"/>
  <c r="I288" i="18"/>
  <c r="H321" i="18"/>
  <c r="I320" i="18"/>
  <c r="H345" i="18"/>
  <c r="I344" i="18"/>
  <c r="H377" i="18"/>
  <c r="I376" i="18"/>
  <c r="H417" i="18"/>
  <c r="I416" i="18"/>
  <c r="H457" i="18"/>
  <c r="I456" i="18"/>
  <c r="H489" i="18"/>
  <c r="I488" i="18"/>
  <c r="H529" i="18"/>
  <c r="I528" i="18"/>
  <c r="H585" i="18"/>
  <c r="I584" i="18"/>
  <c r="H42" i="18"/>
  <c r="I41" i="18"/>
  <c r="H70" i="18"/>
  <c r="I69" i="18"/>
  <c r="H102" i="18"/>
  <c r="I101" i="18"/>
  <c r="H150" i="18"/>
  <c r="I149" i="18"/>
  <c r="H206" i="18"/>
  <c r="I205" i="18"/>
  <c r="H262" i="18"/>
  <c r="I261" i="18"/>
  <c r="H358" i="18"/>
  <c r="I357" i="18"/>
  <c r="H406" i="18"/>
  <c r="I405" i="18"/>
  <c r="H446" i="18"/>
  <c r="I445" i="18"/>
  <c r="H494" i="18"/>
  <c r="I493" i="18"/>
  <c r="H526" i="18"/>
  <c r="I525" i="18"/>
  <c r="H558" i="18"/>
  <c r="I557" i="18"/>
  <c r="H614" i="18"/>
  <c r="I613" i="18"/>
  <c r="H104" i="18"/>
  <c r="I103" i="18"/>
  <c r="H144" i="18"/>
  <c r="I143" i="18"/>
  <c r="H184" i="18"/>
  <c r="I183" i="18"/>
  <c r="H216" i="18"/>
  <c r="I215" i="18"/>
  <c r="H248" i="18"/>
  <c r="I247" i="18"/>
  <c r="H280" i="18"/>
  <c r="I279" i="18"/>
  <c r="H312" i="18"/>
  <c r="I311" i="18"/>
  <c r="H344" i="18"/>
  <c r="I343" i="18"/>
  <c r="H368" i="18"/>
  <c r="I367" i="18"/>
  <c r="H400" i="18"/>
  <c r="I399" i="18"/>
  <c r="H432" i="18"/>
  <c r="I431" i="18"/>
  <c r="H456" i="18"/>
  <c r="I455" i="18"/>
  <c r="H488" i="18"/>
  <c r="I487" i="18"/>
  <c r="H520" i="18"/>
  <c r="I519" i="18"/>
  <c r="H544" i="18"/>
  <c r="I543" i="18"/>
  <c r="H584" i="18"/>
  <c r="I583" i="18"/>
  <c r="H57" i="18"/>
  <c r="I56" i="18"/>
  <c r="H81" i="18"/>
  <c r="I80" i="18"/>
  <c r="H153" i="18"/>
  <c r="I152" i="18"/>
  <c r="I240" i="18"/>
  <c r="H257" i="18"/>
  <c r="I256" i="18"/>
  <c r="H297" i="18"/>
  <c r="I296" i="18"/>
  <c r="H329" i="18"/>
  <c r="I328" i="18"/>
  <c r="H361" i="18"/>
  <c r="I360" i="18"/>
  <c r="H393" i="18"/>
  <c r="I392" i="18"/>
  <c r="H441" i="18"/>
  <c r="I440" i="18"/>
  <c r="H497" i="18"/>
  <c r="I496" i="18"/>
  <c r="H537" i="18"/>
  <c r="I536" i="18"/>
  <c r="H609" i="18"/>
  <c r="I608" i="18"/>
  <c r="H50" i="18"/>
  <c r="I49" i="18"/>
  <c r="I81" i="18"/>
  <c r="I121" i="18"/>
  <c r="I153" i="18"/>
  <c r="I193" i="18"/>
  <c r="I233" i="18"/>
  <c r="I273" i="18"/>
  <c r="I305" i="18"/>
  <c r="I345" i="18"/>
  <c r="I385" i="18"/>
  <c r="I417" i="18"/>
  <c r="I465" i="18"/>
  <c r="I505" i="18"/>
  <c r="I561" i="18"/>
  <c r="I625" i="18"/>
  <c r="I42" i="18"/>
  <c r="I50" i="18"/>
  <c r="I58" i="18"/>
  <c r="I66" i="18"/>
  <c r="I113" i="18"/>
  <c r="I161" i="18"/>
  <c r="I201" i="18"/>
  <c r="I241" i="18"/>
  <c r="I281" i="18"/>
  <c r="I329" i="18"/>
  <c r="I369" i="18"/>
  <c r="I393" i="18"/>
  <c r="I425" i="18"/>
  <c r="I457" i="18"/>
  <c r="I489" i="18"/>
  <c r="I529" i="18"/>
  <c r="I569" i="18"/>
  <c r="I585" i="18"/>
  <c r="I617" i="18"/>
  <c r="I74" i="18"/>
  <c r="I82" i="18"/>
  <c r="I90" i="18"/>
  <c r="I98" i="18"/>
  <c r="I106" i="18"/>
  <c r="I114" i="18"/>
  <c r="I122" i="18"/>
  <c r="I130" i="18"/>
  <c r="I138" i="18"/>
  <c r="I146" i="18"/>
  <c r="I154" i="18"/>
  <c r="I162" i="18"/>
  <c r="I170" i="18"/>
  <c r="I178" i="18"/>
  <c r="I186" i="18"/>
  <c r="I194" i="18"/>
  <c r="I202" i="18"/>
  <c r="I210" i="18"/>
  <c r="I218" i="18"/>
  <c r="I226" i="18"/>
  <c r="I234" i="18"/>
  <c r="I242" i="18"/>
  <c r="I250" i="18"/>
  <c r="I258" i="18"/>
  <c r="I266" i="18"/>
  <c r="I274" i="18"/>
  <c r="I282" i="18"/>
  <c r="I290" i="18"/>
  <c r="I298" i="18"/>
  <c r="I306" i="18"/>
  <c r="I314" i="18"/>
  <c r="I322" i="18"/>
  <c r="I330" i="18"/>
  <c r="I338" i="18"/>
  <c r="I346" i="18"/>
  <c r="I354" i="18"/>
  <c r="I362" i="18"/>
  <c r="I370" i="18"/>
  <c r="I378" i="18"/>
  <c r="I386" i="18"/>
  <c r="I394" i="18"/>
  <c r="I402" i="18"/>
  <c r="I410" i="18"/>
  <c r="I418" i="18"/>
  <c r="I426" i="18"/>
  <c r="I434" i="18"/>
  <c r="I442" i="18"/>
  <c r="I450" i="18"/>
  <c r="I458" i="18"/>
  <c r="I466" i="18"/>
  <c r="I474" i="18"/>
  <c r="I482" i="18"/>
  <c r="I490" i="18"/>
  <c r="I498" i="18"/>
  <c r="I506" i="18"/>
  <c r="I514" i="18"/>
  <c r="I522" i="18"/>
  <c r="I530" i="18"/>
  <c r="I538" i="18"/>
  <c r="I546" i="18"/>
  <c r="I554" i="18"/>
  <c r="I562" i="18"/>
  <c r="I570" i="18"/>
  <c r="I578" i="18"/>
  <c r="I586" i="18"/>
  <c r="I594" i="18"/>
  <c r="I602" i="18"/>
  <c r="I610" i="18"/>
  <c r="I618" i="18"/>
  <c r="I626" i="18"/>
  <c r="I89" i="18"/>
  <c r="I129" i="18"/>
  <c r="I177" i="18"/>
  <c r="I217" i="18"/>
  <c r="I257" i="18"/>
  <c r="I297" i="18"/>
  <c r="I337" i="18"/>
  <c r="I377" i="18"/>
  <c r="I441" i="18"/>
  <c r="I497" i="18"/>
  <c r="I545" i="18"/>
  <c r="I609" i="18"/>
  <c r="H35" i="18"/>
  <c r="H44" i="18"/>
  <c r="I43" i="18"/>
  <c r="H52" i="18"/>
  <c r="I51" i="18"/>
  <c r="H60" i="18"/>
  <c r="I59" i="18"/>
  <c r="H68" i="18"/>
  <c r="I67" i="18"/>
  <c r="I105" i="18"/>
  <c r="I145" i="18"/>
  <c r="I185" i="18"/>
  <c r="I225" i="18"/>
  <c r="I265" i="18"/>
  <c r="I313" i="18"/>
  <c r="I353" i="18"/>
  <c r="I409" i="18"/>
  <c r="I449" i="18"/>
  <c r="I481" i="18"/>
  <c r="I521" i="18"/>
  <c r="I553" i="18"/>
  <c r="I593" i="18"/>
  <c r="I75" i="18"/>
  <c r="I83" i="18"/>
  <c r="I91" i="18"/>
  <c r="I99" i="18"/>
  <c r="I107" i="18"/>
  <c r="I115" i="18"/>
  <c r="I123" i="18"/>
  <c r="I131" i="18"/>
  <c r="I139" i="18"/>
  <c r="I147" i="18"/>
  <c r="I155" i="18"/>
  <c r="I163" i="18"/>
  <c r="I171" i="18"/>
  <c r="I179" i="18"/>
  <c r="I187" i="18"/>
  <c r="I195" i="18"/>
  <c r="I203" i="18"/>
  <c r="I211" i="18"/>
  <c r="I219" i="18"/>
  <c r="I227" i="18"/>
  <c r="I235" i="18"/>
  <c r="I243" i="18"/>
  <c r="I251" i="18"/>
  <c r="I259" i="18"/>
  <c r="I267" i="18"/>
  <c r="I275" i="18"/>
  <c r="I283" i="18"/>
  <c r="I291" i="18"/>
  <c r="I299" i="18"/>
  <c r="I307" i="18"/>
  <c r="I315" i="18"/>
  <c r="I323" i="18"/>
  <c r="I331" i="18"/>
  <c r="I339" i="18"/>
  <c r="I347" i="18"/>
  <c r="I355" i="18"/>
  <c r="I363" i="18"/>
  <c r="I371" i="18"/>
  <c r="I379" i="18"/>
  <c r="I387" i="18"/>
  <c r="I395" i="18"/>
  <c r="I403" i="18"/>
  <c r="I411" i="18"/>
  <c r="I419" i="18"/>
  <c r="I427" i="18"/>
  <c r="I435" i="18"/>
  <c r="I443" i="18"/>
  <c r="I451" i="18"/>
  <c r="I459" i="18"/>
  <c r="I467" i="18"/>
  <c r="I475" i="18"/>
  <c r="I483" i="18"/>
  <c r="I491" i="18"/>
  <c r="I499" i="18"/>
  <c r="I507" i="18"/>
  <c r="I515" i="18"/>
  <c r="I523" i="18"/>
  <c r="I531" i="18"/>
  <c r="I539" i="18"/>
  <c r="I547" i="18"/>
  <c r="I555" i="18"/>
  <c r="I563" i="18"/>
  <c r="I571" i="18"/>
  <c r="I579" i="18"/>
  <c r="I587" i="18"/>
  <c r="I595" i="18"/>
  <c r="I603" i="18"/>
  <c r="I611" i="18"/>
  <c r="I619" i="18"/>
  <c r="I97" i="18"/>
  <c r="I137" i="18"/>
  <c r="I169" i="18"/>
  <c r="I209" i="18"/>
  <c r="I249" i="18"/>
  <c r="I289" i="18"/>
  <c r="I321" i="18"/>
  <c r="I361" i="18"/>
  <c r="I401" i="18"/>
  <c r="I433" i="18"/>
  <c r="I473" i="18"/>
  <c r="I513" i="18"/>
  <c r="I537" i="18"/>
  <c r="I577" i="18"/>
  <c r="I601" i="18"/>
  <c r="I44" i="18"/>
  <c r="I52" i="18"/>
  <c r="I60" i="18"/>
  <c r="I68" i="18"/>
  <c r="H74" i="18"/>
  <c r="H82" i="18"/>
  <c r="H90" i="18"/>
  <c r="H98" i="18"/>
  <c r="H106" i="18"/>
  <c r="H114" i="18"/>
  <c r="H122" i="18"/>
  <c r="H130" i="18"/>
  <c r="H138" i="18"/>
  <c r="H146" i="18"/>
  <c r="H154" i="18"/>
  <c r="H162" i="18"/>
  <c r="H170" i="18"/>
  <c r="H178" i="18"/>
  <c r="H186" i="18"/>
  <c r="H194" i="18"/>
  <c r="H202" i="18"/>
  <c r="H210" i="18"/>
  <c r="H218" i="18"/>
  <c r="H226" i="18"/>
  <c r="H234" i="18"/>
  <c r="H242" i="18"/>
  <c r="H250" i="18"/>
  <c r="H258" i="18"/>
  <c r="H266" i="18"/>
  <c r="H274" i="18"/>
  <c r="H282" i="18"/>
  <c r="H290" i="18"/>
  <c r="H298" i="18"/>
  <c r="H306" i="18"/>
  <c r="H314" i="18"/>
  <c r="H322" i="18"/>
  <c r="H330" i="18"/>
  <c r="H338" i="18"/>
  <c r="H346" i="18"/>
  <c r="H354" i="18"/>
  <c r="H362" i="18"/>
  <c r="H370" i="18"/>
  <c r="H378" i="18"/>
  <c r="H386" i="18"/>
  <c r="H394" i="18"/>
  <c r="H402" i="18"/>
  <c r="H410" i="18"/>
  <c r="H418" i="18"/>
  <c r="H426" i="18"/>
  <c r="H434" i="18"/>
  <c r="H442" i="18"/>
  <c r="H450" i="18"/>
  <c r="H458" i="18"/>
  <c r="H466" i="18"/>
  <c r="H474" i="18"/>
  <c r="H482" i="18"/>
  <c r="H490" i="18"/>
  <c r="H498" i="18"/>
  <c r="H506" i="18"/>
  <c r="H514" i="18"/>
  <c r="H522" i="18"/>
  <c r="H530" i="18"/>
  <c r="H538" i="18"/>
  <c r="H546" i="18"/>
  <c r="H554" i="18"/>
  <c r="H562" i="18"/>
  <c r="H570" i="18"/>
  <c r="H578" i="18"/>
  <c r="H586" i="18"/>
  <c r="H76" i="18"/>
  <c r="H92" i="18"/>
  <c r="H108" i="18"/>
  <c r="H124" i="18"/>
  <c r="H140" i="18"/>
  <c r="H156" i="18"/>
  <c r="H172" i="18"/>
  <c r="H188" i="18"/>
  <c r="H204" i="18"/>
  <c r="H220" i="18"/>
  <c r="H236" i="18"/>
  <c r="H252" i="18"/>
  <c r="H260" i="18"/>
  <c r="H276" i="18"/>
  <c r="H292" i="18"/>
  <c r="H308" i="18"/>
  <c r="H324" i="18"/>
  <c r="H340" i="18"/>
  <c r="H356" i="18"/>
  <c r="H372" i="18"/>
  <c r="H388" i="18"/>
  <c r="H404" i="18"/>
  <c r="H420" i="18"/>
  <c r="H436" i="18"/>
  <c r="H452" i="18"/>
  <c r="H468" i="18"/>
  <c r="H492" i="18"/>
  <c r="H508" i="18"/>
  <c r="H524" i="18"/>
  <c r="H540" i="18"/>
  <c r="H556" i="18"/>
  <c r="H572" i="18"/>
  <c r="H580" i="18"/>
  <c r="H588" i="18"/>
  <c r="H596" i="18"/>
  <c r="H84" i="18"/>
  <c r="H100" i="18"/>
  <c r="H116" i="18"/>
  <c r="H132" i="18"/>
  <c r="H148" i="18"/>
  <c r="H164" i="18"/>
  <c r="H180" i="18"/>
  <c r="H196" i="18"/>
  <c r="H212" i="18"/>
  <c r="H228" i="18"/>
  <c r="H244" i="18"/>
  <c r="H268" i="18"/>
  <c r="H284" i="18"/>
  <c r="H300" i="18"/>
  <c r="H316" i="18"/>
  <c r="H332" i="18"/>
  <c r="H348" i="18"/>
  <c r="H364" i="18"/>
  <c r="H380" i="18"/>
  <c r="H396" i="18"/>
  <c r="H412" i="18"/>
  <c r="H428" i="18"/>
  <c r="H444" i="18"/>
  <c r="H460" i="18"/>
  <c r="H476" i="18"/>
  <c r="H484" i="18"/>
  <c r="H500" i="18"/>
  <c r="H516" i="18"/>
  <c r="H532" i="18"/>
  <c r="H548" i="18"/>
  <c r="H564" i="18"/>
  <c r="H45" i="18"/>
  <c r="H61" i="18"/>
  <c r="H69" i="18"/>
  <c r="H47" i="18"/>
  <c r="H55" i="18"/>
  <c r="H63" i="18"/>
  <c r="H71" i="18"/>
  <c r="H527" i="18"/>
  <c r="H535" i="18"/>
  <c r="H543" i="18"/>
  <c r="H551" i="18"/>
  <c r="H567" i="18"/>
  <c r="H575" i="18"/>
  <c r="H583" i="18"/>
  <c r="H591" i="18"/>
  <c r="H599" i="18"/>
  <c r="H607" i="18"/>
  <c r="H615" i="18"/>
  <c r="H623" i="18"/>
  <c r="H604" i="18"/>
  <c r="H612" i="18"/>
  <c r="H620" i="18"/>
  <c r="H53" i="18"/>
  <c r="H318" i="18"/>
  <c r="H87" i="18"/>
  <c r="H103" i="18"/>
  <c r="H119" i="18"/>
  <c r="H135" i="18"/>
  <c r="H151" i="18"/>
  <c r="H167" i="18"/>
  <c r="H183" i="18"/>
  <c r="H199" i="18"/>
  <c r="H215" i="18"/>
  <c r="H231" i="18"/>
  <c r="H247" i="18"/>
  <c r="H263" i="18"/>
  <c r="H279" i="18"/>
  <c r="H287" i="18"/>
  <c r="H295" i="18"/>
  <c r="H303" i="18"/>
  <c r="H311" i="18"/>
  <c r="H327" i="18"/>
  <c r="H335" i="18"/>
  <c r="H343" i="18"/>
  <c r="H351" i="18"/>
  <c r="H359" i="18"/>
  <c r="H367" i="18"/>
  <c r="H375" i="18"/>
  <c r="H383" i="18"/>
  <c r="H391" i="18"/>
  <c r="H399" i="18"/>
  <c r="H407" i="18"/>
  <c r="H415" i="18"/>
  <c r="H423" i="18"/>
  <c r="H431" i="18"/>
  <c r="H439" i="18"/>
  <c r="H447" i="18"/>
  <c r="H455" i="18"/>
  <c r="H463" i="18"/>
  <c r="H471" i="18"/>
  <c r="H479" i="18"/>
  <c r="H487" i="18"/>
  <c r="H495" i="18"/>
  <c r="H503" i="18"/>
  <c r="H511" i="18"/>
  <c r="H519" i="18"/>
  <c r="H559" i="18"/>
  <c r="H79" i="18"/>
  <c r="H95" i="18"/>
  <c r="H111" i="18"/>
  <c r="H127" i="18"/>
  <c r="H143" i="18"/>
  <c r="H159" i="18"/>
  <c r="H175" i="18"/>
  <c r="H191" i="18"/>
  <c r="H207" i="18"/>
  <c r="H223" i="18"/>
  <c r="H239" i="18"/>
  <c r="H255" i="18"/>
  <c r="H271" i="18"/>
  <c r="H319" i="18"/>
  <c r="H48" i="18"/>
  <c r="H56" i="18"/>
  <c r="H64" i="18"/>
  <c r="H72" i="18"/>
  <c r="H273" i="18"/>
  <c r="H233" i="18"/>
  <c r="H594" i="18"/>
  <c r="H602" i="18"/>
  <c r="H610" i="18"/>
  <c r="H618" i="18"/>
  <c r="H626" i="18"/>
  <c r="H77" i="18"/>
  <c r="H85" i="18"/>
  <c r="H93" i="18"/>
  <c r="H101" i="18"/>
  <c r="H109" i="18"/>
  <c r="H117" i="18"/>
  <c r="H125" i="18"/>
  <c r="H133" i="18"/>
  <c r="H141" i="18"/>
  <c r="H149" i="18"/>
  <c r="H157" i="18"/>
  <c r="H165" i="18"/>
  <c r="H173" i="18"/>
  <c r="H181" i="18"/>
  <c r="H189" i="18"/>
  <c r="H197" i="18"/>
  <c r="H205" i="18"/>
  <c r="H213" i="18"/>
  <c r="H221" i="18"/>
  <c r="H229" i="18"/>
  <c r="H237" i="18"/>
  <c r="H245" i="18"/>
  <c r="H253" i="18"/>
  <c r="H261" i="18"/>
  <c r="H269" i="18"/>
  <c r="H277" i="18"/>
  <c r="H285" i="18"/>
  <c r="H293" i="18"/>
  <c r="H301" i="18"/>
  <c r="H309" i="18"/>
  <c r="H317" i="18"/>
  <c r="H325" i="18"/>
  <c r="H333" i="18"/>
  <c r="H341" i="18"/>
  <c r="H349" i="18"/>
  <c r="H357" i="18"/>
  <c r="H365" i="18"/>
  <c r="H373" i="18"/>
  <c r="H381" i="18"/>
  <c r="H389" i="18"/>
  <c r="H397" i="18"/>
  <c r="H405" i="18"/>
  <c r="H413" i="18"/>
  <c r="H421" i="18"/>
  <c r="H429" i="18"/>
  <c r="H437" i="18"/>
  <c r="H445" i="18"/>
  <c r="H453" i="18"/>
  <c r="H461" i="18"/>
  <c r="H469" i="18"/>
  <c r="H477" i="18"/>
  <c r="H485" i="18"/>
  <c r="H493" i="18"/>
  <c r="H501" i="18"/>
  <c r="H509" i="18"/>
  <c r="H517" i="18"/>
  <c r="H525" i="18"/>
  <c r="H533" i="18"/>
  <c r="H541" i="18"/>
  <c r="H549" i="18"/>
  <c r="H557" i="18"/>
  <c r="H565" i="18"/>
  <c r="H573" i="18"/>
  <c r="H581" i="18"/>
  <c r="H589" i="18"/>
  <c r="H597" i="18"/>
  <c r="H605" i="18"/>
  <c r="H613" i="18"/>
  <c r="H621" i="18"/>
  <c r="H241" i="18"/>
  <c r="H401" i="18"/>
  <c r="H28" i="18"/>
  <c r="H36" i="18"/>
  <c r="H29" i="18"/>
  <c r="H37" i="18"/>
  <c r="H30" i="18"/>
  <c r="H38" i="18"/>
  <c r="H31" i="18"/>
  <c r="H39" i="18"/>
  <c r="H32" i="18"/>
  <c r="H41" i="18"/>
  <c r="H40" i="18"/>
  <c r="H33" i="18"/>
  <c r="H26" i="18"/>
  <c r="H34" i="18"/>
  <c r="H43" i="18"/>
  <c r="H51" i="18"/>
  <c r="H59" i="18"/>
  <c r="H67" i="18"/>
  <c r="H75" i="18"/>
  <c r="H83" i="18"/>
  <c r="H91" i="18"/>
  <c r="H99" i="18"/>
  <c r="H107" i="18"/>
  <c r="H115" i="18"/>
  <c r="H123" i="18"/>
  <c r="H131" i="18"/>
  <c r="H139" i="18"/>
  <c r="H147" i="18"/>
  <c r="H155" i="18"/>
  <c r="H163" i="18"/>
  <c r="H171" i="18"/>
  <c r="H179" i="18"/>
  <c r="H187" i="18"/>
  <c r="H195" i="18"/>
  <c r="H203" i="18"/>
  <c r="H211" i="18"/>
  <c r="H219" i="18"/>
  <c r="H227" i="18"/>
  <c r="H235" i="18"/>
  <c r="H243" i="18"/>
  <c r="H251" i="18"/>
  <c r="H259" i="18"/>
  <c r="H267" i="18"/>
  <c r="H275" i="18"/>
  <c r="H283" i="18"/>
  <c r="H291" i="18"/>
  <c r="H299" i="18"/>
  <c r="H307" i="18"/>
  <c r="H315" i="18"/>
  <c r="H323" i="18"/>
  <c r="H331" i="18"/>
  <c r="H339" i="18"/>
  <c r="H347" i="18"/>
  <c r="H355" i="18"/>
  <c r="H363" i="18"/>
  <c r="H371" i="18"/>
  <c r="H379" i="18"/>
  <c r="H387" i="18"/>
  <c r="H395" i="18"/>
  <c r="H403" i="18"/>
  <c r="H411" i="18"/>
  <c r="H419" i="18"/>
  <c r="H427" i="18"/>
  <c r="H435" i="18"/>
  <c r="H443" i="18"/>
  <c r="H451" i="18"/>
  <c r="H459" i="18"/>
  <c r="H467" i="18"/>
  <c r="H475" i="18"/>
  <c r="H483" i="18"/>
  <c r="H491" i="18"/>
  <c r="H499" i="18"/>
  <c r="H507" i="18"/>
  <c r="H515" i="18"/>
  <c r="H523" i="18"/>
  <c r="H531" i="18"/>
  <c r="H539" i="18"/>
  <c r="H547" i="18"/>
  <c r="H555" i="18"/>
  <c r="H563" i="18"/>
  <c r="H571" i="18"/>
  <c r="H579" i="18"/>
  <c r="H587" i="18"/>
  <c r="H595" i="18"/>
  <c r="H603" i="18"/>
  <c r="H611" i="18"/>
  <c r="H619" i="18"/>
  <c r="L29" i="9"/>
  <c r="L30" i="9"/>
  <c r="L31" i="9"/>
  <c r="L32" i="9"/>
  <c r="L33" i="9"/>
  <c r="L34" i="9"/>
  <c r="L35" i="9"/>
  <c r="L36" i="9"/>
  <c r="L37" i="9"/>
  <c r="L28" i="9"/>
  <c r="M29" i="9" l="1"/>
  <c r="M30" i="9"/>
  <c r="M31" i="9"/>
  <c r="M32" i="9"/>
  <c r="M33" i="9"/>
  <c r="M34" i="9"/>
  <c r="M35" i="9"/>
  <c r="M36" i="9"/>
  <c r="M37" i="9"/>
  <c r="M28" i="9"/>
  <c r="C22" i="1" l="1"/>
  <c r="C10" i="15" l="1"/>
  <c r="C10" i="14"/>
  <c r="C10" i="9"/>
  <c r="J17" i="9"/>
  <c r="J12" i="9"/>
  <c r="J18" i="9"/>
  <c r="J11" i="9"/>
  <c r="J21" i="9"/>
  <c r="J20" i="9"/>
  <c r="H27" i="1" l="1"/>
  <c r="H28" i="1"/>
  <c r="H29" i="1"/>
  <c r="H30" i="1"/>
  <c r="H31" i="1"/>
  <c r="H32" i="1"/>
  <c r="H33" i="1"/>
  <c r="H36" i="1"/>
  <c r="H37" i="1"/>
  <c r="H38" i="1"/>
  <c r="K13" i="4" l="1"/>
  <c r="K20" i="4" s="1"/>
  <c r="I16" i="1"/>
  <c r="I15" i="1"/>
  <c r="H26" i="1"/>
  <c r="H25" i="1"/>
  <c r="H24" i="1"/>
  <c r="H23" i="1"/>
  <c r="H22" i="1"/>
  <c r="H21" i="1"/>
  <c r="H20" i="1"/>
  <c r="H19" i="1"/>
  <c r="K11" i="4" s="1"/>
  <c r="K12" i="4" s="1"/>
  <c r="H14" i="1"/>
  <c r="I14" i="1" s="1"/>
  <c r="H13" i="1"/>
  <c r="I13" i="1" s="1"/>
  <c r="H12" i="1"/>
  <c r="I12" i="1" s="1"/>
  <c r="H11" i="1"/>
  <c r="I11" i="1" s="1"/>
  <c r="H10" i="1"/>
  <c r="I10" i="1" s="1"/>
  <c r="K25" i="4" l="1"/>
  <c r="K26" i="4" s="1"/>
  <c r="K27" i="4" s="1"/>
  <c r="D10" i="4"/>
  <c r="D16" i="4" s="1"/>
  <c r="D18" i="4" s="1"/>
  <c r="K10" i="4"/>
  <c r="K16" i="4" s="1"/>
  <c r="K18" i="4" s="1"/>
  <c r="J13" i="4"/>
  <c r="J20" i="4" s="1"/>
  <c r="V13" i="4"/>
  <c r="V20" i="4" s="1"/>
  <c r="U13" i="4"/>
  <c r="U20" i="4" s="1"/>
  <c r="H13" i="4"/>
  <c r="H20" i="4" s="1"/>
  <c r="F13" i="4"/>
  <c r="F20" i="4" s="1"/>
  <c r="W13" i="4"/>
  <c r="W20" i="4" s="1"/>
  <c r="G13" i="4"/>
  <c r="G20" i="4" s="1"/>
  <c r="I9" i="1"/>
  <c r="P11" i="4"/>
  <c r="P12" i="4" s="1"/>
  <c r="P25" i="4" s="1"/>
  <c r="T10" i="4"/>
  <c r="T16" i="4" s="1"/>
  <c r="T18" i="4" s="1"/>
  <c r="X13" i="4"/>
  <c r="X20" i="4" s="1"/>
  <c r="Y11" i="4"/>
  <c r="Y12" i="4" s="1"/>
  <c r="Y25" i="4" s="1"/>
  <c r="N11" i="4"/>
  <c r="N12" i="4" s="1"/>
  <c r="N25" i="4" s="1"/>
  <c r="AA11" i="4"/>
  <c r="AA12" i="4" s="1"/>
  <c r="AA25" i="4" s="1"/>
  <c r="U10" i="4"/>
  <c r="U16" i="4" s="1"/>
  <c r="U18" i="4" s="1"/>
  <c r="E10" i="4"/>
  <c r="E16" i="4" s="1"/>
  <c r="E18" i="4" s="1"/>
  <c r="O11" i="4"/>
  <c r="O12" i="4" s="1"/>
  <c r="O25" i="4" s="1"/>
  <c r="Y13" i="4"/>
  <c r="Y20" i="4" s="1"/>
  <c r="I13" i="4"/>
  <c r="I20" i="4" s="1"/>
  <c r="E13" i="4"/>
  <c r="E20" i="4" s="1"/>
  <c r="Q10" i="4"/>
  <c r="Q16" i="4" s="1"/>
  <c r="Q18" i="4" s="1"/>
  <c r="P10" i="4"/>
  <c r="P16" i="4" s="1"/>
  <c r="P18" i="4" s="1"/>
  <c r="Z11" i="4"/>
  <c r="Z12" i="4" s="1"/>
  <c r="Z25" i="4" s="1"/>
  <c r="J11" i="4"/>
  <c r="J12" i="4" s="1"/>
  <c r="J25" i="4" s="1"/>
  <c r="T13" i="4"/>
  <c r="T20" i="4" s="1"/>
  <c r="R10" i="4"/>
  <c r="R16" i="4" s="1"/>
  <c r="R18" i="4" s="1"/>
  <c r="I11" i="4"/>
  <c r="I12" i="4" s="1"/>
  <c r="I25" i="4" s="1"/>
  <c r="S13" i="4"/>
  <c r="S20" i="4" s="1"/>
  <c r="N10" i="4"/>
  <c r="N16" i="4" s="1"/>
  <c r="N18" i="4" s="1"/>
  <c r="X11" i="4"/>
  <c r="X12" i="4" s="1"/>
  <c r="X25" i="4" s="1"/>
  <c r="H11" i="4"/>
  <c r="H12" i="4" s="1"/>
  <c r="H25" i="4" s="1"/>
  <c r="R13" i="4"/>
  <c r="R20" i="4" s="1"/>
  <c r="AC10" i="4"/>
  <c r="AC16" i="4" s="1"/>
  <c r="AC18" i="4" s="1"/>
  <c r="M10" i="4"/>
  <c r="M16" i="4" s="1"/>
  <c r="M18" i="4" s="1"/>
  <c r="W11" i="4"/>
  <c r="W12" i="4" s="1"/>
  <c r="W25" i="4" s="1"/>
  <c r="G11" i="4"/>
  <c r="G12" i="4" s="1"/>
  <c r="G25" i="4" s="1"/>
  <c r="Q13" i="4"/>
  <c r="Q20" i="4" s="1"/>
  <c r="AB10" i="4"/>
  <c r="AB16" i="4" s="1"/>
  <c r="AB18" i="4" s="1"/>
  <c r="L10" i="4"/>
  <c r="L16" i="4" s="1"/>
  <c r="L18" i="4" s="1"/>
  <c r="V11" i="4"/>
  <c r="V12" i="4" s="1"/>
  <c r="V25" i="4" s="1"/>
  <c r="F11" i="4"/>
  <c r="F12" i="4" s="1"/>
  <c r="F25" i="4" s="1"/>
  <c r="P13" i="4"/>
  <c r="P20" i="4" s="1"/>
  <c r="S10" i="4"/>
  <c r="S16" i="4" s="1"/>
  <c r="S18" i="4" s="1"/>
  <c r="O10" i="4"/>
  <c r="O16" i="4" s="1"/>
  <c r="O18" i="4" s="1"/>
  <c r="AA10" i="4"/>
  <c r="AA16" i="4" s="1"/>
  <c r="AA18" i="4" s="1"/>
  <c r="U11" i="4"/>
  <c r="U12" i="4" s="1"/>
  <c r="U25" i="4" s="1"/>
  <c r="E11" i="4"/>
  <c r="E12" i="4" s="1"/>
  <c r="E25" i="4" s="1"/>
  <c r="O13" i="4"/>
  <c r="O20" i="4" s="1"/>
  <c r="Z10" i="4"/>
  <c r="Z16" i="4" s="1"/>
  <c r="Z18" i="4" s="1"/>
  <c r="J10" i="4"/>
  <c r="J16" i="4" s="1"/>
  <c r="J18" i="4" s="1"/>
  <c r="T11" i="4"/>
  <c r="T12" i="4" s="1"/>
  <c r="T25" i="4" s="1"/>
  <c r="D13" i="4"/>
  <c r="D20" i="4" s="1"/>
  <c r="N13" i="4"/>
  <c r="N20" i="4" s="1"/>
  <c r="AC11" i="4"/>
  <c r="AC12" i="4" s="1"/>
  <c r="AB11" i="4"/>
  <c r="AB12" i="4" s="1"/>
  <c r="AB25" i="4" s="1"/>
  <c r="Y10" i="4"/>
  <c r="Y16" i="4" s="1"/>
  <c r="Y18" i="4" s="1"/>
  <c r="I10" i="4"/>
  <c r="I16" i="4" s="1"/>
  <c r="I18" i="4" s="1"/>
  <c r="S11" i="4"/>
  <c r="S12" i="4" s="1"/>
  <c r="S25" i="4" s="1"/>
  <c r="AC13" i="4"/>
  <c r="AC20" i="4" s="1"/>
  <c r="M13" i="4"/>
  <c r="M20" i="4" s="1"/>
  <c r="D11" i="4"/>
  <c r="D12" i="4" s="1"/>
  <c r="D25" i="4" s="1"/>
  <c r="X10" i="4"/>
  <c r="X16" i="4" s="1"/>
  <c r="X18" i="4" s="1"/>
  <c r="H10" i="4"/>
  <c r="H16" i="4" s="1"/>
  <c r="H18" i="4" s="1"/>
  <c r="R11" i="4"/>
  <c r="R12" i="4" s="1"/>
  <c r="R25" i="4" s="1"/>
  <c r="AB13" i="4"/>
  <c r="AB20" i="4" s="1"/>
  <c r="L13" i="4"/>
  <c r="L20" i="4" s="1"/>
  <c r="M11" i="4"/>
  <c r="M12" i="4" s="1"/>
  <c r="M25" i="4" s="1"/>
  <c r="W10" i="4"/>
  <c r="W16" i="4" s="1"/>
  <c r="W18" i="4" s="1"/>
  <c r="G10" i="4"/>
  <c r="G16" i="4" s="1"/>
  <c r="G18" i="4" s="1"/>
  <c r="Q11" i="4"/>
  <c r="Q12" i="4" s="1"/>
  <c r="Q25" i="4" s="1"/>
  <c r="AA13" i="4"/>
  <c r="AA20" i="4" s="1"/>
  <c r="L11" i="4"/>
  <c r="L12" i="4" s="1"/>
  <c r="L25" i="4" s="1"/>
  <c r="V10" i="4"/>
  <c r="V16" i="4" s="1"/>
  <c r="V18" i="4" s="1"/>
  <c r="F10" i="4"/>
  <c r="F16" i="4" s="1"/>
  <c r="F18" i="4" s="1"/>
  <c r="Z13" i="4"/>
  <c r="Z20" i="4" s="1"/>
  <c r="AC19" i="4" l="1"/>
  <c r="AC25" i="4"/>
  <c r="K17" i="4" a="1"/>
  <c r="K17" i="4" s="1"/>
  <c r="K19" i="4" s="1"/>
  <c r="K21" i="4" s="1"/>
  <c r="G19" i="4"/>
  <c r="G21" i="4" s="1"/>
  <c r="G22" i="4" s="1"/>
  <c r="G26" i="4"/>
  <c r="G27" i="4" s="1"/>
  <c r="F19" i="4"/>
  <c r="F21" i="4" s="1"/>
  <c r="F22" i="4" s="1"/>
  <c r="F26" i="4"/>
  <c r="F27" i="4" s="1"/>
  <c r="E19" i="4"/>
  <c r="E21" i="4" s="1"/>
  <c r="E22" i="4" s="1"/>
  <c r="E26" i="4"/>
  <c r="E27" i="4" s="1"/>
  <c r="N26" i="4"/>
  <c r="N27" i="4" s="1"/>
  <c r="D19" i="4"/>
  <c r="O26" i="4"/>
  <c r="O27" i="4" s="1"/>
  <c r="H19" i="4"/>
  <c r="H21" i="4" s="1"/>
  <c r="H22" i="4" s="1"/>
  <c r="H26" i="4"/>
  <c r="H27" i="4" s="1"/>
  <c r="P26" i="4"/>
  <c r="P27" i="4" s="1"/>
  <c r="AA19" i="4"/>
  <c r="AA21" i="4" s="1"/>
  <c r="Z19" i="4"/>
  <c r="Z21" i="4" s="1"/>
  <c r="X19" i="4"/>
  <c r="X21" i="4" s="1"/>
  <c r="X22" i="4" s="1"/>
  <c r="Y19" i="4"/>
  <c r="Y21" i="4" s="1"/>
  <c r="Y22" i="4" s="1"/>
  <c r="AB19" i="4"/>
  <c r="AB21" i="4" s="1"/>
  <c r="Z17" i="4" a="1"/>
  <c r="Z17" i="4" s="1"/>
  <c r="M17" i="4" a="1"/>
  <c r="M17" i="4" s="1"/>
  <c r="M19" i="4" s="1"/>
  <c r="M21" i="4" s="1"/>
  <c r="M22" i="4" s="1"/>
  <c r="P17" i="4" a="1"/>
  <c r="P17" i="4" s="1"/>
  <c r="P19" i="4" s="1"/>
  <c r="P21" i="4" s="1"/>
  <c r="P22" i="4" s="1"/>
  <c r="H17" i="4" a="1"/>
  <c r="H17" i="4" s="1"/>
  <c r="AC17" i="4" a="1"/>
  <c r="AC17" i="4" s="1"/>
  <c r="X17" i="4" a="1"/>
  <c r="X17" i="4" s="1"/>
  <c r="Q17" i="4" a="1"/>
  <c r="Q17" i="4" s="1"/>
  <c r="Q19" i="4" s="1"/>
  <c r="Q21" i="4" s="1"/>
  <c r="Q22" i="4" s="1"/>
  <c r="F17" i="4" a="1"/>
  <c r="F17" i="4" s="1"/>
  <c r="V17" i="4" a="1"/>
  <c r="V17" i="4" s="1"/>
  <c r="V19" i="4" s="1"/>
  <c r="V21" i="4" s="1"/>
  <c r="V22" i="4" s="1"/>
  <c r="AA17" i="4" a="1"/>
  <c r="AA17" i="4" s="1"/>
  <c r="O17" i="4" a="1"/>
  <c r="O17" i="4" s="1"/>
  <c r="O19" i="4" s="1"/>
  <c r="O21" i="4" s="1"/>
  <c r="O22" i="4" s="1"/>
  <c r="N17" i="4" a="1"/>
  <c r="N17" i="4" s="1"/>
  <c r="N19" i="4" s="1"/>
  <c r="N21" i="4" s="1"/>
  <c r="N22" i="4" s="1"/>
  <c r="I17" i="4" a="1"/>
  <c r="I17" i="4" s="1"/>
  <c r="I19" i="4" s="1"/>
  <c r="I21" i="4" s="1"/>
  <c r="I22" i="4" s="1"/>
  <c r="S17" i="4" a="1"/>
  <c r="S17" i="4" s="1"/>
  <c r="S19" i="4" s="1"/>
  <c r="S21" i="4" s="1"/>
  <c r="S22" i="4" s="1"/>
  <c r="D17" i="4" a="1"/>
  <c r="D17" i="4" s="1"/>
  <c r="Y17" i="4" a="1"/>
  <c r="Y17" i="4" s="1"/>
  <c r="E17" i="4" a="1"/>
  <c r="E17" i="4" s="1"/>
  <c r="U17" i="4" a="1"/>
  <c r="U17" i="4" s="1"/>
  <c r="U19" i="4" s="1"/>
  <c r="U21" i="4" s="1"/>
  <c r="U22" i="4" s="1"/>
  <c r="G17" i="4" a="1"/>
  <c r="G17" i="4" s="1"/>
  <c r="L17" i="4" a="1"/>
  <c r="L17" i="4" s="1"/>
  <c r="L19" i="4" s="1"/>
  <c r="L21" i="4" s="1"/>
  <c r="L22" i="4" s="1"/>
  <c r="W17" i="4" a="1"/>
  <c r="W17" i="4" s="1"/>
  <c r="W19" i="4" s="1"/>
  <c r="W21" i="4" s="1"/>
  <c r="W22" i="4" s="1"/>
  <c r="AB17" i="4" a="1"/>
  <c r="AB17" i="4" s="1"/>
  <c r="R17" i="4" a="1"/>
  <c r="R17" i="4" s="1"/>
  <c r="R19" i="4" s="1"/>
  <c r="R21" i="4" s="1"/>
  <c r="R22" i="4" s="1"/>
  <c r="T17" i="4" a="1"/>
  <c r="T17" i="4" s="1"/>
  <c r="T19" i="4" s="1"/>
  <c r="T21" i="4" s="1"/>
  <c r="T22" i="4" s="1"/>
  <c r="J17" i="4" a="1"/>
  <c r="J17" i="4" s="1"/>
  <c r="J19" i="4" s="1"/>
  <c r="J21" i="4" s="1"/>
  <c r="J22" i="4" s="1"/>
  <c r="L26" i="4"/>
  <c r="L27" i="4" s="1"/>
  <c r="AC21" i="4"/>
  <c r="J26" i="4"/>
  <c r="J27" i="4" s="1"/>
  <c r="M26" i="4"/>
  <c r="M27" i="4" s="1"/>
  <c r="I26" i="4"/>
  <c r="I27" i="4" s="1"/>
  <c r="K22" i="4" l="1"/>
  <c r="K30" i="4"/>
  <c r="Q26" i="4"/>
  <c r="Q27" i="4" s="1"/>
  <c r="AC22" i="4"/>
  <c r="AB22" i="4"/>
  <c r="AA22" i="4"/>
  <c r="Z22" i="4"/>
  <c r="R26" i="4" l="1"/>
  <c r="R27" i="4" s="1"/>
  <c r="S26" i="4" l="1"/>
  <c r="S27" i="4" s="1"/>
  <c r="T26" i="4" l="1"/>
  <c r="T27" i="4" s="1"/>
  <c r="C13" i="4"/>
  <c r="C11" i="4"/>
  <c r="C10" i="4"/>
  <c r="D44" i="4" a="1"/>
  <c r="D44" i="4" s="1"/>
  <c r="D41" i="4" a="1"/>
  <c r="D41" i="4" s="1"/>
  <c r="U26" i="4" l="1"/>
  <c r="U27" i="4" s="1"/>
  <c r="D26" i="4"/>
  <c r="D27" i="4" s="1"/>
  <c r="C12" i="4"/>
  <c r="V26" i="4" l="1"/>
  <c r="V27" i="4" s="1"/>
  <c r="C51" i="4"/>
  <c r="W26" i="4" l="1"/>
  <c r="W27" i="4" s="1"/>
  <c r="D21" i="4"/>
  <c r="D30" i="4" s="1"/>
  <c r="D51" i="4"/>
  <c r="X26" i="4" l="1"/>
  <c r="N30" i="4"/>
  <c r="N35" i="4" s="1"/>
  <c r="U30" i="4"/>
  <c r="U35" i="4" s="1"/>
  <c r="F30" i="4"/>
  <c r="F35" i="4" s="1"/>
  <c r="Q30" i="4"/>
  <c r="Q35" i="4" s="1"/>
  <c r="S30" i="4"/>
  <c r="S35" i="4" s="1"/>
  <c r="M30" i="4"/>
  <c r="M35" i="4" s="1"/>
  <c r="E30" i="4"/>
  <c r="E35" i="4" s="1"/>
  <c r="L30" i="4"/>
  <c r="L35" i="4" s="1"/>
  <c r="J30" i="4"/>
  <c r="J35" i="4" s="1"/>
  <c r="V30" i="4"/>
  <c r="V35" i="4" s="1"/>
  <c r="P30" i="4"/>
  <c r="P35" i="4" s="1"/>
  <c r="T30" i="4"/>
  <c r="T35" i="4" s="1"/>
  <c r="K35" i="4"/>
  <c r="W30" i="4"/>
  <c r="W35" i="4" s="1"/>
  <c r="O30" i="4"/>
  <c r="O35" i="4" s="1"/>
  <c r="I30" i="4"/>
  <c r="I35" i="4" s="1"/>
  <c r="G30" i="4"/>
  <c r="G35" i="4" s="1"/>
  <c r="H30" i="4"/>
  <c r="H35" i="4" s="1"/>
  <c r="R30" i="4"/>
  <c r="R35" i="4" s="1"/>
  <c r="D35" i="4"/>
  <c r="D31" i="4"/>
  <c r="D32" i="4" s="1"/>
  <c r="K31" i="4" l="1"/>
  <c r="K32" i="4" s="1"/>
  <c r="K33" i="4" s="1"/>
  <c r="K36" i="4" s="1"/>
  <c r="X27" i="4"/>
  <c r="X30" i="4"/>
  <c r="X35" i="4" s="1"/>
  <c r="Y26" i="4"/>
  <c r="D33" i="4"/>
  <c r="U31" i="4"/>
  <c r="G31" i="4"/>
  <c r="G32" i="4" s="1"/>
  <c r="G33" i="4" s="1"/>
  <c r="G36" i="4" s="1"/>
  <c r="O31" i="4"/>
  <c r="O32" i="4" s="1"/>
  <c r="O33" i="4" s="1"/>
  <c r="O36" i="4" s="1"/>
  <c r="M31" i="4"/>
  <c r="M32" i="4" s="1"/>
  <c r="M33" i="4" s="1"/>
  <c r="M36" i="4" s="1"/>
  <c r="I31" i="4"/>
  <c r="I32" i="4" s="1"/>
  <c r="I33" i="4" s="1"/>
  <c r="I36" i="4" s="1"/>
  <c r="T31" i="4"/>
  <c r="Q31" i="4"/>
  <c r="S31" i="4"/>
  <c r="S32" i="4" s="1"/>
  <c r="S33" i="4" s="1"/>
  <c r="S36" i="4" s="1"/>
  <c r="F31" i="4"/>
  <c r="F32" i="4" s="1"/>
  <c r="F33" i="4" s="1"/>
  <c r="F36" i="4" s="1"/>
  <c r="L31" i="4"/>
  <c r="L32" i="4" s="1"/>
  <c r="L33" i="4" s="1"/>
  <c r="L36" i="4" s="1"/>
  <c r="R31" i="4"/>
  <c r="R32" i="4" s="1"/>
  <c r="R33" i="4" s="1"/>
  <c r="R36" i="4" s="1"/>
  <c r="N31" i="4"/>
  <c r="N32" i="4" s="1"/>
  <c r="N33" i="4" s="1"/>
  <c r="N36" i="4" s="1"/>
  <c r="J31" i="4"/>
  <c r="J32" i="4" s="1"/>
  <c r="J33" i="4" s="1"/>
  <c r="J36" i="4" s="1"/>
  <c r="H31" i="4"/>
  <c r="H32" i="4" s="1"/>
  <c r="H33" i="4" s="1"/>
  <c r="H36" i="4" s="1"/>
  <c r="P31" i="4"/>
  <c r="P32" i="4" s="1"/>
  <c r="P33" i="4" s="1"/>
  <c r="P36" i="4" s="1"/>
  <c r="V31" i="4"/>
  <c r="V32" i="4" s="1"/>
  <c r="V33" i="4" s="1"/>
  <c r="V36" i="4" s="1"/>
  <c r="W31" i="4"/>
  <c r="W32" i="4" s="1"/>
  <c r="W33" i="4" s="1"/>
  <c r="W36" i="4" s="1"/>
  <c r="E31" i="4"/>
  <c r="E32" i="4" s="1"/>
  <c r="E33" i="4" s="1"/>
  <c r="E36" i="4" s="1"/>
  <c r="X31" i="4" l="1"/>
  <c r="X32" i="4" s="1"/>
  <c r="X33" i="4" s="1"/>
  <c r="X36" i="4" s="1"/>
  <c r="Z26" i="4"/>
  <c r="Y27" i="4"/>
  <c r="Y30" i="4"/>
  <c r="E34" i="4"/>
  <c r="E40" i="4" s="1"/>
  <c r="K34" i="4"/>
  <c r="K40" i="4" s="1"/>
  <c r="N34" i="4"/>
  <c r="N40" i="4" s="1"/>
  <c r="F34" i="4"/>
  <c r="F40" i="4" s="1"/>
  <c r="J34" i="4"/>
  <c r="J40" i="4" s="1"/>
  <c r="O34" i="4"/>
  <c r="O40" i="4" s="1"/>
  <c r="G34" i="4"/>
  <c r="G40" i="4" s="1"/>
  <c r="H34" i="4"/>
  <c r="H40" i="4" s="1"/>
  <c r="I34" i="4"/>
  <c r="I40" i="4" s="1"/>
  <c r="L34" i="4"/>
  <c r="L40" i="4" s="1"/>
  <c r="M34" i="4"/>
  <c r="M40" i="4" s="1"/>
  <c r="P34" i="4"/>
  <c r="P40" i="4" s="1"/>
  <c r="Q32" i="4"/>
  <c r="T32" i="4"/>
  <c r="U32" i="4"/>
  <c r="D34" i="4"/>
  <c r="D40" i="4" s="1"/>
  <c r="D36" i="4"/>
  <c r="D22" i="4"/>
  <c r="Y35" i="4" l="1"/>
  <c r="Y31" i="4"/>
  <c r="Y32" i="4" s="1"/>
  <c r="Y33" i="4" s="1"/>
  <c r="Y36" i="4" s="1"/>
  <c r="Z27" i="4"/>
  <c r="Z30" i="4"/>
  <c r="AA26" i="4"/>
  <c r="Q41" i="4" a="1"/>
  <c r="Q41" i="4" s="1"/>
  <c r="I41" i="4" a="1"/>
  <c r="I41" i="4" s="1"/>
  <c r="I42" i="4" s="1"/>
  <c r="H41" i="4" a="1"/>
  <c r="H41" i="4" s="1"/>
  <c r="H42" i="4" s="1"/>
  <c r="P41" i="4" a="1"/>
  <c r="P41" i="4" s="1"/>
  <c r="P42" i="4" s="1"/>
  <c r="K41" i="4" a="1"/>
  <c r="K41" i="4" s="1"/>
  <c r="K42" i="4" s="1"/>
  <c r="G41" i="4" a="1"/>
  <c r="G41" i="4" s="1"/>
  <c r="G42" i="4" s="1"/>
  <c r="O41" i="4" a="1"/>
  <c r="O41" i="4" s="1"/>
  <c r="O42" i="4" s="1"/>
  <c r="M41" i="4" a="1"/>
  <c r="M41" i="4" s="1"/>
  <c r="M42" i="4" s="1"/>
  <c r="L41" i="4" a="1"/>
  <c r="L41" i="4" s="1"/>
  <c r="L42" i="4" s="1"/>
  <c r="N41" i="4" a="1"/>
  <c r="N41" i="4" s="1"/>
  <c r="N42" i="4" s="1"/>
  <c r="J41" i="4" a="1"/>
  <c r="J41" i="4" s="1"/>
  <c r="J42" i="4" s="1"/>
  <c r="F41" i="4" a="1"/>
  <c r="F41" i="4" s="1"/>
  <c r="F42" i="4" s="1"/>
  <c r="D42" i="4"/>
  <c r="E41" i="4" a="1"/>
  <c r="E41" i="4" s="1"/>
  <c r="E42" i="4" s="1"/>
  <c r="D37" i="4"/>
  <c r="D43" i="4" s="1"/>
  <c r="E37" i="4"/>
  <c r="K37" i="4"/>
  <c r="K43" i="4" s="1"/>
  <c r="N37" i="4"/>
  <c r="N43" i="4" s="1"/>
  <c r="F37" i="4"/>
  <c r="J37" i="4"/>
  <c r="J43" i="4" s="1"/>
  <c r="O37" i="4"/>
  <c r="O43" i="4" s="1"/>
  <c r="G37" i="4"/>
  <c r="H37" i="4"/>
  <c r="I37" i="4"/>
  <c r="I43" i="4" s="1"/>
  <c r="L37" i="4"/>
  <c r="L43" i="4" s="1"/>
  <c r="M37" i="4"/>
  <c r="M43" i="4" s="1"/>
  <c r="P37" i="4"/>
  <c r="P43" i="4" s="1"/>
  <c r="U33" i="4"/>
  <c r="U36" i="4" s="1"/>
  <c r="T33" i="4"/>
  <c r="T36" i="4" s="1"/>
  <c r="Q33" i="4"/>
  <c r="AA27" i="4" l="1"/>
  <c r="AA30" i="4"/>
  <c r="AA35" i="4" s="1"/>
  <c r="AC26" i="4"/>
  <c r="AB26" i="4"/>
  <c r="Z35" i="4"/>
  <c r="Z31" i="4"/>
  <c r="Z32" i="4" s="1"/>
  <c r="Z33" i="4" s="1"/>
  <c r="Z36" i="4" s="1"/>
  <c r="Q36" i="4"/>
  <c r="W37" i="4" s="1"/>
  <c r="W43" i="4" s="1"/>
  <c r="N44" i="4" a="1"/>
  <c r="N44" i="4" s="1"/>
  <c r="N45" i="4" s="1"/>
  <c r="M44" i="4" a="1"/>
  <c r="M44" i="4" s="1"/>
  <c r="M45" i="4" s="1"/>
  <c r="Q44" i="4" a="1"/>
  <c r="Q44" i="4" s="1"/>
  <c r="K44" i="4" a="1"/>
  <c r="K44" i="4" s="1"/>
  <c r="K45" i="4" s="1"/>
  <c r="L44" i="4" a="1"/>
  <c r="L44" i="4" s="1"/>
  <c r="L45" i="4" s="1"/>
  <c r="J44" i="4" a="1"/>
  <c r="J44" i="4" s="1"/>
  <c r="J45" i="4" s="1"/>
  <c r="P44" i="4" a="1"/>
  <c r="P44" i="4" s="1"/>
  <c r="P45" i="4" s="1"/>
  <c r="O44" i="4" a="1"/>
  <c r="O44" i="4" s="1"/>
  <c r="O45" i="4" s="1"/>
  <c r="D45" i="4"/>
  <c r="E44" i="4" a="1"/>
  <c r="E44" i="4" s="1"/>
  <c r="F43" i="4"/>
  <c r="H43" i="4"/>
  <c r="G43" i="4"/>
  <c r="E43" i="4"/>
  <c r="U34" i="4"/>
  <c r="U40" i="4" s="1"/>
  <c r="V34" i="4"/>
  <c r="R34" i="4"/>
  <c r="T34" i="4"/>
  <c r="Y34" i="4"/>
  <c r="Y40" i="4" s="1"/>
  <c r="W34" i="4"/>
  <c r="W40" i="4" s="1"/>
  <c r="S34" i="4"/>
  <c r="S40" i="4" s="1"/>
  <c r="X34" i="4"/>
  <c r="Q34" i="4"/>
  <c r="AA31" i="4" l="1"/>
  <c r="AA32" i="4" s="1"/>
  <c r="AA33" i="4" s="1"/>
  <c r="AA36" i="4" s="1"/>
  <c r="AA37" i="4" s="1"/>
  <c r="AA43" i="4" s="1"/>
  <c r="AB44" i="4" s="1" a="1"/>
  <c r="AB44" i="4" s="1"/>
  <c r="Z34" i="4"/>
  <c r="Z40" i="4" s="1"/>
  <c r="AA41" i="4" s="1" a="1"/>
  <c r="AA41" i="4" s="1"/>
  <c r="AB27" i="4"/>
  <c r="AB30" i="4"/>
  <c r="AC27" i="4"/>
  <c r="AC30" i="4"/>
  <c r="AC35" i="4" s="1"/>
  <c r="X37" i="4"/>
  <c r="X43" i="4" s="1"/>
  <c r="Y44" i="4" s="1" a="1"/>
  <c r="Y44" i="4" s="1"/>
  <c r="T37" i="4"/>
  <c r="T43" i="4" s="1"/>
  <c r="U44" i="4" s="1" a="1"/>
  <c r="U44" i="4" s="1"/>
  <c r="V37" i="4"/>
  <c r="V43" i="4" s="1"/>
  <c r="W44" i="4" s="1" a="1"/>
  <c r="W44" i="4" s="1"/>
  <c r="W45" i="4" s="1"/>
  <c r="S37" i="4"/>
  <c r="S43" i="4" s="1"/>
  <c r="T44" i="4" s="1" a="1"/>
  <c r="T44" i="4" s="1"/>
  <c r="Y37" i="4"/>
  <c r="Y43" i="4" s="1"/>
  <c r="Z44" i="4" s="1" a="1"/>
  <c r="Z44" i="4" s="1"/>
  <c r="R37" i="4"/>
  <c r="R43" i="4" s="1"/>
  <c r="S44" i="4" s="1" a="1"/>
  <c r="S44" i="4" s="1"/>
  <c r="Z37" i="4"/>
  <c r="Z43" i="4" s="1"/>
  <c r="AA44" i="4" s="1" a="1"/>
  <c r="AA44" i="4" s="1"/>
  <c r="U37" i="4"/>
  <c r="U43" i="4" s="1"/>
  <c r="V44" i="4" s="1" a="1"/>
  <c r="V44" i="4" s="1"/>
  <c r="Q37" i="4"/>
  <c r="Q43" i="4" s="1"/>
  <c r="R44" i="4" s="1" a="1"/>
  <c r="R44" i="4" s="1"/>
  <c r="E45" i="4"/>
  <c r="X44" i="4" a="1"/>
  <c r="X44" i="4" s="1"/>
  <c r="F44" i="4" a="1"/>
  <c r="F44" i="4" s="1"/>
  <c r="F45" i="4" s="1"/>
  <c r="I44" i="4" a="1"/>
  <c r="I44" i="4" s="1"/>
  <c r="I45" i="4" s="1"/>
  <c r="G44" i="4" a="1"/>
  <c r="G44" i="4" s="1"/>
  <c r="G45" i="4" s="1"/>
  <c r="H44" i="4" a="1"/>
  <c r="H44" i="4" s="1"/>
  <c r="H45" i="4" s="1"/>
  <c r="V41" i="4" a="1"/>
  <c r="V41" i="4" s="1"/>
  <c r="T41" i="4" a="1"/>
  <c r="T41" i="4" s="1"/>
  <c r="X41" i="4" a="1"/>
  <c r="X41" i="4" s="1"/>
  <c r="Z41" i="4" a="1"/>
  <c r="Z41" i="4" s="1"/>
  <c r="V40" i="4"/>
  <c r="X40" i="4"/>
  <c r="Q40" i="4"/>
  <c r="T40" i="4"/>
  <c r="R40" i="4"/>
  <c r="Z42" i="4" l="1"/>
  <c r="AA34" i="4"/>
  <c r="AA40" i="4" s="1"/>
  <c r="AB41" i="4" s="1" a="1"/>
  <c r="AB41" i="4" s="1"/>
  <c r="AB35" i="4"/>
  <c r="C48" i="4" s="1"/>
  <c r="AB31" i="4"/>
  <c r="AB32" i="4" s="1"/>
  <c r="AB33" i="4" s="1"/>
  <c r="AC31" i="4"/>
  <c r="AC32" i="4" s="1"/>
  <c r="AC33" i="4" s="1"/>
  <c r="E48" i="4"/>
  <c r="V45" i="4"/>
  <c r="X45" i="4"/>
  <c r="R45" i="4"/>
  <c r="T45" i="4"/>
  <c r="AA45" i="4"/>
  <c r="S45" i="4"/>
  <c r="Y45" i="4"/>
  <c r="Z45" i="4"/>
  <c r="U45" i="4"/>
  <c r="Q45" i="4"/>
  <c r="T42" i="4"/>
  <c r="R41" i="4" a="1"/>
  <c r="R41" i="4" s="1"/>
  <c r="R42" i="4" s="1"/>
  <c r="Q42" i="4"/>
  <c r="W41" i="4" a="1"/>
  <c r="W41" i="4" s="1"/>
  <c r="W42" i="4" s="1"/>
  <c r="V42" i="4"/>
  <c r="Y41" i="4" a="1"/>
  <c r="Y41" i="4" s="1"/>
  <c r="Y42" i="4" s="1"/>
  <c r="X42" i="4"/>
  <c r="S41" i="4" a="1"/>
  <c r="S41" i="4" s="1"/>
  <c r="S42" i="4" s="1"/>
  <c r="U41" i="4" a="1"/>
  <c r="U41" i="4" s="1"/>
  <c r="U42" i="4" s="1"/>
  <c r="AC36" i="4" l="1"/>
  <c r="C50" i="4"/>
  <c r="AA42" i="4"/>
  <c r="D48" i="4"/>
  <c r="AB36" i="4"/>
  <c r="E49" i="4"/>
  <c r="AB34" i="4"/>
  <c r="AB40" i="4" s="1"/>
  <c r="AC34" i="4"/>
  <c r="AC40" i="4" s="1"/>
  <c r="D49" i="4" l="1"/>
  <c r="AC41" i="4" a="1"/>
  <c r="AC41" i="4" s="1"/>
  <c r="AC42" i="4" s="1"/>
  <c r="AB42" i="4"/>
  <c r="AB37" i="4"/>
  <c r="AB43" i="4" s="1"/>
  <c r="C49" i="4"/>
  <c r="AC37" i="4"/>
  <c r="AC43" i="4" s="1"/>
  <c r="E10" i="9" l="1"/>
  <c r="D10" i="9"/>
  <c r="J23" i="9"/>
  <c r="AC44" i="4" a="1"/>
  <c r="AC44" i="4" s="1"/>
  <c r="AC45" i="4" s="1"/>
  <c r="AB45" i="4"/>
  <c r="E10" i="15"/>
  <c r="C52" i="4"/>
  <c r="E10" i="14"/>
  <c r="D10" i="14"/>
  <c r="D10" i="15"/>
  <c r="K18" i="9" l="1"/>
  <c r="J22" i="9"/>
  <c r="K17" i="9"/>
  <c r="K12" i="9"/>
  <c r="K11"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tc={DFFD72BE-3C83-4F27-873D-70E4CB672A6A}</author>
    <author>tc={42871928-CFA3-4480-8FDD-3F0BB05AC1BB}</author>
  </authors>
  <commentList>
    <comment ref="G8" authorId="0" shapeId="0" xr:uid="{DFFD72BE-3C83-4F27-873D-70E4CB672A6A}">
      <text>
        <t>[Threaded comment]
Your version of Excel allows you to read this threaded comment; however, any edits to it will get removed if the file is opened in a newer version of Excel. Learn more: https://go.microsoft.com/fwlink/?linkid=870924
Comment:
    Note: This needs to have a 0.00 in one of the calendar years for the Cumulative DevEx calculation to work in the 'Calculations' sheet</t>
      </text>
    </comment>
    <comment ref="C28" authorId="1" shapeId="0" xr:uid="{42871928-CFA3-4480-8FDD-3F0BB05AC1BB}">
      <text>
        <t xml:space="preserve">[Threaded comment]
Your version of Excel allows you to read this threaded comment; however, any edits to it will get removed if the file is opened in a newer version of Excel. Learn more: https://go.microsoft.com/fwlink/?linkid=870924
Comment:
    The tax is levied on the NCF, rather than revenues. The tax is levied only once the cumulative cash flows become positive. 
When the cumulative cash flows are positive but below the NCF for the current period, the tax is charged on the positive cumulative cash flows. 
Thereafter, the tax is charged on NCF in each period.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tc={C83EA3C2-A663-4F2C-88FD-A1E6A27D9A95}</author>
    <author>tc={5F9ED3DF-F51A-40B0-8148-7003C0804E53}</author>
    <author>tc={8024AFE7-B96E-4789-8E6B-EDCF381DA379}</author>
    <author>tc={513E3C2B-C8CB-441B-8B98-4DF16C96D870}</author>
    <author>tc={376DE213-D755-4AFE-BA2B-AE61B8701DE3}</author>
  </authors>
  <commentList>
    <comment ref="B9" authorId="0" shapeId="0" xr:uid="{C83EA3C2-A663-4F2C-88FD-A1E6A27D9A95}">
      <text>
        <t>[Threaded comment]
Your version of Excel allows you to read this threaded comment; however, any edits to it will get removed if the file is opened in a newer version of Excel. Learn more: https://go.microsoft.com/fwlink/?linkid=870924
Comment:
    These provide an indication of the expected phasing of development expenditure, production and abandonment cost. 
(For example, 15% of the development expenditure is expected to be spent in 2025, 15% in 2026, etc.) 
Production roughly follows a log normal distribution, with 11% in the first year of production (2030) rising to 16% in 2031 and then falling slowly thereafter.</t>
      </text>
    </comment>
    <comment ref="C9" authorId="1" shapeId="0" xr:uid="{5F9ED3DF-F51A-40B0-8148-7003C0804E53}">
      <text>
        <t>[Threaded comment]
Your version of Excel allows you to read this threaded comment; however, any edits to it will get removed if the file is opened in a newer version of Excel. Learn more: https://go.microsoft.com/fwlink/?linkid=870924
Comment:
    To confirm that the sum of all years is 100%</t>
      </text>
    </comment>
    <comment ref="B17" authorId="2" shapeId="0" xr:uid="{8024AFE7-B96E-4789-8E6B-EDCF381DA379}">
      <text>
        <t>[Threaded comment]
Your version of Excel allows you to read this threaded comment; however, any edits to it will get removed if the file is opened in a newer version of Excel. Learn more: https://go.microsoft.com/fwlink/?linkid=870924
Comment:
    This is used to calculate production costs. I have added inflation to the cumulative total, even when yearly DevEx costs fall to zero, to make it easier to calculate production costs.</t>
      </text>
    </comment>
    <comment ref="B19" authorId="3" shapeId="0" xr:uid="{513E3C2B-C8CB-441B-8B98-4DF16C96D870}">
      <text>
        <t>[Threaded comment]
Your version of Excel allows you to read this threaded comment; however, any edits to it will get removed if the file is opened in a newer version of Excel. Learn more: https://go.microsoft.com/fwlink/?linkid=870924
Comment:
    Field cost inflation is included in the Cumulative DevEx, so is not calculated in the production costs.</t>
      </text>
    </comment>
    <comment ref="B31" authorId="4" shapeId="0" xr:uid="{376DE213-D755-4AFE-BA2B-AE61B8701DE3}">
      <text>
        <t>[Threaded comment]
Your version of Excel allows you to read this threaded comment; however, any edits to it will get removed if the file is opened in a newer version of Excel. Learn more: https://go.microsoft.com/fwlink/?linkid=870924
Comment:
    This is used to determine the amount of tax to be paid in early years. 
(Where CNCF&lt;0, no tax paid; where 0&lt;CNCF&lt;NCF, tax paid on CNCF; where CNCF&gt;NCF, tax paid on NCF.)</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tc={C664EEA4-4477-4617-9D5E-6CE350CFE795}</author>
  </authors>
  <commentList>
    <comment ref="C10" authorId="0" shapeId="0" xr:uid="{C664EEA4-4477-4617-9D5E-6CE350CFE795}">
      <text>
        <t xml:space="preserve">[Threaded comment]
Your version of Excel allows you to read this threaded comment; however, any edits to it will get removed if the file is opened in a newer version of Excel. Learn more: https://go.microsoft.com/fwlink/?linkid=870924
Comment:
    If you wish to run a simulation, update the oil_price_base to match the oil_price_infl_adj_MC_log_normal in the Inputs sheet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tc={7F7E308C-E909-49CE-97CA-5A70950A9A78}</author>
  </authors>
  <commentList>
    <comment ref="C10" authorId="0" shapeId="0" xr:uid="{7F7E308C-E909-49CE-97CA-5A70950A9A78}">
      <text>
        <t>[Threaded comment]
Your version of Excel allows you to read this threaded comment; however, any edits to it will get removed if the file is opened in a newer version of Excel. Learn more: https://go.microsoft.com/fwlink/?linkid=870924
Comment:
    If you wish to run a simulation, update the oil_price_base to match the oil_price_nominal_MC_log_normal in the Inputs sheet</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tc={FB603B1B-72A2-4A5D-B4D9-B0A80E0ACEA6}</author>
  </authors>
  <commentList>
    <comment ref="C10" authorId="0" shapeId="0" xr:uid="{FB603B1B-72A2-4A5D-B4D9-B0A80E0ACEA6}">
      <text>
        <t>[Threaded comment]
Your version of Excel allows you to read this threaded comment; however, any edits to it will get removed if the file is opened in a newer version of Excel. Learn more: https://go.microsoft.com/fwlink/?linkid=870924
Comment:
    If you wish to run a simulation, update the oil_price_base to match the oil_price_MC_uniform_distribution in the Inputs sheet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<sst xmlns="http://schemas.openxmlformats.org/spreadsheetml/2006/main" count="485" uniqueCount="214">
  <si>
    <t xml:space="preserve">Production </t>
  </si>
  <si>
    <t>Year</t>
  </si>
  <si>
    <t>Corporate income tax</t>
  </si>
  <si>
    <t>Base year</t>
  </si>
  <si>
    <t>Field cost inflation</t>
  </si>
  <si>
    <t>Oil price inflation</t>
  </si>
  <si>
    <t>Total field production (MMbbl)</t>
  </si>
  <si>
    <t>Development expenditure (DevEx; $/bbl)</t>
  </si>
  <si>
    <t>Validation</t>
  </si>
  <si>
    <t xml:space="preserve">Production cost (OpEx; % of accumulated DevEx) </t>
  </si>
  <si>
    <t>Discount rate (WACC)</t>
  </si>
  <si>
    <t>Decommissioning cost ($/bbl)</t>
  </si>
  <si>
    <t>Cost in base year prices to decommission operation at end of project. As for development expenditure total cost depends on size of field.</t>
  </si>
  <si>
    <t>Operating expenditure once the field is producing estimated as % of the total cumulative development expenditure.</t>
  </si>
  <si>
    <t>Cost in base year prices to develop field to production covering drilling and capex costs (on per barrel basis). Total costs thus depend on the size of the field.</t>
  </si>
  <si>
    <t>Typical rate of return used by company for project evaluation in known fields</t>
  </si>
  <si>
    <t>Assumed inflation rate for opex, development and abandonment costs</t>
  </si>
  <si>
    <t>Estimate of recoverable oil</t>
  </si>
  <si>
    <t>Comments</t>
  </si>
  <si>
    <t>Expenditure ($M)</t>
  </si>
  <si>
    <t>Phasing of expenditure</t>
  </si>
  <si>
    <t>Production (MMbbl)</t>
  </si>
  <si>
    <t>Production start</t>
  </si>
  <si>
    <t>Decommissioning start</t>
  </si>
  <si>
    <t>Development (DevEx)</t>
  </si>
  <si>
    <t>Decommissioning</t>
  </si>
  <si>
    <t>Development (DevEx; % of total)</t>
  </si>
  <si>
    <t>Production (OpEx; % of total)</t>
  </si>
  <si>
    <t>Decommissioning (% of total)</t>
  </si>
  <si>
    <t>Cumulative DevEx</t>
  </si>
  <si>
    <t>Revenue ($M)</t>
  </si>
  <si>
    <t>Sales</t>
  </si>
  <si>
    <t>Net cash flow ($M)</t>
  </si>
  <si>
    <t>Net cash flow (pre-tax)</t>
  </si>
  <si>
    <t>Tax paid</t>
  </si>
  <si>
    <t>Cumulative net cash flow (pre-tax)</t>
  </si>
  <si>
    <t>Cumulative net cash flow (post-tax)</t>
  </si>
  <si>
    <t>Total expenditure</t>
  </si>
  <si>
    <t>Net cash flow (post-tax)</t>
  </si>
  <si>
    <t>Total revenue</t>
  </si>
  <si>
    <t>Payback calculations</t>
  </si>
  <si>
    <t>Payback year</t>
  </si>
  <si>
    <t>Cumulative NCF (post-tax), positive indicator</t>
  </si>
  <si>
    <t>Cumulative NCF (post-tax), positive indicator, lagged</t>
  </si>
  <si>
    <t>Cumulative NCF (post-tax; discounted), positive indicator</t>
  </si>
  <si>
    <t>Cumulative NCF (post-tax; discounted), positive indicator, lagged</t>
  </si>
  <si>
    <t>Payback year (discounted)</t>
  </si>
  <si>
    <t>Net cash flow (post-tax; discounted)</t>
  </si>
  <si>
    <t>Cumulative net cash flow (post-tax; discounted)</t>
  </si>
  <si>
    <t>Total revenue (discounted)</t>
  </si>
  <si>
    <t>Total expenditure (discounted)</t>
  </si>
  <si>
    <t>Summary</t>
  </si>
  <si>
    <t>IRR (post-tax)</t>
  </si>
  <si>
    <t>Return on investment (ROI)</t>
  </si>
  <si>
    <t>Net cash flow (pre-tax; discounted)</t>
  </si>
  <si>
    <t>DevEx (discounted)</t>
  </si>
  <si>
    <t>Base case</t>
  </si>
  <si>
    <t>Inputs</t>
  </si>
  <si>
    <t>Year 0 for the NPV calculation</t>
  </si>
  <si>
    <t>The year in which production starts</t>
  </si>
  <si>
    <t>The year in which decommissioning starts</t>
  </si>
  <si>
    <t>Income tax per year. (See comment for more information)</t>
  </si>
  <si>
    <t>Assumed price obtainable by oil company in 2025 at field level, i.e., before transport of oil to market</t>
  </si>
  <si>
    <t>DevEx (%)</t>
  </si>
  <si>
    <t>Calendar year</t>
  </si>
  <si>
    <t>Development start</t>
  </si>
  <si>
    <t>The year in which development starts</t>
  </si>
  <si>
    <t>Production (%)</t>
  </si>
  <si>
    <t>Timeline</t>
  </si>
  <si>
    <t>Decommissioning (%)</t>
  </si>
  <si>
    <t>Oil price ($/bbl)</t>
  </si>
  <si>
    <t>NPV (pre-tax; $M)</t>
  </si>
  <si>
    <t>NPV (post-tax; $M)</t>
  </si>
  <si>
    <t>NPV (DevEx; $M)</t>
  </si>
  <si>
    <t>Oil price (assuming no uncertainty)</t>
  </si>
  <si>
    <t>Oil price (Monte Carlo, uniform distribution)</t>
  </si>
  <si>
    <t>Assumption</t>
  </si>
  <si>
    <t>Min price</t>
  </si>
  <si>
    <t>Max price</t>
  </si>
  <si>
    <t>Monte Carlo, uniform distribution</t>
  </si>
  <si>
    <t>Oil price calculation</t>
  </si>
  <si>
    <t>Loss</t>
  </si>
  <si>
    <t>Trial number</t>
  </si>
  <si>
    <t>Summary statistics</t>
  </si>
  <si>
    <t>Oil price (MC_uniform)</t>
  </si>
  <si>
    <t>NPV</t>
  </si>
  <si>
    <t>Oil price</t>
  </si>
  <si>
    <t>NPV ($M)</t>
  </si>
  <si>
    <t>Mean</t>
  </si>
  <si>
    <t>Median</t>
  </si>
  <si>
    <t>Maximum</t>
  </si>
  <si>
    <t>Minimum</t>
  </si>
  <si>
    <t>Probability of loss</t>
  </si>
  <si>
    <t>Sample size</t>
  </si>
  <si>
    <t>Count</t>
  </si>
  <si>
    <t># Histogram created using a PivotTable rather than using the bin method that we covered in class #</t>
  </si>
  <si>
    <t>Probability</t>
  </si>
  <si>
    <t>Bin</t>
  </si>
  <si>
    <t>Monte Carlo analysis</t>
  </si>
  <si>
    <t>Uniform distribution</t>
  </si>
  <si>
    <t>Log-normal distribution (nominal prices)</t>
  </si>
  <si>
    <t>Log-normal distribution (inflation-adjusted prices)</t>
  </si>
  <si>
    <t>Month</t>
  </si>
  <si>
    <t>Index (1982-84=1)</t>
  </si>
  <si>
    <t>Nominal</t>
  </si>
  <si>
    <t>LogNominal</t>
  </si>
  <si>
    <t>Real</t>
  </si>
  <si>
    <t>LogReal</t>
  </si>
  <si>
    <t>Standard Error</t>
  </si>
  <si>
    <t>Mode</t>
  </si>
  <si>
    <t>Standard Deviation</t>
  </si>
  <si>
    <t>Sample Variance</t>
  </si>
  <si>
    <t>Kurtosis</t>
  </si>
  <si>
    <t>Skewness</t>
  </si>
  <si>
    <t>Range</t>
  </si>
  <si>
    <t>Sum</t>
  </si>
  <si>
    <t>Inflation-adjusted price</t>
  </si>
  <si>
    <t>Nominal price</t>
  </si>
  <si>
    <t>Cumulative</t>
  </si>
  <si>
    <t>Nominal Price ($)</t>
  </si>
  <si>
    <t>Log(Nominal)</t>
  </si>
  <si>
    <t>Log(Inflation-adjusted)</t>
  </si>
  <si>
    <t>Nominal oil price ($)</t>
  </si>
  <si>
    <t>Inflation-adjusted oil price ($)</t>
  </si>
  <si>
    <t>Log(inflation-adjusted oil price)</t>
  </si>
  <si>
    <t>Std Dev</t>
  </si>
  <si>
    <t>Log(nominal oil price)</t>
  </si>
  <si>
    <t xml:space="preserve">Monte Carlo, nominal (log-transformed) </t>
  </si>
  <si>
    <t>Oil price (Monte Carlo, inflation-adjusted)</t>
  </si>
  <si>
    <t xml:space="preserve">Monte Carlo, inflation-adjusted (log-transformed) </t>
  </si>
  <si>
    <t>Oil price (MC_nominal)</t>
  </si>
  <si>
    <r>
      <t>#</t>
    </r>
    <r>
      <rPr>
        <sz val="11"/>
        <color theme="1"/>
        <rFont val="Sorts Mill Goudy"/>
      </rPr>
      <t xml:space="preserve"> </t>
    </r>
    <r>
      <rPr>
        <b/>
        <sz val="11"/>
        <color theme="1"/>
        <rFont val="Sorts Mill Goudy"/>
      </rPr>
      <t xml:space="preserve">Note: </t>
    </r>
    <r>
      <rPr>
        <sz val="11"/>
        <color theme="1"/>
        <rFont val="Sorts Mill Goudy"/>
      </rPr>
      <t xml:space="preserve">I have made the table inactive to allow me to run multiple simulations. (If you want to re-run the simulation, the cells in </t>
    </r>
    <r>
      <rPr>
        <sz val="11"/>
        <color rgb="FFFF0000"/>
        <rFont val="Sorts Mill Goudy"/>
      </rPr>
      <t>red</t>
    </r>
    <r>
      <rPr>
        <sz val="11"/>
        <rFont val="Sorts Mill Goudy"/>
      </rPr>
      <t xml:space="preserve"> are active and can be used, although the oil price formula needs to be modified on the 'Inputs' tab)</t>
    </r>
    <r>
      <rPr>
        <b/>
        <sz val="11"/>
        <color theme="1"/>
        <rFont val="Sorts Mill Goudy"/>
      </rPr>
      <t xml:space="preserve"> #</t>
    </r>
  </si>
  <si>
    <t>Oil price (MC_inflation_adjusted)</t>
  </si>
  <si>
    <t>∆ Log(Inflation-adjusted)</t>
  </si>
  <si>
    <t>Log(Inflation-adjusted Price)</t>
  </si>
  <si>
    <t>Inflation-adjusted Price ($)</t>
  </si>
  <si>
    <t>Inflation-adjusted price ($)</t>
  </si>
  <si>
    <t>Data Analysis for Energy</t>
  </si>
  <si>
    <t>CALCULATIONS</t>
  </si>
  <si>
    <t>YearCount</t>
  </si>
  <si>
    <t>∆ Log(Inflation-adjusted)(YoY)</t>
  </si>
  <si>
    <t>Row Labels</t>
  </si>
  <si>
    <t>Grand Total</t>
  </si>
  <si>
    <t>Count of NPV</t>
  </si>
  <si>
    <t>-5463--2786</t>
  </si>
  <si>
    <t>-2786--109</t>
  </si>
  <si>
    <t>-109-2568</t>
  </si>
  <si>
    <t>2568-5245</t>
  </si>
  <si>
    <t>5245-7922</t>
  </si>
  <si>
    <t>7922-10599</t>
  </si>
  <si>
    <t>10599-13276</t>
  </si>
  <si>
    <t>13276-15953</t>
  </si>
  <si>
    <t>18630-21307</t>
  </si>
  <si>
    <t>21307-23984</t>
  </si>
  <si>
    <t>(Multiple Items)</t>
  </si>
  <si>
    <t>Oil price ($)</t>
  </si>
  <si>
    <t>Inflation-adjusted</t>
  </si>
  <si>
    <t>Log(inflation-adjusted)</t>
  </si>
  <si>
    <t>Log(nominal)</t>
  </si>
  <si>
    <t>20-30</t>
  </si>
  <si>
    <t>30-40</t>
  </si>
  <si>
    <t>40-50</t>
  </si>
  <si>
    <t>50-60</t>
  </si>
  <si>
    <t>60-70</t>
  </si>
  <si>
    <t>70-80</t>
  </si>
  <si>
    <t>80-90</t>
  </si>
  <si>
    <t>90-100</t>
  </si>
  <si>
    <t xml:space="preserve">Count </t>
  </si>
  <si>
    <t>Oil price (uniform)</t>
  </si>
  <si>
    <t>Uniform</t>
  </si>
  <si>
    <t>P(oil price &lt; $30/bbl)</t>
  </si>
  <si>
    <t>P(NPV &lt; $0)</t>
  </si>
  <si>
    <t>Oil price (Monte Carlo, log-normal, nominal)</t>
  </si>
  <si>
    <t>-3720--800</t>
  </si>
  <si>
    <t>-800-2120</t>
  </si>
  <si>
    <t>2120-5040</t>
  </si>
  <si>
    <t>5040-7960</t>
  </si>
  <si>
    <t>7960-10880</t>
  </si>
  <si>
    <t>10880-13800</t>
  </si>
  <si>
    <t>13800-16720</t>
  </si>
  <si>
    <t>16720-19640</t>
  </si>
  <si>
    <t>19640-22560</t>
  </si>
  <si>
    <t>22560-25480</t>
  </si>
  <si>
    <t>-4000--2000</t>
  </si>
  <si>
    <t>-2000-0</t>
  </si>
  <si>
    <t>0-2000</t>
  </si>
  <si>
    <t>2000-4000</t>
  </si>
  <si>
    <t>4000-6000</t>
  </si>
  <si>
    <t>6000-8000</t>
  </si>
  <si>
    <t>-6000--4000</t>
  </si>
  <si>
    <t>8000-10000</t>
  </si>
  <si>
    <t>10000-12000</t>
  </si>
  <si>
    <t>12000-14000</t>
  </si>
  <si>
    <t>14000-16000</t>
  </si>
  <si>
    <t>18000-20000</t>
  </si>
  <si>
    <t>20000-22000</t>
  </si>
  <si>
    <t>16000-18000</t>
  </si>
  <si>
    <t>22000-24000</t>
  </si>
  <si>
    <t>24000-26000</t>
  </si>
  <si>
    <t>75th percentile</t>
  </si>
  <si>
    <t>25th percentile</t>
  </si>
  <si>
    <t># I created histograms using PivotTables #</t>
  </si>
  <si>
    <t>NPV [2]</t>
  </si>
  <si>
    <t>NPV [1]</t>
  </si>
  <si>
    <t>NPV [3]</t>
  </si>
  <si>
    <t>1st percentile</t>
  </si>
  <si>
    <t>99th percentile</t>
  </si>
  <si>
    <t>OIL PRICE DISTRIBUTIONS</t>
  </si>
  <si>
    <t>NPV DISTRIBUTIONS</t>
  </si>
  <si>
    <t>INPUTS</t>
  </si>
  <si>
    <t>Assumed inflation rate for oil price</t>
  </si>
  <si>
    <t>Random simulation of oil price based on nominal data between 1974 and 2024. Price follows a log-normal distribution</t>
  </si>
  <si>
    <t>Random simulation of oil price with a uniform distribution between $20 and $100</t>
  </si>
  <si>
    <t>Random simulation of oil price based on inflation-adjusted data between 1974 and 2024. Price follows a log-normal distribution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</si>
</sst>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0.0"/>
    <numFmt numFmtId="165" formatCode="0.0%"/>
    <numFmt numFmtId="166" formatCode="0.000"/>
    <numFmt numFmtId="167" formatCode="mmmm\ yyyy"/>
    <numFmt numFmtId="168" formatCode="[$-F800]dddd\,\ mmmm\ dd\,\ yyyy"/>
    <numFmt numFmtId="169" formatCode="0.0000000000"/>
    <numFmt numFmtId="170" formatCode="0.00000000000"/>
    <numFmt numFmtId="171" formatCode="0.0000000000000"/>
    <numFmt numFmtId="172" formatCode="0.0000000000000000"/>
  </numFmts>
  <fonts count="32" x14ac:knownFonts="1">
    <font>
      <sz val="11"/>
      <color theme="1"/>
      <name val="Calisto MT"/>
      <family val="2"/>
      <scheme val="minor"/>
    </font>
    <font>
      <u/>
      <sz val="11"/>
      <color theme="10"/>
      <name val="Calisto MT"/>
      <family val="2"/>
      <scheme val="minor"/>
    </font>
    <font>
      <u/>
      <sz val="11"/>
      <color theme="11"/>
      <name val="Calisto MT"/>
      <family val="2"/>
      <scheme val="minor"/>
    </font>
    <font>
      <sz val="11"/>
      <color theme="1"/>
      <name val="Calisto MT"/>
      <family val="2"/>
      <scheme val="minor"/>
    </font>
    <font>
      <sz val="11"/>
      <color theme="1"/>
      <name val="Sorts Mill Goudy"/>
    </font>
    <font>
      <b/>
      <sz val="11"/>
      <color theme="1"/>
      <name val="Sorts Mill Goudy"/>
    </font>
    <font>
      <sz val="11"/>
      <color rgb="FFFF0000"/>
      <name val="Sorts Mill Goudy"/>
    </font>
    <font>
      <sz val="11"/>
      <name val="Sorts Mill Goudy"/>
    </font>
    <font>
      <sz val="11"/>
      <color theme="0"/>
      <name val="Sorts Mill Goudy"/>
    </font>
    <font>
      <b/>
      <sz val="11"/>
      <name val="Sorts Mill Goudy"/>
    </font>
    <font>
      <sz val="10"/>
      <name val="Arial"/>
      <family val="2"/>
    </font>
    <font>
      <sz val="10"/>
      <name val="Sorts Mill Goudy"/>
    </font>
    <font>
      <i/>
      <sz val="10"/>
      <name val="Sorts Mill Goudy"/>
    </font>
    <font>
      <b/>
      <sz val="10"/>
      <name val="Sorts Mill Goudy"/>
    </font>
    <font>
      <sz val="10"/>
      <color theme="1"/>
      <name val="Sorts Mill Goudy"/>
    </font>
    <font>
      <sz val="11"/>
      <color theme="4"/>
      <name val="Sorts Mill Goudy"/>
    </font>
    <font>
      <i/>
      <sz val="11"/>
      <color theme="1"/>
      <name val="Sorts Mill Goudy"/>
    </font>
    <font>
      <sz val="10"/>
      <color rgb="FFFF0000"/>
      <name val="Sorts Mill Goudy"/>
    </font>
    <font>
      <sz val="11"/>
      <color theme="0" tint="-0.499984740745262"/>
      <name val="Sorts Mill Goudy"/>
    </font>
    <font>
      <i/>
      <sz val="11"/>
      <name val="Sorts Mill Goudy"/>
    </font>
    <font>
      <b/>
      <sz val="20"/>
      <color theme="0"/>
      <name val="Sorts Mill Goudy"/>
    </font>
    <font>
      <b/>
      <sz val="24"/>
      <color theme="0"/>
      <name val="Sorts Mill Goudy"/>
    </font>
    <font>
      <b/>
      <sz val="12"/>
      <color theme="0"/>
      <name val="Sorts Mill Goudy"/>
    </font>
    <font>
      <sz val="12"/>
      <color theme="1"/>
      <name val="Sorts Mill Goudy"/>
    </font>
    <font>
      <b/>
      <sz val="11"/>
      <color theme="0"/>
      <name val="Sorts Mill Goudy"/>
    </font>
    <font>
      <i/>
      <sz val="8"/>
      <color theme="0"/>
      <name val="Sorts Mill Goudy"/>
    </font>
    <font>
      <b/>
      <i/>
      <sz val="11"/>
      <color theme="1"/>
      <name val="Sorts Mill Goudy"/>
    </font>
    <font>
      <b/>
      <i/>
      <sz val="11"/>
      <name val="Sorts Mill Goudy"/>
    </font>
    <font>
      <sz val="10"/>
      <color rgb="FF0070C0"/>
      <name val="Sorts Mill Goudy"/>
    </font>
    <font>
      <sz val="11"/>
      <color rgb="FF0070C0"/>
      <name val="Sorts Mill Goudy"/>
    </font>
    <font>
      <b/>
      <sz val="10"/>
      <color theme="0"/>
      <name val="Sorts Mill Goudy"/>
    </font>
    <font>
      <sz val="12"/>
      <color rgb="FF0070C0"/>
      <name val="Sorts Mill Goudy"/>
    </font>
  </fonts>
  <fills count="14">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theme="0"/>
        <bgColor theme="4" tint="0.79998168889431442"/>
      </patternFill>
    </fill>
    <fill>
      <patternFill patternType="solid">
        <fgColor theme="9" tint="-0.249977111117893"/>
        <bgColor indexed="64"/>
      </patternFill>
    </fill>
    <fill>
      <patternFill patternType="solid">
        <fgColor rgb="FF00B0F0"/>
        <bgColor indexed="64"/>
      </patternFill>
    </fill>
    <fill>
      <patternFill patternType="solid">
        <fgColor rgb="FF6297D8"/>
        <bgColor indexed="64"/>
      </patternFill>
    </fill>
    <fill>
      <patternFill patternType="solid">
        <fgColor theme="4"/>
        <bgColor indexed="64"/>
      </patternFill>
    </fill>
    <fill>
      <patternFill patternType="solid">
        <fgColor rgb="FF0070C0"/>
        <bgColor indexed="64"/>
      </patternFill>
    </fill>
    <fill>
      <patternFill patternType="solid">
        <fgColor rgb="FF0070C0"/>
        <bgColor theme="4"/>
      </patternFill>
    </fill>
    <fill>
      <patternFill patternType="solid">
        <fgColor theme="0" tint="-4.9989318521683403E-2"/>
        <bgColor indexed="64"/>
      </patternFill>
    </fill>
    <fill>
      <patternFill patternType="solid">
        <fgColor theme="3" tint="0.39997558519241921"/>
        <bgColor indexed="64"/>
      </patternFill>
    </fill>
    <fill>
      <patternFill patternType="solid">
        <fgColor theme="0" tint="-0.249977111117893"/>
        <bgColor indexed="64"/>
      </patternFill>
    </fill>
  </fills>
  <borders count="6">
    <border>
      <left/>
      <right/>
      <top/>
      <bottom/>
      <diagonal/>
    </border>
    <border>
      <left/>
      <right/>
      <top/>
      <bottom style="medium">
        <color indexed="64"/>
      </bottom>
      <diagonal/>
    </border>
    <border>
      <left/>
      <right/>
      <top style="medium">
        <color indexed="64"/>
      </top>
      <bottom style="thin">
        <color indexed="64"/>
      </bottom>
      <diagonal/>
    </border>
    <border>
      <left/>
      <right style="thin">
        <color theme="0"/>
      </right>
      <top/>
      <bottom/>
      <diagonal/>
    </border>
    <border>
      <left style="thin">
        <color theme="0"/>
      </left>
      <right style="thin">
        <color theme="0"/>
      </right>
      <top/>
      <bottom/>
      <diagonal/>
    </border>
    <border>
      <left style="thin">
        <color theme="0"/>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9" fontId="3" fillId="0" borderId="0" applyFont="0" applyFill="0" applyBorder="0" applyAlignment="0" applyProtection="0"/>
    <xf numFmtId="0" fontId="10" fillId="0" borderId="0"/>
  </cellStyleXfs>
  <cellXfs count="137">
    <xf numFmtId="0" fontId="0" fillId="0" borderId="0" xfId="0"/>
    <xf numFmtId="0" fontId="13" fillId="2" borderId="0" xfId="4" applyFont="1" applyFill="1"/>
    <xf numFmtId="0" fontId="11" fillId="2" borderId="0" xfId="4" applyFont="1" applyFill="1"/>
    <xf numFmtId="0" fontId="13" fillId="2" borderId="0" xfId="4" applyFont="1" applyFill="1" applyAlignment="1">
      <alignment horizontal="right"/>
    </xf>
    <xf numFmtId="0" fontId="14" fillId="2" borderId="0" xfId="0" applyFont="1" applyFill="1"/>
    <xf numFmtId="0" fontId="4" fillId="2" borderId="0" xfId="0" applyFont="1" applyFill="1"/>
    <xf numFmtId="0" fontId="12" fillId="2" borderId="2" xfId="4" applyFont="1" applyFill="1" applyBorder="1" applyAlignment="1">
      <alignment horizontal="centerContinuous"/>
    </xf>
    <xf numFmtId="0" fontId="11" fillId="2" borderId="0" xfId="4" applyFont="1" applyFill="1" applyAlignment="1">
      <alignment horizontal="center" vertical="center"/>
    </xf>
    <xf numFmtId="167" fontId="11" fillId="2" borderId="0" xfId="4" applyNumberFormat="1" applyFont="1" applyFill="1" applyAlignment="1">
      <alignment horizontal="center" vertical="center"/>
    </xf>
    <xf numFmtId="2" fontId="11" fillId="2" borderId="0" xfId="4" applyNumberFormat="1" applyFont="1" applyFill="1" applyAlignment="1">
      <alignment horizontal="center" vertical="center"/>
    </xf>
    <xf numFmtId="0" fontId="11" fillId="2" borderId="1" xfId="4" applyFont="1" applyFill="1" applyBorder="1"/>
    <xf numFmtId="0" fontId="11" fillId="3" borderId="0" xfId="4" applyFont="1" applyFill="1" applyAlignment="1">
      <alignment horizontal="center" vertical="center"/>
    </xf>
    <xf numFmtId="2" fontId="4" fillId="2" borderId="0" xfId="0" applyNumberFormat="1" applyFont="1" applyFill="1"/>
    <xf numFmtId="0" fontId="4" fillId="2" borderId="1" xfId="0" applyFont="1" applyFill="1" applyBorder="1"/>
    <xf numFmtId="0" fontId="16" fillId="2" borderId="2" xfId="0" applyFont="1" applyFill="1" applyBorder="1" applyAlignment="1">
      <alignment horizontal="centerContinuous"/>
    </xf>
    <xf numFmtId="0" fontId="7" fillId="2" borderId="0" xfId="4" applyFont="1" applyFill="1"/>
    <xf numFmtId="2" fontId="18" fillId="2" borderId="0" xfId="4" applyNumberFormat="1" applyFont="1" applyFill="1" applyAlignment="1">
      <alignment horizontal="center" vertical="center"/>
    </xf>
    <xf numFmtId="170" fontId="11" fillId="2" borderId="0" xfId="4" applyNumberFormat="1" applyFont="1" applyFill="1"/>
    <xf numFmtId="172" fontId="11" fillId="2" borderId="0" xfId="4" applyNumberFormat="1" applyFont="1" applyFill="1"/>
    <xf numFmtId="0" fontId="17" fillId="2" borderId="0" xfId="4" quotePrefix="1" applyFont="1" applyFill="1"/>
    <xf numFmtId="169" fontId="11" fillId="2" borderId="0" xfId="4" applyNumberFormat="1" applyFont="1" applyFill="1"/>
    <xf numFmtId="171" fontId="11" fillId="2" borderId="0" xfId="4" applyNumberFormat="1" applyFont="1" applyFill="1"/>
    <xf numFmtId="0" fontId="0" fillId="2" borderId="0" xfId="0" applyFill="1"/>
    <xf numFmtId="1" fontId="4" fillId="2" borderId="1" xfId="0" applyNumberFormat="1" applyFont="1" applyFill="1" applyBorder="1"/>
    <xf numFmtId="2" fontId="11" fillId="2" borderId="0" xfId="4" applyNumberFormat="1" applyFont="1" applyFill="1"/>
    <xf numFmtId="0" fontId="19" fillId="2" borderId="2" xfId="4" applyFont="1" applyFill="1" applyBorder="1" applyAlignment="1">
      <alignment horizontal="centerContinuous"/>
    </xf>
    <xf numFmtId="0" fontId="18" fillId="2" borderId="0" xfId="4" applyFont="1" applyFill="1" applyAlignment="1">
      <alignment horizontal="center" vertical="center"/>
    </xf>
    <xf numFmtId="2" fontId="7" fillId="2" borderId="0" xfId="4" applyNumberFormat="1" applyFont="1" applyFill="1"/>
    <xf numFmtId="0" fontId="7" fillId="2" borderId="1" xfId="4" applyFont="1" applyFill="1" applyBorder="1"/>
    <xf numFmtId="1" fontId="7" fillId="2" borderId="1" xfId="4" applyNumberFormat="1" applyFont="1" applyFill="1" applyBorder="1"/>
    <xf numFmtId="0" fontId="5" fillId="2" borderId="0" xfId="0" applyFont="1" applyFill="1"/>
    <xf numFmtId="2" fontId="6" fillId="2" borderId="0" xfId="0" applyNumberFormat="1" applyFont="1" applyFill="1"/>
    <xf numFmtId="164" fontId="6" fillId="2" borderId="0" xfId="0" applyNumberFormat="1" applyFont="1" applyFill="1"/>
    <xf numFmtId="0" fontId="6" fillId="2" borderId="0" xfId="0" applyFont="1" applyFill="1"/>
    <xf numFmtId="0" fontId="5" fillId="2" borderId="0" xfId="0" applyFont="1" applyFill="1" applyAlignment="1">
      <alignment horizontal="center" vertical="center"/>
    </xf>
    <xf numFmtId="164" fontId="4" fillId="2" borderId="0" xfId="0" applyNumberFormat="1" applyFont="1" applyFill="1"/>
    <xf numFmtId="0" fontId="4" fillId="2" borderId="0" xfId="0" applyFont="1" applyFill="1" applyAlignment="1">
      <alignment horizontal="center" vertical="center"/>
    </xf>
    <xf numFmtId="2" fontId="4" fillId="2" borderId="0" xfId="0" applyNumberFormat="1" applyFont="1" applyFill="1" applyAlignment="1">
      <alignment horizontal="center" vertical="center"/>
    </xf>
    <xf numFmtId="164" fontId="4" fillId="2" borderId="0" xfId="0" applyNumberFormat="1" applyFont="1" applyFill="1" applyAlignment="1">
      <alignment horizontal="center" vertical="center"/>
    </xf>
    <xf numFmtId="0" fontId="4" fillId="2" borderId="0" xfId="0" quotePrefix="1" applyFont="1" applyFill="1"/>
    <xf numFmtId="1" fontId="7" fillId="2" borderId="0" xfId="0" applyNumberFormat="1" applyFont="1" applyFill="1" applyAlignment="1">
      <alignment horizontal="center"/>
    </xf>
    <xf numFmtId="0" fontId="4" fillId="2" borderId="0" xfId="0" applyFont="1" applyFill="1" applyAlignment="1">
      <alignment horizontal="center"/>
    </xf>
    <xf numFmtId="1" fontId="4" fillId="2" borderId="0" xfId="0" applyNumberFormat="1" applyFont="1" applyFill="1" applyAlignment="1">
      <alignment horizontal="center"/>
    </xf>
    <xf numFmtId="1" fontId="4" fillId="2" borderId="0" xfId="0" quotePrefix="1" applyNumberFormat="1" applyFont="1" applyFill="1" applyAlignment="1">
      <alignment horizontal="center"/>
    </xf>
    <xf numFmtId="164" fontId="6" fillId="2" borderId="0" xfId="0" applyNumberFormat="1" applyFont="1" applyFill="1" applyAlignment="1">
      <alignment horizontal="center" vertical="center"/>
    </xf>
    <xf numFmtId="0" fontId="6" fillId="2" borderId="0" xfId="0" applyFont="1" applyFill="1" applyAlignment="1">
      <alignment horizontal="center" vertical="center"/>
    </xf>
    <xf numFmtId="164" fontId="7" fillId="2" borderId="0" xfId="0" applyNumberFormat="1" applyFont="1" applyFill="1" applyAlignment="1">
      <alignment horizontal="center" vertical="center"/>
    </xf>
    <xf numFmtId="164" fontId="15" fillId="2" borderId="0" xfId="0" applyNumberFormat="1" applyFont="1" applyFill="1" applyAlignment="1">
      <alignment horizontal="center" vertical="center"/>
    </xf>
    <xf numFmtId="1" fontId="4" fillId="2" borderId="0" xfId="0" applyNumberFormat="1" applyFont="1" applyFill="1" applyAlignment="1">
      <alignment horizontal="center" vertical="center"/>
    </xf>
    <xf numFmtId="0" fontId="5" fillId="2" borderId="0" xfId="0" applyFont="1" applyFill="1" applyAlignment="1">
      <alignment horizontal="left" vertical="center"/>
    </xf>
    <xf numFmtId="0" fontId="4" fillId="2" borderId="0" xfId="0" applyFont="1" applyFill="1" applyAlignment="1">
      <alignment horizontal="left" vertical="center"/>
    </xf>
    <xf numFmtId="9" fontId="4" fillId="2" borderId="0" xfId="3" applyFont="1" applyFill="1" applyBorder="1" applyAlignment="1">
      <alignment horizontal="center" vertical="center"/>
    </xf>
    <xf numFmtId="165" fontId="4" fillId="2" borderId="0" xfId="3" applyNumberFormat="1" applyFont="1" applyFill="1" applyBorder="1" applyAlignment="1">
      <alignment horizontal="center" vertical="center"/>
    </xf>
    <xf numFmtId="165" fontId="4" fillId="2" borderId="0" xfId="0" applyNumberFormat="1" applyFont="1" applyFill="1" applyAlignment="1">
      <alignment horizontal="center" vertical="center"/>
    </xf>
    <xf numFmtId="164" fontId="4" fillId="2" borderId="0" xfId="0" applyNumberFormat="1" applyFont="1" applyFill="1" applyAlignment="1">
      <alignment horizontal="left" vertical="center"/>
    </xf>
    <xf numFmtId="164" fontId="4" fillId="2" borderId="0" xfId="3" applyNumberFormat="1" applyFont="1" applyFill="1" applyBorder="1" applyAlignment="1">
      <alignment horizontal="center" vertical="center"/>
    </xf>
    <xf numFmtId="164" fontId="5" fillId="2" borderId="0" xfId="0" applyNumberFormat="1" applyFont="1" applyFill="1" applyAlignment="1">
      <alignment horizontal="center" vertical="center"/>
    </xf>
    <xf numFmtId="9" fontId="4" fillId="2" borderId="0" xfId="0" applyNumberFormat="1" applyFont="1" applyFill="1" applyAlignment="1">
      <alignment horizontal="center" vertical="center"/>
    </xf>
    <xf numFmtId="9" fontId="4" fillId="2" borderId="0" xfId="3" applyFont="1" applyFill="1" applyAlignment="1">
      <alignment horizontal="center" vertical="center"/>
    </xf>
    <xf numFmtId="0" fontId="22" fillId="7" borderId="0" xfId="0" applyFont="1" applyFill="1" applyAlignment="1">
      <alignment horizontal="left" vertical="center"/>
    </xf>
    <xf numFmtId="0" fontId="23" fillId="7" borderId="0" xfId="0" applyFont="1" applyFill="1" applyAlignment="1">
      <alignment horizontal="center" vertical="center"/>
    </xf>
    <xf numFmtId="0" fontId="22" fillId="7" borderId="0" xfId="0" applyFont="1" applyFill="1" applyAlignment="1">
      <alignment horizontal="center" vertical="center"/>
    </xf>
    <xf numFmtId="0" fontId="23" fillId="2" borderId="0" xfId="0" applyFont="1" applyFill="1" applyAlignment="1">
      <alignment horizontal="left" vertical="center"/>
    </xf>
    <xf numFmtId="0" fontId="23" fillId="2" borderId="0" xfId="0" applyFont="1" applyFill="1" applyAlignment="1">
      <alignment horizontal="center" vertical="center"/>
    </xf>
    <xf numFmtId="0" fontId="24" fillId="7" borderId="1" xfId="0" applyFont="1" applyFill="1" applyBorder="1" applyAlignment="1">
      <alignment horizontal="left" vertical="center"/>
    </xf>
    <xf numFmtId="0" fontId="24" fillId="7" borderId="1" xfId="0" applyFont="1" applyFill="1" applyBorder="1" applyAlignment="1">
      <alignment horizontal="left" vertical="center" wrapText="1"/>
    </xf>
    <xf numFmtId="0" fontId="25" fillId="7" borderId="1" xfId="0" applyFont="1" applyFill="1" applyBorder="1" applyAlignment="1">
      <alignment horizontal="center" vertical="center"/>
    </xf>
    <xf numFmtId="0" fontId="8" fillId="7" borderId="1" xfId="0" applyFont="1" applyFill="1" applyBorder="1" applyAlignment="1">
      <alignment horizontal="center" vertical="center"/>
    </xf>
    <xf numFmtId="0" fontId="25" fillId="7" borderId="0" xfId="0" applyFont="1" applyFill="1" applyAlignment="1">
      <alignment horizontal="center" vertical="center"/>
    </xf>
    <xf numFmtId="0" fontId="24" fillId="8" borderId="0" xfId="0" applyFont="1" applyFill="1" applyAlignment="1">
      <alignment horizontal="center" vertical="center"/>
    </xf>
    <xf numFmtId="0" fontId="24" fillId="8" borderId="0" xfId="0" applyFont="1" applyFill="1"/>
    <xf numFmtId="0" fontId="24" fillId="8" borderId="0" xfId="0" applyFont="1" applyFill="1" applyAlignment="1">
      <alignment horizontal="center"/>
    </xf>
    <xf numFmtId="2" fontId="4" fillId="2" borderId="0" xfId="0" applyNumberFormat="1" applyFont="1" applyFill="1" applyAlignment="1">
      <alignment horizontal="center"/>
    </xf>
    <xf numFmtId="0" fontId="0" fillId="0" borderId="0" xfId="0" pivotButton="1"/>
    <xf numFmtId="164" fontId="0" fillId="0" borderId="0" xfId="0" applyNumberFormat="1" applyAlignment="1">
      <alignment horizontal="left"/>
    </xf>
    <xf numFmtId="0" fontId="26" fillId="2" borderId="2" xfId="0" applyFont="1" applyFill="1" applyBorder="1" applyAlignment="1">
      <alignment horizontal="centerContinuous"/>
    </xf>
    <xf numFmtId="0" fontId="27" fillId="2" borderId="2" xfId="4" applyFont="1" applyFill="1" applyBorder="1" applyAlignment="1">
      <alignment horizontal="centerContinuous"/>
    </xf>
    <xf numFmtId="2" fontId="0" fillId="2" borderId="0" xfId="0" applyNumberFormat="1" applyFill="1" applyAlignment="1">
      <alignment horizontal="left"/>
    </xf>
    <xf numFmtId="0" fontId="7" fillId="2" borderId="0" xfId="4" applyFont="1" applyFill="1" applyAlignment="1">
      <alignment horizontal="center" vertical="center"/>
    </xf>
    <xf numFmtId="0" fontId="28" fillId="2" borderId="0" xfId="4" applyFont="1" applyFill="1"/>
    <xf numFmtId="168" fontId="28" fillId="2" borderId="0" xfId="4" applyNumberFormat="1" applyFont="1" applyFill="1"/>
    <xf numFmtId="2" fontId="28" fillId="2" borderId="0" xfId="4" applyNumberFormat="1" applyFont="1" applyFill="1"/>
    <xf numFmtId="0" fontId="17" fillId="2" borderId="0" xfId="4" applyFont="1" applyFill="1"/>
    <xf numFmtId="2" fontId="17" fillId="2" borderId="0" xfId="4" applyNumberFormat="1" applyFont="1" applyFill="1"/>
    <xf numFmtId="166" fontId="17" fillId="2" borderId="0" xfId="4" applyNumberFormat="1" applyFont="1" applyFill="1"/>
    <xf numFmtId="0" fontId="29" fillId="2" borderId="0" xfId="0" applyFont="1" applyFill="1"/>
    <xf numFmtId="2" fontId="29" fillId="2" borderId="0" xfId="0" applyNumberFormat="1" applyFont="1" applyFill="1"/>
    <xf numFmtId="164" fontId="29" fillId="2" borderId="0" xfId="0" applyNumberFormat="1" applyFont="1" applyFill="1"/>
    <xf numFmtId="0" fontId="29" fillId="2" borderId="0" xfId="0" applyFont="1" applyFill="1" applyAlignment="1">
      <alignment horizontal="center"/>
    </xf>
    <xf numFmtId="1" fontId="29" fillId="2" borderId="0" xfId="0" applyNumberFormat="1" applyFont="1" applyFill="1" applyAlignment="1">
      <alignment horizontal="center"/>
    </xf>
    <xf numFmtId="1" fontId="29" fillId="2" borderId="0" xfId="0" quotePrefix="1" applyNumberFormat="1" applyFont="1" applyFill="1" applyAlignment="1">
      <alignment horizontal="center"/>
    </xf>
    <xf numFmtId="0" fontId="29" fillId="2" borderId="0" xfId="0" applyFont="1" applyFill="1" applyAlignment="1">
      <alignment horizontal="center" vertical="center"/>
    </xf>
    <xf numFmtId="164" fontId="29" fillId="2" borderId="0" xfId="0" applyNumberFormat="1" applyFont="1" applyFill="1" applyAlignment="1">
      <alignment horizontal="center" vertical="center"/>
    </xf>
    <xf numFmtId="164" fontId="29" fillId="2" borderId="0" xfId="0" applyNumberFormat="1" applyFont="1" applyFill="1" applyAlignment="1">
      <alignment horizontal="center"/>
    </xf>
    <xf numFmtId="2" fontId="29" fillId="2" borderId="0" xfId="0" applyNumberFormat="1" applyFont="1" applyFill="1" applyAlignment="1">
      <alignment horizontal="center" vertical="center"/>
    </xf>
    <xf numFmtId="0" fontId="30" fillId="10" borderId="3" xfId="4" applyFont="1" applyFill="1" applyBorder="1"/>
    <xf numFmtId="0" fontId="30" fillId="10" borderId="4" xfId="4" applyFont="1" applyFill="1" applyBorder="1"/>
    <xf numFmtId="0" fontId="30" fillId="10" borderId="5" xfId="4" applyFont="1" applyFill="1" applyBorder="1"/>
    <xf numFmtId="2" fontId="28" fillId="4" borderId="0" xfId="4" applyNumberFormat="1" applyFont="1" applyFill="1"/>
    <xf numFmtId="0" fontId="4" fillId="2" borderId="0" xfId="0" applyFont="1" applyFill="1" applyAlignment="1">
      <alignment vertical="top"/>
    </xf>
    <xf numFmtId="0" fontId="4" fillId="2" borderId="0" xfId="0" applyFont="1" applyFill="1" applyAlignment="1">
      <alignment horizontal="center" vertical="top"/>
    </xf>
    <xf numFmtId="0" fontId="8" fillId="2" borderId="0" xfId="0" applyFont="1" applyFill="1" applyAlignment="1">
      <alignment vertical="top"/>
    </xf>
    <xf numFmtId="0" fontId="8" fillId="2" borderId="0" xfId="0" applyFont="1" applyFill="1" applyAlignment="1">
      <alignment horizontal="center" vertical="top"/>
    </xf>
    <xf numFmtId="0" fontId="4" fillId="2" borderId="0" xfId="0" applyFont="1" applyFill="1" applyAlignment="1">
      <alignment horizontal="justify" vertical="top" wrapText="1"/>
    </xf>
    <xf numFmtId="0" fontId="4" fillId="2" borderId="0" xfId="0" applyFont="1" applyFill="1" applyAlignment="1">
      <alignment horizontal="left"/>
    </xf>
    <xf numFmtId="166" fontId="5" fillId="2" borderId="0" xfId="0" applyNumberFormat="1" applyFont="1" applyFill="1" applyAlignment="1">
      <alignment horizontal="center" vertical="center"/>
    </xf>
    <xf numFmtId="0" fontId="9" fillId="2" borderId="0" xfId="0" applyFont="1" applyFill="1" applyAlignment="1">
      <alignment horizontal="center" vertical="center"/>
    </xf>
    <xf numFmtId="0" fontId="5" fillId="2" borderId="0" xfId="0" applyFont="1" applyFill="1" applyAlignment="1">
      <alignment vertical="top"/>
    </xf>
    <xf numFmtId="166" fontId="4" fillId="2" borderId="0" xfId="0" applyNumberFormat="1" applyFont="1" applyFill="1" applyAlignment="1">
      <alignment horizontal="center" vertical="center"/>
    </xf>
    <xf numFmtId="0" fontId="7" fillId="2" borderId="0" xfId="0" applyFont="1" applyFill="1" applyAlignment="1">
      <alignment horizontal="center" vertical="center"/>
    </xf>
    <xf numFmtId="0" fontId="7" fillId="2" borderId="0" xfId="0" applyFont="1" applyFill="1" applyAlignment="1">
      <alignment vertical="top"/>
    </xf>
    <xf numFmtId="2" fontId="4" fillId="2" borderId="0" xfId="0" applyNumberFormat="1" applyFont="1" applyFill="1" applyAlignment="1">
      <alignment horizontal="center" vertical="top" wrapText="1"/>
    </xf>
    <xf numFmtId="0" fontId="6" fillId="2" borderId="0" xfId="0" applyFont="1" applyFill="1" applyAlignment="1">
      <alignment horizontal="left" vertical="top" indent="2"/>
    </xf>
    <xf numFmtId="2" fontId="4" fillId="2" borderId="0" xfId="0" applyNumberFormat="1" applyFont="1" applyFill="1" applyAlignment="1">
      <alignment horizontal="center" vertical="top"/>
    </xf>
    <xf numFmtId="0" fontId="20" fillId="11" borderId="0" xfId="0" applyFont="1" applyFill="1" applyAlignment="1">
      <alignment horizontal="center" vertical="center"/>
    </xf>
    <xf numFmtId="0" fontId="21" fillId="11" borderId="0" xfId="0" applyFont="1" applyFill="1" applyAlignment="1">
      <alignment horizontal="center" vertical="center"/>
    </xf>
    <xf numFmtId="0" fontId="0" fillId="11" borderId="0" xfId="0" applyFill="1"/>
    <xf numFmtId="0" fontId="4" fillId="11" borderId="0" xfId="0" applyFont="1" applyFill="1" applyAlignment="1">
      <alignment vertical="top"/>
    </xf>
    <xf numFmtId="0" fontId="8" fillId="12" borderId="0" xfId="0" applyFont="1" applyFill="1" applyAlignment="1">
      <alignment vertical="top"/>
    </xf>
    <xf numFmtId="0" fontId="8" fillId="12" borderId="0" xfId="0" applyFont="1" applyFill="1" applyAlignment="1">
      <alignment horizontal="center" vertical="top"/>
    </xf>
    <xf numFmtId="0" fontId="4" fillId="13" borderId="0" xfId="0" applyFont="1" applyFill="1" applyAlignment="1">
      <alignment horizontal="justify" vertical="top" wrapText="1"/>
    </xf>
    <xf numFmtId="0" fontId="4" fillId="13" borderId="0" xfId="0" applyFont="1" applyFill="1" applyAlignment="1">
      <alignment horizontal="center" vertical="top" wrapText="1"/>
    </xf>
    <xf numFmtId="0" fontId="4" fillId="13" borderId="0" xfId="0" applyFont="1" applyFill="1" applyAlignment="1">
      <alignment horizontal="left"/>
    </xf>
    <xf numFmtId="166" fontId="29" fillId="2" borderId="0" xfId="0" applyNumberFormat="1" applyFont="1" applyFill="1" applyAlignment="1">
      <alignment horizontal="center" vertical="center"/>
    </xf>
    <xf numFmtId="166" fontId="29" fillId="2" borderId="0" xfId="3" applyNumberFormat="1" applyFont="1" applyFill="1" applyBorder="1" applyAlignment="1">
      <alignment horizontal="center" vertical="center"/>
    </xf>
    <xf numFmtId="0" fontId="31" fillId="2" borderId="0" xfId="0" applyFont="1" applyFill="1" applyAlignment="1">
      <alignment horizontal="center" vertical="center"/>
    </xf>
    <xf numFmtId="0" fontId="7" fillId="2" borderId="0" xfId="0" applyFont="1" applyFill="1" applyAlignment="1">
      <alignment horizontal="left" vertical="center"/>
    </xf>
    <xf numFmtId="0" fontId="20" fillId="9" borderId="0" xfId="4" applyFont="1" applyFill="1" applyAlignment="1">
      <alignment horizontal="center"/>
    </xf>
    <xf numFmtId="0" fontId="20" fillId="5" borderId="0" xfId="0" applyFont="1" applyFill="1" applyAlignment="1">
      <alignment horizontal="center" vertical="center"/>
    </xf>
    <xf numFmtId="0" fontId="21" fillId="6" borderId="0" xfId="0" applyFont="1" applyFill="1" applyAlignment="1">
      <alignment horizontal="center" vertical="center"/>
    </xf>
    <xf numFmtId="0" fontId="8" fillId="12" borderId="0" xfId="0" applyFont="1" applyFill="1" applyAlignment="1">
      <alignment horizontal="center" vertical="top"/>
    </xf>
    <xf numFmtId="2" fontId="29" fillId="2" borderId="0" xfId="0" applyNumberFormat="1" applyFont="1" applyFill="1" applyAlignment="1">
      <alignment horizontal="center" vertical="top"/>
    </xf>
    <xf numFmtId="10" fontId="29" fillId="2" borderId="0" xfId="3" applyNumberFormat="1" applyFont="1" applyFill="1" applyAlignment="1">
      <alignment horizontal="center" vertical="top" wrapText="1"/>
    </xf>
    <xf numFmtId="0" fontId="29" fillId="2" borderId="0" xfId="0" applyFont="1" applyFill="1" applyAlignment="1">
      <alignment horizontal="center" vertical="top" wrapText="1"/>
    </xf>
    <xf numFmtId="165" fontId="29" fillId="2" borderId="0" xfId="3" applyNumberFormat="1" applyFont="1" applyFill="1" applyAlignment="1">
      <alignment horizontal="center" vertical="top" wrapText="1"/>
    </xf>
    <xf numFmtId="9" fontId="29" fillId="2" borderId="0" xfId="3" applyFont="1" applyFill="1" applyAlignment="1">
      <alignment horizontal="center" vertical="top" wrapText="1"/>
    </xf>
    <xf numFmtId="164" fontId="0" fillId="2" borderId="0" xfId="0" applyNumberFormat="1" applyFill="1" applyAlignment="1">
      <alignment horizontal="left"/>
    </xf>
  </cellXfs>
  <cellStyles count="5">
    <cellStyle name="Followed Hyperlink" xfId="2" builtinId="9" hidden="1"/>
    <cellStyle name="Hyperlink" xfId="1" builtinId="8" hidden="1"/>
    <cellStyle name="Normal" xfId="0" builtinId="0"/>
    <cellStyle name="Normal 2" xfId="4" xr:uid="{8F7DBA94-BC3D-4942-83DD-7107250B0855}"/>
    <cellStyle name="Per cent" xfId="3" builtinId="5"/>
  </cellStyles>
  <dxfs count="76">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7" tint="0.79998168889431442"/>
        </patternFill>
      </fill>
    </dxf>
    <dxf>
      <fill>
        <patternFill>
          <bgColor theme="7" tint="0.79998168889431442"/>
        </patternFill>
      </fill>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ill>
        <patternFill>
          <bgColor rgb="FF00F26D"/>
        </patternFill>
      </fill>
    </dxf>
    <dxf>
      <fill>
        <patternFill>
          <bgColor rgb="FFFF7171"/>
        </patternFill>
      </fill>
    </dxf>
    <dxf>
      <fill>
        <patternFill>
          <bgColor rgb="FF00B050"/>
        </patternFill>
      </fill>
    </dxf>
    <dxf>
      <fill>
        <patternFill>
          <bgColor rgb="FFFF6969"/>
        </patternFill>
      </fill>
    </dxf>
    <dxf>
      <fill>
        <patternFill>
          <bgColor rgb="FFC9FFE1"/>
        </patternFill>
      </fill>
    </dxf>
    <dxf>
      <fill>
        <patternFill>
          <bgColor rgb="FFC9FFE1"/>
        </patternFill>
      </fill>
    </dxf>
    <dxf>
      <fill>
        <patternFill>
          <bgColor rgb="FFFF6969"/>
        </patternFill>
      </fill>
    </dxf>
    <dxf>
      <fill>
        <patternFill>
          <bgColor rgb="FFC9FFE1"/>
        </patternFill>
      </fill>
    </dxf>
    <dxf>
      <fill>
        <patternFill>
          <bgColor rgb="FFFF6969"/>
        </patternFill>
      </fill>
    </dxf>
    <dxf>
      <fill>
        <patternFill>
          <bgColor rgb="FFC9FFE1"/>
        </patternFill>
      </fill>
    </dxf>
    <dxf>
      <fill>
        <patternFill>
          <bgColor rgb="FFFF6969"/>
        </patternFill>
      </fill>
    </dxf>
    <dxf>
      <font>
        <strike val="0"/>
        <outline val="0"/>
        <shadow val="0"/>
        <u val="none"/>
        <vertAlign val="baseline"/>
        <sz val="10"/>
        <color auto="1"/>
        <name val="Sorts Mill Goudy"/>
        <scheme val="none"/>
      </font>
      <numFmt numFmtId="2" formatCode="0.00"/>
      <fill>
        <patternFill patternType="solid">
          <fgColor indexed="64"/>
          <bgColor theme="0"/>
        </patternFill>
      </fill>
      <alignment horizontal="center" vertical="center" textRotation="0" wrapText="0" indent="0" justifyLastLine="0" shrinkToFit="0" readingOrder="0"/>
    </dxf>
    <dxf>
      <font>
        <strike val="0"/>
        <outline val="0"/>
        <shadow val="0"/>
        <u val="none"/>
        <vertAlign val="baseline"/>
        <sz val="10"/>
        <color auto="1"/>
        <name val="Sorts Mill Goudy"/>
        <scheme val="none"/>
      </font>
      <numFmt numFmtId="2" formatCode="0.00"/>
      <fill>
        <patternFill patternType="solid">
          <fgColor indexed="64"/>
          <bgColor theme="0"/>
        </patternFill>
      </fill>
      <alignment horizontal="center" vertical="center" textRotation="0" wrapText="0" indent="0" justifyLastLine="0" shrinkToFit="0" readingOrder="0"/>
    </dxf>
    <dxf>
      <font>
        <strike val="0"/>
        <outline val="0"/>
        <shadow val="0"/>
        <u val="none"/>
        <vertAlign val="baseline"/>
        <sz val="10"/>
        <color auto="1"/>
        <name val="Sorts Mill Goudy"/>
        <scheme val="none"/>
      </font>
      <numFmt numFmtId="2" formatCode="0.00"/>
      <fill>
        <patternFill patternType="solid">
          <fgColor indexed="64"/>
          <bgColor theme="0"/>
        </patternFill>
      </fill>
      <alignment horizontal="center" vertical="center" textRotation="0" wrapText="0" indent="0" justifyLastLine="0" shrinkToFit="0" readingOrder="0"/>
    </dxf>
    <dxf>
      <font>
        <strike val="0"/>
        <outline val="0"/>
        <shadow val="0"/>
        <u val="none"/>
        <vertAlign val="baseline"/>
        <sz val="10"/>
        <color auto="1"/>
        <name val="Sorts Mill Goudy"/>
        <scheme val="none"/>
      </font>
      <fill>
        <patternFill patternType="solid">
          <fgColor indexed="64"/>
          <bgColor theme="0"/>
        </patternFill>
      </fill>
      <alignment horizontal="center" vertical="center" textRotation="0" wrapText="0" indent="0" justifyLastLine="0" shrinkToFit="0" readingOrder="0"/>
    </dxf>
    <dxf>
      <font>
        <strike val="0"/>
        <outline val="0"/>
        <shadow val="0"/>
        <u val="none"/>
        <vertAlign val="baseline"/>
        <sz val="10"/>
        <color auto="1"/>
        <name val="Sorts Mill Goudy"/>
        <scheme val="none"/>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0"/>
        <color auto="1"/>
        <name val="Sorts Mill Goudy"/>
        <scheme val="none"/>
      </font>
      <numFmt numFmtId="167" formatCode="mmmm\ yyyy"/>
      <fill>
        <patternFill patternType="solid">
          <fgColor indexed="64"/>
          <bgColor theme="0"/>
        </patternFill>
      </fill>
      <alignment horizontal="center" vertical="center" textRotation="0" wrapText="0" indent="0" justifyLastLine="0" shrinkToFit="0" readingOrder="0"/>
    </dxf>
    <dxf>
      <font>
        <strike val="0"/>
        <outline val="0"/>
        <shadow val="0"/>
        <u val="none"/>
        <vertAlign val="baseline"/>
        <sz val="10"/>
        <color auto="1"/>
        <name val="Sorts Mill Goudy"/>
        <scheme val="none"/>
      </font>
      <fill>
        <patternFill patternType="solid">
          <fgColor indexed="64"/>
          <bgColor theme="0"/>
        </patternFill>
      </fill>
      <alignment horizontal="center" vertical="center" textRotation="0" wrapText="0" indent="0" justifyLastLine="0" shrinkToFit="0" readingOrder="0"/>
    </dxf>
    <dxf>
      <font>
        <strike val="0"/>
        <outline val="0"/>
        <shadow val="0"/>
        <u val="none"/>
        <vertAlign val="baseline"/>
        <sz val="10"/>
        <color auto="1"/>
        <name val="Sorts Mill Goudy"/>
        <scheme val="none"/>
      </font>
      <fill>
        <patternFill patternType="solid">
          <fgColor indexed="64"/>
          <bgColor theme="4" tint="0.59999389629810485"/>
        </patternFill>
      </fill>
      <alignment horizontal="center" vertical="center" textRotation="0" wrapText="0" indent="0" justifyLastLine="0" shrinkToFit="0" readingOrder="0"/>
    </dxf>
    <dxf>
      <font>
        <strike val="0"/>
        <outline val="0"/>
        <shadow val="0"/>
        <u val="none"/>
        <vertAlign val="baseline"/>
        <sz val="10"/>
        <color rgb="FFFF0000"/>
        <name val="Sorts Mill Goudy"/>
        <scheme val="none"/>
      </font>
      <numFmt numFmtId="2" formatCode="0.00"/>
      <fill>
        <patternFill patternType="solid">
          <fgColor indexed="64"/>
          <bgColor theme="0"/>
        </patternFill>
      </fill>
    </dxf>
    <dxf>
      <font>
        <strike val="0"/>
        <outline val="0"/>
        <shadow val="0"/>
        <u val="none"/>
        <vertAlign val="baseline"/>
        <sz val="10"/>
        <color rgb="FFFF0000"/>
        <name val="Sorts Mill Goudy"/>
        <scheme val="none"/>
      </font>
      <numFmt numFmtId="2" formatCode="0.00"/>
      <fill>
        <patternFill patternType="solid">
          <fgColor indexed="64"/>
          <bgColor theme="0"/>
        </patternFill>
      </fill>
    </dxf>
    <dxf>
      <font>
        <strike val="0"/>
        <outline val="0"/>
        <shadow val="0"/>
        <u val="none"/>
        <vertAlign val="baseline"/>
        <sz val="10"/>
        <color auto="1"/>
        <name val="Sorts Mill Goudy"/>
        <scheme val="none"/>
      </font>
      <numFmt numFmtId="2" formatCode="0.00"/>
      <fill>
        <patternFill patternType="solid">
          <fgColor indexed="64"/>
          <bgColor theme="0"/>
        </patternFill>
      </fill>
    </dxf>
    <dxf>
      <font>
        <strike val="0"/>
        <outline val="0"/>
        <shadow val="0"/>
        <u val="none"/>
        <vertAlign val="baseline"/>
        <sz val="10"/>
        <color rgb="FF0070C0"/>
        <name val="Sorts Mill Goudy"/>
        <scheme val="none"/>
      </font>
      <numFmt numFmtId="2" formatCode="0.00"/>
      <fill>
        <patternFill patternType="solid">
          <fgColor indexed="64"/>
          <bgColor theme="0"/>
        </patternFill>
      </fill>
    </dxf>
    <dxf>
      <font>
        <strike val="0"/>
        <outline val="0"/>
        <shadow val="0"/>
        <u val="none"/>
        <vertAlign val="baseline"/>
        <sz val="10"/>
        <color auto="1"/>
        <name val="Sorts Mill Goudy"/>
        <scheme val="none"/>
      </font>
      <numFmt numFmtId="2" formatCode="0.00"/>
      <fill>
        <patternFill patternType="solid">
          <fgColor indexed="64"/>
          <bgColor theme="0"/>
        </patternFill>
      </fill>
    </dxf>
    <dxf>
      <font>
        <strike val="0"/>
        <outline val="0"/>
        <shadow val="0"/>
        <u val="none"/>
        <vertAlign val="baseline"/>
        <sz val="10"/>
        <color rgb="FF0070C0"/>
        <name val="Sorts Mill Goudy"/>
        <scheme val="none"/>
      </font>
      <numFmt numFmtId="2" formatCode="0.00"/>
      <fill>
        <patternFill patternType="solid">
          <fgColor indexed="64"/>
          <bgColor theme="0"/>
        </patternFill>
      </fill>
    </dxf>
    <dxf>
      <font>
        <strike val="0"/>
        <outline val="0"/>
        <shadow val="0"/>
        <u val="none"/>
        <vertAlign val="baseline"/>
        <sz val="10"/>
        <color rgb="FF0070C0"/>
        <name val="Sorts Mill Goudy"/>
        <scheme val="none"/>
      </font>
      <numFmt numFmtId="2" formatCode="0.00"/>
      <fill>
        <patternFill patternType="solid">
          <fgColor indexed="64"/>
          <bgColor theme="0"/>
        </patternFill>
      </fill>
    </dxf>
    <dxf>
      <font>
        <b val="0"/>
        <i val="0"/>
        <strike val="0"/>
        <condense val="0"/>
        <extend val="0"/>
        <outline val="0"/>
        <shadow val="0"/>
        <u val="none"/>
        <vertAlign val="baseline"/>
        <sz val="10"/>
        <color rgb="FF0070C0"/>
        <name val="Sorts Mill Goudy"/>
        <scheme val="none"/>
      </font>
      <numFmt numFmtId="168" formatCode="[$-F800]dddd\,\ mmmm\ dd\,\ yyyy"/>
      <fill>
        <patternFill patternType="solid">
          <fgColor indexed="64"/>
          <bgColor theme="0"/>
        </patternFill>
      </fill>
    </dxf>
    <dxf>
      <font>
        <strike val="0"/>
        <outline val="0"/>
        <shadow val="0"/>
        <u val="none"/>
        <vertAlign val="baseline"/>
        <sz val="10"/>
        <color rgb="FF0070C0"/>
        <name val="Sorts Mill Goudy"/>
        <scheme val="none"/>
      </font>
      <fill>
        <patternFill patternType="solid">
          <fgColor indexed="64"/>
          <bgColor theme="0"/>
        </patternFill>
      </fill>
    </dxf>
    <dxf>
      <font>
        <strike val="0"/>
        <outline val="0"/>
        <shadow val="0"/>
        <u val="none"/>
        <vertAlign val="baseline"/>
        <sz val="10"/>
        <color rgb="FF0070C0"/>
        <name val="Sorts Mill Goudy"/>
        <scheme val="none"/>
      </font>
      <fill>
        <patternFill patternType="solid">
          <fgColor indexed="64"/>
          <bgColor theme="0"/>
        </patternFill>
      </fill>
    </dxf>
    <dxf>
      <font>
        <b val="0"/>
        <i val="0"/>
        <strike val="0"/>
        <condense val="0"/>
        <extend val="0"/>
        <outline val="0"/>
        <shadow val="0"/>
        <u val="none"/>
        <vertAlign val="baseline"/>
        <sz val="10"/>
        <color rgb="FF0070C0"/>
        <name val="Sorts Mill Goudy"/>
        <scheme val="none"/>
      </font>
      <numFmt numFmtId="2" formatCode="0.00"/>
      <fill>
        <patternFill patternType="solid">
          <fgColor theme="4" tint="0.79998168889431442"/>
          <bgColor theme="0"/>
        </patternFill>
      </fill>
      <alignment horizontal="general" vertical="bottom" textRotation="0" wrapText="0" indent="0" justifyLastLine="0" shrinkToFit="0" readingOrder="0"/>
    </dxf>
    <dxf>
      <font>
        <b val="0"/>
        <i val="0"/>
        <strike val="0"/>
        <condense val="0"/>
        <extend val="0"/>
        <outline val="0"/>
        <shadow val="0"/>
        <u val="none"/>
        <vertAlign val="baseline"/>
        <sz val="10"/>
        <color rgb="FF0070C0"/>
        <name val="Sorts Mill Goudy"/>
        <scheme val="none"/>
      </font>
      <numFmt numFmtId="2" formatCode="0.00"/>
      <fill>
        <patternFill patternType="solid">
          <fgColor indexed="64"/>
          <bgColor theme="0"/>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Sorts Mill Goudy"/>
        <scheme val="none"/>
      </font>
      <numFmt numFmtId="2" formatCode="0.00"/>
      <fill>
        <patternFill patternType="solid">
          <fgColor indexed="64"/>
          <bgColor theme="0"/>
        </patternFill>
      </fill>
      <alignment horizontal="general" vertical="bottom" textRotation="0" wrapText="0" indent="0" justifyLastLine="0" shrinkToFit="0" readingOrder="0"/>
    </dxf>
    <dxf>
      <font>
        <b val="0"/>
        <i val="0"/>
        <strike val="0"/>
        <condense val="0"/>
        <extend val="0"/>
        <outline val="0"/>
        <shadow val="0"/>
        <u val="none"/>
        <vertAlign val="baseline"/>
        <sz val="10"/>
        <color rgb="FF0070C0"/>
        <name val="Sorts Mill Goudy"/>
        <scheme val="none"/>
      </font>
      <numFmt numFmtId="2" formatCode="0.00"/>
      <fill>
        <patternFill patternType="solid">
          <fgColor indexed="64"/>
          <bgColor theme="0"/>
        </patternFill>
      </fill>
      <alignment horizontal="general" vertical="bottom" textRotation="0" wrapText="0" indent="0" justifyLastLine="0" shrinkToFit="0" readingOrder="0"/>
    </dxf>
    <dxf>
      <font>
        <b val="0"/>
        <i val="0"/>
        <strike val="0"/>
        <condense val="0"/>
        <extend val="0"/>
        <outline val="0"/>
        <shadow val="0"/>
        <u val="none"/>
        <vertAlign val="baseline"/>
        <sz val="10"/>
        <color rgb="FF0070C0"/>
        <name val="Sorts Mill Goudy"/>
        <scheme val="none"/>
      </font>
      <numFmt numFmtId="2" formatCode="0.00"/>
      <fill>
        <patternFill patternType="solid">
          <fgColor indexed="64"/>
          <bgColor theme="0"/>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70C0"/>
        <name val="Sorts Mill Goudy"/>
        <scheme val="none"/>
      </font>
      <numFmt numFmtId="0" formatCode="General"/>
      <fill>
        <patternFill>
          <fgColor indexed="64"/>
          <bgColor theme="0"/>
        </patternFill>
      </fill>
    </dxf>
    <dxf>
      <font>
        <b val="0"/>
        <i val="0"/>
        <strike val="0"/>
        <condense val="0"/>
        <extend val="0"/>
        <outline val="0"/>
        <shadow val="0"/>
        <u val="none"/>
        <vertAlign val="baseline"/>
        <sz val="11"/>
        <color rgb="FF0070C0"/>
        <name val="Sorts Mill Goudy"/>
        <scheme val="none"/>
      </font>
      <numFmt numFmtId="0" formatCode="General"/>
      <fill>
        <patternFill patternType="solid">
          <fgColor indexed="64"/>
          <bgColor theme="0"/>
        </patternFill>
      </fill>
    </dxf>
    <dxf>
      <font>
        <b val="0"/>
        <i val="0"/>
        <strike val="0"/>
        <condense val="0"/>
        <extend val="0"/>
        <outline val="0"/>
        <shadow val="0"/>
        <u val="none"/>
        <vertAlign val="baseline"/>
        <sz val="10"/>
        <color rgb="FF0070C0"/>
        <name val="Sorts Mill Goudy"/>
        <scheme val="none"/>
      </font>
      <numFmt numFmtId="168" formatCode="[$-F800]dddd\,\ mmmm\ dd\,\ yyyy"/>
      <fill>
        <patternFill patternType="solid">
          <fgColor indexed="64"/>
          <bgColor theme="0"/>
        </patternFill>
      </fill>
      <alignment horizontal="general" vertical="bottom" textRotation="0" wrapText="0" indent="0" justifyLastLine="0" shrinkToFit="0" readingOrder="0"/>
    </dxf>
    <dxf>
      <border outline="0">
        <top style="thin">
          <color rgb="FFFFFFFF"/>
        </top>
      </border>
    </dxf>
    <dxf>
      <border outline="0">
        <right style="thin">
          <color rgb="FFFFFFFF"/>
        </right>
      </border>
    </dxf>
    <dxf>
      <font>
        <b val="0"/>
        <i val="0"/>
        <strike val="0"/>
        <condense val="0"/>
        <extend val="0"/>
        <outline val="0"/>
        <shadow val="0"/>
        <u val="none"/>
        <vertAlign val="baseline"/>
        <sz val="10"/>
        <color auto="1"/>
        <name val="Sorts Mill Goudy"/>
        <scheme val="none"/>
      </font>
      <numFmt numFmtId="0" formatCode="General"/>
      <fill>
        <patternFill patternType="solid">
          <fgColor rgb="FFDCE6F1"/>
          <bgColor rgb="FFFFFFFF"/>
        </patternFill>
      </fill>
      <alignment horizontal="general" vertical="bottom" textRotation="0" wrapText="0" indent="0" justifyLastLine="0" shrinkToFit="0" readingOrder="0"/>
    </dxf>
    <dxf>
      <border outline="0">
        <bottom style="thick">
          <color rgb="FFFFFFFF"/>
        </bottom>
      </border>
    </dxf>
    <dxf>
      <font>
        <b/>
        <i val="0"/>
        <strike val="0"/>
        <condense val="0"/>
        <extend val="0"/>
        <outline val="0"/>
        <shadow val="0"/>
        <u val="none"/>
        <vertAlign val="baseline"/>
        <sz val="10"/>
        <color theme="0"/>
        <name val="Sorts Mill Goudy"/>
        <scheme val="none"/>
      </font>
      <numFmt numFmtId="0" formatCode="General"/>
      <fill>
        <patternFill patternType="solid">
          <fgColor theme="4"/>
          <bgColor rgb="FF0070C0"/>
        </patternFill>
      </fill>
      <alignment horizontal="general" vertical="bottom" textRotation="0" wrapText="0" indent="0" justifyLastLine="0" shrinkToFit="0" readingOrder="0"/>
      <border diagonalUp="0" diagonalDown="0" outline="0">
        <left style="thin">
          <color theme="0"/>
        </left>
        <right style="thin">
          <color theme="0"/>
        </right>
        <top/>
        <bottom/>
      </border>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s>
  <tableStyles count="0" defaultTableStyle="TableStyleMedium9" defaultPivotStyle="PivotStyleLight16"/>
  <colors>
    <mruColors>
      <color rgb="FF0070C0"/>
      <color rgb="FFFE0000"/>
      <color rgb="FFE46C0A"/>
      <color rgb="FFFFAFAF"/>
      <color rgb="FFDDD9C3"/>
      <color rgb="FFFF6464"/>
      <color rgb="FFFF8B8B"/>
      <color rgb="FFFF7171"/>
      <color rgb="FF05FF76"/>
      <color rgb="FFFF47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pivotCacheDefinition" Target="pivotCache/pivotCacheDefinition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pivotCacheDefinition" Target="pivotCache/pivotCacheDefinition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Ex3.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Sorts Mill Goudy" panose="02000503000000000000" pitchFamily="2" charset="0"/>
                <a:ea typeface="+mn-ea"/>
                <a:cs typeface="+mn-cs"/>
              </a:defRPr>
            </a:pPr>
            <a:r>
              <a:rPr lang="en-GB" b="1"/>
              <a:t>Probability distribution of NPV</a:t>
            </a:r>
            <a:r>
              <a:rPr lang="en-GB" b="1" baseline="0"/>
              <a:t> (uniform; </a:t>
            </a:r>
            <a:r>
              <a:rPr lang="en-GB" b="1"/>
              <a:t>1000 trials)</a:t>
            </a:r>
          </a:p>
          <a:p>
            <a:pPr algn="l">
              <a:defRPr/>
            </a:pPr>
            <a:r>
              <a:rPr lang="en-GB" sz="1000" b="1">
                <a:solidFill>
                  <a:srgbClr val="FFAFAF"/>
                </a:solidFill>
              </a:rPr>
              <a:t>NPV &lt; $0</a:t>
            </a:r>
          </a:p>
          <a:p>
            <a:pPr algn="l">
              <a:defRPr/>
            </a:pPr>
            <a:r>
              <a:rPr lang="en-GB" sz="1000">
                <a:solidFill>
                  <a:schemeClr val="tx2"/>
                </a:solidFill>
              </a:rPr>
              <a:t>*NPV axis represents</a:t>
            </a:r>
            <a:r>
              <a:rPr lang="en-GB" sz="1000" baseline="0">
                <a:solidFill>
                  <a:schemeClr val="tx2"/>
                </a:solidFill>
              </a:rPr>
              <a:t> the upper bound (e.g. 0 shows all NPVs between -2000 and 0)</a:t>
            </a:r>
            <a:endParaRPr lang="en-GB" sz="1000">
              <a:solidFill>
                <a:schemeClr val="tx2"/>
              </a:solidFill>
            </a:endParaRPr>
          </a:p>
        </c:rich>
      </c:tx>
      <c:layout>
        <c:manualLayout>
          <c:xMode val="edge"/>
          <c:yMode val="edge"/>
          <c:x val="1.3865778094642662E-2"/>
          <c:y val="3.177181134849074E-3"/>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Sorts Mill Goudy" panose="02000503000000000000" pitchFamily="2" charset="0"/>
              <a:ea typeface="+mn-ea"/>
              <a:cs typeface="+mn-cs"/>
            </a:defRPr>
          </a:pPr>
          <a:endParaRPr lang="en-US"/>
        </a:p>
      </c:txPr>
    </c:title>
    <c:autoTitleDeleted val="0"/>
    <c:plotArea>
      <c:layout/>
      <c:barChart>
        <c:barDir val="col"/>
        <c:grouping val="clustered"/>
        <c:varyColors val="0"/>
        <c:ser>
          <c:idx val="0"/>
          <c:order val="0"/>
          <c:spPr>
            <a:solidFill>
              <a:schemeClr val="bg2">
                <a:lumMod val="90000"/>
              </a:schemeClr>
            </a:solidFill>
            <a:ln>
              <a:noFill/>
            </a:ln>
            <a:effectLst/>
          </c:spPr>
          <c:invertIfNegative val="0"/>
          <c:dPt>
            <c:idx val="1"/>
            <c:invertIfNegative val="0"/>
            <c:bubble3D val="0"/>
            <c:spPr>
              <a:solidFill>
                <a:srgbClr val="FE0000">
                  <a:alpha val="25098"/>
                </a:srgbClr>
              </a:solidFill>
              <a:ln>
                <a:noFill/>
              </a:ln>
              <a:effectLst/>
            </c:spPr>
            <c:extLst>
              <c:ext xmlns:c16="http://schemas.microsoft.com/office/drawing/2014/chart" uri="{C3380CC4-5D6E-409C-BE32-E72D297353CC}">
                <c16:uniqueId val="{00000003-775E-415C-94F8-B234A39900AC}"/>
              </c:ext>
            </c:extLst>
          </c:dPt>
          <c:dPt>
            <c:idx val="2"/>
            <c:invertIfNegative val="0"/>
            <c:bubble3D val="0"/>
            <c:spPr>
              <a:solidFill>
                <a:srgbClr val="FE0000">
                  <a:alpha val="25098"/>
                </a:srgbClr>
              </a:solidFill>
              <a:ln>
                <a:noFill/>
              </a:ln>
              <a:effectLst/>
            </c:spPr>
            <c:extLst>
              <c:ext xmlns:c16="http://schemas.microsoft.com/office/drawing/2014/chart" uri="{C3380CC4-5D6E-409C-BE32-E72D297353CC}">
                <c16:uniqueId val="{00000002-775E-415C-94F8-B234A39900AC}"/>
              </c:ext>
            </c:extLst>
          </c:dPt>
          <c:cat>
            <c:numRef>
              <c:f>Output.NPVDistributions!$H$9:$H$24</c:f>
              <c:numCache>
                <c:formatCode>0</c:formatCode>
                <c:ptCount val="16"/>
                <c:pt idx="0">
                  <c:v>-4000</c:v>
                </c:pt>
                <c:pt idx="1">
                  <c:v>-2000</c:v>
                </c:pt>
                <c:pt idx="2">
                  <c:v>0</c:v>
                </c:pt>
                <c:pt idx="3">
                  <c:v>2000</c:v>
                </c:pt>
                <c:pt idx="4">
                  <c:v>4000</c:v>
                </c:pt>
                <c:pt idx="5">
                  <c:v>6000</c:v>
                </c:pt>
                <c:pt idx="6">
                  <c:v>8000</c:v>
                </c:pt>
                <c:pt idx="7">
                  <c:v>10000</c:v>
                </c:pt>
                <c:pt idx="8">
                  <c:v>12000</c:v>
                </c:pt>
                <c:pt idx="9">
                  <c:v>14000</c:v>
                </c:pt>
                <c:pt idx="10">
                  <c:v>16000</c:v>
                </c:pt>
                <c:pt idx="11">
                  <c:v>18000</c:v>
                </c:pt>
                <c:pt idx="12">
                  <c:v>20000</c:v>
                </c:pt>
                <c:pt idx="13">
                  <c:v>22000</c:v>
                </c:pt>
                <c:pt idx="14">
                  <c:v>24000</c:v>
                </c:pt>
                <c:pt idx="15">
                  <c:v>26000</c:v>
                </c:pt>
              </c:numCache>
            </c:numRef>
          </c:cat>
          <c:val>
            <c:numRef>
              <c:f>Output.NPVDistributions!$J$9:$J$24</c:f>
              <c:numCache>
                <c:formatCode>0.00</c:formatCode>
                <c:ptCount val="16"/>
                <c:pt idx="0">
                  <c:v>0</c:v>
                </c:pt>
                <c:pt idx="1">
                  <c:v>3.696303696303696E-2</c:v>
                </c:pt>
                <c:pt idx="2">
                  <c:v>0.1848151848151848</c:v>
                </c:pt>
                <c:pt idx="3">
                  <c:v>0.18981018981018982</c:v>
                </c:pt>
                <c:pt idx="4">
                  <c:v>0.19180819180819181</c:v>
                </c:pt>
                <c:pt idx="5">
                  <c:v>0.19780219780219779</c:v>
                </c:pt>
                <c:pt idx="6">
                  <c:v>0.19880119880119881</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0-775E-415C-94F8-B234A39900AC}"/>
            </c:ext>
          </c:extLst>
        </c:ser>
        <c:dLbls>
          <c:showLegendKey val="0"/>
          <c:showVal val="0"/>
          <c:showCatName val="0"/>
          <c:showSerName val="0"/>
          <c:showPercent val="0"/>
          <c:showBubbleSize val="0"/>
        </c:dLbls>
        <c:gapWidth val="2"/>
        <c:axId val="943147216"/>
        <c:axId val="943147696"/>
      </c:barChart>
      <c:catAx>
        <c:axId val="9431472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Sorts Mill Goudy" panose="02000503000000000000" pitchFamily="2" charset="0"/>
                    <a:ea typeface="+mn-ea"/>
                    <a:cs typeface="+mn-cs"/>
                  </a:defRPr>
                </a:pPr>
                <a:r>
                  <a:rPr lang="en-GB" b="1"/>
                  <a:t>Post-tax NPV ($M)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title>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crossAx val="943147696"/>
        <c:crosses val="autoZero"/>
        <c:auto val="1"/>
        <c:lblAlgn val="ctr"/>
        <c:lblOffset val="100"/>
        <c:noMultiLvlLbl val="0"/>
      </c:catAx>
      <c:valAx>
        <c:axId val="943147696"/>
        <c:scaling>
          <c:orientation val="minMax"/>
          <c:max val="0.35000000000000003"/>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Sorts Mill Goudy" panose="02000503000000000000" pitchFamily="2" charset="0"/>
                    <a:ea typeface="+mn-ea"/>
                    <a:cs typeface="+mn-cs"/>
                  </a:defRPr>
                </a:pPr>
                <a:r>
                  <a:rPr lang="en-GB" b="1"/>
                  <a:t>Probability</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crossAx val="943147216"/>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latin typeface="Sorts Mill Goudy" panose="02000503000000000000" pitchFamily="2"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l"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Sorts Mill Goudy" panose="02000503000000000000" pitchFamily="2" charset="0"/>
                <a:ea typeface="+mn-ea"/>
                <a:cs typeface="+mn-cs"/>
              </a:defRPr>
            </a:pPr>
            <a:r>
              <a:rPr lang="en-GB" b="1"/>
              <a:t>Cumulative probability of NPV (uniform; 1000 trials)</a:t>
            </a:r>
          </a:p>
          <a:p>
            <a:pPr marL="0" marR="0" lvl="0" indent="0" algn="l"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Sorts Mill Goudy" panose="02000503000000000000" pitchFamily="2" charset="0"/>
                <a:ea typeface="+mn-ea"/>
                <a:cs typeface="+mn-cs"/>
              </a:defRPr>
            </a:pPr>
            <a:r>
              <a:rPr lang="en-GB" sz="1000" b="1" i="0" u="none" strike="noStrike" kern="1200" spc="0" baseline="0">
                <a:solidFill>
                  <a:srgbClr val="FFAFAF"/>
                </a:solidFill>
                <a:latin typeface="Sorts Mill Goudy" panose="02000503000000000000" pitchFamily="2" charset="0"/>
              </a:rPr>
              <a:t>NPV &lt; $0</a:t>
            </a:r>
            <a:endParaRPr lang="en-GB" sz="1000" b="1"/>
          </a:p>
          <a:p>
            <a:pPr marL="0" marR="0" lvl="0" indent="0" algn="l"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Sorts Mill Goudy" panose="02000503000000000000" pitchFamily="2" charset="0"/>
                <a:ea typeface="+mn-ea"/>
                <a:cs typeface="+mn-cs"/>
              </a:defRPr>
            </a:pPr>
            <a:r>
              <a:rPr lang="en-GB" sz="1000" b="0" i="0" u="none" strike="noStrike" kern="1200" spc="0" baseline="0">
                <a:solidFill>
                  <a:schemeClr val="tx2"/>
                </a:solidFill>
                <a:latin typeface="Sorts Mill Goudy" panose="02000503000000000000" pitchFamily="2" charset="0"/>
              </a:rPr>
              <a:t>*NPV axis represents the upper bound (e.g. 0 shows all NPVs between -2000 and 0)</a:t>
            </a:r>
          </a:p>
        </c:rich>
      </c:tx>
      <c:layout>
        <c:manualLayout>
          <c:xMode val="edge"/>
          <c:yMode val="edge"/>
          <c:x val="1.3865778094642662E-2"/>
          <c:y val="3.177181134849074E-3"/>
        </c:manualLayout>
      </c:layout>
      <c:overlay val="0"/>
      <c:spPr>
        <a:noFill/>
        <a:ln>
          <a:noFill/>
        </a:ln>
        <a:effectLst/>
      </c:spPr>
    </c:title>
    <c:autoTitleDeleted val="0"/>
    <c:plotArea>
      <c:layout/>
      <c:barChart>
        <c:barDir val="col"/>
        <c:grouping val="clustered"/>
        <c:varyColors val="0"/>
        <c:ser>
          <c:idx val="1"/>
          <c:order val="0"/>
          <c:tx>
            <c:strRef>
              <c:f>Output.NPVDistributions!$K$8</c:f>
              <c:strCache>
                <c:ptCount val="1"/>
                <c:pt idx="0">
                  <c:v>Cumulative</c:v>
                </c:pt>
              </c:strCache>
            </c:strRef>
          </c:tx>
          <c:spPr>
            <a:solidFill>
              <a:schemeClr val="bg2">
                <a:lumMod val="90000"/>
              </a:schemeClr>
            </a:solidFill>
          </c:spPr>
          <c:invertIfNegative val="0"/>
          <c:dPt>
            <c:idx val="1"/>
            <c:invertIfNegative val="0"/>
            <c:bubble3D val="0"/>
            <c:spPr>
              <a:solidFill>
                <a:srgbClr val="FE0000">
                  <a:alpha val="25098"/>
                </a:srgbClr>
              </a:solidFill>
            </c:spPr>
            <c:extLst>
              <c:ext xmlns:c16="http://schemas.microsoft.com/office/drawing/2014/chart" uri="{C3380CC4-5D6E-409C-BE32-E72D297353CC}">
                <c16:uniqueId val="{00000002-6A97-45A2-A744-C8A484DEAD5C}"/>
              </c:ext>
            </c:extLst>
          </c:dPt>
          <c:dPt>
            <c:idx val="2"/>
            <c:invertIfNegative val="0"/>
            <c:bubble3D val="0"/>
            <c:spPr>
              <a:solidFill>
                <a:srgbClr val="FE0000">
                  <a:alpha val="25098"/>
                </a:srgbClr>
              </a:solidFill>
            </c:spPr>
            <c:extLst>
              <c:ext xmlns:c16="http://schemas.microsoft.com/office/drawing/2014/chart" uri="{C3380CC4-5D6E-409C-BE32-E72D297353CC}">
                <c16:uniqueId val="{00000001-6A97-45A2-A744-C8A484DEAD5C}"/>
              </c:ext>
            </c:extLst>
          </c:dPt>
          <c:cat>
            <c:numRef>
              <c:f>Output.NPVDistributions!$H$9:$H$24</c:f>
              <c:numCache>
                <c:formatCode>0</c:formatCode>
                <c:ptCount val="16"/>
                <c:pt idx="0">
                  <c:v>-4000</c:v>
                </c:pt>
                <c:pt idx="1">
                  <c:v>-2000</c:v>
                </c:pt>
                <c:pt idx="2">
                  <c:v>0</c:v>
                </c:pt>
                <c:pt idx="3">
                  <c:v>2000</c:v>
                </c:pt>
                <c:pt idx="4">
                  <c:v>4000</c:v>
                </c:pt>
                <c:pt idx="5">
                  <c:v>6000</c:v>
                </c:pt>
                <c:pt idx="6">
                  <c:v>8000</c:v>
                </c:pt>
                <c:pt idx="7">
                  <c:v>10000</c:v>
                </c:pt>
                <c:pt idx="8">
                  <c:v>12000</c:v>
                </c:pt>
                <c:pt idx="9">
                  <c:v>14000</c:v>
                </c:pt>
                <c:pt idx="10">
                  <c:v>16000</c:v>
                </c:pt>
                <c:pt idx="11">
                  <c:v>18000</c:v>
                </c:pt>
                <c:pt idx="12">
                  <c:v>20000</c:v>
                </c:pt>
                <c:pt idx="13">
                  <c:v>22000</c:v>
                </c:pt>
                <c:pt idx="14">
                  <c:v>24000</c:v>
                </c:pt>
                <c:pt idx="15">
                  <c:v>26000</c:v>
                </c:pt>
              </c:numCache>
            </c:numRef>
          </c:cat>
          <c:val>
            <c:numRef>
              <c:f>Output.NPVDistributions!$K$9:$K$24</c:f>
              <c:numCache>
                <c:formatCode>0.00</c:formatCode>
                <c:ptCount val="16"/>
                <c:pt idx="0">
                  <c:v>0</c:v>
                </c:pt>
                <c:pt idx="1">
                  <c:v>3.696303696303696E-2</c:v>
                </c:pt>
                <c:pt idx="2">
                  <c:v>0.22177822177822176</c:v>
                </c:pt>
                <c:pt idx="3">
                  <c:v>0.41158841158841158</c:v>
                </c:pt>
                <c:pt idx="4">
                  <c:v>0.60339660339660339</c:v>
                </c:pt>
                <c:pt idx="5">
                  <c:v>0.80119880119880116</c:v>
                </c:pt>
                <c:pt idx="6">
                  <c:v>1</c:v>
                </c:pt>
                <c:pt idx="7">
                  <c:v>1</c:v>
                </c:pt>
                <c:pt idx="8">
                  <c:v>1</c:v>
                </c:pt>
                <c:pt idx="9">
                  <c:v>1</c:v>
                </c:pt>
                <c:pt idx="10">
                  <c:v>1</c:v>
                </c:pt>
                <c:pt idx="11">
                  <c:v>1</c:v>
                </c:pt>
                <c:pt idx="12">
                  <c:v>1</c:v>
                </c:pt>
                <c:pt idx="13">
                  <c:v>1</c:v>
                </c:pt>
                <c:pt idx="14">
                  <c:v>1</c:v>
                </c:pt>
                <c:pt idx="15">
                  <c:v>1</c:v>
                </c:pt>
              </c:numCache>
            </c:numRef>
          </c:val>
          <c:extLst>
            <c:ext xmlns:c16="http://schemas.microsoft.com/office/drawing/2014/chart" uri="{C3380CC4-5D6E-409C-BE32-E72D297353CC}">
              <c16:uniqueId val="{00000000-6A97-45A2-A744-C8A484DEAD5C}"/>
            </c:ext>
          </c:extLst>
        </c:ser>
        <c:dLbls>
          <c:showLegendKey val="0"/>
          <c:showVal val="0"/>
          <c:showCatName val="0"/>
          <c:showSerName val="0"/>
          <c:showPercent val="0"/>
          <c:showBubbleSize val="0"/>
        </c:dLbls>
        <c:gapWidth val="2"/>
        <c:axId val="943147216"/>
        <c:axId val="943147696"/>
      </c:barChart>
      <c:catAx>
        <c:axId val="9431472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Sorts Mill Goudy" panose="02000503000000000000" pitchFamily="2" charset="0"/>
                    <a:ea typeface="+mn-ea"/>
                    <a:cs typeface="+mn-cs"/>
                  </a:defRPr>
                </a:pPr>
                <a:r>
                  <a:rPr lang="en-GB" b="1"/>
                  <a:t>Post-tax NPV ($M)</a:t>
                </a:r>
              </a:p>
            </c:rich>
          </c:tx>
          <c:overlay val="0"/>
          <c:spPr>
            <a:noFill/>
            <a:ln>
              <a:noFill/>
            </a:ln>
            <a:effectLst/>
          </c:spPr>
        </c:title>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crossAx val="943147696"/>
        <c:crosses val="autoZero"/>
        <c:auto val="1"/>
        <c:lblAlgn val="ctr"/>
        <c:lblOffset val="100"/>
        <c:noMultiLvlLbl val="0"/>
      </c:catAx>
      <c:valAx>
        <c:axId val="943147696"/>
        <c:scaling>
          <c:orientation val="minMax"/>
          <c:max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Sorts Mill Goudy" panose="02000503000000000000" pitchFamily="2" charset="0"/>
                    <a:ea typeface="+mn-ea"/>
                    <a:cs typeface="+mn-cs"/>
                  </a:defRPr>
                </a:pPr>
                <a:r>
                  <a:rPr lang="en-GB" b="1"/>
                  <a:t>Cumulative</a:t>
                </a:r>
                <a:r>
                  <a:rPr lang="en-GB" b="1" baseline="0"/>
                  <a:t> p</a:t>
                </a:r>
                <a:r>
                  <a:rPr lang="en-GB" b="1"/>
                  <a:t>robability</a:t>
                </a:r>
              </a:p>
            </c:rich>
          </c:tx>
          <c:overlay val="0"/>
          <c:spPr>
            <a:noFill/>
            <a:ln>
              <a:noFill/>
            </a:ln>
            <a:effectLst/>
          </c:sp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crossAx val="943147216"/>
        <c:crosses val="autoZero"/>
        <c:crossBetween val="between"/>
      </c:valAx>
    </c:plotArea>
    <c:plotVisOnly val="1"/>
    <c:dispBlanksAs val="gap"/>
    <c:showDLblsOverMax val="0"/>
  </c:chart>
  <c:spPr>
    <a:ln>
      <a:noFill/>
    </a:ln>
  </c:spPr>
  <c:txPr>
    <a:bodyPr/>
    <a:lstStyle/>
    <a:p>
      <a:pPr>
        <a:defRPr>
          <a:latin typeface="Sorts Mill Goudy" panose="02000503000000000000" pitchFamily="2"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Sorts Mill Goudy" panose="02000503000000000000" pitchFamily="2" charset="0"/>
                <a:ea typeface="+mn-ea"/>
                <a:cs typeface="+mn-cs"/>
              </a:defRPr>
            </a:pPr>
            <a:r>
              <a:rPr lang="en-GB" b="1"/>
              <a:t>Probability distribution of NPV</a:t>
            </a:r>
            <a:r>
              <a:rPr lang="en-GB" b="1" baseline="0"/>
              <a:t> (log-normal distribution; </a:t>
            </a:r>
            <a:r>
              <a:rPr lang="en-GB" b="1" baseline="0">
                <a:solidFill>
                  <a:schemeClr val="accent6">
                    <a:lumMod val="60000"/>
                    <a:lumOff val="40000"/>
                  </a:schemeClr>
                </a:solidFill>
              </a:rPr>
              <a:t>nominal</a:t>
            </a:r>
            <a:r>
              <a:rPr lang="en-GB" b="1" baseline="0"/>
              <a:t> oil price</a:t>
            </a:r>
            <a:r>
              <a:rPr lang="en-GB" b="1"/>
              <a:t>)</a:t>
            </a:r>
          </a:p>
          <a:p>
            <a:pPr algn="l">
              <a:defRPr/>
            </a:pPr>
            <a:r>
              <a:rPr lang="en-GB" sz="1000" b="1">
                <a:solidFill>
                  <a:srgbClr val="FFAFAF"/>
                </a:solidFill>
              </a:rPr>
              <a:t>NPV &lt; $0</a:t>
            </a:r>
          </a:p>
          <a:p>
            <a:pPr algn="l">
              <a:defRPr/>
            </a:pPr>
            <a:r>
              <a:rPr lang="en-GB" sz="1000" b="0" i="0" u="none" strike="noStrike" kern="1200" spc="0" baseline="0">
                <a:solidFill>
                  <a:schemeClr val="tx2"/>
                </a:solidFill>
                <a:latin typeface="Sorts Mill Goudy" panose="02000503000000000000" pitchFamily="2" charset="0"/>
              </a:rPr>
              <a:t>*NPV axis represents the upper bound (e.g. 0 shows all NPVs between -2000 and 0)</a:t>
            </a:r>
          </a:p>
        </c:rich>
      </c:tx>
      <c:layout>
        <c:manualLayout>
          <c:xMode val="edge"/>
          <c:yMode val="edge"/>
          <c:x val="1.3865778094642662E-2"/>
          <c:y val="3.177181134849074E-3"/>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Sorts Mill Goudy" panose="02000503000000000000" pitchFamily="2" charset="0"/>
              <a:ea typeface="+mn-ea"/>
              <a:cs typeface="+mn-cs"/>
            </a:defRPr>
          </a:pPr>
          <a:endParaRPr lang="en-US"/>
        </a:p>
      </c:txPr>
    </c:title>
    <c:autoTitleDeleted val="0"/>
    <c:plotArea>
      <c:layout/>
      <c:barChart>
        <c:barDir val="col"/>
        <c:grouping val="clustered"/>
        <c:varyColors val="0"/>
        <c:ser>
          <c:idx val="0"/>
          <c:order val="0"/>
          <c:tx>
            <c:strRef>
              <c:f>Output.NPVDistributions!$J$29</c:f>
              <c:strCache>
                <c:ptCount val="1"/>
                <c:pt idx="0">
                  <c:v>Probability</c:v>
                </c:pt>
              </c:strCache>
            </c:strRef>
          </c:tx>
          <c:spPr>
            <a:solidFill>
              <a:schemeClr val="accent6">
                <a:lumMod val="60000"/>
                <a:lumOff val="40000"/>
              </a:schemeClr>
            </a:solidFill>
            <a:ln>
              <a:noFill/>
            </a:ln>
            <a:effectLst/>
          </c:spPr>
          <c:invertIfNegative val="0"/>
          <c:dPt>
            <c:idx val="0"/>
            <c:invertIfNegative val="0"/>
            <c:bubble3D val="0"/>
            <c:spPr>
              <a:solidFill>
                <a:srgbClr val="FE0000">
                  <a:alpha val="25098"/>
                </a:srgbClr>
              </a:solidFill>
              <a:ln>
                <a:noFill/>
              </a:ln>
              <a:effectLst/>
            </c:spPr>
            <c:extLst>
              <c:ext xmlns:c16="http://schemas.microsoft.com/office/drawing/2014/chart" uri="{C3380CC4-5D6E-409C-BE32-E72D297353CC}">
                <c16:uniqueId val="{00000004-05C2-4383-97B1-41FEF4A601EA}"/>
              </c:ext>
            </c:extLst>
          </c:dPt>
          <c:dPt>
            <c:idx val="1"/>
            <c:invertIfNegative val="0"/>
            <c:bubble3D val="0"/>
            <c:spPr>
              <a:solidFill>
                <a:srgbClr val="FE0000">
                  <a:alpha val="25098"/>
                </a:srgbClr>
              </a:solidFill>
              <a:ln>
                <a:noFill/>
              </a:ln>
              <a:effectLst/>
            </c:spPr>
            <c:extLst>
              <c:ext xmlns:c16="http://schemas.microsoft.com/office/drawing/2014/chart" uri="{C3380CC4-5D6E-409C-BE32-E72D297353CC}">
                <c16:uniqueId val="{00000003-05C2-4383-97B1-41FEF4A601EA}"/>
              </c:ext>
            </c:extLst>
          </c:dPt>
          <c:dPt>
            <c:idx val="2"/>
            <c:invertIfNegative val="0"/>
            <c:bubble3D val="0"/>
            <c:spPr>
              <a:solidFill>
                <a:srgbClr val="FE0000">
                  <a:alpha val="25098"/>
                </a:srgbClr>
              </a:solidFill>
              <a:ln>
                <a:noFill/>
              </a:ln>
              <a:effectLst/>
            </c:spPr>
            <c:extLst>
              <c:ext xmlns:c16="http://schemas.microsoft.com/office/drawing/2014/chart" uri="{C3380CC4-5D6E-409C-BE32-E72D297353CC}">
                <c16:uniqueId val="{00000002-05C2-4383-97B1-41FEF4A601EA}"/>
              </c:ext>
            </c:extLst>
          </c:dPt>
          <c:cat>
            <c:numRef>
              <c:f>Output.NPVDistributions!$H$30:$H$45</c:f>
              <c:numCache>
                <c:formatCode>0</c:formatCode>
                <c:ptCount val="16"/>
                <c:pt idx="0">
                  <c:v>-4000</c:v>
                </c:pt>
                <c:pt idx="1">
                  <c:v>-2000</c:v>
                </c:pt>
                <c:pt idx="2">
                  <c:v>0</c:v>
                </c:pt>
                <c:pt idx="3">
                  <c:v>2000</c:v>
                </c:pt>
                <c:pt idx="4">
                  <c:v>4000</c:v>
                </c:pt>
                <c:pt idx="5">
                  <c:v>6000</c:v>
                </c:pt>
                <c:pt idx="6">
                  <c:v>8000</c:v>
                </c:pt>
                <c:pt idx="7">
                  <c:v>10000</c:v>
                </c:pt>
                <c:pt idx="8">
                  <c:v>12000</c:v>
                </c:pt>
                <c:pt idx="9">
                  <c:v>14000</c:v>
                </c:pt>
                <c:pt idx="10">
                  <c:v>16000</c:v>
                </c:pt>
                <c:pt idx="11">
                  <c:v>18000</c:v>
                </c:pt>
                <c:pt idx="12">
                  <c:v>20000</c:v>
                </c:pt>
                <c:pt idx="13">
                  <c:v>22000</c:v>
                </c:pt>
                <c:pt idx="14">
                  <c:v>24000</c:v>
                </c:pt>
                <c:pt idx="15">
                  <c:v>26000</c:v>
                </c:pt>
              </c:numCache>
            </c:numRef>
          </c:cat>
          <c:val>
            <c:numRef>
              <c:f>Output.NPVDistributions!$J$30:$J$45</c:f>
              <c:numCache>
                <c:formatCode>0.00</c:formatCode>
                <c:ptCount val="16"/>
                <c:pt idx="0">
                  <c:v>8.0919080919080913E-2</c:v>
                </c:pt>
                <c:pt idx="1">
                  <c:v>0.22277722277722278</c:v>
                </c:pt>
                <c:pt idx="2">
                  <c:v>0.29970029970029971</c:v>
                </c:pt>
                <c:pt idx="3">
                  <c:v>0.16483516483516483</c:v>
                </c:pt>
                <c:pt idx="4">
                  <c:v>0.1028971028971029</c:v>
                </c:pt>
                <c:pt idx="5">
                  <c:v>5.2947052947052944E-2</c:v>
                </c:pt>
                <c:pt idx="6">
                  <c:v>2.7972027972027972E-2</c:v>
                </c:pt>
                <c:pt idx="7">
                  <c:v>1.898101898101898E-2</c:v>
                </c:pt>
                <c:pt idx="8">
                  <c:v>8.9910089910089919E-3</c:v>
                </c:pt>
                <c:pt idx="9">
                  <c:v>1.098901098901099E-2</c:v>
                </c:pt>
                <c:pt idx="10">
                  <c:v>3.996003996003996E-3</c:v>
                </c:pt>
                <c:pt idx="11">
                  <c:v>9.99000999000999E-4</c:v>
                </c:pt>
                <c:pt idx="12">
                  <c:v>3.996003996003996E-3</c:v>
                </c:pt>
                <c:pt idx="13">
                  <c:v>0</c:v>
                </c:pt>
                <c:pt idx="14">
                  <c:v>0</c:v>
                </c:pt>
                <c:pt idx="15">
                  <c:v>0</c:v>
                </c:pt>
              </c:numCache>
            </c:numRef>
          </c:val>
          <c:extLst>
            <c:ext xmlns:c16="http://schemas.microsoft.com/office/drawing/2014/chart" uri="{C3380CC4-5D6E-409C-BE32-E72D297353CC}">
              <c16:uniqueId val="{00000001-05C2-4383-97B1-41FEF4A601EA}"/>
            </c:ext>
          </c:extLst>
        </c:ser>
        <c:dLbls>
          <c:showLegendKey val="0"/>
          <c:showVal val="0"/>
          <c:showCatName val="0"/>
          <c:showSerName val="0"/>
          <c:showPercent val="0"/>
          <c:showBubbleSize val="0"/>
        </c:dLbls>
        <c:gapWidth val="2"/>
        <c:axId val="943147216"/>
        <c:axId val="943147696"/>
      </c:barChart>
      <c:catAx>
        <c:axId val="9431472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Sorts Mill Goudy" panose="02000503000000000000" pitchFamily="2" charset="0"/>
                    <a:ea typeface="+mn-ea"/>
                    <a:cs typeface="+mn-cs"/>
                  </a:defRPr>
                </a:pPr>
                <a:r>
                  <a:rPr lang="en-GB" b="1"/>
                  <a:t>Post-tax NPV ($M)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title>
        <c:numFmt formatCode="0"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crossAx val="943147696"/>
        <c:crosses val="autoZero"/>
        <c:auto val="1"/>
        <c:lblAlgn val="ctr"/>
        <c:lblOffset val="100"/>
        <c:noMultiLvlLbl val="0"/>
      </c:catAx>
      <c:valAx>
        <c:axId val="9431476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Sorts Mill Goudy" panose="02000503000000000000" pitchFamily="2" charset="0"/>
                    <a:ea typeface="+mn-ea"/>
                    <a:cs typeface="+mn-cs"/>
                  </a:defRPr>
                </a:pPr>
                <a:r>
                  <a:rPr lang="en-GB" b="1"/>
                  <a:t>Probability</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crossAx val="943147216"/>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latin typeface="Sorts Mill Goudy" panose="02000503000000000000" pitchFamily="2"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l"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Sorts Mill Goudy" panose="02000503000000000000" pitchFamily="2" charset="0"/>
                <a:ea typeface="+mn-ea"/>
                <a:cs typeface="+mn-cs"/>
              </a:defRPr>
            </a:pPr>
            <a:r>
              <a:rPr lang="en-GB" b="1"/>
              <a:t>Cumulative probability</a:t>
            </a:r>
            <a:r>
              <a:rPr lang="en-GB" b="1" baseline="0"/>
              <a:t> </a:t>
            </a:r>
            <a:r>
              <a:rPr lang="en-GB" b="1"/>
              <a:t>of NPV</a:t>
            </a:r>
            <a:r>
              <a:rPr lang="en-GB" b="1" baseline="0"/>
              <a:t> (log-normal distribution; </a:t>
            </a:r>
            <a:r>
              <a:rPr lang="en-GB" b="1" baseline="0">
                <a:solidFill>
                  <a:schemeClr val="accent6">
                    <a:lumMod val="60000"/>
                    <a:lumOff val="40000"/>
                  </a:schemeClr>
                </a:solidFill>
              </a:rPr>
              <a:t>nominal</a:t>
            </a:r>
            <a:r>
              <a:rPr lang="en-GB" b="1" baseline="0"/>
              <a:t> oil price</a:t>
            </a:r>
            <a:r>
              <a:rPr lang="en-GB" b="1"/>
              <a:t>)</a:t>
            </a:r>
          </a:p>
          <a:p>
            <a:pPr marL="0" marR="0" lvl="0" indent="0" algn="l"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r>
              <a:rPr lang="en-GB" sz="1000" b="1" i="0" u="none" strike="noStrike" kern="1200" spc="0" baseline="0">
                <a:solidFill>
                  <a:srgbClr val="FFAFAF"/>
                </a:solidFill>
                <a:latin typeface="Sorts Mill Goudy" panose="02000503000000000000" pitchFamily="2" charset="0"/>
              </a:rPr>
              <a:t>NPV &lt; $0</a:t>
            </a:r>
          </a:p>
          <a:p>
            <a:pPr marL="0" marR="0" lvl="0" indent="0" algn="l"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r>
              <a:rPr lang="en-GB" sz="1000" b="0" i="0" u="none" strike="noStrike" kern="1200" spc="0" baseline="0">
                <a:solidFill>
                  <a:schemeClr val="tx2"/>
                </a:solidFill>
                <a:latin typeface="Sorts Mill Goudy" panose="02000503000000000000" pitchFamily="2" charset="0"/>
              </a:rPr>
              <a:t>*NPV axis represents the upper bound (e.g. 0 shows all NPVs between -2000 and 0)</a:t>
            </a:r>
          </a:p>
        </c:rich>
      </c:tx>
      <c:layout>
        <c:manualLayout>
          <c:xMode val="edge"/>
          <c:yMode val="edge"/>
          <c:x val="1.3865778094642662E-2"/>
          <c:y val="3.177181134849074E-3"/>
        </c:manualLayout>
      </c:layout>
      <c:overlay val="0"/>
      <c:spPr>
        <a:noFill/>
        <a:ln>
          <a:noFill/>
        </a:ln>
        <a:effectLst/>
      </c:spPr>
      <c:txPr>
        <a:bodyPr rot="0" spcFirstLastPara="1" vertOverflow="ellipsis" vert="horz" wrap="square" anchor="ctr" anchorCtr="1"/>
        <a:lstStyle/>
        <a:p>
          <a:pPr marL="0" marR="0" lvl="0" indent="0" algn="l"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Sorts Mill Goudy" panose="02000503000000000000" pitchFamily="2" charset="0"/>
              <a:ea typeface="+mn-ea"/>
              <a:cs typeface="+mn-cs"/>
            </a:defRPr>
          </a:pPr>
          <a:endParaRPr lang="en-US"/>
        </a:p>
      </c:txPr>
    </c:title>
    <c:autoTitleDeleted val="0"/>
    <c:plotArea>
      <c:layout/>
      <c:barChart>
        <c:barDir val="col"/>
        <c:grouping val="clustered"/>
        <c:varyColors val="0"/>
        <c:ser>
          <c:idx val="15"/>
          <c:order val="0"/>
          <c:tx>
            <c:strRef>
              <c:f>Output.NPVDistributions!$K$29</c:f>
              <c:strCache>
                <c:ptCount val="1"/>
                <c:pt idx="0">
                  <c:v>Cumulative</c:v>
                </c:pt>
              </c:strCache>
            </c:strRef>
          </c:tx>
          <c:spPr>
            <a:solidFill>
              <a:schemeClr val="accent6">
                <a:lumMod val="60000"/>
                <a:lumOff val="40000"/>
              </a:schemeClr>
            </a:solidFill>
            <a:ln>
              <a:noFill/>
            </a:ln>
            <a:effectLst/>
          </c:spPr>
          <c:invertIfNegative val="0"/>
          <c:dPt>
            <c:idx val="0"/>
            <c:invertIfNegative val="0"/>
            <c:bubble3D val="0"/>
            <c:spPr>
              <a:solidFill>
                <a:srgbClr val="FE0000">
                  <a:alpha val="25098"/>
                </a:srgbClr>
              </a:solidFill>
              <a:ln>
                <a:noFill/>
              </a:ln>
              <a:effectLst/>
            </c:spPr>
            <c:extLst>
              <c:ext xmlns:c16="http://schemas.microsoft.com/office/drawing/2014/chart" uri="{C3380CC4-5D6E-409C-BE32-E72D297353CC}">
                <c16:uniqueId val="{00000010-DC5F-4DB4-8CCE-A4859AFEAD1F}"/>
              </c:ext>
            </c:extLst>
          </c:dPt>
          <c:dPt>
            <c:idx val="1"/>
            <c:invertIfNegative val="0"/>
            <c:bubble3D val="0"/>
            <c:spPr>
              <a:solidFill>
                <a:srgbClr val="FE0000">
                  <a:alpha val="25098"/>
                </a:srgbClr>
              </a:solidFill>
              <a:ln>
                <a:noFill/>
              </a:ln>
              <a:effectLst/>
            </c:spPr>
            <c:extLst>
              <c:ext xmlns:c16="http://schemas.microsoft.com/office/drawing/2014/chart" uri="{C3380CC4-5D6E-409C-BE32-E72D297353CC}">
                <c16:uniqueId val="{00000011-DC5F-4DB4-8CCE-A4859AFEAD1F}"/>
              </c:ext>
            </c:extLst>
          </c:dPt>
          <c:dPt>
            <c:idx val="2"/>
            <c:invertIfNegative val="0"/>
            <c:bubble3D val="0"/>
            <c:spPr>
              <a:solidFill>
                <a:srgbClr val="FE0000">
                  <a:alpha val="25098"/>
                </a:srgbClr>
              </a:solidFill>
              <a:ln>
                <a:noFill/>
              </a:ln>
              <a:effectLst/>
            </c:spPr>
            <c:extLst>
              <c:ext xmlns:c16="http://schemas.microsoft.com/office/drawing/2014/chart" uri="{C3380CC4-5D6E-409C-BE32-E72D297353CC}">
                <c16:uniqueId val="{00000012-DC5F-4DB4-8CCE-A4859AFEAD1F}"/>
              </c:ext>
            </c:extLst>
          </c:dPt>
          <c:cat>
            <c:numRef>
              <c:f>Output.NPVDistributions!$H$30:$H$45</c:f>
              <c:numCache>
                <c:formatCode>0</c:formatCode>
                <c:ptCount val="16"/>
                <c:pt idx="0">
                  <c:v>-4000</c:v>
                </c:pt>
                <c:pt idx="1">
                  <c:v>-2000</c:v>
                </c:pt>
                <c:pt idx="2">
                  <c:v>0</c:v>
                </c:pt>
                <c:pt idx="3">
                  <c:v>2000</c:v>
                </c:pt>
                <c:pt idx="4">
                  <c:v>4000</c:v>
                </c:pt>
                <c:pt idx="5">
                  <c:v>6000</c:v>
                </c:pt>
                <c:pt idx="6">
                  <c:v>8000</c:v>
                </c:pt>
                <c:pt idx="7">
                  <c:v>10000</c:v>
                </c:pt>
                <c:pt idx="8">
                  <c:v>12000</c:v>
                </c:pt>
                <c:pt idx="9">
                  <c:v>14000</c:v>
                </c:pt>
                <c:pt idx="10">
                  <c:v>16000</c:v>
                </c:pt>
                <c:pt idx="11">
                  <c:v>18000</c:v>
                </c:pt>
                <c:pt idx="12">
                  <c:v>20000</c:v>
                </c:pt>
                <c:pt idx="13">
                  <c:v>22000</c:v>
                </c:pt>
                <c:pt idx="14">
                  <c:v>24000</c:v>
                </c:pt>
                <c:pt idx="15">
                  <c:v>26000</c:v>
                </c:pt>
              </c:numCache>
            </c:numRef>
          </c:cat>
          <c:val>
            <c:numRef>
              <c:f>Output.NPVDistributions!$K$30:$K$45</c:f>
              <c:numCache>
                <c:formatCode>0.00</c:formatCode>
                <c:ptCount val="16"/>
                <c:pt idx="0">
                  <c:v>8.0919080919080913E-2</c:v>
                </c:pt>
                <c:pt idx="1">
                  <c:v>0.30369630369630368</c:v>
                </c:pt>
                <c:pt idx="2">
                  <c:v>0.60339660339660339</c:v>
                </c:pt>
                <c:pt idx="3">
                  <c:v>0.7682317682317682</c:v>
                </c:pt>
                <c:pt idx="4">
                  <c:v>0.87112887112887105</c:v>
                </c:pt>
                <c:pt idx="5">
                  <c:v>0.92407592407592398</c:v>
                </c:pt>
                <c:pt idx="6">
                  <c:v>0.95204795204795201</c:v>
                </c:pt>
                <c:pt idx="7">
                  <c:v>0.97102897102897101</c:v>
                </c:pt>
                <c:pt idx="8">
                  <c:v>0.98001998001998003</c:v>
                </c:pt>
                <c:pt idx="9">
                  <c:v>0.99100899100899098</c:v>
                </c:pt>
                <c:pt idx="10">
                  <c:v>0.99500499500499495</c:v>
                </c:pt>
                <c:pt idx="11">
                  <c:v>0.99600399600399592</c:v>
                </c:pt>
                <c:pt idx="12">
                  <c:v>0.99999999999999989</c:v>
                </c:pt>
                <c:pt idx="13">
                  <c:v>0.99999999999999989</c:v>
                </c:pt>
                <c:pt idx="14">
                  <c:v>0.99999999999999989</c:v>
                </c:pt>
                <c:pt idx="15">
                  <c:v>0.99999999999999989</c:v>
                </c:pt>
              </c:numCache>
            </c:numRef>
          </c:val>
          <c:extLst>
            <c:ext xmlns:c16="http://schemas.microsoft.com/office/drawing/2014/chart" uri="{C3380CC4-5D6E-409C-BE32-E72D297353CC}">
              <c16:uniqueId val="{0000000F-DC5F-4DB4-8CCE-A4859AFEAD1F}"/>
            </c:ext>
          </c:extLst>
        </c:ser>
        <c:dLbls>
          <c:showLegendKey val="0"/>
          <c:showVal val="0"/>
          <c:showCatName val="0"/>
          <c:showSerName val="0"/>
          <c:showPercent val="0"/>
          <c:showBubbleSize val="0"/>
        </c:dLbls>
        <c:gapWidth val="2"/>
        <c:axId val="943147216"/>
        <c:axId val="943147696"/>
      </c:barChart>
      <c:catAx>
        <c:axId val="9431472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Sorts Mill Goudy" panose="02000503000000000000" pitchFamily="2" charset="0"/>
                    <a:ea typeface="+mn-ea"/>
                    <a:cs typeface="+mn-cs"/>
                  </a:defRPr>
                </a:pPr>
                <a:r>
                  <a:rPr lang="en-GB" b="1"/>
                  <a:t>Post-tax NPV ($M)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title>
        <c:numFmt formatCode="0"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crossAx val="943147696"/>
        <c:crosses val="autoZero"/>
        <c:auto val="1"/>
        <c:lblAlgn val="ctr"/>
        <c:lblOffset val="100"/>
        <c:noMultiLvlLbl val="0"/>
      </c:catAx>
      <c:valAx>
        <c:axId val="943147696"/>
        <c:scaling>
          <c:orientation val="minMax"/>
          <c:max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Sorts Mill Goudy" panose="02000503000000000000" pitchFamily="2" charset="0"/>
                    <a:ea typeface="+mn-ea"/>
                    <a:cs typeface="+mn-cs"/>
                  </a:defRPr>
                </a:pPr>
                <a:r>
                  <a:rPr lang="en-GB" b="1"/>
                  <a:t>Probability</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crossAx val="943147216"/>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latin typeface="Sorts Mill Goudy" panose="02000503000000000000" pitchFamily="2"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l"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Sorts Mill Goudy" panose="02000503000000000000" pitchFamily="2" charset="0"/>
                <a:ea typeface="+mn-ea"/>
                <a:cs typeface="+mn-cs"/>
              </a:defRPr>
            </a:pPr>
            <a:r>
              <a:rPr lang="en-GB" b="1"/>
              <a:t>Probability distribution of NPV</a:t>
            </a:r>
            <a:r>
              <a:rPr lang="en-GB" b="1" baseline="0"/>
              <a:t> (log-normal distribution; </a:t>
            </a:r>
            <a:r>
              <a:rPr lang="en-GB" b="1" baseline="0">
                <a:solidFill>
                  <a:schemeClr val="accent6">
                    <a:lumMod val="75000"/>
                  </a:schemeClr>
                </a:solidFill>
              </a:rPr>
              <a:t>inflation-adjusted</a:t>
            </a:r>
            <a:r>
              <a:rPr lang="en-GB" b="1" baseline="0"/>
              <a:t> oil price</a:t>
            </a:r>
            <a:r>
              <a:rPr lang="en-GB" b="1"/>
              <a:t>)</a:t>
            </a:r>
          </a:p>
          <a:p>
            <a:pPr marL="0" marR="0" lvl="0" indent="0" algn="l"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r>
              <a:rPr lang="en-GB" sz="1000" b="1" i="0" u="none" strike="noStrike" kern="1200" spc="0" baseline="0">
                <a:solidFill>
                  <a:srgbClr val="FFAFAF"/>
                </a:solidFill>
                <a:latin typeface="Sorts Mill Goudy" panose="02000503000000000000" pitchFamily="2" charset="0"/>
              </a:rPr>
              <a:t>NPV &lt; $0</a:t>
            </a:r>
          </a:p>
          <a:p>
            <a:pPr marL="0" marR="0" lvl="0" indent="0" algn="l"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r>
              <a:rPr lang="en-GB" sz="1000" b="0" i="0" u="none" strike="noStrike" kern="1200" spc="0" baseline="0">
                <a:solidFill>
                  <a:schemeClr val="tx2"/>
                </a:solidFill>
                <a:latin typeface="Sorts Mill Goudy" panose="02000503000000000000" pitchFamily="2" charset="0"/>
              </a:rPr>
              <a:t>*NPV axis represents the upper bound (e.g. 0 shows all NPVs between -2000 and 0)</a:t>
            </a:r>
          </a:p>
        </c:rich>
      </c:tx>
      <c:layout>
        <c:manualLayout>
          <c:xMode val="edge"/>
          <c:yMode val="edge"/>
          <c:x val="1.3865778094642662E-2"/>
          <c:y val="3.177181134849074E-3"/>
        </c:manualLayout>
      </c:layout>
      <c:overlay val="0"/>
      <c:spPr>
        <a:noFill/>
        <a:ln>
          <a:noFill/>
        </a:ln>
        <a:effectLst/>
      </c:spPr>
      <c:txPr>
        <a:bodyPr rot="0" spcFirstLastPara="1" vertOverflow="ellipsis" vert="horz" wrap="square" anchor="ctr" anchorCtr="1"/>
        <a:lstStyle/>
        <a:p>
          <a:pPr marL="0" marR="0" lvl="0" indent="0" algn="l"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Sorts Mill Goudy" panose="02000503000000000000" pitchFamily="2" charset="0"/>
              <a:ea typeface="+mn-ea"/>
              <a:cs typeface="+mn-cs"/>
            </a:defRPr>
          </a:pPr>
          <a:endParaRPr lang="en-US"/>
        </a:p>
      </c:txPr>
    </c:title>
    <c:autoTitleDeleted val="0"/>
    <c:plotArea>
      <c:layout/>
      <c:barChart>
        <c:barDir val="col"/>
        <c:grouping val="clustered"/>
        <c:varyColors val="0"/>
        <c:ser>
          <c:idx val="1"/>
          <c:order val="0"/>
          <c:tx>
            <c:strRef>
              <c:f>Output.NPVDistributions!$J$51</c:f>
              <c:strCache>
                <c:ptCount val="1"/>
                <c:pt idx="0">
                  <c:v>Probability</c:v>
                </c:pt>
              </c:strCache>
            </c:strRef>
          </c:tx>
          <c:spPr>
            <a:solidFill>
              <a:schemeClr val="accent6">
                <a:lumMod val="75000"/>
              </a:schemeClr>
            </a:solidFill>
            <a:ln>
              <a:noFill/>
            </a:ln>
            <a:effectLst/>
          </c:spPr>
          <c:invertIfNegative val="0"/>
          <c:dPt>
            <c:idx val="1"/>
            <c:invertIfNegative val="0"/>
            <c:bubble3D val="0"/>
            <c:spPr>
              <a:solidFill>
                <a:srgbClr val="FE0000">
                  <a:alpha val="25098"/>
                </a:srgbClr>
              </a:solidFill>
              <a:ln>
                <a:noFill/>
              </a:ln>
              <a:effectLst/>
            </c:spPr>
            <c:extLst>
              <c:ext xmlns:c16="http://schemas.microsoft.com/office/drawing/2014/chart" uri="{C3380CC4-5D6E-409C-BE32-E72D297353CC}">
                <c16:uniqueId val="{00000001-3126-4D24-A44F-5D4F384782AD}"/>
              </c:ext>
            </c:extLst>
          </c:dPt>
          <c:dPt>
            <c:idx val="2"/>
            <c:invertIfNegative val="0"/>
            <c:bubble3D val="0"/>
            <c:spPr>
              <a:solidFill>
                <a:srgbClr val="FE0000">
                  <a:alpha val="25098"/>
                </a:srgbClr>
              </a:solidFill>
              <a:ln>
                <a:noFill/>
              </a:ln>
              <a:effectLst/>
            </c:spPr>
            <c:extLst>
              <c:ext xmlns:c16="http://schemas.microsoft.com/office/drawing/2014/chart" uri="{C3380CC4-5D6E-409C-BE32-E72D297353CC}">
                <c16:uniqueId val="{00000002-3126-4D24-A44F-5D4F384782AD}"/>
              </c:ext>
            </c:extLst>
          </c:dPt>
          <c:dPt>
            <c:idx val="3"/>
            <c:invertIfNegative val="0"/>
            <c:bubble3D val="0"/>
            <c:spPr>
              <a:solidFill>
                <a:srgbClr val="E46C0A"/>
              </a:solidFill>
              <a:ln>
                <a:noFill/>
              </a:ln>
              <a:effectLst/>
            </c:spPr>
            <c:extLst>
              <c:ext xmlns:c16="http://schemas.microsoft.com/office/drawing/2014/chart" uri="{C3380CC4-5D6E-409C-BE32-E72D297353CC}">
                <c16:uniqueId val="{00000003-3126-4D24-A44F-5D4F384782AD}"/>
              </c:ext>
            </c:extLst>
          </c:dPt>
          <c:cat>
            <c:numRef>
              <c:f>Output.NPVDistributions!$H$52:$H$67</c:f>
              <c:numCache>
                <c:formatCode>0</c:formatCode>
                <c:ptCount val="16"/>
                <c:pt idx="0">
                  <c:v>-4000</c:v>
                </c:pt>
                <c:pt idx="1">
                  <c:v>-2000</c:v>
                </c:pt>
                <c:pt idx="2">
                  <c:v>0</c:v>
                </c:pt>
                <c:pt idx="3">
                  <c:v>2000</c:v>
                </c:pt>
                <c:pt idx="4">
                  <c:v>4000</c:v>
                </c:pt>
                <c:pt idx="5">
                  <c:v>6000</c:v>
                </c:pt>
                <c:pt idx="6">
                  <c:v>8000</c:v>
                </c:pt>
                <c:pt idx="7">
                  <c:v>10000</c:v>
                </c:pt>
                <c:pt idx="8">
                  <c:v>12000</c:v>
                </c:pt>
                <c:pt idx="9">
                  <c:v>14000</c:v>
                </c:pt>
                <c:pt idx="10">
                  <c:v>16000</c:v>
                </c:pt>
                <c:pt idx="11">
                  <c:v>18000</c:v>
                </c:pt>
                <c:pt idx="12">
                  <c:v>20000</c:v>
                </c:pt>
                <c:pt idx="13">
                  <c:v>22000</c:v>
                </c:pt>
                <c:pt idx="14">
                  <c:v>24000</c:v>
                </c:pt>
                <c:pt idx="15">
                  <c:v>26000</c:v>
                </c:pt>
              </c:numCache>
            </c:numRef>
          </c:cat>
          <c:val>
            <c:numRef>
              <c:f>Output.NPVDistributions!$J$52:$J$67</c:f>
              <c:numCache>
                <c:formatCode>0.00</c:formatCode>
                <c:ptCount val="16"/>
                <c:pt idx="0">
                  <c:v>0</c:v>
                </c:pt>
                <c:pt idx="1">
                  <c:v>1.5984015984015984E-2</c:v>
                </c:pt>
                <c:pt idx="2">
                  <c:v>0.10989010989010989</c:v>
                </c:pt>
                <c:pt idx="3">
                  <c:v>0.22277722277722278</c:v>
                </c:pt>
                <c:pt idx="4">
                  <c:v>0.20779220779220781</c:v>
                </c:pt>
                <c:pt idx="5">
                  <c:v>0.17282717282717283</c:v>
                </c:pt>
                <c:pt idx="6">
                  <c:v>0.10789210789210789</c:v>
                </c:pt>
                <c:pt idx="7">
                  <c:v>6.3936063936063936E-2</c:v>
                </c:pt>
                <c:pt idx="8">
                  <c:v>5.0949050949050952E-2</c:v>
                </c:pt>
                <c:pt idx="9">
                  <c:v>1.5984015984015984E-2</c:v>
                </c:pt>
                <c:pt idx="10">
                  <c:v>1.2987012987012988E-2</c:v>
                </c:pt>
                <c:pt idx="11">
                  <c:v>4.995004995004995E-3</c:v>
                </c:pt>
                <c:pt idx="12">
                  <c:v>4.995004995004995E-3</c:v>
                </c:pt>
                <c:pt idx="13">
                  <c:v>3.996003996003996E-3</c:v>
                </c:pt>
                <c:pt idx="14">
                  <c:v>3.996003996003996E-3</c:v>
                </c:pt>
                <c:pt idx="15">
                  <c:v>9.99000999000999E-4</c:v>
                </c:pt>
              </c:numCache>
            </c:numRef>
          </c:val>
          <c:extLst>
            <c:ext xmlns:c16="http://schemas.microsoft.com/office/drawing/2014/chart" uri="{C3380CC4-5D6E-409C-BE32-E72D297353CC}">
              <c16:uniqueId val="{00000000-3126-4D24-A44F-5D4F384782AD}"/>
            </c:ext>
          </c:extLst>
        </c:ser>
        <c:dLbls>
          <c:showLegendKey val="0"/>
          <c:showVal val="0"/>
          <c:showCatName val="0"/>
          <c:showSerName val="0"/>
          <c:showPercent val="0"/>
          <c:showBubbleSize val="0"/>
        </c:dLbls>
        <c:gapWidth val="2"/>
        <c:axId val="943147216"/>
        <c:axId val="943147696"/>
      </c:barChart>
      <c:catAx>
        <c:axId val="9431472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Sorts Mill Goudy" panose="02000503000000000000" pitchFamily="2" charset="0"/>
                    <a:ea typeface="+mn-ea"/>
                    <a:cs typeface="+mn-cs"/>
                  </a:defRPr>
                </a:pPr>
                <a:r>
                  <a:rPr lang="en-GB" b="1"/>
                  <a:t>Post-tax NPV ($M)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title>
        <c:numFmt formatCode="0"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crossAx val="943147696"/>
        <c:crosses val="autoZero"/>
        <c:auto val="1"/>
        <c:lblAlgn val="ctr"/>
        <c:lblOffset val="100"/>
        <c:noMultiLvlLbl val="0"/>
      </c:catAx>
      <c:valAx>
        <c:axId val="943147696"/>
        <c:scaling>
          <c:orientation val="minMax"/>
          <c:max val="0.35000000000000003"/>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Sorts Mill Goudy" panose="02000503000000000000" pitchFamily="2" charset="0"/>
                    <a:ea typeface="+mn-ea"/>
                    <a:cs typeface="+mn-cs"/>
                  </a:defRPr>
                </a:pPr>
                <a:r>
                  <a:rPr lang="en-GB" b="1"/>
                  <a:t>Probability</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crossAx val="943147216"/>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latin typeface="Sorts Mill Goudy" panose="02000503000000000000" pitchFamily="2" charset="0"/>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l"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Sorts Mill Goudy" panose="02000503000000000000" pitchFamily="2" charset="0"/>
                <a:ea typeface="+mn-ea"/>
                <a:cs typeface="+mn-cs"/>
              </a:defRPr>
            </a:pPr>
            <a:r>
              <a:rPr lang="en-GB" b="1"/>
              <a:t>Cumulative</a:t>
            </a:r>
            <a:r>
              <a:rPr lang="en-GB" b="1" baseline="0"/>
              <a:t> p</a:t>
            </a:r>
            <a:r>
              <a:rPr lang="en-GB" b="1"/>
              <a:t>robability of NPV</a:t>
            </a:r>
            <a:r>
              <a:rPr lang="en-GB" b="1" baseline="0"/>
              <a:t> (log-normal distribution; </a:t>
            </a:r>
            <a:r>
              <a:rPr lang="en-GB" b="1" baseline="0">
                <a:solidFill>
                  <a:schemeClr val="accent6">
                    <a:lumMod val="75000"/>
                  </a:schemeClr>
                </a:solidFill>
              </a:rPr>
              <a:t>inflation-adjusted</a:t>
            </a:r>
            <a:r>
              <a:rPr lang="en-GB" b="1" baseline="0"/>
              <a:t> oil price</a:t>
            </a:r>
            <a:r>
              <a:rPr lang="en-GB" b="1"/>
              <a:t>)</a:t>
            </a:r>
          </a:p>
          <a:p>
            <a:pPr marL="0" marR="0" lvl="0" indent="0" algn="l"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r>
              <a:rPr lang="en-GB" sz="1000" b="1" i="0" u="none" strike="noStrike" kern="1200" spc="0" baseline="0">
                <a:solidFill>
                  <a:srgbClr val="FFAFAF"/>
                </a:solidFill>
                <a:latin typeface="Sorts Mill Goudy" panose="02000503000000000000" pitchFamily="2" charset="0"/>
              </a:rPr>
              <a:t>NPV &lt; $0</a:t>
            </a:r>
          </a:p>
          <a:p>
            <a:pPr marL="0" marR="0" lvl="0" indent="0" algn="l"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r>
              <a:rPr lang="en-GB" sz="1000" b="0" i="0" u="none" strike="noStrike" kern="1200" spc="0" baseline="0">
                <a:solidFill>
                  <a:schemeClr val="tx2"/>
                </a:solidFill>
                <a:latin typeface="Sorts Mill Goudy" panose="02000503000000000000" pitchFamily="2" charset="0"/>
              </a:rPr>
              <a:t>*NPV axis represents the upper bound (e.g. 0 shows all NPVs between -2000 and 0)</a:t>
            </a:r>
          </a:p>
        </c:rich>
      </c:tx>
      <c:layout>
        <c:manualLayout>
          <c:xMode val="edge"/>
          <c:yMode val="edge"/>
          <c:x val="1.3865778094642662E-2"/>
          <c:y val="3.177181134849074E-3"/>
        </c:manualLayout>
      </c:layout>
      <c:overlay val="0"/>
      <c:spPr>
        <a:noFill/>
        <a:ln>
          <a:noFill/>
        </a:ln>
        <a:effectLst/>
      </c:spPr>
      <c:txPr>
        <a:bodyPr rot="0" spcFirstLastPara="1" vertOverflow="ellipsis" vert="horz" wrap="square" anchor="ctr" anchorCtr="1"/>
        <a:lstStyle/>
        <a:p>
          <a:pPr marL="0" marR="0" lvl="0" indent="0" algn="l"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Sorts Mill Goudy" panose="02000503000000000000" pitchFamily="2" charset="0"/>
              <a:ea typeface="+mn-ea"/>
              <a:cs typeface="+mn-cs"/>
            </a:defRPr>
          </a:pPr>
          <a:endParaRPr lang="en-US"/>
        </a:p>
      </c:txPr>
    </c:title>
    <c:autoTitleDeleted val="0"/>
    <c:plotArea>
      <c:layout/>
      <c:barChart>
        <c:barDir val="col"/>
        <c:grouping val="clustered"/>
        <c:varyColors val="0"/>
        <c:ser>
          <c:idx val="1"/>
          <c:order val="0"/>
          <c:tx>
            <c:strRef>
              <c:f>Output.NPVDistributions!$K$51</c:f>
              <c:strCache>
                <c:ptCount val="1"/>
                <c:pt idx="0">
                  <c:v>Cumulative</c:v>
                </c:pt>
              </c:strCache>
            </c:strRef>
          </c:tx>
          <c:spPr>
            <a:solidFill>
              <a:schemeClr val="accent6">
                <a:lumMod val="75000"/>
              </a:schemeClr>
            </a:solidFill>
            <a:ln>
              <a:noFill/>
            </a:ln>
            <a:effectLst/>
          </c:spPr>
          <c:invertIfNegative val="0"/>
          <c:dPt>
            <c:idx val="1"/>
            <c:invertIfNegative val="0"/>
            <c:bubble3D val="0"/>
            <c:spPr>
              <a:solidFill>
                <a:srgbClr val="FE0000">
                  <a:alpha val="25098"/>
                </a:srgbClr>
              </a:solidFill>
              <a:ln>
                <a:noFill/>
              </a:ln>
              <a:effectLst/>
            </c:spPr>
            <c:extLst>
              <c:ext xmlns:c16="http://schemas.microsoft.com/office/drawing/2014/chart" uri="{C3380CC4-5D6E-409C-BE32-E72D297353CC}">
                <c16:uniqueId val="{00000001-2E06-4060-BAB0-45F4C7BE99DA}"/>
              </c:ext>
            </c:extLst>
          </c:dPt>
          <c:dPt>
            <c:idx val="2"/>
            <c:invertIfNegative val="0"/>
            <c:bubble3D val="0"/>
            <c:spPr>
              <a:solidFill>
                <a:srgbClr val="FE0000">
                  <a:alpha val="25098"/>
                </a:srgbClr>
              </a:solidFill>
              <a:ln>
                <a:noFill/>
              </a:ln>
              <a:effectLst/>
            </c:spPr>
            <c:extLst>
              <c:ext xmlns:c16="http://schemas.microsoft.com/office/drawing/2014/chart" uri="{C3380CC4-5D6E-409C-BE32-E72D297353CC}">
                <c16:uniqueId val="{00000002-2E06-4060-BAB0-45F4C7BE99DA}"/>
              </c:ext>
            </c:extLst>
          </c:dPt>
          <c:cat>
            <c:numRef>
              <c:f>Output.NPVDistributions!$H$52:$H$67</c:f>
              <c:numCache>
                <c:formatCode>0</c:formatCode>
                <c:ptCount val="16"/>
                <c:pt idx="0">
                  <c:v>-4000</c:v>
                </c:pt>
                <c:pt idx="1">
                  <c:v>-2000</c:v>
                </c:pt>
                <c:pt idx="2">
                  <c:v>0</c:v>
                </c:pt>
                <c:pt idx="3">
                  <c:v>2000</c:v>
                </c:pt>
                <c:pt idx="4">
                  <c:v>4000</c:v>
                </c:pt>
                <c:pt idx="5">
                  <c:v>6000</c:v>
                </c:pt>
                <c:pt idx="6">
                  <c:v>8000</c:v>
                </c:pt>
                <c:pt idx="7">
                  <c:v>10000</c:v>
                </c:pt>
                <c:pt idx="8">
                  <c:v>12000</c:v>
                </c:pt>
                <c:pt idx="9">
                  <c:v>14000</c:v>
                </c:pt>
                <c:pt idx="10">
                  <c:v>16000</c:v>
                </c:pt>
                <c:pt idx="11">
                  <c:v>18000</c:v>
                </c:pt>
                <c:pt idx="12">
                  <c:v>20000</c:v>
                </c:pt>
                <c:pt idx="13">
                  <c:v>22000</c:v>
                </c:pt>
                <c:pt idx="14">
                  <c:v>24000</c:v>
                </c:pt>
                <c:pt idx="15">
                  <c:v>26000</c:v>
                </c:pt>
              </c:numCache>
            </c:numRef>
          </c:cat>
          <c:val>
            <c:numRef>
              <c:f>Output.NPVDistributions!$K$52:$K$67</c:f>
              <c:numCache>
                <c:formatCode>0.00</c:formatCode>
                <c:ptCount val="16"/>
                <c:pt idx="0">
                  <c:v>0</c:v>
                </c:pt>
                <c:pt idx="1">
                  <c:v>1.5984015984015984E-2</c:v>
                </c:pt>
                <c:pt idx="2">
                  <c:v>0.12587412587412589</c:v>
                </c:pt>
                <c:pt idx="3">
                  <c:v>0.34865134865134867</c:v>
                </c:pt>
                <c:pt idx="4">
                  <c:v>0.55644355644355648</c:v>
                </c:pt>
                <c:pt idx="5">
                  <c:v>0.72927072927072933</c:v>
                </c:pt>
                <c:pt idx="6">
                  <c:v>0.83716283716283724</c:v>
                </c:pt>
                <c:pt idx="7">
                  <c:v>0.90109890109890123</c:v>
                </c:pt>
                <c:pt idx="8">
                  <c:v>0.95204795204795223</c:v>
                </c:pt>
                <c:pt idx="9">
                  <c:v>0.96803196803196823</c:v>
                </c:pt>
                <c:pt idx="10">
                  <c:v>0.98101898101898122</c:v>
                </c:pt>
                <c:pt idx="11">
                  <c:v>0.98601398601398627</c:v>
                </c:pt>
                <c:pt idx="12">
                  <c:v>0.99100899100899131</c:v>
                </c:pt>
                <c:pt idx="13">
                  <c:v>0.99500499500499529</c:v>
                </c:pt>
                <c:pt idx="14">
                  <c:v>0.99900099900099926</c:v>
                </c:pt>
                <c:pt idx="15">
                  <c:v>1.0000000000000002</c:v>
                </c:pt>
              </c:numCache>
            </c:numRef>
          </c:val>
          <c:extLst>
            <c:ext xmlns:c16="http://schemas.microsoft.com/office/drawing/2014/chart" uri="{C3380CC4-5D6E-409C-BE32-E72D297353CC}">
              <c16:uniqueId val="{00000000-2E06-4060-BAB0-45F4C7BE99DA}"/>
            </c:ext>
          </c:extLst>
        </c:ser>
        <c:dLbls>
          <c:showLegendKey val="0"/>
          <c:showVal val="0"/>
          <c:showCatName val="0"/>
          <c:showSerName val="0"/>
          <c:showPercent val="0"/>
          <c:showBubbleSize val="0"/>
        </c:dLbls>
        <c:gapWidth val="2"/>
        <c:axId val="943147216"/>
        <c:axId val="943147696"/>
      </c:barChart>
      <c:catAx>
        <c:axId val="9431472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Sorts Mill Goudy" panose="02000503000000000000" pitchFamily="2" charset="0"/>
                    <a:ea typeface="+mn-ea"/>
                    <a:cs typeface="+mn-cs"/>
                  </a:defRPr>
                </a:pPr>
                <a:r>
                  <a:rPr lang="en-GB" b="1"/>
                  <a:t>Post-tax NPV ($M)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title>
        <c:numFmt formatCode="0"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crossAx val="943147696"/>
        <c:crosses val="autoZero"/>
        <c:auto val="1"/>
        <c:lblAlgn val="ctr"/>
        <c:lblOffset val="100"/>
        <c:noMultiLvlLbl val="0"/>
      </c:catAx>
      <c:valAx>
        <c:axId val="943147696"/>
        <c:scaling>
          <c:orientation val="minMax"/>
          <c:max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Sorts Mill Goudy" panose="02000503000000000000" pitchFamily="2" charset="0"/>
                    <a:ea typeface="+mn-ea"/>
                    <a:cs typeface="+mn-cs"/>
                  </a:defRPr>
                </a:pPr>
                <a:r>
                  <a:rPr lang="en-GB" b="1"/>
                  <a:t>Probability</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crossAx val="943147216"/>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latin typeface="Sorts Mill Goudy" panose="02000503000000000000" pitchFamily="2"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Sorts Mill Goudy" panose="02000503000000000000" pitchFamily="2" charset="0"/>
                <a:ea typeface="+mn-ea"/>
                <a:cs typeface="+mn-cs"/>
              </a:defRPr>
            </a:pPr>
            <a:r>
              <a:rPr lang="en-GB" b="1"/>
              <a:t>Probability distribution of </a:t>
            </a:r>
            <a:r>
              <a:rPr lang="en-GB" b="1" baseline="0">
                <a:solidFill>
                  <a:schemeClr val="accent6">
                    <a:lumMod val="60000"/>
                    <a:lumOff val="40000"/>
                  </a:schemeClr>
                </a:solidFill>
              </a:rPr>
              <a:t>nominal </a:t>
            </a:r>
            <a:r>
              <a:rPr lang="en-GB" b="1"/>
              <a:t>oil</a:t>
            </a:r>
            <a:r>
              <a:rPr lang="en-GB" b="1" baseline="0"/>
              <a:t> price between 1974 and 2024</a:t>
            </a:r>
            <a:endParaRPr lang="en-GB" b="1"/>
          </a:p>
          <a:p>
            <a:pPr algn="l">
              <a:defRPr/>
            </a:pPr>
            <a:r>
              <a:rPr lang="en-GB" sz="1000">
                <a:solidFill>
                  <a:schemeClr val="tx2"/>
                </a:solidFill>
              </a:rPr>
              <a:t>*Oil</a:t>
            </a:r>
            <a:r>
              <a:rPr lang="en-GB" sz="1000" baseline="0">
                <a:solidFill>
                  <a:schemeClr val="tx2"/>
                </a:solidFill>
              </a:rPr>
              <a:t> price</a:t>
            </a:r>
            <a:r>
              <a:rPr lang="en-GB" sz="1000">
                <a:solidFill>
                  <a:schemeClr val="tx2"/>
                </a:solidFill>
              </a:rPr>
              <a:t> axis represents</a:t>
            </a:r>
            <a:r>
              <a:rPr lang="en-GB" sz="1000" baseline="0">
                <a:solidFill>
                  <a:schemeClr val="tx2"/>
                </a:solidFill>
              </a:rPr>
              <a:t> the upper bound (e.g. 130 shows all prices between 117.9 and 130)</a:t>
            </a:r>
            <a:endParaRPr lang="en-GB" sz="1000">
              <a:solidFill>
                <a:schemeClr val="tx2"/>
              </a:solidFill>
            </a:endParaRPr>
          </a:p>
        </c:rich>
      </c:tx>
      <c:layout>
        <c:manualLayout>
          <c:xMode val="edge"/>
          <c:yMode val="edge"/>
          <c:x val="1.3865778094642662E-2"/>
          <c:y val="3.177181134849074E-3"/>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Sorts Mill Goudy" panose="02000503000000000000" pitchFamily="2" charset="0"/>
              <a:ea typeface="+mn-ea"/>
              <a:cs typeface="+mn-cs"/>
            </a:defRPr>
          </a:pPr>
          <a:endParaRPr lang="en-US"/>
        </a:p>
      </c:txPr>
    </c:title>
    <c:autoTitleDeleted val="0"/>
    <c:plotArea>
      <c:layout/>
      <c:barChart>
        <c:barDir val="col"/>
        <c:grouping val="clustered"/>
        <c:varyColors val="0"/>
        <c:ser>
          <c:idx val="1"/>
          <c:order val="0"/>
          <c:tx>
            <c:strRef>
              <c:f>Output.OilPriceDistributions!$J$29</c:f>
              <c:strCache>
                <c:ptCount val="1"/>
                <c:pt idx="0">
                  <c:v>Probability</c:v>
                </c:pt>
              </c:strCache>
            </c:strRef>
          </c:tx>
          <c:spPr>
            <a:solidFill>
              <a:schemeClr val="accent6">
                <a:lumMod val="60000"/>
                <a:lumOff val="40000"/>
              </a:schemeClr>
            </a:solidFill>
            <a:ln>
              <a:noFill/>
            </a:ln>
            <a:effectLst/>
          </c:spPr>
          <c:invertIfNegative val="0"/>
          <c:cat>
            <c:numRef>
              <c:f>Output.OilPriceDistributions!$H$30:$H$39</c:f>
              <c:numCache>
                <c:formatCode>0.0</c:formatCode>
                <c:ptCount val="10"/>
                <c:pt idx="0">
                  <c:v>21.1</c:v>
                </c:pt>
                <c:pt idx="1">
                  <c:v>33.200000000000003</c:v>
                </c:pt>
                <c:pt idx="2">
                  <c:v>45.3</c:v>
                </c:pt>
                <c:pt idx="3">
                  <c:v>57.4</c:v>
                </c:pt>
                <c:pt idx="4">
                  <c:v>69.5</c:v>
                </c:pt>
                <c:pt idx="5">
                  <c:v>81.599999999999994</c:v>
                </c:pt>
                <c:pt idx="6">
                  <c:v>93.7</c:v>
                </c:pt>
                <c:pt idx="7">
                  <c:v>105.8</c:v>
                </c:pt>
                <c:pt idx="8">
                  <c:v>117.9</c:v>
                </c:pt>
                <c:pt idx="9">
                  <c:v>130</c:v>
                </c:pt>
              </c:numCache>
            </c:numRef>
          </c:cat>
          <c:val>
            <c:numRef>
              <c:f>Output.OilPriceDistributions!$J$30:$J$39</c:f>
              <c:numCache>
                <c:formatCode>0.00</c:formatCode>
                <c:ptCount val="10"/>
                <c:pt idx="0">
                  <c:v>0.37043189368770763</c:v>
                </c:pt>
                <c:pt idx="1">
                  <c:v>0.19933554817275748</c:v>
                </c:pt>
                <c:pt idx="2">
                  <c:v>0.10631229235880399</c:v>
                </c:pt>
                <c:pt idx="3">
                  <c:v>8.3056478405315617E-2</c:v>
                </c:pt>
                <c:pt idx="4">
                  <c:v>6.9767441860465115E-2</c:v>
                </c:pt>
                <c:pt idx="5">
                  <c:v>5.647840531561462E-2</c:v>
                </c:pt>
                <c:pt idx="6">
                  <c:v>3.4883720930232558E-2</c:v>
                </c:pt>
                <c:pt idx="7">
                  <c:v>5.647840531561462E-2</c:v>
                </c:pt>
                <c:pt idx="8">
                  <c:v>1.9933554817275746E-2</c:v>
                </c:pt>
                <c:pt idx="9">
                  <c:v>3.3222591362126247E-3</c:v>
                </c:pt>
              </c:numCache>
            </c:numRef>
          </c:val>
          <c:extLst>
            <c:ext xmlns:c16="http://schemas.microsoft.com/office/drawing/2014/chart" uri="{C3380CC4-5D6E-409C-BE32-E72D297353CC}">
              <c16:uniqueId val="{00000000-650B-4F28-BF17-392776038658}"/>
            </c:ext>
          </c:extLst>
        </c:ser>
        <c:dLbls>
          <c:showLegendKey val="0"/>
          <c:showVal val="0"/>
          <c:showCatName val="0"/>
          <c:showSerName val="0"/>
          <c:showPercent val="0"/>
          <c:showBubbleSize val="0"/>
        </c:dLbls>
        <c:gapWidth val="2"/>
        <c:axId val="943147216"/>
        <c:axId val="943147696"/>
      </c:barChart>
      <c:catAx>
        <c:axId val="9431472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Sorts Mill Goudy" panose="02000503000000000000" pitchFamily="2" charset="0"/>
                    <a:ea typeface="+mn-ea"/>
                    <a:cs typeface="+mn-cs"/>
                  </a:defRPr>
                </a:pPr>
                <a:r>
                  <a:rPr lang="en-GB" b="1"/>
                  <a:t>Nominal</a:t>
                </a:r>
                <a:r>
                  <a:rPr lang="en-GB" b="1" baseline="0"/>
                  <a:t> o</a:t>
                </a:r>
                <a:r>
                  <a:rPr lang="en-GB" b="1"/>
                  <a:t>il</a:t>
                </a:r>
                <a:r>
                  <a:rPr lang="en-GB" b="1" baseline="0"/>
                  <a:t> price</a:t>
                </a:r>
                <a:r>
                  <a:rPr lang="en-GB" b="1"/>
                  <a:t>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title>
        <c:numFmt formatCode="0.0"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crossAx val="943147696"/>
        <c:crosses val="autoZero"/>
        <c:auto val="1"/>
        <c:lblAlgn val="ctr"/>
        <c:lblOffset val="100"/>
        <c:noMultiLvlLbl val="0"/>
      </c:catAx>
      <c:valAx>
        <c:axId val="9431476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Sorts Mill Goudy" panose="02000503000000000000" pitchFamily="2" charset="0"/>
                    <a:ea typeface="+mn-ea"/>
                    <a:cs typeface="+mn-cs"/>
                  </a:defRPr>
                </a:pPr>
                <a:r>
                  <a:rPr lang="en-GB" b="1"/>
                  <a:t>Probability</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crossAx val="943147216"/>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latin typeface="Sorts Mill Goudy" panose="02000503000000000000" pitchFamily="2" charset="0"/>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Sorts Mill Goudy" panose="02000503000000000000" pitchFamily="2" charset="0"/>
                <a:ea typeface="+mn-ea"/>
                <a:cs typeface="+mn-cs"/>
              </a:defRPr>
            </a:pPr>
            <a:r>
              <a:rPr lang="en-GB" b="1"/>
              <a:t>Cumulative probability</a:t>
            </a:r>
            <a:r>
              <a:rPr lang="en-GB" b="1" baseline="0"/>
              <a:t> </a:t>
            </a:r>
            <a:r>
              <a:rPr lang="en-GB" b="1"/>
              <a:t>of </a:t>
            </a:r>
            <a:r>
              <a:rPr lang="en-GB" b="1" baseline="0">
                <a:solidFill>
                  <a:schemeClr val="accent6">
                    <a:lumMod val="60000"/>
                    <a:lumOff val="40000"/>
                  </a:schemeClr>
                </a:solidFill>
              </a:rPr>
              <a:t>nominal </a:t>
            </a:r>
            <a:r>
              <a:rPr lang="en-GB" b="1"/>
              <a:t>oil</a:t>
            </a:r>
            <a:r>
              <a:rPr lang="en-GB" b="1" baseline="0"/>
              <a:t> price between 1974 and 2024</a:t>
            </a:r>
            <a:endParaRPr lang="en-GB" b="1"/>
          </a:p>
          <a:p>
            <a:pPr algn="l">
              <a:defRPr/>
            </a:pPr>
            <a:r>
              <a:rPr lang="en-GB" sz="1000">
                <a:solidFill>
                  <a:schemeClr val="tx2"/>
                </a:solidFill>
              </a:rPr>
              <a:t>*Oil</a:t>
            </a:r>
            <a:r>
              <a:rPr lang="en-GB" sz="1000" baseline="0">
                <a:solidFill>
                  <a:schemeClr val="tx2"/>
                </a:solidFill>
              </a:rPr>
              <a:t> price</a:t>
            </a:r>
            <a:r>
              <a:rPr lang="en-GB" sz="1000">
                <a:solidFill>
                  <a:schemeClr val="tx2"/>
                </a:solidFill>
              </a:rPr>
              <a:t> axis represents</a:t>
            </a:r>
            <a:r>
              <a:rPr lang="en-GB" sz="1000" baseline="0">
                <a:solidFill>
                  <a:schemeClr val="tx2"/>
                </a:solidFill>
              </a:rPr>
              <a:t> the upper bound (e.g. 130 shows all prices between 117.9 and 130)</a:t>
            </a:r>
            <a:endParaRPr lang="en-GB" sz="1000">
              <a:solidFill>
                <a:schemeClr val="tx2"/>
              </a:solidFill>
            </a:endParaRPr>
          </a:p>
        </c:rich>
      </c:tx>
      <c:layout>
        <c:manualLayout>
          <c:xMode val="edge"/>
          <c:yMode val="edge"/>
          <c:x val="1.3865778094642662E-2"/>
          <c:y val="3.177181134849074E-3"/>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Sorts Mill Goudy" panose="02000503000000000000" pitchFamily="2" charset="0"/>
              <a:ea typeface="+mn-ea"/>
              <a:cs typeface="+mn-cs"/>
            </a:defRPr>
          </a:pPr>
          <a:endParaRPr lang="en-US"/>
        </a:p>
      </c:txPr>
    </c:title>
    <c:autoTitleDeleted val="0"/>
    <c:plotArea>
      <c:layout/>
      <c:barChart>
        <c:barDir val="col"/>
        <c:grouping val="clustered"/>
        <c:varyColors val="0"/>
        <c:ser>
          <c:idx val="1"/>
          <c:order val="0"/>
          <c:tx>
            <c:strRef>
              <c:f>Output.OilPriceDistributions!$K$29</c:f>
              <c:strCache>
                <c:ptCount val="1"/>
                <c:pt idx="0">
                  <c:v>Cumulative</c:v>
                </c:pt>
              </c:strCache>
            </c:strRef>
          </c:tx>
          <c:spPr>
            <a:solidFill>
              <a:schemeClr val="accent6">
                <a:lumMod val="60000"/>
                <a:lumOff val="40000"/>
              </a:schemeClr>
            </a:solidFill>
            <a:ln>
              <a:noFill/>
            </a:ln>
            <a:effectLst/>
          </c:spPr>
          <c:invertIfNegative val="0"/>
          <c:cat>
            <c:numRef>
              <c:f>Output.OilPriceDistributions!$H$30:$H$39</c:f>
              <c:numCache>
                <c:formatCode>0.0</c:formatCode>
                <c:ptCount val="10"/>
                <c:pt idx="0">
                  <c:v>21.1</c:v>
                </c:pt>
                <c:pt idx="1">
                  <c:v>33.200000000000003</c:v>
                </c:pt>
                <c:pt idx="2">
                  <c:v>45.3</c:v>
                </c:pt>
                <c:pt idx="3">
                  <c:v>57.4</c:v>
                </c:pt>
                <c:pt idx="4">
                  <c:v>69.5</c:v>
                </c:pt>
                <c:pt idx="5">
                  <c:v>81.599999999999994</c:v>
                </c:pt>
                <c:pt idx="6">
                  <c:v>93.7</c:v>
                </c:pt>
                <c:pt idx="7">
                  <c:v>105.8</c:v>
                </c:pt>
                <c:pt idx="8">
                  <c:v>117.9</c:v>
                </c:pt>
                <c:pt idx="9">
                  <c:v>130</c:v>
                </c:pt>
              </c:numCache>
            </c:numRef>
          </c:cat>
          <c:val>
            <c:numRef>
              <c:f>Output.OilPriceDistributions!$K$30:$K$39</c:f>
              <c:numCache>
                <c:formatCode>0.00</c:formatCode>
                <c:ptCount val="10"/>
                <c:pt idx="0">
                  <c:v>0.37043189368770763</c:v>
                </c:pt>
                <c:pt idx="1">
                  <c:v>0.56976744186046513</c:v>
                </c:pt>
                <c:pt idx="2">
                  <c:v>0.67607973421926915</c:v>
                </c:pt>
                <c:pt idx="3">
                  <c:v>0.75913621262458475</c:v>
                </c:pt>
                <c:pt idx="4">
                  <c:v>0.82890365448504988</c:v>
                </c:pt>
                <c:pt idx="5">
                  <c:v>0.88538205980066453</c:v>
                </c:pt>
                <c:pt idx="6">
                  <c:v>0.92026578073089704</c:v>
                </c:pt>
                <c:pt idx="7">
                  <c:v>0.9767441860465117</c:v>
                </c:pt>
                <c:pt idx="8">
                  <c:v>0.99667774086378746</c:v>
                </c:pt>
                <c:pt idx="9">
                  <c:v>1</c:v>
                </c:pt>
              </c:numCache>
            </c:numRef>
          </c:val>
          <c:extLst>
            <c:ext xmlns:c16="http://schemas.microsoft.com/office/drawing/2014/chart" uri="{C3380CC4-5D6E-409C-BE32-E72D297353CC}">
              <c16:uniqueId val="{00000000-5D38-4E71-AD79-0478E4388756}"/>
            </c:ext>
          </c:extLst>
        </c:ser>
        <c:dLbls>
          <c:showLegendKey val="0"/>
          <c:showVal val="0"/>
          <c:showCatName val="0"/>
          <c:showSerName val="0"/>
          <c:showPercent val="0"/>
          <c:showBubbleSize val="0"/>
        </c:dLbls>
        <c:gapWidth val="2"/>
        <c:axId val="943147216"/>
        <c:axId val="943147696"/>
      </c:barChart>
      <c:catAx>
        <c:axId val="9431472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Sorts Mill Goudy" panose="02000503000000000000" pitchFamily="2" charset="0"/>
                    <a:ea typeface="+mn-ea"/>
                    <a:cs typeface="+mn-cs"/>
                  </a:defRPr>
                </a:pPr>
                <a:r>
                  <a:rPr lang="en-GB" b="1"/>
                  <a:t>Nominal</a:t>
                </a:r>
                <a:r>
                  <a:rPr lang="en-GB" b="1" baseline="0"/>
                  <a:t> o</a:t>
                </a:r>
                <a:r>
                  <a:rPr lang="en-GB" b="1"/>
                  <a:t>il</a:t>
                </a:r>
                <a:r>
                  <a:rPr lang="en-GB" b="1" baseline="0"/>
                  <a:t> price</a:t>
                </a:r>
                <a:r>
                  <a:rPr lang="en-GB" b="1"/>
                  <a:t>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title>
        <c:numFmt formatCode="0.0"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crossAx val="943147696"/>
        <c:crosses val="autoZero"/>
        <c:auto val="1"/>
        <c:lblAlgn val="ctr"/>
        <c:lblOffset val="100"/>
        <c:noMultiLvlLbl val="0"/>
      </c:catAx>
      <c:valAx>
        <c:axId val="943147696"/>
        <c:scaling>
          <c:orientation val="minMax"/>
          <c:max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Sorts Mill Goudy" panose="02000503000000000000" pitchFamily="2" charset="0"/>
                    <a:ea typeface="+mn-ea"/>
                    <a:cs typeface="+mn-cs"/>
                  </a:defRPr>
                </a:pPr>
                <a:r>
                  <a:rPr lang="en-GB" b="1"/>
                  <a:t>Probability</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crossAx val="943147216"/>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latin typeface="Sorts Mill Goudy" panose="02000503000000000000" pitchFamily="2" charset="0"/>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Sorts Mill Goudy" panose="02000503000000000000" pitchFamily="2" charset="0"/>
                <a:ea typeface="+mn-ea"/>
                <a:cs typeface="+mn-cs"/>
              </a:defRPr>
            </a:pPr>
            <a:r>
              <a:rPr lang="en-GB" b="1"/>
              <a:t>Probability distribution of </a:t>
            </a:r>
            <a:r>
              <a:rPr lang="en-GB" b="1" baseline="0">
                <a:solidFill>
                  <a:schemeClr val="accent6">
                    <a:lumMod val="75000"/>
                  </a:schemeClr>
                </a:solidFill>
              </a:rPr>
              <a:t>inflation-adjusted</a:t>
            </a:r>
            <a:r>
              <a:rPr lang="en-GB" b="1" baseline="0">
                <a:solidFill>
                  <a:schemeClr val="accent6">
                    <a:lumMod val="60000"/>
                    <a:lumOff val="40000"/>
                  </a:schemeClr>
                </a:solidFill>
              </a:rPr>
              <a:t> </a:t>
            </a:r>
            <a:r>
              <a:rPr lang="en-GB" b="1"/>
              <a:t>oil</a:t>
            </a:r>
            <a:r>
              <a:rPr lang="en-GB" b="1" baseline="0"/>
              <a:t> price between 1974 and 2024</a:t>
            </a:r>
            <a:endParaRPr lang="en-GB" b="1"/>
          </a:p>
          <a:p>
            <a:pPr algn="l">
              <a:defRPr/>
            </a:pPr>
            <a:r>
              <a:rPr lang="en-GB" sz="1000">
                <a:solidFill>
                  <a:schemeClr val="tx2"/>
                </a:solidFill>
              </a:rPr>
              <a:t>*Oil</a:t>
            </a:r>
            <a:r>
              <a:rPr lang="en-GB" sz="1000" baseline="0">
                <a:solidFill>
                  <a:schemeClr val="tx2"/>
                </a:solidFill>
              </a:rPr>
              <a:t> price</a:t>
            </a:r>
            <a:r>
              <a:rPr lang="en-GB" sz="1000">
                <a:solidFill>
                  <a:schemeClr val="tx2"/>
                </a:solidFill>
              </a:rPr>
              <a:t> axis represents</a:t>
            </a:r>
            <a:r>
              <a:rPr lang="en-GB" sz="1000" baseline="0">
                <a:solidFill>
                  <a:schemeClr val="tx2"/>
                </a:solidFill>
              </a:rPr>
              <a:t> the upper bound (e.g. 130 shows all prices between 164.3 and 181.7)</a:t>
            </a:r>
            <a:endParaRPr lang="en-GB" sz="1000">
              <a:solidFill>
                <a:schemeClr val="tx2"/>
              </a:solidFill>
            </a:endParaRPr>
          </a:p>
        </c:rich>
      </c:tx>
      <c:layout>
        <c:manualLayout>
          <c:xMode val="edge"/>
          <c:yMode val="edge"/>
          <c:x val="1.3865778094642662E-2"/>
          <c:y val="3.177181134849074E-3"/>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Sorts Mill Goudy" panose="02000503000000000000" pitchFamily="2" charset="0"/>
              <a:ea typeface="+mn-ea"/>
              <a:cs typeface="+mn-cs"/>
            </a:defRPr>
          </a:pPr>
          <a:endParaRPr lang="en-US"/>
        </a:p>
      </c:txPr>
    </c:title>
    <c:autoTitleDeleted val="0"/>
    <c:plotArea>
      <c:layout/>
      <c:barChart>
        <c:barDir val="col"/>
        <c:grouping val="clustered"/>
        <c:varyColors val="0"/>
        <c:ser>
          <c:idx val="0"/>
          <c:order val="0"/>
          <c:tx>
            <c:strRef>
              <c:f>Output.OilPriceDistributions!$J$51</c:f>
              <c:strCache>
                <c:ptCount val="1"/>
                <c:pt idx="0">
                  <c:v>Probability</c:v>
                </c:pt>
              </c:strCache>
            </c:strRef>
          </c:tx>
          <c:spPr>
            <a:solidFill>
              <a:schemeClr val="accent6">
                <a:lumMod val="75000"/>
              </a:schemeClr>
            </a:solidFill>
            <a:ln>
              <a:noFill/>
            </a:ln>
            <a:effectLst/>
          </c:spPr>
          <c:invertIfNegative val="0"/>
          <c:cat>
            <c:numRef>
              <c:f>Output.OilPriceDistributions!$H$52:$H$61</c:f>
              <c:numCache>
                <c:formatCode>0.0</c:formatCode>
                <c:ptCount val="10"/>
                <c:pt idx="0">
                  <c:v>25.1</c:v>
                </c:pt>
                <c:pt idx="1">
                  <c:v>42.5</c:v>
                </c:pt>
                <c:pt idx="2">
                  <c:v>59.9</c:v>
                </c:pt>
                <c:pt idx="3">
                  <c:v>77.3</c:v>
                </c:pt>
                <c:pt idx="4">
                  <c:v>94.7</c:v>
                </c:pt>
                <c:pt idx="5">
                  <c:v>112.1</c:v>
                </c:pt>
                <c:pt idx="6">
                  <c:v>129.5</c:v>
                </c:pt>
                <c:pt idx="7">
                  <c:v>146.9</c:v>
                </c:pt>
                <c:pt idx="8">
                  <c:v>164.3</c:v>
                </c:pt>
                <c:pt idx="9">
                  <c:v>181.7</c:v>
                </c:pt>
              </c:numCache>
            </c:numRef>
          </c:cat>
          <c:val>
            <c:numRef>
              <c:f>Output.OilPriceDistributions!$J$52:$J$61</c:f>
              <c:numCache>
                <c:formatCode>0.00</c:formatCode>
                <c:ptCount val="10"/>
                <c:pt idx="0">
                  <c:v>2.3255813953488372E-2</c:v>
                </c:pt>
                <c:pt idx="1">
                  <c:v>0.21096345514950166</c:v>
                </c:pt>
                <c:pt idx="2">
                  <c:v>0.19102990033222592</c:v>
                </c:pt>
                <c:pt idx="3">
                  <c:v>0.19767441860465115</c:v>
                </c:pt>
                <c:pt idx="4">
                  <c:v>0.14784053156146179</c:v>
                </c:pt>
                <c:pt idx="5">
                  <c:v>7.9734219269102985E-2</c:v>
                </c:pt>
                <c:pt idx="6">
                  <c:v>7.3089700996677748E-2</c:v>
                </c:pt>
                <c:pt idx="7">
                  <c:v>5.8139534883720929E-2</c:v>
                </c:pt>
                <c:pt idx="8">
                  <c:v>1.3289036544850499E-2</c:v>
                </c:pt>
                <c:pt idx="9">
                  <c:v>4.9833887043189366E-3</c:v>
                </c:pt>
              </c:numCache>
            </c:numRef>
          </c:val>
          <c:extLst>
            <c:ext xmlns:c16="http://schemas.microsoft.com/office/drawing/2014/chart" uri="{C3380CC4-5D6E-409C-BE32-E72D297353CC}">
              <c16:uniqueId val="{00000000-55DA-4096-9A07-D1AA0514606D}"/>
            </c:ext>
          </c:extLst>
        </c:ser>
        <c:dLbls>
          <c:showLegendKey val="0"/>
          <c:showVal val="0"/>
          <c:showCatName val="0"/>
          <c:showSerName val="0"/>
          <c:showPercent val="0"/>
          <c:showBubbleSize val="0"/>
        </c:dLbls>
        <c:gapWidth val="2"/>
        <c:axId val="943147216"/>
        <c:axId val="943147696"/>
      </c:barChart>
      <c:catAx>
        <c:axId val="9431472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Sorts Mill Goudy" panose="02000503000000000000" pitchFamily="2" charset="0"/>
                    <a:ea typeface="+mn-ea"/>
                    <a:cs typeface="+mn-cs"/>
                  </a:defRPr>
                </a:pPr>
                <a:r>
                  <a:rPr lang="en-GB" b="1"/>
                  <a:t>Inflation-adjusted </a:t>
                </a:r>
                <a:r>
                  <a:rPr lang="en-GB" b="1" baseline="0"/>
                  <a:t>o</a:t>
                </a:r>
                <a:r>
                  <a:rPr lang="en-GB" b="1"/>
                  <a:t>il</a:t>
                </a:r>
                <a:r>
                  <a:rPr lang="en-GB" b="1" baseline="0"/>
                  <a:t> price</a:t>
                </a:r>
                <a:r>
                  <a:rPr lang="en-GB" b="1"/>
                  <a:t>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title>
        <c:numFmt formatCode="0.0"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crossAx val="943147696"/>
        <c:crosses val="autoZero"/>
        <c:auto val="1"/>
        <c:lblAlgn val="ctr"/>
        <c:lblOffset val="100"/>
        <c:noMultiLvlLbl val="0"/>
      </c:catAx>
      <c:valAx>
        <c:axId val="9431476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Sorts Mill Goudy" panose="02000503000000000000" pitchFamily="2" charset="0"/>
                    <a:ea typeface="+mn-ea"/>
                    <a:cs typeface="+mn-cs"/>
                  </a:defRPr>
                </a:pPr>
                <a:r>
                  <a:rPr lang="en-GB" b="1"/>
                  <a:t>Probability</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crossAx val="943147216"/>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latin typeface="Sorts Mill Goudy" panose="02000503000000000000" pitchFamily="2" charset="0"/>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Sorts Mill Goudy" panose="02000503000000000000" pitchFamily="2" charset="0"/>
                <a:ea typeface="+mn-ea"/>
                <a:cs typeface="+mn-cs"/>
              </a:defRPr>
            </a:pPr>
            <a:r>
              <a:rPr lang="en-GB" b="1"/>
              <a:t>Cumulative probability of </a:t>
            </a:r>
            <a:r>
              <a:rPr lang="en-GB" b="1" baseline="0">
                <a:solidFill>
                  <a:schemeClr val="accent6">
                    <a:lumMod val="75000"/>
                  </a:schemeClr>
                </a:solidFill>
              </a:rPr>
              <a:t>inflation-adjusted</a:t>
            </a:r>
            <a:r>
              <a:rPr lang="en-GB" b="1" baseline="0">
                <a:solidFill>
                  <a:schemeClr val="accent6">
                    <a:lumMod val="60000"/>
                    <a:lumOff val="40000"/>
                  </a:schemeClr>
                </a:solidFill>
              </a:rPr>
              <a:t> </a:t>
            </a:r>
            <a:r>
              <a:rPr lang="en-GB" b="1"/>
              <a:t>oil</a:t>
            </a:r>
            <a:r>
              <a:rPr lang="en-GB" b="1" baseline="0"/>
              <a:t> price between 1974 and 2024</a:t>
            </a:r>
            <a:endParaRPr lang="en-GB" b="1"/>
          </a:p>
          <a:p>
            <a:pPr algn="l">
              <a:defRPr/>
            </a:pPr>
            <a:r>
              <a:rPr lang="en-GB" sz="1000">
                <a:solidFill>
                  <a:schemeClr val="tx2"/>
                </a:solidFill>
              </a:rPr>
              <a:t>*Oil</a:t>
            </a:r>
            <a:r>
              <a:rPr lang="en-GB" sz="1000" baseline="0">
                <a:solidFill>
                  <a:schemeClr val="tx2"/>
                </a:solidFill>
              </a:rPr>
              <a:t> price</a:t>
            </a:r>
            <a:r>
              <a:rPr lang="en-GB" sz="1000">
                <a:solidFill>
                  <a:schemeClr val="tx2"/>
                </a:solidFill>
              </a:rPr>
              <a:t> axis represents</a:t>
            </a:r>
            <a:r>
              <a:rPr lang="en-GB" sz="1000" baseline="0">
                <a:solidFill>
                  <a:schemeClr val="tx2"/>
                </a:solidFill>
              </a:rPr>
              <a:t> the upper bound (e.g. 130 shows all prices between 164.3 and 181.7)</a:t>
            </a:r>
            <a:endParaRPr lang="en-GB" sz="1000">
              <a:solidFill>
                <a:schemeClr val="tx2"/>
              </a:solidFill>
            </a:endParaRPr>
          </a:p>
        </c:rich>
      </c:tx>
      <c:layout>
        <c:manualLayout>
          <c:xMode val="edge"/>
          <c:yMode val="edge"/>
          <c:x val="1.3865778094642662E-2"/>
          <c:y val="3.177181134849074E-3"/>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Sorts Mill Goudy" panose="02000503000000000000" pitchFamily="2" charset="0"/>
              <a:ea typeface="+mn-ea"/>
              <a:cs typeface="+mn-cs"/>
            </a:defRPr>
          </a:pPr>
          <a:endParaRPr lang="en-US"/>
        </a:p>
      </c:txPr>
    </c:title>
    <c:autoTitleDeleted val="0"/>
    <c:plotArea>
      <c:layout/>
      <c:barChart>
        <c:barDir val="col"/>
        <c:grouping val="clustered"/>
        <c:varyColors val="0"/>
        <c:ser>
          <c:idx val="0"/>
          <c:order val="0"/>
          <c:tx>
            <c:strRef>
              <c:f>Output.OilPriceDistributions!$K$51</c:f>
              <c:strCache>
                <c:ptCount val="1"/>
                <c:pt idx="0">
                  <c:v>Cumulative</c:v>
                </c:pt>
              </c:strCache>
            </c:strRef>
          </c:tx>
          <c:spPr>
            <a:solidFill>
              <a:schemeClr val="accent6">
                <a:lumMod val="75000"/>
              </a:schemeClr>
            </a:solidFill>
            <a:ln>
              <a:noFill/>
            </a:ln>
            <a:effectLst/>
          </c:spPr>
          <c:invertIfNegative val="0"/>
          <c:cat>
            <c:numRef>
              <c:f>Output.OilPriceDistributions!$H$52:$H$61</c:f>
              <c:numCache>
                <c:formatCode>0.0</c:formatCode>
                <c:ptCount val="10"/>
                <c:pt idx="0">
                  <c:v>25.1</c:v>
                </c:pt>
                <c:pt idx="1">
                  <c:v>42.5</c:v>
                </c:pt>
                <c:pt idx="2">
                  <c:v>59.9</c:v>
                </c:pt>
                <c:pt idx="3">
                  <c:v>77.3</c:v>
                </c:pt>
                <c:pt idx="4">
                  <c:v>94.7</c:v>
                </c:pt>
                <c:pt idx="5">
                  <c:v>112.1</c:v>
                </c:pt>
                <c:pt idx="6">
                  <c:v>129.5</c:v>
                </c:pt>
                <c:pt idx="7">
                  <c:v>146.9</c:v>
                </c:pt>
                <c:pt idx="8">
                  <c:v>164.3</c:v>
                </c:pt>
                <c:pt idx="9">
                  <c:v>181.7</c:v>
                </c:pt>
              </c:numCache>
            </c:numRef>
          </c:cat>
          <c:val>
            <c:numRef>
              <c:f>Output.OilPriceDistributions!$K$52:$K$61</c:f>
              <c:numCache>
                <c:formatCode>0.00</c:formatCode>
                <c:ptCount val="10"/>
                <c:pt idx="0">
                  <c:v>2.3255813953488372E-2</c:v>
                </c:pt>
                <c:pt idx="1">
                  <c:v>0.23421926910299001</c:v>
                </c:pt>
                <c:pt idx="2">
                  <c:v>0.42524916943521596</c:v>
                </c:pt>
                <c:pt idx="3">
                  <c:v>0.62292358803986714</c:v>
                </c:pt>
                <c:pt idx="4">
                  <c:v>0.77076411960132896</c:v>
                </c:pt>
                <c:pt idx="5">
                  <c:v>0.85049833887043191</c:v>
                </c:pt>
                <c:pt idx="6">
                  <c:v>0.92358803986710969</c:v>
                </c:pt>
                <c:pt idx="7">
                  <c:v>0.98172757475083061</c:v>
                </c:pt>
                <c:pt idx="8">
                  <c:v>0.99501661129568109</c:v>
                </c:pt>
                <c:pt idx="9">
                  <c:v>1</c:v>
                </c:pt>
              </c:numCache>
            </c:numRef>
          </c:val>
          <c:extLst>
            <c:ext xmlns:c16="http://schemas.microsoft.com/office/drawing/2014/chart" uri="{C3380CC4-5D6E-409C-BE32-E72D297353CC}">
              <c16:uniqueId val="{00000000-AED1-4F00-9AC1-C78ADD540499}"/>
            </c:ext>
          </c:extLst>
        </c:ser>
        <c:dLbls>
          <c:showLegendKey val="0"/>
          <c:showVal val="0"/>
          <c:showCatName val="0"/>
          <c:showSerName val="0"/>
          <c:showPercent val="0"/>
          <c:showBubbleSize val="0"/>
        </c:dLbls>
        <c:gapWidth val="2"/>
        <c:axId val="943147216"/>
        <c:axId val="943147696"/>
      </c:barChart>
      <c:catAx>
        <c:axId val="9431472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Sorts Mill Goudy" panose="02000503000000000000" pitchFamily="2" charset="0"/>
                    <a:ea typeface="+mn-ea"/>
                    <a:cs typeface="+mn-cs"/>
                  </a:defRPr>
                </a:pPr>
                <a:r>
                  <a:rPr lang="en-GB" b="1"/>
                  <a:t>Inflation-adjusted </a:t>
                </a:r>
                <a:r>
                  <a:rPr lang="en-GB" b="1" baseline="0"/>
                  <a:t>o</a:t>
                </a:r>
                <a:r>
                  <a:rPr lang="en-GB" b="1"/>
                  <a:t>il</a:t>
                </a:r>
                <a:r>
                  <a:rPr lang="en-GB" b="1" baseline="0"/>
                  <a:t> price</a:t>
                </a:r>
                <a:r>
                  <a:rPr lang="en-GB" b="1"/>
                  <a:t>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title>
        <c:numFmt formatCode="0.0"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crossAx val="943147696"/>
        <c:crosses val="autoZero"/>
        <c:auto val="1"/>
        <c:lblAlgn val="ctr"/>
        <c:lblOffset val="100"/>
        <c:noMultiLvlLbl val="0"/>
      </c:catAx>
      <c:valAx>
        <c:axId val="9431476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Sorts Mill Goudy" panose="02000503000000000000" pitchFamily="2" charset="0"/>
                    <a:ea typeface="+mn-ea"/>
                    <a:cs typeface="+mn-cs"/>
                  </a:defRPr>
                </a:pPr>
                <a:r>
                  <a:rPr lang="en-GB" b="1"/>
                  <a:t>Probability</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crossAx val="943147216"/>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latin typeface="Sorts Mill Goudy" panose="02000503000000000000" pitchFamily="2" charset="0"/>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Sorts Mill Goudy" panose="02000503000000000000" pitchFamily="2" charset="0"/>
                <a:ea typeface="+mn-ea"/>
                <a:cs typeface="+mn-cs"/>
              </a:defRPr>
            </a:pPr>
            <a:r>
              <a:rPr lang="en-GB" b="1"/>
              <a:t>Probability distribution of </a:t>
            </a:r>
            <a:r>
              <a:rPr lang="en-GB" b="1">
                <a:solidFill>
                  <a:schemeClr val="accent2">
                    <a:lumMod val="75000"/>
                  </a:schemeClr>
                </a:solidFill>
              </a:rPr>
              <a:t>log-transformed, </a:t>
            </a:r>
            <a:r>
              <a:rPr lang="en-GB" b="1" baseline="0">
                <a:solidFill>
                  <a:schemeClr val="accent2">
                    <a:lumMod val="75000"/>
                  </a:schemeClr>
                </a:solidFill>
              </a:rPr>
              <a:t>inflation-adjusted</a:t>
            </a:r>
            <a:r>
              <a:rPr lang="en-GB" b="1" baseline="0">
                <a:solidFill>
                  <a:schemeClr val="accent6">
                    <a:lumMod val="60000"/>
                    <a:lumOff val="40000"/>
                  </a:schemeClr>
                </a:solidFill>
              </a:rPr>
              <a:t> </a:t>
            </a:r>
            <a:r>
              <a:rPr lang="en-GB" b="1"/>
              <a:t>oil</a:t>
            </a:r>
            <a:r>
              <a:rPr lang="en-GB" b="1" baseline="0"/>
              <a:t> price </a:t>
            </a:r>
            <a:endParaRPr lang="en-GB" b="1"/>
          </a:p>
          <a:p>
            <a:pPr algn="l">
              <a:defRPr/>
            </a:pPr>
            <a:r>
              <a:rPr lang="en-GB" sz="1000">
                <a:solidFill>
                  <a:schemeClr val="tx2"/>
                </a:solidFill>
              </a:rPr>
              <a:t>*Oil</a:t>
            </a:r>
            <a:r>
              <a:rPr lang="en-GB" sz="1000" baseline="0">
                <a:solidFill>
                  <a:schemeClr val="tx2"/>
                </a:solidFill>
              </a:rPr>
              <a:t> price</a:t>
            </a:r>
            <a:r>
              <a:rPr lang="en-GB" sz="1000">
                <a:solidFill>
                  <a:schemeClr val="tx2"/>
                </a:solidFill>
              </a:rPr>
              <a:t> axis represents</a:t>
            </a:r>
            <a:r>
              <a:rPr lang="en-GB" sz="1000" baseline="0">
                <a:solidFill>
                  <a:schemeClr val="tx2"/>
                </a:solidFill>
              </a:rPr>
              <a:t> the upper bound (e.g. 130 shows all prices between 4.742 and 4.976)</a:t>
            </a:r>
            <a:endParaRPr lang="en-GB" sz="1000">
              <a:solidFill>
                <a:schemeClr val="tx2"/>
              </a:solidFill>
            </a:endParaRPr>
          </a:p>
        </c:rich>
      </c:tx>
      <c:layout>
        <c:manualLayout>
          <c:xMode val="edge"/>
          <c:yMode val="edge"/>
          <c:x val="1.3865778094642662E-2"/>
          <c:y val="3.177181134849074E-3"/>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Sorts Mill Goudy" panose="02000503000000000000" pitchFamily="2" charset="0"/>
              <a:ea typeface="+mn-ea"/>
              <a:cs typeface="+mn-cs"/>
            </a:defRPr>
          </a:pPr>
          <a:endParaRPr lang="en-US"/>
        </a:p>
      </c:txPr>
    </c:title>
    <c:autoTitleDeleted val="0"/>
    <c:plotArea>
      <c:layout/>
      <c:barChart>
        <c:barDir val="col"/>
        <c:grouping val="clustered"/>
        <c:varyColors val="0"/>
        <c:ser>
          <c:idx val="0"/>
          <c:order val="0"/>
          <c:tx>
            <c:strRef>
              <c:f>Output.OilPriceDistributions!$J$51</c:f>
              <c:strCache>
                <c:ptCount val="1"/>
                <c:pt idx="0">
                  <c:v>Probability</c:v>
                </c:pt>
              </c:strCache>
            </c:strRef>
          </c:tx>
          <c:spPr>
            <a:solidFill>
              <a:schemeClr val="accent2">
                <a:lumMod val="75000"/>
              </a:schemeClr>
            </a:solidFill>
            <a:ln>
              <a:noFill/>
            </a:ln>
            <a:effectLst/>
          </c:spPr>
          <c:invertIfNegative val="0"/>
          <c:cat>
            <c:numRef>
              <c:f>Output.OilPriceDistributions!$H$73:$H$82</c:f>
              <c:numCache>
                <c:formatCode>General</c:formatCode>
                <c:ptCount val="10"/>
                <c:pt idx="0">
                  <c:v>3.1040000000000001</c:v>
                </c:pt>
                <c:pt idx="1">
                  <c:v>3.3380000000000001</c:v>
                </c:pt>
                <c:pt idx="2">
                  <c:v>3.5720000000000001</c:v>
                </c:pt>
                <c:pt idx="3">
                  <c:v>3.806</c:v>
                </c:pt>
                <c:pt idx="4">
                  <c:v>4.04</c:v>
                </c:pt>
                <c:pt idx="5">
                  <c:v>4.274</c:v>
                </c:pt>
                <c:pt idx="6">
                  <c:v>4.508</c:v>
                </c:pt>
                <c:pt idx="7">
                  <c:v>4.742</c:v>
                </c:pt>
                <c:pt idx="8">
                  <c:v>4.976</c:v>
                </c:pt>
                <c:pt idx="9">
                  <c:v>5.21</c:v>
                </c:pt>
              </c:numCache>
            </c:numRef>
          </c:cat>
          <c:val>
            <c:numRef>
              <c:f>Output.OilPriceDistributions!$J$73:$J$82</c:f>
              <c:numCache>
                <c:formatCode>0.00</c:formatCode>
                <c:ptCount val="10"/>
                <c:pt idx="0">
                  <c:v>1.3289036544850499E-2</c:v>
                </c:pt>
                <c:pt idx="1">
                  <c:v>2.4916943521594685E-2</c:v>
                </c:pt>
                <c:pt idx="2">
                  <c:v>7.1428571428571425E-2</c:v>
                </c:pt>
                <c:pt idx="3">
                  <c:v>0.17109634551495018</c:v>
                </c:pt>
                <c:pt idx="4">
                  <c:v>0.12624584717607973</c:v>
                </c:pt>
                <c:pt idx="5">
                  <c:v>0.11461794019933555</c:v>
                </c:pt>
                <c:pt idx="6">
                  <c:v>0.23421926910299004</c:v>
                </c:pt>
                <c:pt idx="7">
                  <c:v>9.9667774086378738E-2</c:v>
                </c:pt>
                <c:pt idx="8">
                  <c:v>0.1212624584717608</c:v>
                </c:pt>
                <c:pt idx="9">
                  <c:v>2.3255813953488372E-2</c:v>
                </c:pt>
              </c:numCache>
            </c:numRef>
          </c:val>
          <c:extLst>
            <c:ext xmlns:c16="http://schemas.microsoft.com/office/drawing/2014/chart" uri="{C3380CC4-5D6E-409C-BE32-E72D297353CC}">
              <c16:uniqueId val="{00000000-43E4-42AD-9CE3-24AC1B07BFF6}"/>
            </c:ext>
          </c:extLst>
        </c:ser>
        <c:dLbls>
          <c:showLegendKey val="0"/>
          <c:showVal val="0"/>
          <c:showCatName val="0"/>
          <c:showSerName val="0"/>
          <c:showPercent val="0"/>
          <c:showBubbleSize val="0"/>
        </c:dLbls>
        <c:gapWidth val="2"/>
        <c:axId val="943147216"/>
        <c:axId val="943147696"/>
      </c:barChart>
      <c:catAx>
        <c:axId val="9431472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Sorts Mill Goudy" panose="02000503000000000000" pitchFamily="2" charset="0"/>
                    <a:ea typeface="+mn-ea"/>
                    <a:cs typeface="+mn-cs"/>
                  </a:defRPr>
                </a:pPr>
                <a:r>
                  <a:rPr lang="en-GB" b="1"/>
                  <a:t>Log-transformed,</a:t>
                </a:r>
                <a:r>
                  <a:rPr lang="en-GB" b="1" baseline="0"/>
                  <a:t> i</a:t>
                </a:r>
                <a:r>
                  <a:rPr lang="en-GB" b="1"/>
                  <a:t>nflation-adjusted </a:t>
                </a:r>
                <a:r>
                  <a:rPr lang="en-GB" b="1" baseline="0"/>
                  <a:t>o</a:t>
                </a:r>
                <a:r>
                  <a:rPr lang="en-GB" b="1"/>
                  <a:t>il</a:t>
                </a:r>
                <a:r>
                  <a:rPr lang="en-GB" b="1" baseline="0"/>
                  <a:t> price</a:t>
                </a:r>
                <a:r>
                  <a:rPr lang="en-GB" b="1"/>
                  <a:t>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title>
        <c:numFmt formatCode="0.000"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crossAx val="943147696"/>
        <c:crosses val="autoZero"/>
        <c:auto val="1"/>
        <c:lblAlgn val="ctr"/>
        <c:lblOffset val="100"/>
        <c:noMultiLvlLbl val="0"/>
      </c:catAx>
      <c:valAx>
        <c:axId val="9431476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Sorts Mill Goudy" panose="02000503000000000000" pitchFamily="2" charset="0"/>
                    <a:ea typeface="+mn-ea"/>
                    <a:cs typeface="+mn-cs"/>
                  </a:defRPr>
                </a:pPr>
                <a:r>
                  <a:rPr lang="en-GB" b="1"/>
                  <a:t>Probability</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crossAx val="943147216"/>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latin typeface="Sorts Mill Goudy" panose="02000503000000000000" pitchFamily="2" charset="0"/>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Sorts Mill Goudy" panose="02000503000000000000" pitchFamily="2" charset="0"/>
                <a:ea typeface="+mn-ea"/>
                <a:cs typeface="+mn-cs"/>
              </a:defRPr>
            </a:pPr>
            <a:r>
              <a:rPr lang="en-GB" b="1"/>
              <a:t>Cumulative</a:t>
            </a:r>
            <a:r>
              <a:rPr lang="en-GB" b="1" baseline="0"/>
              <a:t> p</a:t>
            </a:r>
            <a:r>
              <a:rPr lang="en-GB" b="1"/>
              <a:t>robability of </a:t>
            </a:r>
            <a:r>
              <a:rPr lang="en-GB" b="1">
                <a:solidFill>
                  <a:schemeClr val="accent2">
                    <a:lumMod val="75000"/>
                  </a:schemeClr>
                </a:solidFill>
              </a:rPr>
              <a:t>log-transformed, </a:t>
            </a:r>
            <a:r>
              <a:rPr lang="en-GB" b="1" baseline="0">
                <a:solidFill>
                  <a:schemeClr val="accent2">
                    <a:lumMod val="75000"/>
                  </a:schemeClr>
                </a:solidFill>
              </a:rPr>
              <a:t>inflation-adjusted</a:t>
            </a:r>
            <a:r>
              <a:rPr lang="en-GB" b="1" baseline="0">
                <a:solidFill>
                  <a:schemeClr val="accent6">
                    <a:lumMod val="60000"/>
                    <a:lumOff val="40000"/>
                  </a:schemeClr>
                </a:solidFill>
              </a:rPr>
              <a:t> </a:t>
            </a:r>
            <a:r>
              <a:rPr lang="en-GB" b="1"/>
              <a:t>oil</a:t>
            </a:r>
            <a:r>
              <a:rPr lang="en-GB" b="1" baseline="0"/>
              <a:t> price </a:t>
            </a:r>
            <a:endParaRPr lang="en-GB" b="1"/>
          </a:p>
          <a:p>
            <a:pPr algn="l">
              <a:defRPr/>
            </a:pPr>
            <a:r>
              <a:rPr lang="en-GB" sz="1000">
                <a:solidFill>
                  <a:schemeClr val="tx2"/>
                </a:solidFill>
              </a:rPr>
              <a:t>*</a:t>
            </a:r>
            <a:r>
              <a:rPr lang="en-GB" sz="1000" b="0" i="0" u="none" strike="noStrike" kern="1200" spc="0" baseline="0">
                <a:solidFill>
                  <a:schemeClr val="tx2"/>
                </a:solidFill>
                <a:latin typeface="Sorts Mill Goudy" panose="02000503000000000000" pitchFamily="2" charset="0"/>
              </a:rPr>
              <a:t>Oil price axis represents the upper bound (e.g. 130 shows all prices between 4.742 and 4.976)</a:t>
            </a:r>
            <a:endParaRPr lang="en-GB" sz="1000">
              <a:solidFill>
                <a:schemeClr val="tx2"/>
              </a:solidFill>
            </a:endParaRPr>
          </a:p>
        </c:rich>
      </c:tx>
      <c:layout>
        <c:manualLayout>
          <c:xMode val="edge"/>
          <c:yMode val="edge"/>
          <c:x val="1.3865778094642662E-2"/>
          <c:y val="3.177181134849074E-3"/>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Sorts Mill Goudy" panose="02000503000000000000" pitchFamily="2" charset="0"/>
              <a:ea typeface="+mn-ea"/>
              <a:cs typeface="+mn-cs"/>
            </a:defRPr>
          </a:pPr>
          <a:endParaRPr lang="en-US"/>
        </a:p>
      </c:txPr>
    </c:title>
    <c:autoTitleDeleted val="0"/>
    <c:plotArea>
      <c:layout/>
      <c:barChart>
        <c:barDir val="col"/>
        <c:grouping val="clustered"/>
        <c:varyColors val="0"/>
        <c:ser>
          <c:idx val="0"/>
          <c:order val="0"/>
          <c:tx>
            <c:strRef>
              <c:f>Output.OilPriceDistributions!$J$51</c:f>
              <c:strCache>
                <c:ptCount val="1"/>
                <c:pt idx="0">
                  <c:v>Probability</c:v>
                </c:pt>
              </c:strCache>
            </c:strRef>
          </c:tx>
          <c:spPr>
            <a:solidFill>
              <a:schemeClr val="accent2">
                <a:lumMod val="75000"/>
              </a:schemeClr>
            </a:solidFill>
            <a:ln>
              <a:noFill/>
            </a:ln>
            <a:effectLst/>
          </c:spPr>
          <c:invertIfNegative val="0"/>
          <c:cat>
            <c:numRef>
              <c:f>Output.OilPriceDistributions!$H$73:$H$82</c:f>
              <c:numCache>
                <c:formatCode>General</c:formatCode>
                <c:ptCount val="10"/>
                <c:pt idx="0">
                  <c:v>3.1040000000000001</c:v>
                </c:pt>
                <c:pt idx="1">
                  <c:v>3.3380000000000001</c:v>
                </c:pt>
                <c:pt idx="2">
                  <c:v>3.5720000000000001</c:v>
                </c:pt>
                <c:pt idx="3">
                  <c:v>3.806</c:v>
                </c:pt>
                <c:pt idx="4">
                  <c:v>4.04</c:v>
                </c:pt>
                <c:pt idx="5">
                  <c:v>4.274</c:v>
                </c:pt>
                <c:pt idx="6">
                  <c:v>4.508</c:v>
                </c:pt>
                <c:pt idx="7">
                  <c:v>4.742</c:v>
                </c:pt>
                <c:pt idx="8">
                  <c:v>4.976</c:v>
                </c:pt>
                <c:pt idx="9">
                  <c:v>5.21</c:v>
                </c:pt>
              </c:numCache>
            </c:numRef>
          </c:cat>
          <c:val>
            <c:numRef>
              <c:f>Output.OilPriceDistributions!$K$73:$K$82</c:f>
              <c:numCache>
                <c:formatCode>0.00</c:formatCode>
                <c:ptCount val="10"/>
                <c:pt idx="0">
                  <c:v>1.3289036544850499E-2</c:v>
                </c:pt>
                <c:pt idx="1">
                  <c:v>3.8205980066445183E-2</c:v>
                </c:pt>
                <c:pt idx="2">
                  <c:v>0.10963455149501661</c:v>
                </c:pt>
                <c:pt idx="3">
                  <c:v>0.28073089700996678</c:v>
                </c:pt>
                <c:pt idx="4">
                  <c:v>0.40697674418604651</c:v>
                </c:pt>
                <c:pt idx="5">
                  <c:v>0.52159468438538203</c:v>
                </c:pt>
                <c:pt idx="6">
                  <c:v>0.7558139534883721</c:v>
                </c:pt>
                <c:pt idx="7">
                  <c:v>0.85548172757475083</c:v>
                </c:pt>
                <c:pt idx="8">
                  <c:v>0.97674418604651159</c:v>
                </c:pt>
                <c:pt idx="9">
                  <c:v>1</c:v>
                </c:pt>
              </c:numCache>
            </c:numRef>
          </c:val>
          <c:extLst>
            <c:ext xmlns:c16="http://schemas.microsoft.com/office/drawing/2014/chart" uri="{C3380CC4-5D6E-409C-BE32-E72D297353CC}">
              <c16:uniqueId val="{00000000-801B-4971-AD4F-61ABFFCA5FEB}"/>
            </c:ext>
          </c:extLst>
        </c:ser>
        <c:dLbls>
          <c:showLegendKey val="0"/>
          <c:showVal val="0"/>
          <c:showCatName val="0"/>
          <c:showSerName val="0"/>
          <c:showPercent val="0"/>
          <c:showBubbleSize val="0"/>
        </c:dLbls>
        <c:gapWidth val="2"/>
        <c:axId val="943147216"/>
        <c:axId val="943147696"/>
      </c:barChart>
      <c:catAx>
        <c:axId val="9431472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Sorts Mill Goudy" panose="02000503000000000000" pitchFamily="2" charset="0"/>
                    <a:ea typeface="+mn-ea"/>
                    <a:cs typeface="+mn-cs"/>
                  </a:defRPr>
                </a:pPr>
                <a:r>
                  <a:rPr lang="en-GB" b="1"/>
                  <a:t>Log-transformed,</a:t>
                </a:r>
                <a:r>
                  <a:rPr lang="en-GB" b="1" baseline="0"/>
                  <a:t> i</a:t>
                </a:r>
                <a:r>
                  <a:rPr lang="en-GB" b="1"/>
                  <a:t>nflation-adjusted </a:t>
                </a:r>
                <a:r>
                  <a:rPr lang="en-GB" b="1" baseline="0"/>
                  <a:t>o</a:t>
                </a:r>
                <a:r>
                  <a:rPr lang="en-GB" b="1"/>
                  <a:t>il</a:t>
                </a:r>
                <a:r>
                  <a:rPr lang="en-GB" b="1" baseline="0"/>
                  <a:t> price</a:t>
                </a:r>
                <a:r>
                  <a:rPr lang="en-GB" b="1"/>
                  <a:t>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title>
        <c:numFmt formatCode="0.000"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crossAx val="943147696"/>
        <c:crosses val="autoZero"/>
        <c:auto val="1"/>
        <c:lblAlgn val="ctr"/>
        <c:lblOffset val="100"/>
        <c:noMultiLvlLbl val="0"/>
      </c:catAx>
      <c:valAx>
        <c:axId val="9431476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Sorts Mill Goudy" panose="02000503000000000000" pitchFamily="2" charset="0"/>
                    <a:ea typeface="+mn-ea"/>
                    <a:cs typeface="+mn-cs"/>
                  </a:defRPr>
                </a:pPr>
                <a:r>
                  <a:rPr lang="en-GB" b="1"/>
                  <a:t>Probability</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crossAx val="943147216"/>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latin typeface="Sorts Mill Goudy" panose="02000503000000000000" pitchFamily="2" charset="0"/>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Sorts Mill Goudy" panose="02000503000000000000" pitchFamily="2" charset="0"/>
                <a:ea typeface="+mn-ea"/>
                <a:cs typeface="+mn-cs"/>
              </a:defRPr>
            </a:pPr>
            <a:r>
              <a:rPr lang="en-GB" b="1"/>
              <a:t>Probability distribution of </a:t>
            </a:r>
            <a:r>
              <a:rPr lang="en-GB" b="1">
                <a:solidFill>
                  <a:schemeClr val="accent2">
                    <a:lumMod val="60000"/>
                    <a:lumOff val="40000"/>
                  </a:schemeClr>
                </a:solidFill>
              </a:rPr>
              <a:t>log-transformed, </a:t>
            </a:r>
            <a:r>
              <a:rPr lang="en-GB" b="1" baseline="0">
                <a:solidFill>
                  <a:schemeClr val="accent2">
                    <a:lumMod val="60000"/>
                    <a:lumOff val="40000"/>
                  </a:schemeClr>
                </a:solidFill>
              </a:rPr>
              <a:t>nominal </a:t>
            </a:r>
            <a:r>
              <a:rPr lang="en-GB" b="1"/>
              <a:t>oil</a:t>
            </a:r>
            <a:r>
              <a:rPr lang="en-GB" b="1" baseline="0"/>
              <a:t> price </a:t>
            </a:r>
            <a:endParaRPr lang="en-GB" b="1"/>
          </a:p>
          <a:p>
            <a:pPr algn="l">
              <a:defRPr/>
            </a:pPr>
            <a:r>
              <a:rPr lang="en-GB" sz="1000">
                <a:solidFill>
                  <a:schemeClr val="tx2"/>
                </a:solidFill>
              </a:rPr>
              <a:t>*Oil</a:t>
            </a:r>
            <a:r>
              <a:rPr lang="en-GB" sz="1000" baseline="0">
                <a:solidFill>
                  <a:schemeClr val="tx2"/>
                </a:solidFill>
              </a:rPr>
              <a:t> price</a:t>
            </a:r>
            <a:r>
              <a:rPr lang="en-GB" sz="1000">
                <a:solidFill>
                  <a:schemeClr val="tx2"/>
                </a:solidFill>
              </a:rPr>
              <a:t> axis represents</a:t>
            </a:r>
            <a:r>
              <a:rPr lang="en-GB" sz="1000" baseline="0">
                <a:solidFill>
                  <a:schemeClr val="tx2"/>
                </a:solidFill>
              </a:rPr>
              <a:t> the upper bound (e.g. 130 shows all prices between 4.597 and 4.86)</a:t>
            </a:r>
            <a:endParaRPr lang="en-GB" sz="1000">
              <a:solidFill>
                <a:schemeClr val="tx2"/>
              </a:solidFill>
            </a:endParaRPr>
          </a:p>
        </c:rich>
      </c:tx>
      <c:layout>
        <c:manualLayout>
          <c:xMode val="edge"/>
          <c:yMode val="edge"/>
          <c:x val="1.3865778094642662E-2"/>
          <c:y val="3.177181134849074E-3"/>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Sorts Mill Goudy" panose="02000503000000000000" pitchFamily="2" charset="0"/>
              <a:ea typeface="+mn-ea"/>
              <a:cs typeface="+mn-cs"/>
            </a:defRPr>
          </a:pPr>
          <a:endParaRPr lang="en-US"/>
        </a:p>
      </c:txPr>
    </c:title>
    <c:autoTitleDeleted val="0"/>
    <c:plotArea>
      <c:layout/>
      <c:barChart>
        <c:barDir val="col"/>
        <c:grouping val="clustered"/>
        <c:varyColors val="0"/>
        <c:ser>
          <c:idx val="0"/>
          <c:order val="0"/>
          <c:tx>
            <c:strRef>
              <c:f>Output.OilPriceDistributions!$J$51</c:f>
              <c:strCache>
                <c:ptCount val="1"/>
                <c:pt idx="0">
                  <c:v>Probability</c:v>
                </c:pt>
              </c:strCache>
            </c:strRef>
          </c:tx>
          <c:spPr>
            <a:solidFill>
              <a:schemeClr val="accent2">
                <a:lumMod val="60000"/>
                <a:lumOff val="40000"/>
              </a:schemeClr>
            </a:solidFill>
            <a:ln>
              <a:noFill/>
            </a:ln>
            <a:effectLst/>
          </c:spPr>
          <c:invertIfNegative val="0"/>
          <c:cat>
            <c:numRef>
              <c:f>Output.OilPriceDistributions!$H$95:$H$104</c:f>
              <c:numCache>
                <c:formatCode>General</c:formatCode>
                <c:ptCount val="10"/>
                <c:pt idx="0">
                  <c:v>2.4929999999999999</c:v>
                </c:pt>
                <c:pt idx="1">
                  <c:v>2.7559999999999998</c:v>
                </c:pt>
                <c:pt idx="2">
                  <c:v>3.0190000000000001</c:v>
                </c:pt>
                <c:pt idx="3">
                  <c:v>3.282</c:v>
                </c:pt>
                <c:pt idx="4">
                  <c:v>3.5449999999999999</c:v>
                </c:pt>
                <c:pt idx="5">
                  <c:v>3.8079999999999998</c:v>
                </c:pt>
                <c:pt idx="6">
                  <c:v>4.0709999999999997</c:v>
                </c:pt>
                <c:pt idx="7">
                  <c:v>4.3339999999999996</c:v>
                </c:pt>
                <c:pt idx="8">
                  <c:v>4.5970000000000004</c:v>
                </c:pt>
                <c:pt idx="9">
                  <c:v>4.8600000000000003</c:v>
                </c:pt>
              </c:numCache>
            </c:numRef>
          </c:cat>
          <c:val>
            <c:numRef>
              <c:f>Output.OilPriceDistributions!$J$95:$J$104</c:f>
              <c:numCache>
                <c:formatCode>0.00</c:formatCode>
                <c:ptCount val="10"/>
                <c:pt idx="0">
                  <c:v>1.6611295681063124E-2</c:v>
                </c:pt>
                <c:pt idx="1">
                  <c:v>0.16445182724252491</c:v>
                </c:pt>
                <c:pt idx="2">
                  <c:v>0.18272425249169436</c:v>
                </c:pt>
                <c:pt idx="3">
                  <c:v>8.4717607973421927E-2</c:v>
                </c:pt>
                <c:pt idx="4">
                  <c:v>0.14451827242524917</c:v>
                </c:pt>
                <c:pt idx="5">
                  <c:v>8.1395348837209308E-2</c:v>
                </c:pt>
                <c:pt idx="6">
                  <c:v>9.1362126245847178E-2</c:v>
                </c:pt>
                <c:pt idx="7">
                  <c:v>0.10299003322259136</c:v>
                </c:pt>
                <c:pt idx="8">
                  <c:v>7.9734219269102985E-2</c:v>
                </c:pt>
                <c:pt idx="9">
                  <c:v>5.1495016611295678E-2</c:v>
                </c:pt>
              </c:numCache>
            </c:numRef>
          </c:val>
          <c:extLst>
            <c:ext xmlns:c16="http://schemas.microsoft.com/office/drawing/2014/chart" uri="{C3380CC4-5D6E-409C-BE32-E72D297353CC}">
              <c16:uniqueId val="{00000000-3B33-44DF-AA47-7A30AB42C0F2}"/>
            </c:ext>
          </c:extLst>
        </c:ser>
        <c:dLbls>
          <c:showLegendKey val="0"/>
          <c:showVal val="0"/>
          <c:showCatName val="0"/>
          <c:showSerName val="0"/>
          <c:showPercent val="0"/>
          <c:showBubbleSize val="0"/>
        </c:dLbls>
        <c:gapWidth val="2"/>
        <c:axId val="943147216"/>
        <c:axId val="943147696"/>
      </c:barChart>
      <c:catAx>
        <c:axId val="9431472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Sorts Mill Goudy" panose="02000503000000000000" pitchFamily="2" charset="0"/>
                    <a:ea typeface="+mn-ea"/>
                    <a:cs typeface="+mn-cs"/>
                  </a:defRPr>
                </a:pPr>
                <a:r>
                  <a:rPr lang="en-GB" b="1"/>
                  <a:t>Log-transformed,</a:t>
                </a:r>
                <a:r>
                  <a:rPr lang="en-GB" b="1" baseline="0"/>
                  <a:t> nominal</a:t>
                </a:r>
                <a:r>
                  <a:rPr lang="en-GB" b="1"/>
                  <a:t> </a:t>
                </a:r>
                <a:r>
                  <a:rPr lang="en-GB" b="1" baseline="0"/>
                  <a:t>o</a:t>
                </a:r>
                <a:r>
                  <a:rPr lang="en-GB" b="1"/>
                  <a:t>il</a:t>
                </a:r>
                <a:r>
                  <a:rPr lang="en-GB" b="1" baseline="0"/>
                  <a:t> price</a:t>
                </a:r>
                <a:r>
                  <a:rPr lang="en-GB" b="1"/>
                  <a:t>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title>
        <c:numFmt formatCode="0.000"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crossAx val="943147696"/>
        <c:crosses val="autoZero"/>
        <c:auto val="1"/>
        <c:lblAlgn val="ctr"/>
        <c:lblOffset val="100"/>
        <c:noMultiLvlLbl val="0"/>
      </c:catAx>
      <c:valAx>
        <c:axId val="9431476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Sorts Mill Goudy" panose="02000503000000000000" pitchFamily="2" charset="0"/>
                    <a:ea typeface="+mn-ea"/>
                    <a:cs typeface="+mn-cs"/>
                  </a:defRPr>
                </a:pPr>
                <a:r>
                  <a:rPr lang="en-GB" b="1"/>
                  <a:t>Probability</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crossAx val="943147216"/>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latin typeface="Sorts Mill Goudy" panose="02000503000000000000" pitchFamily="2" charset="0"/>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Sorts Mill Goudy" panose="02000503000000000000" pitchFamily="2" charset="0"/>
                <a:ea typeface="+mn-ea"/>
                <a:cs typeface="+mn-cs"/>
              </a:defRPr>
            </a:pPr>
            <a:r>
              <a:rPr lang="en-GB" b="1"/>
              <a:t>Cumulative probability of </a:t>
            </a:r>
            <a:r>
              <a:rPr lang="en-GB" b="1">
                <a:solidFill>
                  <a:schemeClr val="accent2">
                    <a:lumMod val="60000"/>
                    <a:lumOff val="40000"/>
                  </a:schemeClr>
                </a:solidFill>
              </a:rPr>
              <a:t>log-transformed, </a:t>
            </a:r>
            <a:r>
              <a:rPr lang="en-GB" b="1" baseline="0">
                <a:solidFill>
                  <a:schemeClr val="accent2">
                    <a:lumMod val="60000"/>
                    <a:lumOff val="40000"/>
                  </a:schemeClr>
                </a:solidFill>
              </a:rPr>
              <a:t>nominal </a:t>
            </a:r>
            <a:r>
              <a:rPr lang="en-GB" b="1"/>
              <a:t>oil</a:t>
            </a:r>
            <a:r>
              <a:rPr lang="en-GB" b="1" baseline="0"/>
              <a:t> price </a:t>
            </a:r>
            <a:endParaRPr lang="en-GB" b="1"/>
          </a:p>
          <a:p>
            <a:pPr algn="l">
              <a:defRPr/>
            </a:pPr>
            <a:r>
              <a:rPr lang="en-GB" sz="1000">
                <a:solidFill>
                  <a:schemeClr val="tx2"/>
                </a:solidFill>
              </a:rPr>
              <a:t>*Oil</a:t>
            </a:r>
            <a:r>
              <a:rPr lang="en-GB" sz="1000" baseline="0">
                <a:solidFill>
                  <a:schemeClr val="tx2"/>
                </a:solidFill>
              </a:rPr>
              <a:t> price</a:t>
            </a:r>
            <a:r>
              <a:rPr lang="en-GB" sz="1000">
                <a:solidFill>
                  <a:schemeClr val="tx2"/>
                </a:solidFill>
              </a:rPr>
              <a:t> axis represents</a:t>
            </a:r>
            <a:r>
              <a:rPr lang="en-GB" sz="1000" baseline="0">
                <a:solidFill>
                  <a:schemeClr val="tx2"/>
                </a:solidFill>
              </a:rPr>
              <a:t> the upper bound (e.g. 130 shows all prices between 4.597 and 4.86)</a:t>
            </a:r>
            <a:endParaRPr lang="en-GB" sz="1000">
              <a:solidFill>
                <a:schemeClr val="tx2"/>
              </a:solidFill>
            </a:endParaRPr>
          </a:p>
        </c:rich>
      </c:tx>
      <c:layout>
        <c:manualLayout>
          <c:xMode val="edge"/>
          <c:yMode val="edge"/>
          <c:x val="1.3865778094642662E-2"/>
          <c:y val="3.177181134849074E-3"/>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Sorts Mill Goudy" panose="02000503000000000000" pitchFamily="2" charset="0"/>
              <a:ea typeface="+mn-ea"/>
              <a:cs typeface="+mn-cs"/>
            </a:defRPr>
          </a:pPr>
          <a:endParaRPr lang="en-US"/>
        </a:p>
      </c:txPr>
    </c:title>
    <c:autoTitleDeleted val="0"/>
    <c:plotArea>
      <c:layout/>
      <c:barChart>
        <c:barDir val="col"/>
        <c:grouping val="clustered"/>
        <c:varyColors val="0"/>
        <c:ser>
          <c:idx val="0"/>
          <c:order val="0"/>
          <c:tx>
            <c:strRef>
              <c:f>Output.OilPriceDistributions!$J$51</c:f>
              <c:strCache>
                <c:ptCount val="1"/>
                <c:pt idx="0">
                  <c:v>Probability</c:v>
                </c:pt>
              </c:strCache>
            </c:strRef>
          </c:tx>
          <c:spPr>
            <a:solidFill>
              <a:schemeClr val="accent2">
                <a:lumMod val="60000"/>
                <a:lumOff val="40000"/>
              </a:schemeClr>
            </a:solidFill>
            <a:ln>
              <a:noFill/>
            </a:ln>
            <a:effectLst/>
          </c:spPr>
          <c:invertIfNegative val="0"/>
          <c:cat>
            <c:numRef>
              <c:f>Output.OilPriceDistributions!$H$95:$H$104</c:f>
              <c:numCache>
                <c:formatCode>General</c:formatCode>
                <c:ptCount val="10"/>
                <c:pt idx="0">
                  <c:v>2.4929999999999999</c:v>
                </c:pt>
                <c:pt idx="1">
                  <c:v>2.7559999999999998</c:v>
                </c:pt>
                <c:pt idx="2">
                  <c:v>3.0190000000000001</c:v>
                </c:pt>
                <c:pt idx="3">
                  <c:v>3.282</c:v>
                </c:pt>
                <c:pt idx="4">
                  <c:v>3.5449999999999999</c:v>
                </c:pt>
                <c:pt idx="5">
                  <c:v>3.8079999999999998</c:v>
                </c:pt>
                <c:pt idx="6">
                  <c:v>4.0709999999999997</c:v>
                </c:pt>
                <c:pt idx="7">
                  <c:v>4.3339999999999996</c:v>
                </c:pt>
                <c:pt idx="8">
                  <c:v>4.5970000000000004</c:v>
                </c:pt>
                <c:pt idx="9">
                  <c:v>4.8600000000000003</c:v>
                </c:pt>
              </c:numCache>
            </c:numRef>
          </c:cat>
          <c:val>
            <c:numRef>
              <c:f>Output.OilPriceDistributions!$K$95:$K$104</c:f>
              <c:numCache>
                <c:formatCode>0.00</c:formatCode>
                <c:ptCount val="10"/>
                <c:pt idx="0">
                  <c:v>1.6611295681063124E-2</c:v>
                </c:pt>
                <c:pt idx="1">
                  <c:v>0.18106312292358803</c:v>
                </c:pt>
                <c:pt idx="2">
                  <c:v>0.36378737541528239</c:v>
                </c:pt>
                <c:pt idx="3">
                  <c:v>0.44850498338870431</c:v>
                </c:pt>
                <c:pt idx="4">
                  <c:v>0.59302325581395343</c:v>
                </c:pt>
                <c:pt idx="5">
                  <c:v>0.67441860465116277</c:v>
                </c:pt>
                <c:pt idx="6">
                  <c:v>0.76578073089700993</c:v>
                </c:pt>
                <c:pt idx="7">
                  <c:v>0.8687707641196013</c:v>
                </c:pt>
                <c:pt idx="8">
                  <c:v>0.94850498338870426</c:v>
                </c:pt>
                <c:pt idx="9">
                  <c:v>0.99999999999999989</c:v>
                </c:pt>
              </c:numCache>
            </c:numRef>
          </c:val>
          <c:extLst>
            <c:ext xmlns:c16="http://schemas.microsoft.com/office/drawing/2014/chart" uri="{C3380CC4-5D6E-409C-BE32-E72D297353CC}">
              <c16:uniqueId val="{00000000-437A-4E79-B204-6C09EBDE3FC3}"/>
            </c:ext>
          </c:extLst>
        </c:ser>
        <c:dLbls>
          <c:showLegendKey val="0"/>
          <c:showVal val="0"/>
          <c:showCatName val="0"/>
          <c:showSerName val="0"/>
          <c:showPercent val="0"/>
          <c:showBubbleSize val="0"/>
        </c:dLbls>
        <c:gapWidth val="2"/>
        <c:axId val="943147216"/>
        <c:axId val="943147696"/>
      </c:barChart>
      <c:catAx>
        <c:axId val="9431472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Sorts Mill Goudy" panose="02000503000000000000" pitchFamily="2" charset="0"/>
                    <a:ea typeface="+mn-ea"/>
                    <a:cs typeface="+mn-cs"/>
                  </a:defRPr>
                </a:pPr>
                <a:r>
                  <a:rPr lang="en-GB" b="1"/>
                  <a:t>Log-transformed,</a:t>
                </a:r>
                <a:r>
                  <a:rPr lang="en-GB" b="1" baseline="0"/>
                  <a:t> nominal</a:t>
                </a:r>
                <a:r>
                  <a:rPr lang="en-GB" b="1"/>
                  <a:t> </a:t>
                </a:r>
                <a:r>
                  <a:rPr lang="en-GB" b="1" baseline="0"/>
                  <a:t>o</a:t>
                </a:r>
                <a:r>
                  <a:rPr lang="en-GB" b="1"/>
                  <a:t>il</a:t>
                </a:r>
                <a:r>
                  <a:rPr lang="en-GB" b="1" baseline="0"/>
                  <a:t> price</a:t>
                </a:r>
                <a:r>
                  <a:rPr lang="en-GB" b="1"/>
                  <a:t>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title>
        <c:numFmt formatCode="0.000"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crossAx val="943147696"/>
        <c:crosses val="autoZero"/>
        <c:auto val="1"/>
        <c:lblAlgn val="ctr"/>
        <c:lblOffset val="100"/>
        <c:noMultiLvlLbl val="0"/>
      </c:catAx>
      <c:valAx>
        <c:axId val="9431476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Sorts Mill Goudy" panose="02000503000000000000" pitchFamily="2" charset="0"/>
                    <a:ea typeface="+mn-ea"/>
                    <a:cs typeface="+mn-cs"/>
                  </a:defRPr>
                </a:pPr>
                <a:r>
                  <a:rPr lang="en-GB" b="1"/>
                  <a:t>Probability</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crossAx val="943147216"/>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latin typeface="Sorts Mill Goudy" panose="02000503000000000000" pitchFamily="2" charset="0"/>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Sorts Mill Goudy" panose="02000503000000000000" pitchFamily="2" charset="0"/>
                <a:ea typeface="+mn-ea"/>
                <a:cs typeface="+mn-cs"/>
              </a:defRPr>
            </a:pPr>
            <a:r>
              <a:rPr lang="en-GB" b="1"/>
              <a:t>Probability distribution of </a:t>
            </a:r>
            <a:r>
              <a:rPr lang="en-GB" b="1">
                <a:solidFill>
                  <a:schemeClr val="bg2">
                    <a:lumMod val="75000"/>
                  </a:schemeClr>
                </a:solidFill>
              </a:rPr>
              <a:t>uniform</a:t>
            </a:r>
            <a:r>
              <a:rPr lang="en-GB" b="1" baseline="0"/>
              <a:t> oil price</a:t>
            </a:r>
            <a:endParaRPr lang="en-GB" sz="1000">
              <a:solidFill>
                <a:schemeClr val="tx2"/>
              </a:solidFill>
            </a:endParaRPr>
          </a:p>
        </c:rich>
      </c:tx>
      <c:layout>
        <c:manualLayout>
          <c:xMode val="edge"/>
          <c:yMode val="edge"/>
          <c:x val="1.3865778094642662E-2"/>
          <c:y val="3.177181134849074E-3"/>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Sorts Mill Goudy" panose="02000503000000000000" pitchFamily="2" charset="0"/>
              <a:ea typeface="+mn-ea"/>
              <a:cs typeface="+mn-cs"/>
            </a:defRPr>
          </a:pPr>
          <a:endParaRPr lang="en-US"/>
        </a:p>
      </c:txPr>
    </c:title>
    <c:autoTitleDeleted val="0"/>
    <c:plotArea>
      <c:layout/>
      <c:barChart>
        <c:barDir val="col"/>
        <c:grouping val="clustered"/>
        <c:varyColors val="0"/>
        <c:ser>
          <c:idx val="0"/>
          <c:order val="0"/>
          <c:spPr>
            <a:solidFill>
              <a:schemeClr val="bg2">
                <a:lumMod val="90000"/>
              </a:schemeClr>
            </a:solidFill>
            <a:ln>
              <a:noFill/>
            </a:ln>
            <a:effectLst/>
          </c:spPr>
          <c:invertIfNegative val="0"/>
          <c:cat>
            <c:strRef>
              <c:f>Output.OilPriceDistributions!$H$9:$H$16</c:f>
              <c:strCache>
                <c:ptCount val="8"/>
                <c:pt idx="0">
                  <c:v>20-30</c:v>
                </c:pt>
                <c:pt idx="1">
                  <c:v>30-40</c:v>
                </c:pt>
                <c:pt idx="2">
                  <c:v>40-50</c:v>
                </c:pt>
                <c:pt idx="3">
                  <c:v>50-60</c:v>
                </c:pt>
                <c:pt idx="4">
                  <c:v>60-70</c:v>
                </c:pt>
                <c:pt idx="5">
                  <c:v>70-80</c:v>
                </c:pt>
                <c:pt idx="6">
                  <c:v>80-90</c:v>
                </c:pt>
                <c:pt idx="7">
                  <c:v>90-100</c:v>
                </c:pt>
              </c:strCache>
            </c:strRef>
          </c:cat>
          <c:val>
            <c:numRef>
              <c:f>Output.OilPriceDistributions!$J$9:$J$16</c:f>
              <c:numCache>
                <c:formatCode>0.00</c:formatCode>
                <c:ptCount val="8"/>
                <c:pt idx="0">
                  <c:v>0.126</c:v>
                </c:pt>
                <c:pt idx="1">
                  <c:v>0.126</c:v>
                </c:pt>
                <c:pt idx="2">
                  <c:v>0.11600000000000001</c:v>
                </c:pt>
                <c:pt idx="3">
                  <c:v>0.11700000000000001</c:v>
                </c:pt>
                <c:pt idx="4">
                  <c:v>0.123</c:v>
                </c:pt>
                <c:pt idx="5">
                  <c:v>0.13700000000000001</c:v>
                </c:pt>
                <c:pt idx="6">
                  <c:v>0.11700000000000001</c:v>
                </c:pt>
                <c:pt idx="7">
                  <c:v>0.13800000000000001</c:v>
                </c:pt>
              </c:numCache>
            </c:numRef>
          </c:val>
          <c:extLst>
            <c:ext xmlns:c16="http://schemas.microsoft.com/office/drawing/2014/chart" uri="{C3380CC4-5D6E-409C-BE32-E72D297353CC}">
              <c16:uniqueId val="{00000000-412F-46E3-887F-DA4EE74FD13D}"/>
            </c:ext>
          </c:extLst>
        </c:ser>
        <c:dLbls>
          <c:showLegendKey val="0"/>
          <c:showVal val="0"/>
          <c:showCatName val="0"/>
          <c:showSerName val="0"/>
          <c:showPercent val="0"/>
          <c:showBubbleSize val="0"/>
        </c:dLbls>
        <c:gapWidth val="2"/>
        <c:axId val="943147216"/>
        <c:axId val="943147696"/>
      </c:barChart>
      <c:catAx>
        <c:axId val="9431472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Sorts Mill Goudy" panose="02000503000000000000" pitchFamily="2" charset="0"/>
                    <a:ea typeface="+mn-ea"/>
                    <a:cs typeface="+mn-cs"/>
                  </a:defRPr>
                </a:pPr>
                <a:r>
                  <a:rPr lang="en-GB" b="1"/>
                  <a:t>Oil price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crossAx val="943147696"/>
        <c:crosses val="autoZero"/>
        <c:auto val="1"/>
        <c:lblAlgn val="ctr"/>
        <c:lblOffset val="100"/>
        <c:noMultiLvlLbl val="0"/>
      </c:catAx>
      <c:valAx>
        <c:axId val="943147696"/>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Sorts Mill Goudy" panose="02000503000000000000" pitchFamily="2" charset="0"/>
                    <a:ea typeface="+mn-ea"/>
                    <a:cs typeface="+mn-cs"/>
                  </a:defRPr>
                </a:pPr>
                <a:r>
                  <a:rPr lang="en-GB" b="1"/>
                  <a:t>Probability</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crossAx val="943147216"/>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latin typeface="Sorts Mill Goudy" panose="02000503000000000000" pitchFamily="2" charset="0"/>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Sorts Mill Goudy" panose="02000503000000000000" pitchFamily="2" charset="0"/>
                <a:ea typeface="+mn-ea"/>
                <a:cs typeface="+mn-cs"/>
              </a:defRPr>
            </a:pPr>
            <a:r>
              <a:rPr lang="en-GB" b="1"/>
              <a:t>Cumulative</a:t>
            </a:r>
            <a:r>
              <a:rPr lang="en-GB" b="1" baseline="0"/>
              <a:t> p</a:t>
            </a:r>
            <a:r>
              <a:rPr lang="en-GB" b="1"/>
              <a:t>robability</a:t>
            </a:r>
            <a:r>
              <a:rPr lang="en-GB" b="1" baseline="0"/>
              <a:t> </a:t>
            </a:r>
            <a:r>
              <a:rPr lang="en-GB" b="1"/>
              <a:t>of </a:t>
            </a:r>
            <a:r>
              <a:rPr lang="en-GB" b="1">
                <a:solidFill>
                  <a:schemeClr val="bg2">
                    <a:lumMod val="75000"/>
                  </a:schemeClr>
                </a:solidFill>
              </a:rPr>
              <a:t>uniform</a:t>
            </a:r>
            <a:r>
              <a:rPr lang="en-GB" b="1" baseline="0"/>
              <a:t> oil price</a:t>
            </a:r>
            <a:endParaRPr lang="en-GB" sz="1000">
              <a:solidFill>
                <a:schemeClr val="tx2"/>
              </a:solidFill>
            </a:endParaRPr>
          </a:p>
        </c:rich>
      </c:tx>
      <c:layout>
        <c:manualLayout>
          <c:xMode val="edge"/>
          <c:yMode val="edge"/>
          <c:x val="1.3865778094642662E-2"/>
          <c:y val="3.177181134849074E-3"/>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Sorts Mill Goudy" panose="02000503000000000000" pitchFamily="2" charset="0"/>
              <a:ea typeface="+mn-ea"/>
              <a:cs typeface="+mn-cs"/>
            </a:defRPr>
          </a:pPr>
          <a:endParaRPr lang="en-US"/>
        </a:p>
      </c:txPr>
    </c:title>
    <c:autoTitleDeleted val="0"/>
    <c:plotArea>
      <c:layout/>
      <c:barChart>
        <c:barDir val="col"/>
        <c:grouping val="clustered"/>
        <c:varyColors val="0"/>
        <c:ser>
          <c:idx val="0"/>
          <c:order val="0"/>
          <c:spPr>
            <a:solidFill>
              <a:schemeClr val="bg2">
                <a:lumMod val="90000"/>
              </a:schemeClr>
            </a:solidFill>
            <a:ln>
              <a:noFill/>
            </a:ln>
            <a:effectLst/>
          </c:spPr>
          <c:invertIfNegative val="0"/>
          <c:cat>
            <c:strRef>
              <c:f>Output.OilPriceDistributions!$H$9:$H$16</c:f>
              <c:strCache>
                <c:ptCount val="8"/>
                <c:pt idx="0">
                  <c:v>20-30</c:v>
                </c:pt>
                <c:pt idx="1">
                  <c:v>30-40</c:v>
                </c:pt>
                <c:pt idx="2">
                  <c:v>40-50</c:v>
                </c:pt>
                <c:pt idx="3">
                  <c:v>50-60</c:v>
                </c:pt>
                <c:pt idx="4">
                  <c:v>60-70</c:v>
                </c:pt>
                <c:pt idx="5">
                  <c:v>70-80</c:v>
                </c:pt>
                <c:pt idx="6">
                  <c:v>80-90</c:v>
                </c:pt>
                <c:pt idx="7">
                  <c:v>90-100</c:v>
                </c:pt>
              </c:strCache>
            </c:strRef>
          </c:cat>
          <c:val>
            <c:numRef>
              <c:f>Output.OilPriceDistributions!$K$9:$K$16</c:f>
              <c:numCache>
                <c:formatCode>0.00</c:formatCode>
                <c:ptCount val="8"/>
                <c:pt idx="0">
                  <c:v>0.126</c:v>
                </c:pt>
                <c:pt idx="1">
                  <c:v>0.252</c:v>
                </c:pt>
                <c:pt idx="2">
                  <c:v>0.36799999999999999</c:v>
                </c:pt>
                <c:pt idx="3">
                  <c:v>0.48499999999999999</c:v>
                </c:pt>
                <c:pt idx="4">
                  <c:v>0.60799999999999998</c:v>
                </c:pt>
                <c:pt idx="5">
                  <c:v>0.745</c:v>
                </c:pt>
                <c:pt idx="6">
                  <c:v>0.86199999999999999</c:v>
                </c:pt>
                <c:pt idx="7">
                  <c:v>1</c:v>
                </c:pt>
              </c:numCache>
            </c:numRef>
          </c:val>
          <c:extLst>
            <c:ext xmlns:c16="http://schemas.microsoft.com/office/drawing/2014/chart" uri="{C3380CC4-5D6E-409C-BE32-E72D297353CC}">
              <c16:uniqueId val="{00000000-A5C5-45D5-B8B5-AD0132B91AA1}"/>
            </c:ext>
          </c:extLst>
        </c:ser>
        <c:dLbls>
          <c:showLegendKey val="0"/>
          <c:showVal val="0"/>
          <c:showCatName val="0"/>
          <c:showSerName val="0"/>
          <c:showPercent val="0"/>
          <c:showBubbleSize val="0"/>
        </c:dLbls>
        <c:gapWidth val="2"/>
        <c:axId val="943147216"/>
        <c:axId val="943147696"/>
      </c:barChart>
      <c:catAx>
        <c:axId val="9431472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Sorts Mill Goudy" panose="02000503000000000000" pitchFamily="2" charset="0"/>
                    <a:ea typeface="+mn-ea"/>
                    <a:cs typeface="+mn-cs"/>
                  </a:defRPr>
                </a:pPr>
                <a:r>
                  <a:rPr lang="en-GB" b="1"/>
                  <a:t>Oil price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crossAx val="943147696"/>
        <c:crosses val="autoZero"/>
        <c:auto val="1"/>
        <c:lblAlgn val="ctr"/>
        <c:lblOffset val="100"/>
        <c:noMultiLvlLbl val="0"/>
      </c:catAx>
      <c:valAx>
        <c:axId val="943147696"/>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Sorts Mill Goudy" panose="02000503000000000000" pitchFamily="2" charset="0"/>
                    <a:ea typeface="+mn-ea"/>
                    <a:cs typeface="+mn-cs"/>
                  </a:defRPr>
                </a:pPr>
                <a:r>
                  <a:rPr lang="en-GB" b="1"/>
                  <a:t>Probability</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crossAx val="943147216"/>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latin typeface="Sorts Mill Goudy" panose="02000503000000000000" pitchFamily="2" charset="0"/>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Sorts Mill Goudy" panose="02000503000000000000" pitchFamily="2" charset="0"/>
                <a:ea typeface="+mn-ea"/>
                <a:cs typeface="+mn-cs"/>
              </a:defRPr>
            </a:pPr>
            <a:r>
              <a:rPr lang="en-GB" b="1"/>
              <a:t>Nominal</a:t>
            </a:r>
            <a:r>
              <a:rPr lang="en-GB" b="1" baseline="0"/>
              <a:t> vs inflation-adjusted o</a:t>
            </a:r>
            <a:r>
              <a:rPr lang="en-GB" b="1"/>
              <a:t>il price from 1974 to 2024 </a:t>
            </a:r>
          </a:p>
          <a:p>
            <a:pPr algn="l">
              <a:defRPr/>
            </a:pPr>
            <a:r>
              <a:rPr lang="en-GB" sz="1000" b="1">
                <a:solidFill>
                  <a:schemeClr val="accent6">
                    <a:lumMod val="75000"/>
                  </a:schemeClr>
                </a:solidFill>
              </a:rPr>
              <a:t>Inflation-adjusted price</a:t>
            </a:r>
            <a:r>
              <a:rPr lang="en-GB" sz="1000" b="1" baseline="0">
                <a:solidFill>
                  <a:schemeClr val="accent6">
                    <a:lumMod val="75000"/>
                  </a:schemeClr>
                </a:solidFill>
              </a:rPr>
              <a:t> ($) </a:t>
            </a:r>
            <a:r>
              <a:rPr lang="en-GB" sz="1000" baseline="0">
                <a:solidFill>
                  <a:sysClr val="windowText" lastClr="000000"/>
                </a:solidFill>
              </a:rPr>
              <a:t>| </a:t>
            </a:r>
            <a:r>
              <a:rPr lang="en-GB" sz="1000" baseline="0">
                <a:solidFill>
                  <a:schemeClr val="accent6"/>
                </a:solidFill>
              </a:rPr>
              <a:t>Nominal price ($)</a:t>
            </a:r>
          </a:p>
          <a:p>
            <a:pPr algn="l">
              <a:defRPr/>
            </a:pPr>
            <a:r>
              <a:rPr lang="en-GB" sz="1000" baseline="0">
                <a:solidFill>
                  <a:sysClr val="windowText" lastClr="000000"/>
                </a:solidFill>
              </a:rPr>
              <a:t>Prices calculated using January average for each year</a:t>
            </a:r>
            <a:endParaRPr lang="en-GB" sz="1000">
              <a:solidFill>
                <a:sysClr val="windowText" lastClr="000000"/>
              </a:solidFill>
            </a:endParaRPr>
          </a:p>
        </c:rich>
      </c:tx>
      <c:layout>
        <c:manualLayout>
          <c:xMode val="edge"/>
          <c:yMode val="edge"/>
          <c:x val="1.7089669644077661E-2"/>
          <c:y val="1.5891798955812875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Sorts Mill Goudy" panose="02000503000000000000" pitchFamily="2" charset="0"/>
              <a:ea typeface="+mn-ea"/>
              <a:cs typeface="+mn-cs"/>
            </a:defRPr>
          </a:pPr>
          <a:endParaRPr lang="en-US"/>
        </a:p>
      </c:txPr>
    </c:title>
    <c:autoTitleDeleted val="0"/>
    <c:plotArea>
      <c:layout/>
      <c:lineChart>
        <c:grouping val="standard"/>
        <c:varyColors val="0"/>
        <c:ser>
          <c:idx val="1"/>
          <c:order val="0"/>
          <c:tx>
            <c:strRef>
              <c:f>Data.YearlyGrowthRate!$F$56</c:f>
              <c:strCache>
                <c:ptCount val="1"/>
                <c:pt idx="0">
                  <c:v>Nominal Price ($)</c:v>
                </c:pt>
              </c:strCache>
            </c:strRef>
          </c:tx>
          <c:spPr>
            <a:ln w="19050" cap="rnd">
              <a:solidFill>
                <a:schemeClr val="accent6">
                  <a:lumMod val="60000"/>
                  <a:lumOff val="40000"/>
                </a:schemeClr>
              </a:solidFill>
              <a:round/>
            </a:ln>
            <a:effectLst/>
          </c:spPr>
          <c:marker>
            <c:symbol val="none"/>
          </c:marker>
          <c:cat>
            <c:numRef>
              <c:f>Data.YearlyGrowthRate!$C$57:$C$107</c:f>
              <c:numCache>
                <c:formatCode>General</c:formatCode>
                <c:ptCount val="51"/>
                <c:pt idx="0">
                  <c:v>1974</c:v>
                </c:pt>
                <c:pt idx="1">
                  <c:v>1975</c:v>
                </c:pt>
                <c:pt idx="2">
                  <c:v>1976</c:v>
                </c:pt>
                <c:pt idx="3">
                  <c:v>1977</c:v>
                </c:pt>
                <c:pt idx="4">
                  <c:v>1978</c:v>
                </c:pt>
                <c:pt idx="5">
                  <c:v>1979</c:v>
                </c:pt>
                <c:pt idx="6">
                  <c:v>1980</c:v>
                </c:pt>
                <c:pt idx="7">
                  <c:v>1981</c:v>
                </c:pt>
                <c:pt idx="8">
                  <c:v>1982</c:v>
                </c:pt>
                <c:pt idx="9">
                  <c:v>1983</c:v>
                </c:pt>
                <c:pt idx="10">
                  <c:v>1984</c:v>
                </c:pt>
                <c:pt idx="11">
                  <c:v>1985</c:v>
                </c:pt>
                <c:pt idx="12">
                  <c:v>1986</c:v>
                </c:pt>
                <c:pt idx="13">
                  <c:v>1987</c:v>
                </c:pt>
                <c:pt idx="14">
                  <c:v>1988</c:v>
                </c:pt>
                <c:pt idx="15">
                  <c:v>1989</c:v>
                </c:pt>
                <c:pt idx="16">
                  <c:v>1990</c:v>
                </c:pt>
                <c:pt idx="17">
                  <c:v>1991</c:v>
                </c:pt>
                <c:pt idx="18">
                  <c:v>1992</c:v>
                </c:pt>
                <c:pt idx="19">
                  <c:v>1993</c:v>
                </c:pt>
                <c:pt idx="20">
                  <c:v>1994</c:v>
                </c:pt>
                <c:pt idx="21">
                  <c:v>1995</c:v>
                </c:pt>
                <c:pt idx="22">
                  <c:v>1996</c:v>
                </c:pt>
                <c:pt idx="23">
                  <c:v>1997</c:v>
                </c:pt>
                <c:pt idx="24">
                  <c:v>1998</c:v>
                </c:pt>
                <c:pt idx="25">
                  <c:v>1999</c:v>
                </c:pt>
                <c:pt idx="26">
                  <c:v>2000</c:v>
                </c:pt>
                <c:pt idx="27">
                  <c:v>2001</c:v>
                </c:pt>
                <c:pt idx="28">
                  <c:v>2002</c:v>
                </c:pt>
                <c:pt idx="29">
                  <c:v>2003</c:v>
                </c:pt>
                <c:pt idx="30">
                  <c:v>2004</c:v>
                </c:pt>
                <c:pt idx="31">
                  <c:v>2005</c:v>
                </c:pt>
                <c:pt idx="32">
                  <c:v>2006</c:v>
                </c:pt>
                <c:pt idx="33">
                  <c:v>2007</c:v>
                </c:pt>
                <c:pt idx="34">
                  <c:v>2008</c:v>
                </c:pt>
                <c:pt idx="35">
                  <c:v>2009</c:v>
                </c:pt>
                <c:pt idx="36">
                  <c:v>2010</c:v>
                </c:pt>
                <c:pt idx="37">
                  <c:v>2011</c:v>
                </c:pt>
                <c:pt idx="38">
                  <c:v>2012</c:v>
                </c:pt>
                <c:pt idx="39">
                  <c:v>2013</c:v>
                </c:pt>
                <c:pt idx="40">
                  <c:v>2014</c:v>
                </c:pt>
                <c:pt idx="41">
                  <c:v>2015</c:v>
                </c:pt>
                <c:pt idx="42">
                  <c:v>2016</c:v>
                </c:pt>
                <c:pt idx="43">
                  <c:v>2017</c:v>
                </c:pt>
                <c:pt idx="44">
                  <c:v>2018</c:v>
                </c:pt>
                <c:pt idx="45">
                  <c:v>2019</c:v>
                </c:pt>
                <c:pt idx="46">
                  <c:v>2020</c:v>
                </c:pt>
                <c:pt idx="47">
                  <c:v>2021</c:v>
                </c:pt>
                <c:pt idx="48">
                  <c:v>2022</c:v>
                </c:pt>
                <c:pt idx="49">
                  <c:v>2023</c:v>
                </c:pt>
                <c:pt idx="50">
                  <c:v>2024</c:v>
                </c:pt>
              </c:numCache>
            </c:numRef>
          </c:cat>
          <c:val>
            <c:numRef>
              <c:f>Data.YearlyGrowthRate!$F$57:$F$107</c:f>
              <c:numCache>
                <c:formatCode>0.00</c:formatCode>
                <c:ptCount val="51"/>
                <c:pt idx="0">
                  <c:v>9.59</c:v>
                </c:pt>
                <c:pt idx="1">
                  <c:v>12.77</c:v>
                </c:pt>
                <c:pt idx="2">
                  <c:v>13.27</c:v>
                </c:pt>
                <c:pt idx="3">
                  <c:v>14.11</c:v>
                </c:pt>
                <c:pt idx="4">
                  <c:v>14.52</c:v>
                </c:pt>
                <c:pt idx="5">
                  <c:v>15.5</c:v>
                </c:pt>
                <c:pt idx="6">
                  <c:v>30.75</c:v>
                </c:pt>
                <c:pt idx="7">
                  <c:v>38.85</c:v>
                </c:pt>
                <c:pt idx="8">
                  <c:v>35.54</c:v>
                </c:pt>
                <c:pt idx="9">
                  <c:v>31.4</c:v>
                </c:pt>
                <c:pt idx="10">
                  <c:v>28.8</c:v>
                </c:pt>
                <c:pt idx="11">
                  <c:v>27.49</c:v>
                </c:pt>
                <c:pt idx="12">
                  <c:v>24.93</c:v>
                </c:pt>
                <c:pt idx="13">
                  <c:v>16.45</c:v>
                </c:pt>
                <c:pt idx="14">
                  <c:v>15.45</c:v>
                </c:pt>
                <c:pt idx="15">
                  <c:v>16.04</c:v>
                </c:pt>
                <c:pt idx="16">
                  <c:v>20.51</c:v>
                </c:pt>
                <c:pt idx="17">
                  <c:v>22.3</c:v>
                </c:pt>
                <c:pt idx="18">
                  <c:v>16.100000000000001</c:v>
                </c:pt>
                <c:pt idx="19">
                  <c:v>16.8</c:v>
                </c:pt>
                <c:pt idx="20">
                  <c:v>12.93</c:v>
                </c:pt>
                <c:pt idx="21">
                  <c:v>16.559999999999999</c:v>
                </c:pt>
                <c:pt idx="22">
                  <c:v>17.48</c:v>
                </c:pt>
                <c:pt idx="23">
                  <c:v>23.02</c:v>
                </c:pt>
                <c:pt idx="24">
                  <c:v>14.33</c:v>
                </c:pt>
                <c:pt idx="25">
                  <c:v>10.16</c:v>
                </c:pt>
                <c:pt idx="26">
                  <c:v>25.29</c:v>
                </c:pt>
                <c:pt idx="27">
                  <c:v>24.49</c:v>
                </c:pt>
                <c:pt idx="28">
                  <c:v>17.04</c:v>
                </c:pt>
                <c:pt idx="29">
                  <c:v>30.3</c:v>
                </c:pt>
                <c:pt idx="30">
                  <c:v>30.11</c:v>
                </c:pt>
                <c:pt idx="31">
                  <c:v>37.56</c:v>
                </c:pt>
                <c:pt idx="32">
                  <c:v>55.85</c:v>
                </c:pt>
                <c:pt idx="33">
                  <c:v>49.57</c:v>
                </c:pt>
                <c:pt idx="34">
                  <c:v>84.82</c:v>
                </c:pt>
                <c:pt idx="35">
                  <c:v>36.840000000000003</c:v>
                </c:pt>
                <c:pt idx="36">
                  <c:v>75.069999999999993</c:v>
                </c:pt>
                <c:pt idx="37">
                  <c:v>87.61</c:v>
                </c:pt>
                <c:pt idx="38">
                  <c:v>105.25</c:v>
                </c:pt>
                <c:pt idx="39">
                  <c:v>97.91</c:v>
                </c:pt>
                <c:pt idx="40">
                  <c:v>89.71</c:v>
                </c:pt>
                <c:pt idx="41">
                  <c:v>44.74</c:v>
                </c:pt>
                <c:pt idx="42">
                  <c:v>27.48</c:v>
                </c:pt>
                <c:pt idx="43">
                  <c:v>48.12</c:v>
                </c:pt>
                <c:pt idx="44">
                  <c:v>59.71</c:v>
                </c:pt>
                <c:pt idx="45">
                  <c:v>49.71</c:v>
                </c:pt>
                <c:pt idx="46">
                  <c:v>53.87</c:v>
                </c:pt>
                <c:pt idx="47">
                  <c:v>49.6</c:v>
                </c:pt>
                <c:pt idx="48">
                  <c:v>76.92</c:v>
                </c:pt>
                <c:pt idx="49">
                  <c:v>70.23</c:v>
                </c:pt>
                <c:pt idx="50">
                  <c:v>68.63</c:v>
                </c:pt>
              </c:numCache>
            </c:numRef>
          </c:val>
          <c:smooth val="0"/>
          <c:extLst>
            <c:ext xmlns:c16="http://schemas.microsoft.com/office/drawing/2014/chart" uri="{C3380CC4-5D6E-409C-BE32-E72D297353CC}">
              <c16:uniqueId val="{00000000-601F-4A76-9E32-26200A528B42}"/>
            </c:ext>
          </c:extLst>
        </c:ser>
        <c:ser>
          <c:idx val="2"/>
          <c:order val="1"/>
          <c:tx>
            <c:strRef>
              <c:f>Data.YearlyGrowthRate!$H$56</c:f>
              <c:strCache>
                <c:ptCount val="1"/>
                <c:pt idx="0">
                  <c:v>Inflation-adjusted Price ($)</c:v>
                </c:pt>
              </c:strCache>
            </c:strRef>
          </c:tx>
          <c:spPr>
            <a:ln w="28575" cap="rnd">
              <a:solidFill>
                <a:schemeClr val="accent6">
                  <a:lumMod val="75000"/>
                </a:schemeClr>
              </a:solidFill>
              <a:round/>
            </a:ln>
            <a:effectLst/>
          </c:spPr>
          <c:marker>
            <c:symbol val="none"/>
          </c:marker>
          <c:cat>
            <c:numRef>
              <c:f>Data.YearlyGrowthRate!$C$57:$C$107</c:f>
              <c:numCache>
                <c:formatCode>General</c:formatCode>
                <c:ptCount val="51"/>
                <c:pt idx="0">
                  <c:v>1974</c:v>
                </c:pt>
                <c:pt idx="1">
                  <c:v>1975</c:v>
                </c:pt>
                <c:pt idx="2">
                  <c:v>1976</c:v>
                </c:pt>
                <c:pt idx="3">
                  <c:v>1977</c:v>
                </c:pt>
                <c:pt idx="4">
                  <c:v>1978</c:v>
                </c:pt>
                <c:pt idx="5">
                  <c:v>1979</c:v>
                </c:pt>
                <c:pt idx="6">
                  <c:v>1980</c:v>
                </c:pt>
                <c:pt idx="7">
                  <c:v>1981</c:v>
                </c:pt>
                <c:pt idx="8">
                  <c:v>1982</c:v>
                </c:pt>
                <c:pt idx="9">
                  <c:v>1983</c:v>
                </c:pt>
                <c:pt idx="10">
                  <c:v>1984</c:v>
                </c:pt>
                <c:pt idx="11">
                  <c:v>1985</c:v>
                </c:pt>
                <c:pt idx="12">
                  <c:v>1986</c:v>
                </c:pt>
                <c:pt idx="13">
                  <c:v>1987</c:v>
                </c:pt>
                <c:pt idx="14">
                  <c:v>1988</c:v>
                </c:pt>
                <c:pt idx="15">
                  <c:v>1989</c:v>
                </c:pt>
                <c:pt idx="16">
                  <c:v>1990</c:v>
                </c:pt>
                <c:pt idx="17">
                  <c:v>1991</c:v>
                </c:pt>
                <c:pt idx="18">
                  <c:v>1992</c:v>
                </c:pt>
                <c:pt idx="19">
                  <c:v>1993</c:v>
                </c:pt>
                <c:pt idx="20">
                  <c:v>1994</c:v>
                </c:pt>
                <c:pt idx="21">
                  <c:v>1995</c:v>
                </c:pt>
                <c:pt idx="22">
                  <c:v>1996</c:v>
                </c:pt>
                <c:pt idx="23">
                  <c:v>1997</c:v>
                </c:pt>
                <c:pt idx="24">
                  <c:v>1998</c:v>
                </c:pt>
                <c:pt idx="25">
                  <c:v>1999</c:v>
                </c:pt>
                <c:pt idx="26">
                  <c:v>2000</c:v>
                </c:pt>
                <c:pt idx="27">
                  <c:v>2001</c:v>
                </c:pt>
                <c:pt idx="28">
                  <c:v>2002</c:v>
                </c:pt>
                <c:pt idx="29">
                  <c:v>2003</c:v>
                </c:pt>
                <c:pt idx="30">
                  <c:v>2004</c:v>
                </c:pt>
                <c:pt idx="31">
                  <c:v>2005</c:v>
                </c:pt>
                <c:pt idx="32">
                  <c:v>2006</c:v>
                </c:pt>
                <c:pt idx="33">
                  <c:v>2007</c:v>
                </c:pt>
                <c:pt idx="34">
                  <c:v>2008</c:v>
                </c:pt>
                <c:pt idx="35">
                  <c:v>2009</c:v>
                </c:pt>
                <c:pt idx="36">
                  <c:v>2010</c:v>
                </c:pt>
                <c:pt idx="37">
                  <c:v>2011</c:v>
                </c:pt>
                <c:pt idx="38">
                  <c:v>2012</c:v>
                </c:pt>
                <c:pt idx="39">
                  <c:v>2013</c:v>
                </c:pt>
                <c:pt idx="40">
                  <c:v>2014</c:v>
                </c:pt>
                <c:pt idx="41">
                  <c:v>2015</c:v>
                </c:pt>
                <c:pt idx="42">
                  <c:v>2016</c:v>
                </c:pt>
                <c:pt idx="43">
                  <c:v>2017</c:v>
                </c:pt>
                <c:pt idx="44">
                  <c:v>2018</c:v>
                </c:pt>
                <c:pt idx="45">
                  <c:v>2019</c:v>
                </c:pt>
                <c:pt idx="46">
                  <c:v>2020</c:v>
                </c:pt>
                <c:pt idx="47">
                  <c:v>2021</c:v>
                </c:pt>
                <c:pt idx="48">
                  <c:v>2022</c:v>
                </c:pt>
                <c:pt idx="49">
                  <c:v>2023</c:v>
                </c:pt>
                <c:pt idx="50">
                  <c:v>2024</c:v>
                </c:pt>
              </c:numCache>
            </c:numRef>
          </c:cat>
          <c:val>
            <c:numRef>
              <c:f>Data.YearlyGrowthRate!$H$57:$H$107</c:f>
              <c:numCache>
                <c:formatCode>0.00</c:formatCode>
                <c:ptCount val="51"/>
                <c:pt idx="0">
                  <c:v>63.807024017094008</c:v>
                </c:pt>
                <c:pt idx="1">
                  <c:v>76.029991816443584</c:v>
                </c:pt>
                <c:pt idx="2">
                  <c:v>74.051261146953394</c:v>
                </c:pt>
                <c:pt idx="3">
                  <c:v>74.84876654173766</c:v>
                </c:pt>
                <c:pt idx="4">
                  <c:v>72.109886315789467</c:v>
                </c:pt>
                <c:pt idx="5">
                  <c:v>70.459062773722621</c:v>
                </c:pt>
                <c:pt idx="6">
                  <c:v>122.75699615384615</c:v>
                </c:pt>
                <c:pt idx="7">
                  <c:v>138.72996399082569</c:v>
                </c:pt>
                <c:pt idx="8">
                  <c:v>117.23064771186442</c:v>
                </c:pt>
                <c:pt idx="9">
                  <c:v>99.871757303370785</c:v>
                </c:pt>
                <c:pt idx="10">
                  <c:v>87.833963565132237</c:v>
                </c:pt>
                <c:pt idx="11">
                  <c:v>80.983303349101234</c:v>
                </c:pt>
                <c:pt idx="12">
                  <c:v>70.635060491355787</c:v>
                </c:pt>
                <c:pt idx="13">
                  <c:v>45.980791921005377</c:v>
                </c:pt>
                <c:pt idx="14">
                  <c:v>41.473074310344828</c:v>
                </c:pt>
                <c:pt idx="15">
                  <c:v>41.209512739273926</c:v>
                </c:pt>
                <c:pt idx="16">
                  <c:v>50.090020674509816</c:v>
                </c:pt>
                <c:pt idx="17">
                  <c:v>51.550514328136607</c:v>
                </c:pt>
                <c:pt idx="18">
                  <c:v>36.249283875632685</c:v>
                </c:pt>
                <c:pt idx="19">
                  <c:v>36.633364705882357</c:v>
                </c:pt>
                <c:pt idx="20">
                  <c:v>27.520095338345861</c:v>
                </c:pt>
                <c:pt idx="21">
                  <c:v>34.262540970099671</c:v>
                </c:pt>
                <c:pt idx="22">
                  <c:v>35.184132695539759</c:v>
                </c:pt>
                <c:pt idx="23">
                  <c:v>44.968949008782936</c:v>
                </c:pt>
                <c:pt idx="24">
                  <c:v>27.543993753086419</c:v>
                </c:pt>
                <c:pt idx="25">
                  <c:v>19.208605804493018</c:v>
                </c:pt>
                <c:pt idx="26">
                  <c:v>46.514419633786176</c:v>
                </c:pt>
                <c:pt idx="27">
                  <c:v>43.427018018223229</c:v>
                </c:pt>
                <c:pt idx="28">
                  <c:v>29.859181451885203</c:v>
                </c:pt>
                <c:pt idx="29">
                  <c:v>51.669896385542167</c:v>
                </c:pt>
                <c:pt idx="30">
                  <c:v>50.326141685453571</c:v>
                </c:pt>
                <c:pt idx="31">
                  <c:v>61.041586722338216</c:v>
                </c:pt>
                <c:pt idx="32">
                  <c:v>87.259277772202708</c:v>
                </c:pt>
                <c:pt idx="33">
                  <c:v>75.872555395527854</c:v>
                </c:pt>
                <c:pt idx="34">
                  <c:v>124.48064773252143</c:v>
                </c:pt>
                <c:pt idx="35">
                  <c:v>54.127350738204996</c:v>
                </c:pt>
                <c:pt idx="36">
                  <c:v>107.47980050393583</c:v>
                </c:pt>
                <c:pt idx="37">
                  <c:v>123.33598808248225</c:v>
                </c:pt>
                <c:pt idx="38">
                  <c:v>143.84145109330149</c:v>
                </c:pt>
                <c:pt idx="39">
                  <c:v>131.5940084168181</c:v>
                </c:pt>
                <c:pt idx="40">
                  <c:v>118.72353352487164</c:v>
                </c:pt>
                <c:pt idx="41">
                  <c:v>59.346028975876166</c:v>
                </c:pt>
                <c:pt idx="42">
                  <c:v>36.005677747294364</c:v>
                </c:pt>
                <c:pt idx="43">
                  <c:v>61.505220599463094</c:v>
                </c:pt>
                <c:pt idx="44">
                  <c:v>74.711843879465889</c:v>
                </c:pt>
                <c:pt idx="45">
                  <c:v>61.287683989214493</c:v>
                </c:pt>
                <c:pt idx="46">
                  <c:v>64.788898411006315</c:v>
                </c:pt>
                <c:pt idx="47">
                  <c:v>58.832638371464057</c:v>
                </c:pt>
                <c:pt idx="48">
                  <c:v>84.817544927228298</c:v>
                </c:pt>
                <c:pt idx="49">
                  <c:v>72.808501338411759</c:v>
                </c:pt>
                <c:pt idx="50">
                  <c:v>69.006430624667004</c:v>
                </c:pt>
              </c:numCache>
            </c:numRef>
          </c:val>
          <c:smooth val="0"/>
          <c:extLst>
            <c:ext xmlns:c16="http://schemas.microsoft.com/office/drawing/2014/chart" uri="{C3380CC4-5D6E-409C-BE32-E72D297353CC}">
              <c16:uniqueId val="{00000001-601F-4A76-9E32-26200A528B42}"/>
            </c:ext>
          </c:extLst>
        </c:ser>
        <c:dLbls>
          <c:showLegendKey val="0"/>
          <c:showVal val="0"/>
          <c:showCatName val="0"/>
          <c:showSerName val="0"/>
          <c:showPercent val="0"/>
          <c:showBubbleSize val="0"/>
        </c:dLbls>
        <c:smooth val="0"/>
        <c:axId val="29887744"/>
        <c:axId val="29891104"/>
      </c:lineChart>
      <c:catAx>
        <c:axId val="29887744"/>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Sorts Mill Goudy" panose="02000503000000000000" pitchFamily="2" charset="0"/>
                    <a:ea typeface="+mn-ea"/>
                    <a:cs typeface="+mn-cs"/>
                  </a:defRPr>
                </a:pPr>
                <a:r>
                  <a:rPr lang="en-GB"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crossAx val="29891104"/>
        <c:crosses val="autoZero"/>
        <c:auto val="1"/>
        <c:lblAlgn val="ctr"/>
        <c:lblOffset val="100"/>
        <c:noMultiLvlLbl val="0"/>
      </c:catAx>
      <c:valAx>
        <c:axId val="29891104"/>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Sorts Mill Goudy" panose="02000503000000000000" pitchFamily="2" charset="0"/>
                    <a:ea typeface="+mn-ea"/>
                    <a:cs typeface="+mn-cs"/>
                  </a:defRPr>
                </a:pPr>
                <a:r>
                  <a:rPr lang="en-GB" b="1"/>
                  <a:t>Oil price ($)</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crossAx val="298877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Sorts Mill Goudy" panose="02000503000000000000" pitchFamily="2" charset="0"/>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Sorts Mill Goudy" panose="02000503000000000000" pitchFamily="2" charset="0"/>
                <a:ea typeface="+mn-ea"/>
                <a:cs typeface="+mn-cs"/>
              </a:defRPr>
            </a:pPr>
            <a:r>
              <a:rPr lang="en-GB" b="1"/>
              <a:t>Probability distribution of NPV</a:t>
            </a:r>
            <a:r>
              <a:rPr lang="en-GB" b="1" baseline="0"/>
              <a:t> (log-normal distribution; </a:t>
            </a:r>
            <a:r>
              <a:rPr lang="en-GB" b="1" baseline="0">
                <a:solidFill>
                  <a:schemeClr val="accent6">
                    <a:lumMod val="75000"/>
                  </a:schemeClr>
                </a:solidFill>
              </a:rPr>
              <a:t>inflation-adjusted</a:t>
            </a:r>
            <a:r>
              <a:rPr lang="en-GB" b="1" baseline="0"/>
              <a:t> oil price</a:t>
            </a:r>
            <a:r>
              <a:rPr lang="en-GB" b="1"/>
              <a:t>)</a:t>
            </a:r>
          </a:p>
          <a:p>
            <a:pPr algn="l">
              <a:defRPr/>
            </a:pPr>
            <a:r>
              <a:rPr lang="en-GB" sz="1000">
                <a:solidFill>
                  <a:schemeClr val="tx2"/>
                </a:solidFill>
              </a:rPr>
              <a:t>*NPV axis represents</a:t>
            </a:r>
            <a:r>
              <a:rPr lang="en-GB" sz="1000" baseline="0">
                <a:solidFill>
                  <a:schemeClr val="tx2"/>
                </a:solidFill>
              </a:rPr>
              <a:t> the upper bound (e.g. 25480 shows all NPVs between 22560 and </a:t>
            </a:r>
            <a:r>
              <a:rPr lang="en-GB" sz="1000" b="0" i="0" u="none" strike="noStrike" kern="1200" spc="0" baseline="0">
                <a:solidFill>
                  <a:schemeClr val="tx2"/>
                </a:solidFill>
                <a:latin typeface="Sorts Mill Goudy" panose="02000503000000000000" pitchFamily="2" charset="0"/>
              </a:rPr>
              <a:t>25480</a:t>
            </a:r>
            <a:r>
              <a:rPr lang="en-GB" sz="1000" baseline="0">
                <a:solidFill>
                  <a:schemeClr val="tx2"/>
                </a:solidFill>
              </a:rPr>
              <a:t>)</a:t>
            </a:r>
            <a:endParaRPr lang="en-GB" sz="1000">
              <a:solidFill>
                <a:schemeClr val="tx2"/>
              </a:solidFill>
            </a:endParaRPr>
          </a:p>
        </c:rich>
      </c:tx>
      <c:layout>
        <c:manualLayout>
          <c:xMode val="edge"/>
          <c:yMode val="edge"/>
          <c:x val="1.3865778094642662E-2"/>
          <c:y val="3.177181134849074E-3"/>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Sorts Mill Goudy" panose="02000503000000000000" pitchFamily="2" charset="0"/>
              <a:ea typeface="+mn-ea"/>
              <a:cs typeface="+mn-cs"/>
            </a:defRPr>
          </a:pPr>
          <a:endParaRPr lang="en-US"/>
        </a:p>
      </c:txPr>
    </c:title>
    <c:autoTitleDeleted val="0"/>
    <c:plotArea>
      <c:layout/>
      <c:barChart>
        <c:barDir val="col"/>
        <c:grouping val="clustered"/>
        <c:varyColors val="0"/>
        <c:ser>
          <c:idx val="1"/>
          <c:order val="0"/>
          <c:spPr>
            <a:solidFill>
              <a:schemeClr val="accent6">
                <a:lumMod val="75000"/>
              </a:schemeClr>
            </a:solidFill>
            <a:ln>
              <a:noFill/>
            </a:ln>
            <a:effectLst/>
          </c:spPr>
          <c:invertIfNegative val="0"/>
          <c:cat>
            <c:numRef>
              <c:f>MC.Lognormal_infl_adj!$I$26:$I$35</c:f>
              <c:numCache>
                <c:formatCode>0.0</c:formatCode>
                <c:ptCount val="10"/>
                <c:pt idx="0">
                  <c:v>-800</c:v>
                </c:pt>
                <c:pt idx="1">
                  <c:v>2120</c:v>
                </c:pt>
                <c:pt idx="2">
                  <c:v>5040</c:v>
                </c:pt>
                <c:pt idx="3">
                  <c:v>7960</c:v>
                </c:pt>
                <c:pt idx="4">
                  <c:v>10880</c:v>
                </c:pt>
                <c:pt idx="5">
                  <c:v>13800</c:v>
                </c:pt>
                <c:pt idx="6">
                  <c:v>16720</c:v>
                </c:pt>
                <c:pt idx="7">
                  <c:v>19640</c:v>
                </c:pt>
                <c:pt idx="8">
                  <c:v>22560</c:v>
                </c:pt>
                <c:pt idx="9">
                  <c:v>25480</c:v>
                </c:pt>
              </c:numCache>
            </c:numRef>
          </c:cat>
          <c:val>
            <c:numRef>
              <c:f>MC.Lognormal_infl_adj!$K$26:$K$35</c:f>
              <c:numCache>
                <c:formatCode>0.00</c:formatCode>
                <c:ptCount val="10"/>
                <c:pt idx="0">
                  <c:v>6.2937062937062943E-2</c:v>
                </c:pt>
                <c:pt idx="1">
                  <c:v>0.29570429570429568</c:v>
                </c:pt>
                <c:pt idx="2">
                  <c:v>0.29070929070929069</c:v>
                </c:pt>
                <c:pt idx="3">
                  <c:v>0.18581418581418582</c:v>
                </c:pt>
                <c:pt idx="4">
                  <c:v>9.4905094905094911E-2</c:v>
                </c:pt>
                <c:pt idx="5">
                  <c:v>3.4965034965034968E-2</c:v>
                </c:pt>
                <c:pt idx="6">
                  <c:v>1.5984015984015984E-2</c:v>
                </c:pt>
                <c:pt idx="7">
                  <c:v>9.99000999000999E-3</c:v>
                </c:pt>
                <c:pt idx="8">
                  <c:v>5.994005994005994E-3</c:v>
                </c:pt>
                <c:pt idx="9">
                  <c:v>2.997002997002997E-3</c:v>
                </c:pt>
              </c:numCache>
            </c:numRef>
          </c:val>
          <c:extLst>
            <c:ext xmlns:c16="http://schemas.microsoft.com/office/drawing/2014/chart" uri="{C3380CC4-5D6E-409C-BE32-E72D297353CC}">
              <c16:uniqueId val="{00000000-5C78-43B0-85D3-5BF23B3AEA5F}"/>
            </c:ext>
          </c:extLst>
        </c:ser>
        <c:dLbls>
          <c:showLegendKey val="0"/>
          <c:showVal val="0"/>
          <c:showCatName val="0"/>
          <c:showSerName val="0"/>
          <c:showPercent val="0"/>
          <c:showBubbleSize val="0"/>
        </c:dLbls>
        <c:gapWidth val="2"/>
        <c:axId val="943147216"/>
        <c:axId val="943147696"/>
      </c:barChart>
      <c:catAx>
        <c:axId val="9431472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Sorts Mill Goudy" panose="02000503000000000000" pitchFamily="2" charset="0"/>
                    <a:ea typeface="+mn-ea"/>
                    <a:cs typeface="+mn-cs"/>
                  </a:defRPr>
                </a:pPr>
                <a:r>
                  <a:rPr lang="en-GB" b="1"/>
                  <a:t>Post-tax NPV ($M)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title>
        <c:numFmt formatCode="0"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crossAx val="943147696"/>
        <c:crosses val="autoZero"/>
        <c:auto val="1"/>
        <c:lblAlgn val="ctr"/>
        <c:lblOffset val="100"/>
        <c:noMultiLvlLbl val="0"/>
      </c:catAx>
      <c:valAx>
        <c:axId val="9431476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Sorts Mill Goudy" panose="02000503000000000000" pitchFamily="2" charset="0"/>
                    <a:ea typeface="+mn-ea"/>
                    <a:cs typeface="+mn-cs"/>
                  </a:defRPr>
                </a:pPr>
                <a:r>
                  <a:rPr lang="en-GB" b="1"/>
                  <a:t>Probability</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crossAx val="943147216"/>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latin typeface="Sorts Mill Goudy" panose="02000503000000000000" pitchFamily="2" charset="0"/>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Sorts Mill Goudy" panose="02000503000000000000" pitchFamily="2" charset="0"/>
                <a:ea typeface="+mn-ea"/>
                <a:cs typeface="+mn-cs"/>
              </a:defRPr>
            </a:pPr>
            <a:r>
              <a:rPr lang="en-GB" b="1"/>
              <a:t>Cumulative</a:t>
            </a:r>
            <a:r>
              <a:rPr lang="en-GB" b="1" baseline="0"/>
              <a:t> p</a:t>
            </a:r>
            <a:r>
              <a:rPr lang="en-GB" b="1"/>
              <a:t>robability of NPV</a:t>
            </a:r>
            <a:r>
              <a:rPr lang="en-GB" b="1" baseline="0"/>
              <a:t> (log-normal distribution; </a:t>
            </a:r>
            <a:r>
              <a:rPr lang="en-GB" b="1" baseline="0">
                <a:solidFill>
                  <a:schemeClr val="accent6">
                    <a:lumMod val="75000"/>
                  </a:schemeClr>
                </a:solidFill>
              </a:rPr>
              <a:t>inflation-adjusted</a:t>
            </a:r>
            <a:r>
              <a:rPr lang="en-GB" b="1" baseline="0"/>
              <a:t> oil price</a:t>
            </a:r>
            <a:r>
              <a:rPr lang="en-GB" b="1"/>
              <a:t>)</a:t>
            </a:r>
          </a:p>
          <a:p>
            <a:pPr algn="l">
              <a:defRPr/>
            </a:pPr>
            <a:r>
              <a:rPr lang="en-GB" sz="1000">
                <a:solidFill>
                  <a:schemeClr val="tx2"/>
                </a:solidFill>
              </a:rPr>
              <a:t>*NPV axis represents</a:t>
            </a:r>
            <a:r>
              <a:rPr lang="en-GB" sz="1000" baseline="0">
                <a:solidFill>
                  <a:schemeClr val="tx2"/>
                </a:solidFill>
              </a:rPr>
              <a:t> the upper bound (e.g. 25480 shows all NPVs between 22560 and </a:t>
            </a:r>
            <a:r>
              <a:rPr lang="en-GB" sz="1000" b="0" i="0" u="none" strike="noStrike" kern="1200" spc="0" baseline="0">
                <a:solidFill>
                  <a:schemeClr val="tx2"/>
                </a:solidFill>
                <a:latin typeface="Sorts Mill Goudy" panose="02000503000000000000" pitchFamily="2" charset="0"/>
              </a:rPr>
              <a:t>25480</a:t>
            </a:r>
            <a:r>
              <a:rPr lang="en-GB" sz="1000" baseline="0">
                <a:solidFill>
                  <a:schemeClr val="tx2"/>
                </a:solidFill>
              </a:rPr>
              <a:t>)</a:t>
            </a:r>
            <a:endParaRPr lang="en-GB" sz="1000">
              <a:solidFill>
                <a:schemeClr val="tx2"/>
              </a:solidFill>
            </a:endParaRPr>
          </a:p>
        </c:rich>
      </c:tx>
      <c:layout>
        <c:manualLayout>
          <c:xMode val="edge"/>
          <c:yMode val="edge"/>
          <c:x val="1.3865778094642662E-2"/>
          <c:y val="3.177181134849074E-3"/>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Sorts Mill Goudy" panose="02000503000000000000" pitchFamily="2" charset="0"/>
              <a:ea typeface="+mn-ea"/>
              <a:cs typeface="+mn-cs"/>
            </a:defRPr>
          </a:pPr>
          <a:endParaRPr lang="en-US"/>
        </a:p>
      </c:txPr>
    </c:title>
    <c:autoTitleDeleted val="0"/>
    <c:plotArea>
      <c:layout/>
      <c:barChart>
        <c:barDir val="col"/>
        <c:grouping val="clustered"/>
        <c:varyColors val="0"/>
        <c:ser>
          <c:idx val="1"/>
          <c:order val="0"/>
          <c:spPr>
            <a:solidFill>
              <a:schemeClr val="accent6">
                <a:lumMod val="75000"/>
              </a:schemeClr>
            </a:solidFill>
            <a:ln>
              <a:noFill/>
            </a:ln>
            <a:effectLst/>
          </c:spPr>
          <c:invertIfNegative val="0"/>
          <c:cat>
            <c:numRef>
              <c:f>MC.Lognormal_infl_adj!$I$26:$I$35</c:f>
              <c:numCache>
                <c:formatCode>0.0</c:formatCode>
                <c:ptCount val="10"/>
                <c:pt idx="0">
                  <c:v>-800</c:v>
                </c:pt>
                <c:pt idx="1">
                  <c:v>2120</c:v>
                </c:pt>
                <c:pt idx="2">
                  <c:v>5040</c:v>
                </c:pt>
                <c:pt idx="3">
                  <c:v>7960</c:v>
                </c:pt>
                <c:pt idx="4">
                  <c:v>10880</c:v>
                </c:pt>
                <c:pt idx="5">
                  <c:v>13800</c:v>
                </c:pt>
                <c:pt idx="6">
                  <c:v>16720</c:v>
                </c:pt>
                <c:pt idx="7">
                  <c:v>19640</c:v>
                </c:pt>
                <c:pt idx="8">
                  <c:v>22560</c:v>
                </c:pt>
                <c:pt idx="9">
                  <c:v>25480</c:v>
                </c:pt>
              </c:numCache>
            </c:numRef>
          </c:cat>
          <c:val>
            <c:numRef>
              <c:f>MC.Lognormal_infl_adj!$L$26:$L$35</c:f>
              <c:numCache>
                <c:formatCode>0.00</c:formatCode>
                <c:ptCount val="10"/>
                <c:pt idx="0">
                  <c:v>6.2937062937062943E-2</c:v>
                </c:pt>
                <c:pt idx="1">
                  <c:v>0.3586413586413586</c:v>
                </c:pt>
                <c:pt idx="2">
                  <c:v>0.64935064935064934</c:v>
                </c:pt>
                <c:pt idx="3">
                  <c:v>0.8351648351648352</c:v>
                </c:pt>
                <c:pt idx="4">
                  <c:v>0.93006993006993011</c:v>
                </c:pt>
                <c:pt idx="5">
                  <c:v>0.96503496503496511</c:v>
                </c:pt>
                <c:pt idx="6">
                  <c:v>0.98101898101898111</c:v>
                </c:pt>
                <c:pt idx="7">
                  <c:v>0.99100899100899109</c:v>
                </c:pt>
                <c:pt idx="8">
                  <c:v>0.9970029970029971</c:v>
                </c:pt>
                <c:pt idx="9">
                  <c:v>1</c:v>
                </c:pt>
              </c:numCache>
            </c:numRef>
          </c:val>
          <c:extLst>
            <c:ext xmlns:c16="http://schemas.microsoft.com/office/drawing/2014/chart" uri="{C3380CC4-5D6E-409C-BE32-E72D297353CC}">
              <c16:uniqueId val="{00000000-BB7A-4959-915C-8808495EA321}"/>
            </c:ext>
          </c:extLst>
        </c:ser>
        <c:dLbls>
          <c:showLegendKey val="0"/>
          <c:showVal val="0"/>
          <c:showCatName val="0"/>
          <c:showSerName val="0"/>
          <c:showPercent val="0"/>
          <c:showBubbleSize val="0"/>
        </c:dLbls>
        <c:gapWidth val="2"/>
        <c:axId val="943147216"/>
        <c:axId val="943147696"/>
      </c:barChart>
      <c:catAx>
        <c:axId val="9431472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Sorts Mill Goudy" panose="02000503000000000000" pitchFamily="2" charset="0"/>
                    <a:ea typeface="+mn-ea"/>
                    <a:cs typeface="+mn-cs"/>
                  </a:defRPr>
                </a:pPr>
                <a:r>
                  <a:rPr lang="en-GB" b="1"/>
                  <a:t>Post-tax NPV ($M)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title>
        <c:numFmt formatCode="0"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crossAx val="943147696"/>
        <c:crosses val="autoZero"/>
        <c:auto val="1"/>
        <c:lblAlgn val="ctr"/>
        <c:lblOffset val="100"/>
        <c:noMultiLvlLbl val="0"/>
      </c:catAx>
      <c:valAx>
        <c:axId val="9431476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Sorts Mill Goudy" panose="02000503000000000000" pitchFamily="2" charset="0"/>
                    <a:ea typeface="+mn-ea"/>
                    <a:cs typeface="+mn-cs"/>
                  </a:defRPr>
                </a:pPr>
                <a:r>
                  <a:rPr lang="en-GB" b="1"/>
                  <a:t>Probability</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crossAx val="943147216"/>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latin typeface="Sorts Mill Goudy" panose="02000503000000000000" pitchFamily="2" charset="0"/>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Sorts Mill Goudy" panose="02000503000000000000" pitchFamily="2" charset="0"/>
                <a:ea typeface="+mn-ea"/>
                <a:cs typeface="+mn-cs"/>
              </a:defRPr>
            </a:pPr>
            <a:r>
              <a:rPr lang="en-GB" b="1"/>
              <a:t>Probability distribution of NPV</a:t>
            </a:r>
            <a:r>
              <a:rPr lang="en-GB" b="1" baseline="0"/>
              <a:t> (log-normal; </a:t>
            </a:r>
            <a:r>
              <a:rPr lang="en-GB" b="1" baseline="0">
                <a:solidFill>
                  <a:schemeClr val="accent2"/>
                </a:solidFill>
              </a:rPr>
              <a:t>nominal </a:t>
            </a:r>
            <a:r>
              <a:rPr lang="en-GB" b="1" baseline="0"/>
              <a:t>oil price</a:t>
            </a:r>
            <a:r>
              <a:rPr lang="en-GB" b="1"/>
              <a:t>)</a:t>
            </a:r>
          </a:p>
          <a:p>
            <a:pPr algn="l">
              <a:defRPr/>
            </a:pPr>
            <a:r>
              <a:rPr lang="en-GB" sz="1000">
                <a:solidFill>
                  <a:schemeClr val="tx2"/>
                </a:solidFill>
              </a:rPr>
              <a:t>*NPV axis represents</a:t>
            </a:r>
            <a:r>
              <a:rPr lang="en-GB" sz="1000" baseline="0">
                <a:solidFill>
                  <a:schemeClr val="tx2"/>
                </a:solidFill>
              </a:rPr>
              <a:t> the upper bound (e.g. 7759 shows all NPVs between 21307 and </a:t>
            </a:r>
            <a:r>
              <a:rPr lang="en-GB" sz="1000" b="0" i="0" u="none" strike="noStrike" kern="1200" spc="0" baseline="0">
                <a:solidFill>
                  <a:schemeClr val="tx2"/>
                </a:solidFill>
                <a:latin typeface="Sorts Mill Goudy" panose="02000503000000000000" pitchFamily="2" charset="0"/>
              </a:rPr>
              <a:t>23984</a:t>
            </a:r>
            <a:r>
              <a:rPr lang="en-GB" sz="1000" baseline="0">
                <a:solidFill>
                  <a:schemeClr val="tx2"/>
                </a:solidFill>
              </a:rPr>
              <a:t>)</a:t>
            </a:r>
            <a:endParaRPr lang="en-GB" sz="1000">
              <a:solidFill>
                <a:schemeClr val="tx2"/>
              </a:solidFill>
            </a:endParaRPr>
          </a:p>
        </c:rich>
      </c:tx>
      <c:layout>
        <c:manualLayout>
          <c:xMode val="edge"/>
          <c:yMode val="edge"/>
          <c:x val="1.3865778094642662E-2"/>
          <c:y val="3.177181134849074E-3"/>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Sorts Mill Goudy" panose="02000503000000000000" pitchFamily="2" charset="0"/>
              <a:ea typeface="+mn-ea"/>
              <a:cs typeface="+mn-cs"/>
            </a:defRPr>
          </a:pPr>
          <a:endParaRPr lang="en-US"/>
        </a:p>
      </c:txPr>
    </c:title>
    <c:autoTitleDeleted val="0"/>
    <c:plotArea>
      <c:layout/>
      <c:barChart>
        <c:barDir val="col"/>
        <c:grouping val="clustered"/>
        <c:varyColors val="0"/>
        <c:ser>
          <c:idx val="1"/>
          <c:order val="0"/>
          <c:tx>
            <c:strRef>
              <c:f>MC.Lognormal_nominal!$K$27</c:f>
              <c:strCache>
                <c:ptCount val="1"/>
                <c:pt idx="0">
                  <c:v>Probability</c:v>
                </c:pt>
              </c:strCache>
            </c:strRef>
          </c:tx>
          <c:spPr>
            <a:solidFill>
              <a:schemeClr val="accent2">
                <a:lumMod val="60000"/>
                <a:lumOff val="40000"/>
              </a:schemeClr>
            </a:solidFill>
            <a:ln>
              <a:noFill/>
            </a:ln>
            <a:effectLst/>
          </c:spPr>
          <c:invertIfNegative val="0"/>
          <c:cat>
            <c:numRef>
              <c:f>MC.Lognormal_nominal!$I$28:$I$37</c:f>
              <c:numCache>
                <c:formatCode>0.0</c:formatCode>
                <c:ptCount val="10"/>
                <c:pt idx="0">
                  <c:v>-2786</c:v>
                </c:pt>
                <c:pt idx="1">
                  <c:v>-109</c:v>
                </c:pt>
                <c:pt idx="2">
                  <c:v>2568</c:v>
                </c:pt>
                <c:pt idx="3">
                  <c:v>5245</c:v>
                </c:pt>
                <c:pt idx="4">
                  <c:v>7922</c:v>
                </c:pt>
                <c:pt idx="5">
                  <c:v>10599</c:v>
                </c:pt>
                <c:pt idx="6">
                  <c:v>13276</c:v>
                </c:pt>
                <c:pt idx="7">
                  <c:v>15953</c:v>
                </c:pt>
                <c:pt idx="8">
                  <c:v>21307</c:v>
                </c:pt>
                <c:pt idx="9">
                  <c:v>23984</c:v>
                </c:pt>
              </c:numCache>
            </c:numRef>
          </c:cat>
          <c:val>
            <c:numRef>
              <c:f>MC.Lognormal_nominal!$K$28:$K$37</c:f>
              <c:numCache>
                <c:formatCode>0.00</c:formatCode>
                <c:ptCount val="10"/>
                <c:pt idx="0">
                  <c:v>0.21099999999999999</c:v>
                </c:pt>
                <c:pt idx="1">
                  <c:v>0.377</c:v>
                </c:pt>
                <c:pt idx="2">
                  <c:v>0.219</c:v>
                </c:pt>
                <c:pt idx="3">
                  <c:v>0.104</c:v>
                </c:pt>
                <c:pt idx="4">
                  <c:v>0.04</c:v>
                </c:pt>
                <c:pt idx="5">
                  <c:v>2.1000000000000001E-2</c:v>
                </c:pt>
                <c:pt idx="6">
                  <c:v>1.7999999999999999E-2</c:v>
                </c:pt>
                <c:pt idx="7">
                  <c:v>5.0000000000000001E-3</c:v>
                </c:pt>
                <c:pt idx="8">
                  <c:v>4.0000000000000001E-3</c:v>
                </c:pt>
                <c:pt idx="9">
                  <c:v>1E-3</c:v>
                </c:pt>
              </c:numCache>
            </c:numRef>
          </c:val>
          <c:extLst>
            <c:ext xmlns:c16="http://schemas.microsoft.com/office/drawing/2014/chart" uri="{C3380CC4-5D6E-409C-BE32-E72D297353CC}">
              <c16:uniqueId val="{00000001-832B-4DCB-9981-57144C94A20F}"/>
            </c:ext>
          </c:extLst>
        </c:ser>
        <c:dLbls>
          <c:showLegendKey val="0"/>
          <c:showVal val="0"/>
          <c:showCatName val="0"/>
          <c:showSerName val="0"/>
          <c:showPercent val="0"/>
          <c:showBubbleSize val="0"/>
        </c:dLbls>
        <c:gapWidth val="2"/>
        <c:axId val="943147216"/>
        <c:axId val="943147696"/>
      </c:barChart>
      <c:catAx>
        <c:axId val="9431472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Sorts Mill Goudy" panose="02000503000000000000" pitchFamily="2" charset="0"/>
                    <a:ea typeface="+mn-ea"/>
                    <a:cs typeface="+mn-cs"/>
                  </a:defRPr>
                </a:pPr>
                <a:r>
                  <a:rPr lang="en-GB" b="1"/>
                  <a:t>Post-tax NPV ($M)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title>
        <c:numFmt formatCode="0"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crossAx val="943147696"/>
        <c:crosses val="autoZero"/>
        <c:auto val="1"/>
        <c:lblAlgn val="ctr"/>
        <c:lblOffset val="100"/>
        <c:noMultiLvlLbl val="0"/>
      </c:catAx>
      <c:valAx>
        <c:axId val="9431476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Sorts Mill Goudy" panose="02000503000000000000" pitchFamily="2" charset="0"/>
                    <a:ea typeface="+mn-ea"/>
                    <a:cs typeface="+mn-cs"/>
                  </a:defRPr>
                </a:pPr>
                <a:r>
                  <a:rPr lang="en-GB" b="1"/>
                  <a:t>Probability</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crossAx val="943147216"/>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latin typeface="Sorts Mill Goudy" panose="02000503000000000000" pitchFamily="2" charset="0"/>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Sorts Mill Goudy" panose="02000503000000000000" pitchFamily="2" charset="0"/>
                <a:ea typeface="+mn-ea"/>
                <a:cs typeface="+mn-cs"/>
              </a:defRPr>
            </a:pPr>
            <a:r>
              <a:rPr lang="en-GB" b="1"/>
              <a:t>Cumulative probability</a:t>
            </a:r>
            <a:r>
              <a:rPr lang="en-GB" b="1" baseline="0"/>
              <a:t> </a:t>
            </a:r>
            <a:r>
              <a:rPr lang="en-GB" b="1"/>
              <a:t>of NPV</a:t>
            </a:r>
            <a:r>
              <a:rPr lang="en-GB" b="1" baseline="0"/>
              <a:t> (log-normal; </a:t>
            </a:r>
            <a:r>
              <a:rPr lang="en-GB" b="1" baseline="0">
                <a:solidFill>
                  <a:schemeClr val="accent2"/>
                </a:solidFill>
              </a:rPr>
              <a:t>nominal</a:t>
            </a:r>
            <a:r>
              <a:rPr lang="en-GB" b="1" baseline="0"/>
              <a:t> oil price</a:t>
            </a:r>
            <a:r>
              <a:rPr lang="en-GB" b="1"/>
              <a:t>)</a:t>
            </a:r>
          </a:p>
          <a:p>
            <a:pPr algn="l">
              <a:defRPr/>
            </a:pPr>
            <a:r>
              <a:rPr lang="en-GB" sz="1000">
                <a:solidFill>
                  <a:schemeClr val="tx2"/>
                </a:solidFill>
              </a:rPr>
              <a:t>*NPV axis represents</a:t>
            </a:r>
            <a:r>
              <a:rPr lang="en-GB" sz="1000" baseline="0">
                <a:solidFill>
                  <a:schemeClr val="tx2"/>
                </a:solidFill>
              </a:rPr>
              <a:t> the upper bound (e.g. 7759 shows all NPVs between 21307 and </a:t>
            </a:r>
            <a:r>
              <a:rPr lang="en-GB" sz="1000" b="0" i="0" u="none" strike="noStrike" kern="1200" spc="0" baseline="0">
                <a:solidFill>
                  <a:schemeClr val="tx2"/>
                </a:solidFill>
                <a:latin typeface="Sorts Mill Goudy" panose="02000503000000000000" pitchFamily="2" charset="0"/>
              </a:rPr>
              <a:t>23984</a:t>
            </a:r>
            <a:r>
              <a:rPr lang="en-GB" sz="1000" baseline="0">
                <a:solidFill>
                  <a:schemeClr val="tx2"/>
                </a:solidFill>
              </a:rPr>
              <a:t>)</a:t>
            </a:r>
            <a:endParaRPr lang="en-GB" sz="1000">
              <a:solidFill>
                <a:schemeClr val="tx2"/>
              </a:solidFill>
            </a:endParaRPr>
          </a:p>
        </c:rich>
      </c:tx>
      <c:layout>
        <c:manualLayout>
          <c:xMode val="edge"/>
          <c:yMode val="edge"/>
          <c:x val="1.3865778094642662E-2"/>
          <c:y val="3.177181134849074E-3"/>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Sorts Mill Goudy" panose="02000503000000000000" pitchFamily="2" charset="0"/>
              <a:ea typeface="+mn-ea"/>
              <a:cs typeface="+mn-cs"/>
            </a:defRPr>
          </a:pPr>
          <a:endParaRPr lang="en-US"/>
        </a:p>
      </c:txPr>
    </c:title>
    <c:autoTitleDeleted val="0"/>
    <c:plotArea>
      <c:layout/>
      <c:barChart>
        <c:barDir val="col"/>
        <c:grouping val="clustered"/>
        <c:varyColors val="0"/>
        <c:ser>
          <c:idx val="1"/>
          <c:order val="0"/>
          <c:tx>
            <c:strRef>
              <c:f>MC.Lognormal_nominal!$L$27</c:f>
              <c:strCache>
                <c:ptCount val="1"/>
                <c:pt idx="0">
                  <c:v>Cumulative</c:v>
                </c:pt>
              </c:strCache>
            </c:strRef>
          </c:tx>
          <c:spPr>
            <a:solidFill>
              <a:schemeClr val="accent2">
                <a:lumMod val="60000"/>
                <a:lumOff val="40000"/>
              </a:schemeClr>
            </a:solidFill>
            <a:ln>
              <a:noFill/>
            </a:ln>
            <a:effectLst/>
          </c:spPr>
          <c:invertIfNegative val="0"/>
          <c:cat>
            <c:numRef>
              <c:f>MC.Lognormal_nominal!$I$28:$I$37</c:f>
              <c:numCache>
                <c:formatCode>0.0</c:formatCode>
                <c:ptCount val="10"/>
                <c:pt idx="0">
                  <c:v>-2786</c:v>
                </c:pt>
                <c:pt idx="1">
                  <c:v>-109</c:v>
                </c:pt>
                <c:pt idx="2">
                  <c:v>2568</c:v>
                </c:pt>
                <c:pt idx="3">
                  <c:v>5245</c:v>
                </c:pt>
                <c:pt idx="4">
                  <c:v>7922</c:v>
                </c:pt>
                <c:pt idx="5">
                  <c:v>10599</c:v>
                </c:pt>
                <c:pt idx="6">
                  <c:v>13276</c:v>
                </c:pt>
                <c:pt idx="7">
                  <c:v>15953</c:v>
                </c:pt>
                <c:pt idx="8">
                  <c:v>21307</c:v>
                </c:pt>
                <c:pt idx="9">
                  <c:v>23984</c:v>
                </c:pt>
              </c:numCache>
            </c:numRef>
          </c:cat>
          <c:val>
            <c:numRef>
              <c:f>MC.Lognormal_nominal!$L$28:$L$37</c:f>
              <c:numCache>
                <c:formatCode>0.00</c:formatCode>
                <c:ptCount val="10"/>
                <c:pt idx="0">
                  <c:v>0.21099999999999999</c:v>
                </c:pt>
                <c:pt idx="1">
                  <c:v>0.58799999999999997</c:v>
                </c:pt>
                <c:pt idx="2">
                  <c:v>0.80699999999999994</c:v>
                </c:pt>
                <c:pt idx="3">
                  <c:v>0.91099999999999992</c:v>
                </c:pt>
                <c:pt idx="4">
                  <c:v>0.95099999999999996</c:v>
                </c:pt>
                <c:pt idx="5">
                  <c:v>0.97199999999999998</c:v>
                </c:pt>
                <c:pt idx="6">
                  <c:v>0.99</c:v>
                </c:pt>
                <c:pt idx="7">
                  <c:v>0.995</c:v>
                </c:pt>
                <c:pt idx="8">
                  <c:v>0.999</c:v>
                </c:pt>
                <c:pt idx="9">
                  <c:v>1</c:v>
                </c:pt>
              </c:numCache>
            </c:numRef>
          </c:val>
          <c:extLst>
            <c:ext xmlns:c16="http://schemas.microsoft.com/office/drawing/2014/chart" uri="{C3380CC4-5D6E-409C-BE32-E72D297353CC}">
              <c16:uniqueId val="{00000000-4295-4628-8A5C-DA290D5C6168}"/>
            </c:ext>
          </c:extLst>
        </c:ser>
        <c:dLbls>
          <c:showLegendKey val="0"/>
          <c:showVal val="0"/>
          <c:showCatName val="0"/>
          <c:showSerName val="0"/>
          <c:showPercent val="0"/>
          <c:showBubbleSize val="0"/>
        </c:dLbls>
        <c:gapWidth val="2"/>
        <c:axId val="943147216"/>
        <c:axId val="943147696"/>
      </c:barChart>
      <c:catAx>
        <c:axId val="9431472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Sorts Mill Goudy" panose="02000503000000000000" pitchFamily="2" charset="0"/>
                    <a:ea typeface="+mn-ea"/>
                    <a:cs typeface="+mn-cs"/>
                  </a:defRPr>
                </a:pPr>
                <a:r>
                  <a:rPr lang="en-GB" b="1"/>
                  <a:t>Post-tax NPV ($M)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title>
        <c:numFmt formatCode="0"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crossAx val="943147696"/>
        <c:crosses val="autoZero"/>
        <c:auto val="1"/>
        <c:lblAlgn val="ctr"/>
        <c:lblOffset val="100"/>
        <c:noMultiLvlLbl val="0"/>
      </c:catAx>
      <c:valAx>
        <c:axId val="943147696"/>
        <c:scaling>
          <c:orientation val="minMax"/>
          <c:max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Sorts Mill Goudy" panose="02000503000000000000" pitchFamily="2" charset="0"/>
                    <a:ea typeface="+mn-ea"/>
                    <a:cs typeface="+mn-cs"/>
                  </a:defRPr>
                </a:pPr>
                <a:r>
                  <a:rPr lang="en-GB" b="1"/>
                  <a:t>Probability</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crossAx val="943147216"/>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latin typeface="Sorts Mill Goudy" panose="02000503000000000000" pitchFamily="2" charset="0"/>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Sorts Mill Goudy" panose="02000503000000000000" pitchFamily="2" charset="0"/>
                <a:ea typeface="+mn-ea"/>
                <a:cs typeface="+mn-cs"/>
              </a:defRPr>
            </a:pPr>
            <a:r>
              <a:rPr lang="en-GB" b="1"/>
              <a:t>Probability distribution of NPV</a:t>
            </a:r>
            <a:r>
              <a:rPr lang="en-GB" b="1" baseline="0"/>
              <a:t> (uniform; </a:t>
            </a:r>
            <a:r>
              <a:rPr lang="en-GB" b="1"/>
              <a:t>1000 trials)</a:t>
            </a:r>
          </a:p>
          <a:p>
            <a:pPr algn="l">
              <a:defRPr/>
            </a:pPr>
            <a:r>
              <a:rPr lang="en-GB" sz="1000">
                <a:solidFill>
                  <a:schemeClr val="tx2"/>
                </a:solidFill>
              </a:rPr>
              <a:t>*NPV axis represents</a:t>
            </a:r>
            <a:r>
              <a:rPr lang="en-GB" sz="1000" baseline="0">
                <a:solidFill>
                  <a:schemeClr val="tx2"/>
                </a:solidFill>
              </a:rPr>
              <a:t> the upper bound (e.g. 7759 shows all NPVs between 6734 and 7759)</a:t>
            </a:r>
            <a:endParaRPr lang="en-GB" sz="1000">
              <a:solidFill>
                <a:schemeClr val="tx2"/>
              </a:solidFill>
            </a:endParaRPr>
          </a:p>
        </c:rich>
      </c:tx>
      <c:layout>
        <c:manualLayout>
          <c:xMode val="edge"/>
          <c:yMode val="edge"/>
          <c:x val="1.3865778094642662E-2"/>
          <c:y val="3.177181134849074E-3"/>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Sorts Mill Goudy" panose="02000503000000000000" pitchFamily="2" charset="0"/>
              <a:ea typeface="+mn-ea"/>
              <a:cs typeface="+mn-cs"/>
            </a:defRPr>
          </a:pPr>
          <a:endParaRPr lang="en-US"/>
        </a:p>
      </c:txPr>
    </c:title>
    <c:autoTitleDeleted val="0"/>
    <c:plotArea>
      <c:layout/>
      <c:barChart>
        <c:barDir val="col"/>
        <c:grouping val="clustered"/>
        <c:varyColors val="0"/>
        <c:ser>
          <c:idx val="0"/>
          <c:order val="0"/>
          <c:spPr>
            <a:solidFill>
              <a:schemeClr val="bg2">
                <a:lumMod val="90000"/>
              </a:schemeClr>
            </a:solidFill>
            <a:ln>
              <a:noFill/>
            </a:ln>
            <a:effectLst/>
          </c:spPr>
          <c:invertIfNegative val="0"/>
          <c:cat>
            <c:numRef>
              <c:f>MC.Uniform!$J$28:$J$37</c:f>
              <c:numCache>
                <c:formatCode>0</c:formatCode>
                <c:ptCount val="10"/>
                <c:pt idx="0">
                  <c:v>-1466</c:v>
                </c:pt>
                <c:pt idx="1">
                  <c:v>-441</c:v>
                </c:pt>
                <c:pt idx="2">
                  <c:v>584</c:v>
                </c:pt>
                <c:pt idx="3">
                  <c:v>1609</c:v>
                </c:pt>
                <c:pt idx="4">
                  <c:v>2634</c:v>
                </c:pt>
                <c:pt idx="5">
                  <c:v>3659</c:v>
                </c:pt>
                <c:pt idx="6">
                  <c:v>4684</c:v>
                </c:pt>
                <c:pt idx="7">
                  <c:v>5709</c:v>
                </c:pt>
                <c:pt idx="8">
                  <c:v>6734</c:v>
                </c:pt>
                <c:pt idx="9">
                  <c:v>7759</c:v>
                </c:pt>
              </c:numCache>
            </c:numRef>
          </c:cat>
          <c:val>
            <c:numRef>
              <c:f>MC.Uniform!$L$28:$L$37</c:f>
              <c:numCache>
                <c:formatCode>0.00</c:formatCode>
                <c:ptCount val="10"/>
                <c:pt idx="0">
                  <c:v>8.1000000000000003E-2</c:v>
                </c:pt>
                <c:pt idx="1">
                  <c:v>9.0999999999999998E-2</c:v>
                </c:pt>
                <c:pt idx="2">
                  <c:v>0.10299999999999999</c:v>
                </c:pt>
                <c:pt idx="3">
                  <c:v>9.2999999999999999E-2</c:v>
                </c:pt>
                <c:pt idx="4">
                  <c:v>9.9000000000000005E-2</c:v>
                </c:pt>
                <c:pt idx="5">
                  <c:v>0.107</c:v>
                </c:pt>
                <c:pt idx="6">
                  <c:v>0.104</c:v>
                </c:pt>
                <c:pt idx="7">
                  <c:v>9.8000000000000004E-2</c:v>
                </c:pt>
                <c:pt idx="8">
                  <c:v>0.113</c:v>
                </c:pt>
                <c:pt idx="9">
                  <c:v>0.111</c:v>
                </c:pt>
              </c:numCache>
            </c:numRef>
          </c:val>
          <c:extLst>
            <c:ext xmlns:c16="http://schemas.microsoft.com/office/drawing/2014/chart" uri="{C3380CC4-5D6E-409C-BE32-E72D297353CC}">
              <c16:uniqueId val="{00000000-292C-45CC-8C7E-18C1DE386BF9}"/>
            </c:ext>
          </c:extLst>
        </c:ser>
        <c:dLbls>
          <c:showLegendKey val="0"/>
          <c:showVal val="0"/>
          <c:showCatName val="0"/>
          <c:showSerName val="0"/>
          <c:showPercent val="0"/>
          <c:showBubbleSize val="0"/>
        </c:dLbls>
        <c:gapWidth val="2"/>
        <c:axId val="943147216"/>
        <c:axId val="943147696"/>
      </c:barChart>
      <c:catAx>
        <c:axId val="9431472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Sorts Mill Goudy" panose="02000503000000000000" pitchFamily="2" charset="0"/>
                    <a:ea typeface="+mn-ea"/>
                    <a:cs typeface="+mn-cs"/>
                  </a:defRPr>
                </a:pPr>
                <a:r>
                  <a:rPr lang="en-GB" b="1"/>
                  <a:t>Post-tax NPV ($M)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title>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crossAx val="943147696"/>
        <c:crosses val="autoZero"/>
        <c:auto val="1"/>
        <c:lblAlgn val="ctr"/>
        <c:lblOffset val="100"/>
        <c:noMultiLvlLbl val="0"/>
      </c:catAx>
      <c:valAx>
        <c:axId val="9431476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Sorts Mill Goudy" panose="02000503000000000000" pitchFamily="2" charset="0"/>
                    <a:ea typeface="+mn-ea"/>
                    <a:cs typeface="+mn-cs"/>
                  </a:defRPr>
                </a:pPr>
                <a:r>
                  <a:rPr lang="en-GB" b="1"/>
                  <a:t>Probability</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crossAx val="943147216"/>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latin typeface="Sorts Mill Goudy" panose="02000503000000000000" pitchFamily="2" charset="0"/>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Sorts Mill Goudy" panose="02000503000000000000" pitchFamily="2" charset="0"/>
                <a:ea typeface="+mn-ea"/>
                <a:cs typeface="+mn-cs"/>
              </a:defRPr>
            </a:pPr>
            <a:r>
              <a:rPr lang="en-GB" b="1"/>
              <a:t>Cumulative probability of NPV (uniform; 1000 trials)</a:t>
            </a:r>
          </a:p>
          <a:p>
            <a:pPr algn="l">
              <a:defRPr sz="1400" b="0" i="0" u="none" strike="noStrike" kern="1200" spc="0" baseline="0">
                <a:solidFill>
                  <a:schemeClr val="tx1">
                    <a:lumMod val="65000"/>
                    <a:lumOff val="35000"/>
                  </a:schemeClr>
                </a:solidFill>
                <a:latin typeface="Sorts Mill Goudy" panose="02000503000000000000" pitchFamily="2" charset="0"/>
                <a:ea typeface="+mn-ea"/>
                <a:cs typeface="+mn-cs"/>
              </a:defRPr>
            </a:pPr>
            <a:r>
              <a:rPr lang="en-GB" sz="1000">
                <a:solidFill>
                  <a:schemeClr val="tx2"/>
                </a:solidFill>
              </a:rPr>
              <a:t>*NPV axis represents</a:t>
            </a:r>
            <a:r>
              <a:rPr lang="en-GB" sz="1000" baseline="0">
                <a:solidFill>
                  <a:schemeClr val="tx2"/>
                </a:solidFill>
              </a:rPr>
              <a:t> the upper bound (</a:t>
            </a:r>
            <a:r>
              <a:rPr lang="en-GB" sz="1000" b="0" i="0" u="none" strike="noStrike" kern="1200" spc="0" baseline="0">
                <a:solidFill>
                  <a:schemeClr val="tx2"/>
                </a:solidFill>
                <a:latin typeface="Sorts Mill Goudy" panose="02000503000000000000" pitchFamily="2" charset="0"/>
              </a:rPr>
              <a:t>e.g. 7759 shows all NPVs between 6734 and 7759</a:t>
            </a:r>
            <a:r>
              <a:rPr lang="en-GB" sz="1000" baseline="0">
                <a:solidFill>
                  <a:schemeClr val="tx2"/>
                </a:solidFill>
              </a:rPr>
              <a:t>)</a:t>
            </a:r>
            <a:endParaRPr lang="en-GB" sz="1000">
              <a:solidFill>
                <a:schemeClr val="tx2"/>
              </a:solidFill>
            </a:endParaRPr>
          </a:p>
        </c:rich>
      </c:tx>
      <c:layout>
        <c:manualLayout>
          <c:xMode val="edge"/>
          <c:yMode val="edge"/>
          <c:x val="1.3865778094642662E-2"/>
          <c:y val="3.177181134849074E-3"/>
        </c:manualLayout>
      </c:layout>
      <c:overlay val="0"/>
      <c:spPr>
        <a:noFill/>
        <a:ln>
          <a:noFill/>
        </a:ln>
        <a:effectLst/>
      </c:spPr>
    </c:title>
    <c:autoTitleDeleted val="0"/>
    <c:plotArea>
      <c:layout/>
      <c:barChart>
        <c:barDir val="col"/>
        <c:grouping val="clustered"/>
        <c:varyColors val="0"/>
        <c:ser>
          <c:idx val="1"/>
          <c:order val="0"/>
          <c:spPr>
            <a:solidFill>
              <a:schemeClr val="bg2">
                <a:lumMod val="90000"/>
              </a:schemeClr>
            </a:solidFill>
          </c:spPr>
          <c:invertIfNegative val="0"/>
          <c:cat>
            <c:numRef>
              <c:f>MC.Uniform!$J$28:$J$37</c:f>
              <c:numCache>
                <c:formatCode>0</c:formatCode>
                <c:ptCount val="10"/>
                <c:pt idx="0">
                  <c:v>-1466</c:v>
                </c:pt>
                <c:pt idx="1">
                  <c:v>-441</c:v>
                </c:pt>
                <c:pt idx="2">
                  <c:v>584</c:v>
                </c:pt>
                <c:pt idx="3">
                  <c:v>1609</c:v>
                </c:pt>
                <c:pt idx="4">
                  <c:v>2634</c:v>
                </c:pt>
                <c:pt idx="5">
                  <c:v>3659</c:v>
                </c:pt>
                <c:pt idx="6">
                  <c:v>4684</c:v>
                </c:pt>
                <c:pt idx="7">
                  <c:v>5709</c:v>
                </c:pt>
                <c:pt idx="8">
                  <c:v>6734</c:v>
                </c:pt>
                <c:pt idx="9">
                  <c:v>7759</c:v>
                </c:pt>
              </c:numCache>
            </c:numRef>
          </c:cat>
          <c:val>
            <c:numRef>
              <c:f>MC.Uniform!$M$28:$M$37</c:f>
              <c:numCache>
                <c:formatCode>0.00</c:formatCode>
                <c:ptCount val="10"/>
                <c:pt idx="0">
                  <c:v>8.1000000000000003E-2</c:v>
                </c:pt>
                <c:pt idx="1">
                  <c:v>0.17199999999999999</c:v>
                </c:pt>
                <c:pt idx="2">
                  <c:v>0.27499999999999997</c:v>
                </c:pt>
                <c:pt idx="3">
                  <c:v>0.36799999999999999</c:v>
                </c:pt>
                <c:pt idx="4">
                  <c:v>0.46699999999999997</c:v>
                </c:pt>
                <c:pt idx="5">
                  <c:v>0.57399999999999995</c:v>
                </c:pt>
                <c:pt idx="6">
                  <c:v>0.67799999999999994</c:v>
                </c:pt>
                <c:pt idx="7">
                  <c:v>0.77599999999999991</c:v>
                </c:pt>
                <c:pt idx="8">
                  <c:v>0.8889999999999999</c:v>
                </c:pt>
                <c:pt idx="9">
                  <c:v>0.99999999999999989</c:v>
                </c:pt>
              </c:numCache>
            </c:numRef>
          </c:val>
          <c:extLst>
            <c:ext xmlns:c16="http://schemas.microsoft.com/office/drawing/2014/chart" uri="{C3380CC4-5D6E-409C-BE32-E72D297353CC}">
              <c16:uniqueId val="{00000003-862F-4FCB-9184-47618312CD84}"/>
            </c:ext>
          </c:extLst>
        </c:ser>
        <c:dLbls>
          <c:showLegendKey val="0"/>
          <c:showVal val="0"/>
          <c:showCatName val="0"/>
          <c:showSerName val="0"/>
          <c:showPercent val="0"/>
          <c:showBubbleSize val="0"/>
        </c:dLbls>
        <c:gapWidth val="0"/>
        <c:axId val="943147216"/>
        <c:axId val="943147696"/>
      </c:barChart>
      <c:catAx>
        <c:axId val="9431472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Sorts Mill Goudy" panose="02000503000000000000" pitchFamily="2" charset="0"/>
                    <a:ea typeface="+mn-ea"/>
                    <a:cs typeface="+mn-cs"/>
                  </a:defRPr>
                </a:pPr>
                <a:r>
                  <a:rPr lang="en-GB" b="1"/>
                  <a:t>Post-tax NPV ($M)</a:t>
                </a:r>
              </a:p>
            </c:rich>
          </c:tx>
          <c:overlay val="0"/>
          <c:spPr>
            <a:noFill/>
            <a:ln>
              <a:noFill/>
            </a:ln>
            <a:effectLst/>
          </c:spPr>
        </c:title>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crossAx val="943147696"/>
        <c:crosses val="autoZero"/>
        <c:auto val="1"/>
        <c:lblAlgn val="ctr"/>
        <c:lblOffset val="100"/>
        <c:noMultiLvlLbl val="0"/>
      </c:catAx>
      <c:valAx>
        <c:axId val="943147696"/>
        <c:scaling>
          <c:orientation val="minMax"/>
          <c:max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Sorts Mill Goudy" panose="02000503000000000000" pitchFamily="2" charset="0"/>
                    <a:ea typeface="+mn-ea"/>
                    <a:cs typeface="+mn-cs"/>
                  </a:defRPr>
                </a:pPr>
                <a:r>
                  <a:rPr lang="en-GB" b="1"/>
                  <a:t>Cumulative</a:t>
                </a:r>
                <a:r>
                  <a:rPr lang="en-GB" b="1" baseline="0"/>
                  <a:t> p</a:t>
                </a:r>
                <a:r>
                  <a:rPr lang="en-GB" b="1"/>
                  <a:t>robability</a:t>
                </a:r>
              </a:p>
            </c:rich>
          </c:tx>
          <c:overlay val="0"/>
          <c:spPr>
            <a:noFill/>
            <a:ln>
              <a:noFill/>
            </a:ln>
            <a:effectLst/>
          </c:sp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crossAx val="943147216"/>
        <c:crosses val="autoZero"/>
        <c:crossBetween val="between"/>
      </c:valAx>
    </c:plotArea>
    <c:plotVisOnly val="1"/>
    <c:dispBlanksAs val="gap"/>
    <c:showDLblsOverMax val="0"/>
  </c:chart>
  <c:spPr>
    <a:ln>
      <a:noFill/>
    </a:ln>
  </c:spPr>
  <c:txPr>
    <a:bodyPr/>
    <a:lstStyle/>
    <a:p>
      <a:pPr>
        <a:defRPr>
          <a:latin typeface="Sorts Mill Goudy" panose="02000503000000000000" pitchFamily="2" charset="0"/>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data id="1">
      <cx:numDim type="val">
        <cx:f>_xlchart.v1.3</cx:f>
      </cx:numDim>
    </cx:data>
    <cx:data id="2">
      <cx:numDim type="val">
        <cx:f>_xlchart.v1.5</cx:f>
      </cx:numDim>
    </cx:data>
  </cx:chartData>
  <cx:chart>
    <cx:title pos="t" align="ctr" overlay="0">
      <cx:tx>
        <cx:rich>
          <a:bodyPr vertOverflow="overflow" horzOverflow="overflow" wrap="square" lIns="0" tIns="0" rIns="0" bIns="0"/>
          <a:lstStyle/>
          <a:p>
            <a:pPr algn="ctr" rtl="0">
              <a:defRPr sz="1400" b="0" i="0">
                <a:solidFill>
                  <a:srgbClr val="595959"/>
                </a:solidFill>
                <a:latin typeface="Sorts Mill Goudy" panose="02000503000000000000" pitchFamily="2" charset="0"/>
                <a:ea typeface="Sorts Mill Goudy" panose="02000503000000000000" pitchFamily="2" charset="0"/>
                <a:cs typeface="Sorts Mill Goudy" panose="02000503000000000000" pitchFamily="2" charset="0"/>
              </a:defRPr>
            </a:pPr>
            <a:r>
              <a:rPr lang="en-GB" b="1">
                <a:latin typeface="Sorts Mill Goudy" panose="02000503000000000000" pitchFamily="2" charset="0"/>
              </a:rPr>
              <a:t>Box plot of NPV under different oil price assumptions</a:t>
            </a:r>
          </a:p>
          <a:p>
            <a:pPr algn="ctr" rtl="0">
              <a:defRPr sz="1400" b="0" i="0">
                <a:solidFill>
                  <a:srgbClr val="595959"/>
                </a:solidFill>
                <a:latin typeface="Sorts Mill Goudy" panose="02000503000000000000" pitchFamily="2" charset="0"/>
                <a:ea typeface="Sorts Mill Goudy" panose="02000503000000000000" pitchFamily="2" charset="0"/>
                <a:cs typeface="Sorts Mill Goudy" panose="02000503000000000000" pitchFamily="2" charset="0"/>
              </a:defRPr>
            </a:pPr>
            <a:r>
              <a:rPr lang="en-GB" sz="1000" b="1">
                <a:solidFill>
                  <a:schemeClr val="bg2">
                    <a:lumMod val="50000"/>
                  </a:schemeClr>
                </a:solidFill>
                <a:latin typeface="Sorts Mill Goudy" panose="02000503000000000000" pitchFamily="2" charset="0"/>
              </a:rPr>
              <a:t>Uniform</a:t>
            </a:r>
            <a:r>
              <a:rPr lang="en-GB" sz="1000">
                <a:latin typeface="Sorts Mill Goudy" panose="02000503000000000000" pitchFamily="2" charset="0"/>
              </a:rPr>
              <a:t> | </a:t>
            </a:r>
            <a:r>
              <a:rPr lang="en-GB" sz="1000" b="1">
                <a:solidFill>
                  <a:schemeClr val="accent6">
                    <a:lumMod val="60000"/>
                    <a:lumOff val="40000"/>
                  </a:schemeClr>
                </a:solidFill>
                <a:latin typeface="Sorts Mill Goudy" panose="02000503000000000000" pitchFamily="2" charset="0"/>
              </a:rPr>
              <a:t>Nominal</a:t>
            </a:r>
            <a:r>
              <a:rPr lang="en-GB" sz="1000">
                <a:latin typeface="Sorts Mill Goudy" panose="02000503000000000000" pitchFamily="2" charset="0"/>
              </a:rPr>
              <a:t> | </a:t>
            </a:r>
            <a:r>
              <a:rPr lang="en-GB" sz="1000" b="1">
                <a:solidFill>
                  <a:schemeClr val="accent6">
                    <a:lumMod val="75000"/>
                  </a:schemeClr>
                </a:solidFill>
                <a:latin typeface="Sorts Mill Goudy" panose="02000503000000000000" pitchFamily="2" charset="0"/>
              </a:rPr>
              <a:t>Inflation-adjusted</a:t>
            </a:r>
          </a:p>
        </cx:rich>
      </cx:tx>
    </cx:title>
    <cx:plotArea>
      <cx:plotAreaRegion>
        <cx:series layoutId="boxWhisker" uniqueId="{A44C03AA-9462-4E49-808C-722CA308ABBD}">
          <cx:tx>
            <cx:txData>
              <cx:f>_xlchart.v1.0</cx:f>
              <cx:v>NPV [1]</cx:v>
            </cx:txData>
          </cx:tx>
          <cx:spPr>
            <a:noFill/>
            <a:ln w="25400">
              <a:solidFill>
                <a:schemeClr val="bg2">
                  <a:lumMod val="50000"/>
                </a:schemeClr>
              </a:solidFill>
            </a:ln>
          </cx:spPr>
          <cx:dataId val="0"/>
          <cx:layoutPr>
            <cx:visibility meanLine="0" meanMarker="1" nonoutliers="0" outliers="1"/>
            <cx:statistics quartileMethod="exclusive"/>
          </cx:layoutPr>
        </cx:series>
        <cx:series layoutId="boxWhisker" uniqueId="{63C81041-999C-4CCB-9433-642B8F5D15B8}">
          <cx:tx>
            <cx:txData>
              <cx:f>_xlchart.v1.2</cx:f>
              <cx:v>NPV [2]</cx:v>
            </cx:txData>
          </cx:tx>
          <cx:spPr>
            <a:noFill/>
            <a:ln w="25400">
              <a:solidFill>
                <a:schemeClr val="accent6">
                  <a:lumMod val="60000"/>
                  <a:lumOff val="40000"/>
                </a:schemeClr>
              </a:solidFill>
            </a:ln>
          </cx:spPr>
          <cx:dataId val="1"/>
          <cx:layoutPr>
            <cx:visibility meanLine="0" meanMarker="1" nonoutliers="0" outliers="1"/>
            <cx:statistics quartileMethod="exclusive"/>
          </cx:layoutPr>
        </cx:series>
        <cx:series layoutId="boxWhisker" uniqueId="{20CBCA6A-85D2-48CE-945B-6B971B58C9A6}">
          <cx:tx>
            <cx:txData>
              <cx:f>_xlchart.v1.4</cx:f>
              <cx:v>NPV [3]</cx:v>
            </cx:txData>
          </cx:tx>
          <cx:spPr>
            <a:noFill/>
            <a:ln w="25400">
              <a:solidFill>
                <a:schemeClr val="accent6">
                  <a:lumMod val="75000"/>
                </a:schemeClr>
              </a:solidFill>
            </a:ln>
          </cx:spPr>
          <cx:dataId val="2"/>
          <cx:layoutPr>
            <cx:visibility meanLine="0" meanMarker="1" nonoutliers="0" outliers="1"/>
            <cx:statistics quartileMethod="exclusive"/>
          </cx:layoutPr>
        </cx:series>
      </cx:plotAreaRegion>
      <cx:axis id="0" hidden="1">
        <cx:catScaling gapWidth="1"/>
        <cx:tickLabels/>
        <cx:txPr>
          <a:bodyPr vertOverflow="overflow" horzOverflow="overflow" wrap="square" lIns="0" tIns="0" rIns="0" bIns="0"/>
          <a:lstStyle/>
          <a:p>
            <a:pPr algn="ctr" rtl="0">
              <a:defRPr sz="900" b="0" i="0">
                <a:solidFill>
                  <a:srgbClr val="595959"/>
                </a:solidFill>
                <a:latin typeface="Sorts Mill Goudy" panose="02000503000000000000" pitchFamily="2" charset="0"/>
                <a:ea typeface="Sorts Mill Goudy" panose="02000503000000000000" pitchFamily="2" charset="0"/>
                <a:cs typeface="Sorts Mill Goudy" panose="02000503000000000000" pitchFamily="2" charset="0"/>
              </a:defRPr>
            </a:pPr>
            <a:endParaRPr lang="en-GB">
              <a:latin typeface="Sorts Mill Goudy" panose="02000503000000000000" pitchFamily="2" charset="0"/>
            </a:endParaRPr>
          </a:p>
        </cx:txPr>
      </cx:axis>
      <cx:axis id="1">
        <cx:valScaling max="16000" min="-6000"/>
        <cx:majorTickMarks type="in"/>
        <cx:tickLabels/>
        <cx:numFmt formatCode="0" sourceLinked="0"/>
        <cx:spPr>
          <a:ln>
            <a:solidFill>
              <a:schemeClr val="tx1">
                <a:lumMod val="15000"/>
                <a:lumOff val="85000"/>
              </a:schemeClr>
            </a:solidFill>
          </a:ln>
        </cx:spPr>
        <cx:txPr>
          <a:bodyPr vertOverflow="overflow" horzOverflow="overflow" wrap="square" lIns="0" tIns="0" rIns="0" bIns="0"/>
          <a:lstStyle/>
          <a:p>
            <a:pPr algn="ctr" rtl="0">
              <a:defRPr sz="1200" b="1" i="0">
                <a:solidFill>
                  <a:srgbClr val="595959"/>
                </a:solidFill>
                <a:latin typeface="Sorts Mill Goudy" panose="02000503000000000000" pitchFamily="2" charset="0"/>
                <a:ea typeface="Sorts Mill Goudy" panose="02000503000000000000" pitchFamily="2" charset="0"/>
                <a:cs typeface="Sorts Mill Goudy" panose="02000503000000000000" pitchFamily="2" charset="0"/>
              </a:defRPr>
            </a:pPr>
            <a:endParaRPr lang="en-GB" sz="1200" b="1">
              <a:latin typeface="Sorts Mill Goudy" panose="02000503000000000000" pitchFamily="2" charset="0"/>
            </a:endParaRPr>
          </a:p>
        </cx:txPr>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_xlchart.v1.7</cx:f>
      </cx:numDim>
    </cx:data>
  </cx:chartData>
  <cx:chart>
    <cx:title pos="t" align="ctr" overlay="0">
      <cx:tx>
        <cx:txData>
          <cx:v>Inflation-adjusted oil price ($/bbl) between 1986 and 2024</cx:v>
        </cx:txData>
      </cx:tx>
      <cx:txPr>
        <a:bodyPr spcFirstLastPara="1" vertOverflow="ellipsis" horzOverflow="overflow" wrap="square" lIns="0" tIns="0" rIns="0" bIns="0" anchor="ctr" anchorCtr="1"/>
        <a:lstStyle/>
        <a:p>
          <a:pPr algn="ctr" rtl="0">
            <a:defRPr/>
          </a:pPr>
          <a:r>
            <a:rPr lang="en-GB" sz="1400" b="1" i="0" u="none" strike="noStrike" baseline="0">
              <a:solidFill>
                <a:srgbClr val="000000">
                  <a:lumMod val="65000"/>
                  <a:lumOff val="35000"/>
                </a:srgbClr>
              </a:solidFill>
              <a:latin typeface="Calibri"/>
            </a:rPr>
            <a:t>Inflation-adjusted oil price ($/bbl) between 1986 and 2024</a:t>
          </a:r>
        </a:p>
      </cx:txPr>
    </cx:title>
    <cx:plotArea>
      <cx:plotAreaRegion>
        <cx:series layoutId="clusteredColumn" uniqueId="{C6686854-0D9B-48AC-9EB5-B75E9A8523D3}">
          <cx:dataId val="0"/>
          <cx:layoutPr>
            <cx:binning intervalClosed="r"/>
          </cx:layoutPr>
        </cx:series>
      </cx:plotAreaRegion>
      <cx:axis id="0">
        <cx:catScaling gapWidth="0"/>
        <cx:title>
          <cx:tx>
            <cx:txData>
              <cx:v>Oil price (real; $/bbl)</cx:v>
            </cx:txData>
          </cx:tx>
          <cx:txPr>
            <a:bodyPr spcFirstLastPara="1" vertOverflow="ellipsis" horzOverflow="overflow" wrap="square" lIns="0" tIns="0" rIns="0" bIns="0" anchor="ctr" anchorCtr="1"/>
            <a:lstStyle/>
            <a:p>
              <a:pPr algn="ctr" rtl="0">
                <a:defRPr b="1"/>
              </a:pPr>
              <a:r>
                <a:rPr lang="en-GB" sz="900" b="1" i="0" u="none" strike="noStrike" baseline="0">
                  <a:solidFill>
                    <a:sysClr val="windowText" lastClr="000000">
                      <a:lumMod val="65000"/>
                      <a:lumOff val="35000"/>
                    </a:sysClr>
                  </a:solidFill>
                  <a:latin typeface="Calisto MT"/>
                </a:rPr>
                <a:t>Oil price (real; $/bbl)</a:t>
              </a:r>
            </a:p>
          </cx:txPr>
        </cx:title>
        <cx:tickLabels/>
      </cx:axis>
      <cx:axis id="1">
        <cx:valScaling/>
        <cx:title>
          <cx:tx>
            <cx:txData>
              <cx:v>Frequency</cx:v>
            </cx:txData>
          </cx:tx>
          <cx:txPr>
            <a:bodyPr spcFirstLastPara="1" vertOverflow="ellipsis" horzOverflow="overflow" wrap="square" lIns="0" tIns="0" rIns="0" bIns="0" anchor="ctr" anchorCtr="1"/>
            <a:lstStyle/>
            <a:p>
              <a:pPr algn="ctr" rtl="0">
                <a:defRPr/>
              </a:pPr>
              <a:r>
                <a:rPr lang="en-GB" sz="900" b="1" i="0" u="none" strike="noStrike" baseline="0">
                  <a:solidFill>
                    <a:sysClr val="windowText" lastClr="000000">
                      <a:lumMod val="65000"/>
                      <a:lumOff val="35000"/>
                    </a:sysClr>
                  </a:solidFill>
                  <a:latin typeface="Calisto MT"/>
                </a:rPr>
                <a:t>Frequency</a:t>
              </a:r>
            </a:p>
          </cx:txPr>
        </cx:title>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_xlchart.v1.6</cx:f>
      </cx:numDim>
    </cx:data>
  </cx:chartData>
  <cx:chart>
    <cx:title pos="t" align="ctr" overlay="0">
      <cx:tx>
        <cx:txData>
          <cx:v>Log(inflation-adjusted oil price) between 1986 and 2024</cx:v>
        </cx:txData>
      </cx:tx>
      <cx:txPr>
        <a:bodyPr spcFirstLastPara="1" vertOverflow="ellipsis" horzOverflow="overflow" wrap="square" lIns="0" tIns="0" rIns="0" bIns="0" anchor="ctr" anchorCtr="1"/>
        <a:lstStyle/>
        <a:p>
          <a:pPr algn="ctr" rtl="0">
            <a:defRPr/>
          </a:pPr>
          <a:r>
            <a:rPr lang="en-GB" sz="1400" b="1" i="0" u="none" strike="noStrike" baseline="0">
              <a:solidFill>
                <a:srgbClr val="000000">
                  <a:lumMod val="65000"/>
                  <a:lumOff val="35000"/>
                </a:srgbClr>
              </a:solidFill>
              <a:latin typeface="Calibri"/>
            </a:rPr>
            <a:t>Log(inflation-adjusted oil price) between 1986 and 2024</a:t>
          </a:r>
        </a:p>
      </cx:txPr>
    </cx:title>
    <cx:plotArea>
      <cx:plotAreaRegion>
        <cx:series layoutId="clusteredColumn" uniqueId="{6843FEF3-C3BF-4455-9579-847ED3713314}">
          <cx:dataId val="0"/>
          <cx:layoutPr>
            <cx:binning intervalClosed="r"/>
          </cx:layoutPr>
        </cx:series>
      </cx:plotAreaRegion>
      <cx:axis id="0">
        <cx:catScaling gapWidth="0"/>
        <cx:title>
          <cx:tx>
            <cx:txData>
              <cx:v>Log(oil price; real)</cx:v>
            </cx:txData>
          </cx:tx>
          <cx:txPr>
            <a:bodyPr spcFirstLastPara="1" vertOverflow="ellipsis" horzOverflow="overflow" wrap="square" lIns="0" tIns="0" rIns="0" bIns="0" anchor="ctr" anchorCtr="1"/>
            <a:lstStyle/>
            <a:p>
              <a:pPr algn="ctr" rtl="0">
                <a:defRPr b="1"/>
              </a:pPr>
              <a:r>
                <a:rPr lang="en-GB" sz="900" b="1" i="0" u="none" strike="noStrike" baseline="0">
                  <a:solidFill>
                    <a:sysClr val="windowText" lastClr="000000">
                      <a:lumMod val="65000"/>
                      <a:lumOff val="35000"/>
                    </a:sysClr>
                  </a:solidFill>
                  <a:latin typeface="Calisto MT"/>
                </a:rPr>
                <a:t>Log(oil price; real)</a:t>
              </a:r>
            </a:p>
          </cx:txPr>
        </cx:title>
        <cx:tickLabels/>
      </cx:axis>
      <cx:axis id="1">
        <cx:valScaling/>
        <cx:title>
          <cx:tx>
            <cx:txData>
              <cx:v>Frequency</cx:v>
            </cx:txData>
          </cx:tx>
          <cx:txPr>
            <a:bodyPr spcFirstLastPara="1" vertOverflow="ellipsis" horzOverflow="overflow" wrap="square" lIns="0" tIns="0" rIns="0" bIns="0" anchor="ctr" anchorCtr="1"/>
            <a:lstStyle/>
            <a:p>
              <a:pPr algn="ctr" rtl="0">
                <a:defRPr/>
              </a:pPr>
              <a:r>
                <a:rPr lang="en-GB" sz="900" b="1" i="0" u="none" strike="noStrike" baseline="0">
                  <a:solidFill>
                    <a:sysClr val="windowText" lastClr="000000">
                      <a:lumMod val="65000"/>
                      <a:lumOff val="35000"/>
                    </a:sysClr>
                  </a:solidFill>
                  <a:latin typeface="Calisto MT"/>
                </a:rPr>
                <a:t>Frequency</a:t>
              </a:r>
            </a:p>
          </cx:txPr>
        </cx:title>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4.xml"/><Relationship Id="rId3" Type="http://schemas.openxmlformats.org/officeDocument/2006/relationships/chart" Target="../charts/chart9.xml"/><Relationship Id="rId7" Type="http://schemas.openxmlformats.org/officeDocument/2006/relationships/chart" Target="../charts/chart13.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10" Type="http://schemas.openxmlformats.org/officeDocument/2006/relationships/chart" Target="../charts/chart16.xml"/><Relationship Id="rId4" Type="http://schemas.openxmlformats.org/officeDocument/2006/relationships/chart" Target="../charts/chart10.xml"/><Relationship Id="rId9" Type="http://schemas.openxmlformats.org/officeDocument/2006/relationships/chart" Target="../charts/chart1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9.xml"/><Relationship Id="rId1" Type="http://schemas.openxmlformats.org/officeDocument/2006/relationships/chart" Target="../charts/chart18.xml"/></Relationships>
</file>

<file path=xl/drawings/_rels/drawing6.xml.rels><?xml version="1.0" encoding="UTF-8" standalone="yes"?>
<Relationships xmlns="http://schemas.openxmlformats.org/package/2006/relationships"><Relationship Id="rId2" Type="http://schemas.openxmlformats.org/officeDocument/2006/relationships/chart" Target="../charts/chart21.xml"/><Relationship Id="rId1" Type="http://schemas.openxmlformats.org/officeDocument/2006/relationships/chart" Target="../charts/chart20.xml"/></Relationships>
</file>

<file path=xl/drawings/_rels/drawing7.xml.rels><?xml version="1.0" encoding="UTF-8" standalone="yes"?>
<Relationships xmlns="http://schemas.openxmlformats.org/package/2006/relationships"><Relationship Id="rId2" Type="http://schemas.openxmlformats.org/officeDocument/2006/relationships/chart" Target="../charts/chart23.xml"/><Relationship Id="rId1" Type="http://schemas.openxmlformats.org/officeDocument/2006/relationships/chart" Target="../charts/chart22.xml"/></Relationships>
</file>

<file path=xl/drawings/_rels/drawing8.xml.rels><?xml version="1.0" encoding="UTF-8" standalone="yes"?>
<Relationships xmlns="http://schemas.openxmlformats.org/package/2006/relationships"><Relationship Id="rId2" Type="http://schemas.microsoft.com/office/2014/relationships/chartEx" Target="../charts/chartEx3.xml"/><Relationship Id="rId1"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12</xdr:col>
      <xdr:colOff>0</xdr:colOff>
      <xdr:row>6</xdr:row>
      <xdr:rowOff>213825</xdr:rowOff>
    </xdr:from>
    <xdr:to>
      <xdr:col>25</xdr:col>
      <xdr:colOff>88079</xdr:colOff>
      <xdr:row>25</xdr:row>
      <xdr:rowOff>111121</xdr:rowOff>
    </xdr:to>
    <xdr:graphicFrame macro="">
      <xdr:nvGraphicFramePr>
        <xdr:cNvPr id="12" name="Chart 11">
          <a:extLst>
            <a:ext uri="{FF2B5EF4-FFF2-40B4-BE49-F238E27FC236}">
              <a16:creationId xmlns:a16="http://schemas.microsoft.com/office/drawing/2014/main" id="{F482A16E-8947-4B09-9D43-47E981CEC7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600696</xdr:colOff>
      <xdr:row>7</xdr:row>
      <xdr:rowOff>0</xdr:rowOff>
    </xdr:from>
    <xdr:to>
      <xdr:col>38</xdr:col>
      <xdr:colOff>88077</xdr:colOff>
      <xdr:row>25</xdr:row>
      <xdr:rowOff>111122</xdr:rowOff>
    </xdr:to>
    <xdr:graphicFrame macro="">
      <xdr:nvGraphicFramePr>
        <xdr:cNvPr id="13" name="Chart 12">
          <a:extLst>
            <a:ext uri="{FF2B5EF4-FFF2-40B4-BE49-F238E27FC236}">
              <a16:creationId xmlns:a16="http://schemas.microsoft.com/office/drawing/2014/main" id="{0DBD99DA-B772-477F-B2A0-6D0D01F4BD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0</xdr:colOff>
      <xdr:row>28</xdr:row>
      <xdr:rowOff>0</xdr:rowOff>
    </xdr:from>
    <xdr:to>
      <xdr:col>25</xdr:col>
      <xdr:colOff>86174</xdr:colOff>
      <xdr:row>46</xdr:row>
      <xdr:rowOff>135522</xdr:rowOff>
    </xdr:to>
    <xdr:graphicFrame macro="">
      <xdr:nvGraphicFramePr>
        <xdr:cNvPr id="14" name="Chart 13">
          <a:extLst>
            <a:ext uri="{FF2B5EF4-FFF2-40B4-BE49-F238E27FC236}">
              <a16:creationId xmlns:a16="http://schemas.microsoft.com/office/drawing/2014/main" id="{AA45CE0F-E534-479A-A143-2BF2418053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25</xdr:col>
      <xdr:colOff>0</xdr:colOff>
      <xdr:row>28</xdr:row>
      <xdr:rowOff>0</xdr:rowOff>
    </xdr:from>
    <xdr:to>
      <xdr:col>38</xdr:col>
      <xdr:colOff>88078</xdr:colOff>
      <xdr:row>46</xdr:row>
      <xdr:rowOff>111122</xdr:rowOff>
    </xdr:to>
    <xdr:graphicFrame macro="">
      <xdr:nvGraphicFramePr>
        <xdr:cNvPr id="15" name="Chart 14">
          <a:extLst>
            <a:ext uri="{FF2B5EF4-FFF2-40B4-BE49-F238E27FC236}">
              <a16:creationId xmlns:a16="http://schemas.microsoft.com/office/drawing/2014/main" id="{9AB18D0C-02FA-4471-A10A-1B91F9D7A8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484065</xdr:colOff>
      <xdr:row>50</xdr:row>
      <xdr:rowOff>-1</xdr:rowOff>
    </xdr:from>
    <xdr:to>
      <xdr:col>24</xdr:col>
      <xdr:colOff>570239</xdr:colOff>
      <xdr:row>68</xdr:row>
      <xdr:rowOff>111122</xdr:rowOff>
    </xdr:to>
    <xdr:graphicFrame macro="">
      <xdr:nvGraphicFramePr>
        <xdr:cNvPr id="16" name="Chart 15">
          <a:extLst>
            <a:ext uri="{FF2B5EF4-FFF2-40B4-BE49-F238E27FC236}">
              <a16:creationId xmlns:a16="http://schemas.microsoft.com/office/drawing/2014/main" id="{0D9E7629-DC74-4CDF-9CA2-79DF8E8BC2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24</xdr:col>
      <xdr:colOff>611274</xdr:colOff>
      <xdr:row>50</xdr:row>
      <xdr:rowOff>18910</xdr:rowOff>
    </xdr:from>
    <xdr:to>
      <xdr:col>38</xdr:col>
      <xdr:colOff>111991</xdr:colOff>
      <xdr:row>68</xdr:row>
      <xdr:rowOff>133078</xdr:rowOff>
    </xdr:to>
    <xdr:graphicFrame macro="">
      <xdr:nvGraphicFramePr>
        <xdr:cNvPr id="17" name="Chart 16">
          <a:extLst>
            <a:ext uri="{FF2B5EF4-FFF2-40B4-BE49-F238E27FC236}">
              <a16:creationId xmlns:a16="http://schemas.microsoft.com/office/drawing/2014/main" id="{D609846E-7434-44FF-B4D5-8982425A96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39</xdr:col>
      <xdr:colOff>248266</xdr:colOff>
      <xdr:row>6</xdr:row>
      <xdr:rowOff>94908</xdr:rowOff>
    </xdr:from>
    <xdr:to>
      <xdr:col>47</xdr:col>
      <xdr:colOff>760738</xdr:colOff>
      <xdr:row>46</xdr:row>
      <xdr:rowOff>59261</xdr:rowOff>
    </xdr:to>
    <xdr:grpSp>
      <xdr:nvGrpSpPr>
        <xdr:cNvPr id="33" name="Group 32">
          <a:extLst>
            <a:ext uri="{FF2B5EF4-FFF2-40B4-BE49-F238E27FC236}">
              <a16:creationId xmlns:a16="http://schemas.microsoft.com/office/drawing/2014/main" id="{A14C2AF1-E3D6-B56E-8D3B-D847AC39AB7F}"/>
            </a:ext>
          </a:extLst>
        </xdr:cNvPr>
        <xdr:cNvGrpSpPr/>
      </xdr:nvGrpSpPr>
      <xdr:grpSpPr>
        <a:xfrm>
          <a:off x="26250051" y="1536846"/>
          <a:ext cx="8179364" cy="8580815"/>
          <a:chOff x="1470477" y="14176627"/>
          <a:chExt cx="8211806" cy="8601524"/>
        </a:xfrm>
      </xdr:grpSpPr>
      <xdr:grpSp>
        <xdr:nvGrpSpPr>
          <xdr:cNvPr id="32" name="Group 31">
            <a:extLst>
              <a:ext uri="{FF2B5EF4-FFF2-40B4-BE49-F238E27FC236}">
                <a16:creationId xmlns:a16="http://schemas.microsoft.com/office/drawing/2014/main" id="{AA86A465-DFB3-4450-6D31-6B222F2E106B}"/>
              </a:ext>
            </a:extLst>
          </xdr:cNvPr>
          <xdr:cNvGrpSpPr/>
        </xdr:nvGrpSpPr>
        <xdr:grpSpPr>
          <a:xfrm>
            <a:off x="1474287" y="14172817"/>
            <a:ext cx="8204186" cy="8601524"/>
            <a:chOff x="1474287" y="14172817"/>
            <a:chExt cx="8204186" cy="8601524"/>
          </a:xfrm>
        </xdr:grpSpPr>
        <mc:AlternateContent xmlns:mc="http://schemas.openxmlformats.org/markup-compatibility/2006">
          <mc:Choice xmlns:cx1="http://schemas.microsoft.com/office/drawing/2015/9/8/chartex" Requires="cx1">
            <xdr:graphicFrame macro="">
              <xdr:nvGraphicFramePr>
                <xdr:cNvPr id="20" name="Chart 19">
                  <a:extLst>
                    <a:ext uri="{FF2B5EF4-FFF2-40B4-BE49-F238E27FC236}">
                      <a16:creationId xmlns:a16="http://schemas.microsoft.com/office/drawing/2014/main" id="{CB29DB5E-588C-4394-A85C-2B34985408CC}"/>
                    </a:ext>
                  </a:extLst>
                </xdr:cNvPr>
                <xdr:cNvGraphicFramePr/>
              </xdr:nvGraphicFramePr>
              <xdr:xfrm>
                <a:off x="1474287" y="14172817"/>
                <a:ext cx="8204186" cy="8601524"/>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1474287" y="14172817"/>
                  <a:ext cx="8204186" cy="8601524"/>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grpSp>
          <xdr:nvGrpSpPr>
            <xdr:cNvPr id="26" name="Group 25">
              <a:extLst>
                <a:ext uri="{FF2B5EF4-FFF2-40B4-BE49-F238E27FC236}">
                  <a16:creationId xmlns:a16="http://schemas.microsoft.com/office/drawing/2014/main" id="{664488E2-4308-6036-5C52-F660581D143D}"/>
                </a:ext>
              </a:extLst>
            </xdr:cNvPr>
            <xdr:cNvGrpSpPr/>
          </xdr:nvGrpSpPr>
          <xdr:grpSpPr>
            <a:xfrm>
              <a:off x="2518511" y="17634286"/>
              <a:ext cx="1077735" cy="3861599"/>
              <a:chOff x="3182399" y="17647708"/>
              <a:chExt cx="1092818" cy="3853308"/>
            </a:xfrm>
          </xdr:grpSpPr>
          <xdr:sp macro="" textlink="">
            <xdr:nvSpPr>
              <xdr:cNvPr id="21" name="TextBox 20">
                <a:extLst>
                  <a:ext uri="{FF2B5EF4-FFF2-40B4-BE49-F238E27FC236}">
                    <a16:creationId xmlns:a16="http://schemas.microsoft.com/office/drawing/2014/main" id="{3B4105C7-B44C-27DD-9036-39FC3C7F12FC}"/>
                  </a:ext>
                </a:extLst>
              </xdr:cNvPr>
              <xdr:cNvSpPr txBox="1"/>
            </xdr:nvSpPr>
            <xdr:spPr>
              <a:xfrm>
                <a:off x="3182399" y="17647708"/>
                <a:ext cx="1087241" cy="24771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lang="en-GB" sz="1100">
                    <a:solidFill>
                      <a:schemeClr val="bg1">
                        <a:lumMod val="50000"/>
                      </a:schemeClr>
                    </a:solidFill>
                  </a:rPr>
                  <a:t>99th percentile</a:t>
                </a:r>
              </a:p>
            </xdr:txBody>
          </xdr:sp>
          <xdr:sp macro="" textlink="">
            <xdr:nvSpPr>
              <xdr:cNvPr id="22" name="TextBox 21">
                <a:extLst>
                  <a:ext uri="{FF2B5EF4-FFF2-40B4-BE49-F238E27FC236}">
                    <a16:creationId xmlns:a16="http://schemas.microsoft.com/office/drawing/2014/main" id="{956391CA-3B29-48A8-89C2-AC3B678969C4}"/>
                  </a:ext>
                </a:extLst>
              </xdr:cNvPr>
              <xdr:cNvSpPr txBox="1"/>
            </xdr:nvSpPr>
            <xdr:spPr>
              <a:xfrm>
                <a:off x="3204911" y="18456483"/>
                <a:ext cx="1070306" cy="260812"/>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lang="en-GB" sz="1100">
                    <a:solidFill>
                      <a:schemeClr val="bg1">
                        <a:lumMod val="50000"/>
                      </a:schemeClr>
                    </a:solidFill>
                  </a:rPr>
                  <a:t>75th percentile</a:t>
                </a:r>
              </a:p>
            </xdr:txBody>
          </xdr:sp>
          <xdr:sp macro="" textlink="">
            <xdr:nvSpPr>
              <xdr:cNvPr id="23" name="TextBox 22">
                <a:extLst>
                  <a:ext uri="{FF2B5EF4-FFF2-40B4-BE49-F238E27FC236}">
                    <a16:creationId xmlns:a16="http://schemas.microsoft.com/office/drawing/2014/main" id="{9B6679EC-62E4-4690-B9E7-9D58B3F9C639}"/>
                  </a:ext>
                </a:extLst>
              </xdr:cNvPr>
              <xdr:cNvSpPr txBox="1"/>
            </xdr:nvSpPr>
            <xdr:spPr>
              <a:xfrm>
                <a:off x="3622917" y="19339130"/>
                <a:ext cx="652300" cy="260812"/>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lang="en-GB" sz="1100">
                    <a:solidFill>
                      <a:schemeClr val="bg1">
                        <a:lumMod val="50000"/>
                      </a:schemeClr>
                    </a:solidFill>
                  </a:rPr>
                  <a:t>Median</a:t>
                </a:r>
              </a:p>
            </xdr:txBody>
          </xdr:sp>
          <xdr:sp macro="" textlink="">
            <xdr:nvSpPr>
              <xdr:cNvPr id="24" name="TextBox 23">
                <a:extLst>
                  <a:ext uri="{FF2B5EF4-FFF2-40B4-BE49-F238E27FC236}">
                    <a16:creationId xmlns:a16="http://schemas.microsoft.com/office/drawing/2014/main" id="{0AB7016D-F6BD-473E-B4BC-4D787D2592B3}"/>
                  </a:ext>
                </a:extLst>
              </xdr:cNvPr>
              <xdr:cNvSpPr txBox="1"/>
            </xdr:nvSpPr>
            <xdr:spPr>
              <a:xfrm>
                <a:off x="3199333" y="20210241"/>
                <a:ext cx="1070307" cy="260812"/>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lang="en-GB" sz="1100">
                    <a:solidFill>
                      <a:schemeClr val="bg1">
                        <a:lumMod val="50000"/>
                      </a:schemeClr>
                    </a:solidFill>
                  </a:rPr>
                  <a:t>25th percentile</a:t>
                </a:r>
              </a:p>
            </xdr:txBody>
          </xdr:sp>
          <xdr:sp macro="" textlink="">
            <xdr:nvSpPr>
              <xdr:cNvPr id="25" name="TextBox 24">
                <a:extLst>
                  <a:ext uri="{FF2B5EF4-FFF2-40B4-BE49-F238E27FC236}">
                    <a16:creationId xmlns:a16="http://schemas.microsoft.com/office/drawing/2014/main" id="{010C4AF5-14A6-45BC-957C-05F1EC1DAAFA}"/>
                  </a:ext>
                </a:extLst>
              </xdr:cNvPr>
              <xdr:cNvSpPr txBox="1"/>
            </xdr:nvSpPr>
            <xdr:spPr>
              <a:xfrm>
                <a:off x="3265057" y="21240204"/>
                <a:ext cx="974360" cy="260812"/>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lang="en-GB" sz="1100">
                    <a:solidFill>
                      <a:schemeClr val="bg1">
                        <a:lumMod val="50000"/>
                      </a:schemeClr>
                    </a:solidFill>
                  </a:rPr>
                  <a:t>1st percentile</a:t>
                </a:r>
              </a:p>
            </xdr:txBody>
          </xdr:sp>
        </xdr:grpSp>
      </xdr:grpSp>
      <xdr:grpSp>
        <xdr:nvGrpSpPr>
          <xdr:cNvPr id="30" name="Group 29">
            <a:extLst>
              <a:ext uri="{FF2B5EF4-FFF2-40B4-BE49-F238E27FC236}">
                <a16:creationId xmlns:a16="http://schemas.microsoft.com/office/drawing/2014/main" id="{A67D9106-9BD7-EBE4-ABEA-F946C3A411A9}"/>
              </a:ext>
            </a:extLst>
          </xdr:cNvPr>
          <xdr:cNvGrpSpPr/>
        </xdr:nvGrpSpPr>
        <xdr:grpSpPr>
          <a:xfrm>
            <a:off x="3915833" y="19448089"/>
            <a:ext cx="3710825" cy="1804373"/>
            <a:chOff x="3915833" y="19448089"/>
            <a:chExt cx="3710825" cy="1808183"/>
          </a:xfrm>
        </xdr:grpSpPr>
        <xdr:sp macro="" textlink="">
          <xdr:nvSpPr>
            <xdr:cNvPr id="27" name="TextBox 26">
              <a:extLst>
                <a:ext uri="{FF2B5EF4-FFF2-40B4-BE49-F238E27FC236}">
                  <a16:creationId xmlns:a16="http://schemas.microsoft.com/office/drawing/2014/main" id="{D3CBA33A-9BEC-9E57-1422-914914D114EE}"/>
                </a:ext>
              </a:extLst>
            </xdr:cNvPr>
            <xdr:cNvSpPr txBox="1"/>
          </xdr:nvSpPr>
          <xdr:spPr>
            <a:xfrm>
              <a:off x="3915833" y="19717220"/>
              <a:ext cx="1140647" cy="3623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b="1">
                  <a:solidFill>
                    <a:schemeClr val="bg2">
                      <a:lumMod val="50000"/>
                    </a:schemeClr>
                  </a:solidFill>
                  <a:latin typeface="Sorts Mill Goudy" panose="02000503000000000000" pitchFamily="2" charset="0"/>
                </a:rPr>
                <a:t>Uniform</a:t>
              </a:r>
            </a:p>
          </xdr:txBody>
        </xdr:sp>
        <xdr:sp macro="" textlink="">
          <xdr:nvSpPr>
            <xdr:cNvPr id="28" name="TextBox 27">
              <a:extLst>
                <a:ext uri="{FF2B5EF4-FFF2-40B4-BE49-F238E27FC236}">
                  <a16:creationId xmlns:a16="http://schemas.microsoft.com/office/drawing/2014/main" id="{C0B481F8-4382-4F42-893B-7F9267A31FF2}"/>
                </a:ext>
              </a:extLst>
            </xdr:cNvPr>
            <xdr:cNvSpPr txBox="1"/>
          </xdr:nvSpPr>
          <xdr:spPr>
            <a:xfrm>
              <a:off x="5189527" y="20869204"/>
              <a:ext cx="1152641" cy="3870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b="1">
                  <a:solidFill>
                    <a:schemeClr val="accent6">
                      <a:lumMod val="60000"/>
                      <a:lumOff val="40000"/>
                    </a:schemeClr>
                  </a:solidFill>
                  <a:latin typeface="Sorts Mill Goudy" panose="02000503000000000000" pitchFamily="2" charset="0"/>
                </a:rPr>
                <a:t>Nominal</a:t>
              </a:r>
            </a:p>
          </xdr:txBody>
        </xdr:sp>
        <xdr:sp macro="" textlink="">
          <xdr:nvSpPr>
            <xdr:cNvPr id="29" name="TextBox 28">
              <a:extLst>
                <a:ext uri="{FF2B5EF4-FFF2-40B4-BE49-F238E27FC236}">
                  <a16:creationId xmlns:a16="http://schemas.microsoft.com/office/drawing/2014/main" id="{06320941-3814-46DC-A33B-29D57A1E6ADC}"/>
                </a:ext>
              </a:extLst>
            </xdr:cNvPr>
            <xdr:cNvSpPr txBox="1"/>
          </xdr:nvSpPr>
          <xdr:spPr>
            <a:xfrm>
              <a:off x="6472432" y="19448089"/>
              <a:ext cx="1154226" cy="5092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b="1">
                  <a:solidFill>
                    <a:schemeClr val="accent6">
                      <a:lumMod val="75000"/>
                    </a:schemeClr>
                  </a:solidFill>
                  <a:latin typeface="Sorts Mill Goudy" panose="02000503000000000000" pitchFamily="2" charset="0"/>
                </a:rPr>
                <a:t>Inflation-adjusted</a:t>
              </a:r>
            </a:p>
          </xdr:txBody>
        </xdr:sp>
      </xdr:grpSp>
    </xdr:grp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0</xdr:colOff>
      <xdr:row>28</xdr:row>
      <xdr:rowOff>0</xdr:rowOff>
    </xdr:from>
    <xdr:to>
      <xdr:col>22</xdr:col>
      <xdr:colOff>259563</xdr:colOff>
      <xdr:row>46</xdr:row>
      <xdr:rowOff>101591</xdr:rowOff>
    </xdr:to>
    <xdr:graphicFrame macro="">
      <xdr:nvGraphicFramePr>
        <xdr:cNvPr id="2" name="Chart 1">
          <a:extLst>
            <a:ext uri="{FF2B5EF4-FFF2-40B4-BE49-F238E27FC236}">
              <a16:creationId xmlns:a16="http://schemas.microsoft.com/office/drawing/2014/main" id="{3F2CD5E4-DA22-4EEB-811A-7D4B270E24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0</xdr:colOff>
      <xdr:row>28</xdr:row>
      <xdr:rowOff>0</xdr:rowOff>
    </xdr:from>
    <xdr:to>
      <xdr:col>35</xdr:col>
      <xdr:colOff>293965</xdr:colOff>
      <xdr:row>46</xdr:row>
      <xdr:rowOff>137427</xdr:rowOff>
    </xdr:to>
    <xdr:graphicFrame macro="">
      <xdr:nvGraphicFramePr>
        <xdr:cNvPr id="3" name="Chart 2">
          <a:extLst>
            <a:ext uri="{FF2B5EF4-FFF2-40B4-BE49-F238E27FC236}">
              <a16:creationId xmlns:a16="http://schemas.microsoft.com/office/drawing/2014/main" id="{94C48E60-C054-4DAA-B4ED-E00C2EC5A5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0</xdr:colOff>
      <xdr:row>50</xdr:row>
      <xdr:rowOff>0</xdr:rowOff>
    </xdr:from>
    <xdr:to>
      <xdr:col>22</xdr:col>
      <xdr:colOff>259563</xdr:colOff>
      <xdr:row>68</xdr:row>
      <xdr:rowOff>101591</xdr:rowOff>
    </xdr:to>
    <xdr:graphicFrame macro="">
      <xdr:nvGraphicFramePr>
        <xdr:cNvPr id="4" name="Chart 3">
          <a:extLst>
            <a:ext uri="{FF2B5EF4-FFF2-40B4-BE49-F238E27FC236}">
              <a16:creationId xmlns:a16="http://schemas.microsoft.com/office/drawing/2014/main" id="{370FA6B5-70B6-4024-82A5-BB1013EFDF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23</xdr:col>
      <xdr:colOff>0</xdr:colOff>
      <xdr:row>50</xdr:row>
      <xdr:rowOff>0</xdr:rowOff>
    </xdr:from>
    <xdr:to>
      <xdr:col>35</xdr:col>
      <xdr:colOff>274667</xdr:colOff>
      <xdr:row>68</xdr:row>
      <xdr:rowOff>97781</xdr:rowOff>
    </xdr:to>
    <xdr:graphicFrame macro="">
      <xdr:nvGraphicFramePr>
        <xdr:cNvPr id="5" name="Chart 4">
          <a:extLst>
            <a:ext uri="{FF2B5EF4-FFF2-40B4-BE49-F238E27FC236}">
              <a16:creationId xmlns:a16="http://schemas.microsoft.com/office/drawing/2014/main" id="{31F0E5B8-B815-40DB-867B-3390C6E7F2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0</xdr:colOff>
      <xdr:row>71</xdr:row>
      <xdr:rowOff>0</xdr:rowOff>
    </xdr:from>
    <xdr:to>
      <xdr:col>22</xdr:col>
      <xdr:colOff>257658</xdr:colOff>
      <xdr:row>89</xdr:row>
      <xdr:rowOff>85411</xdr:rowOff>
    </xdr:to>
    <xdr:graphicFrame macro="">
      <xdr:nvGraphicFramePr>
        <xdr:cNvPr id="6" name="Chart 5">
          <a:extLst>
            <a:ext uri="{FF2B5EF4-FFF2-40B4-BE49-F238E27FC236}">
              <a16:creationId xmlns:a16="http://schemas.microsoft.com/office/drawing/2014/main" id="{57443278-0C84-40F0-8B09-8B738EC7F9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23</xdr:col>
      <xdr:colOff>0</xdr:colOff>
      <xdr:row>71</xdr:row>
      <xdr:rowOff>0</xdr:rowOff>
    </xdr:from>
    <xdr:to>
      <xdr:col>35</xdr:col>
      <xdr:colOff>320111</xdr:colOff>
      <xdr:row>89</xdr:row>
      <xdr:rowOff>87316</xdr:rowOff>
    </xdr:to>
    <xdr:graphicFrame macro="">
      <xdr:nvGraphicFramePr>
        <xdr:cNvPr id="7" name="Chart 6">
          <a:extLst>
            <a:ext uri="{FF2B5EF4-FFF2-40B4-BE49-F238E27FC236}">
              <a16:creationId xmlns:a16="http://schemas.microsoft.com/office/drawing/2014/main" id="{76F62200-A39F-43C2-BAF1-E731704DB6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0</xdr:colOff>
      <xdr:row>93</xdr:row>
      <xdr:rowOff>0</xdr:rowOff>
    </xdr:from>
    <xdr:to>
      <xdr:col>22</xdr:col>
      <xdr:colOff>255753</xdr:colOff>
      <xdr:row>111</xdr:row>
      <xdr:rowOff>99373</xdr:rowOff>
    </xdr:to>
    <xdr:graphicFrame macro="">
      <xdr:nvGraphicFramePr>
        <xdr:cNvPr id="8" name="Chart 7">
          <a:extLst>
            <a:ext uri="{FF2B5EF4-FFF2-40B4-BE49-F238E27FC236}">
              <a16:creationId xmlns:a16="http://schemas.microsoft.com/office/drawing/2014/main" id="{77BD7C6D-9FCF-4B50-A520-A28FE0AA54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23</xdr:col>
      <xdr:colOff>0</xdr:colOff>
      <xdr:row>93</xdr:row>
      <xdr:rowOff>0</xdr:rowOff>
    </xdr:from>
    <xdr:to>
      <xdr:col>35</xdr:col>
      <xdr:colOff>320924</xdr:colOff>
      <xdr:row>111</xdr:row>
      <xdr:rowOff>95563</xdr:rowOff>
    </xdr:to>
    <xdr:graphicFrame macro="">
      <xdr:nvGraphicFramePr>
        <xdr:cNvPr id="9" name="Chart 8">
          <a:extLst>
            <a:ext uri="{FF2B5EF4-FFF2-40B4-BE49-F238E27FC236}">
              <a16:creationId xmlns:a16="http://schemas.microsoft.com/office/drawing/2014/main" id="{733D6060-1F2B-460B-A087-FCA129E4E2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0</xdr:colOff>
      <xdr:row>7</xdr:row>
      <xdr:rowOff>0</xdr:rowOff>
    </xdr:from>
    <xdr:to>
      <xdr:col>22</xdr:col>
      <xdr:colOff>258656</xdr:colOff>
      <xdr:row>25</xdr:row>
      <xdr:rowOff>94166</xdr:rowOff>
    </xdr:to>
    <xdr:graphicFrame macro="">
      <xdr:nvGraphicFramePr>
        <xdr:cNvPr id="10" name="Chart 9">
          <a:extLst>
            <a:ext uri="{FF2B5EF4-FFF2-40B4-BE49-F238E27FC236}">
              <a16:creationId xmlns:a16="http://schemas.microsoft.com/office/drawing/2014/main" id="{149BBAD8-6286-498B-AE44-A909AFBBF2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23</xdr:col>
      <xdr:colOff>0</xdr:colOff>
      <xdr:row>7</xdr:row>
      <xdr:rowOff>0</xdr:rowOff>
    </xdr:from>
    <xdr:to>
      <xdr:col>35</xdr:col>
      <xdr:colOff>277732</xdr:colOff>
      <xdr:row>25</xdr:row>
      <xdr:rowOff>94166</xdr:rowOff>
    </xdr:to>
    <xdr:graphicFrame macro="">
      <xdr:nvGraphicFramePr>
        <xdr:cNvPr id="13" name="Chart 12">
          <a:extLst>
            <a:ext uri="{FF2B5EF4-FFF2-40B4-BE49-F238E27FC236}">
              <a16:creationId xmlns:a16="http://schemas.microsoft.com/office/drawing/2014/main" id="{27AD0857-996C-4B6D-93F5-0C496CC4E5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263649</xdr:colOff>
      <xdr:row>12</xdr:row>
      <xdr:rowOff>130630</xdr:rowOff>
    </xdr:from>
    <xdr:to>
      <xdr:col>7</xdr:col>
      <xdr:colOff>823532</xdr:colOff>
      <xdr:row>36</xdr:row>
      <xdr:rowOff>173133</xdr:rowOff>
    </xdr:to>
    <xdr:graphicFrame macro="">
      <xdr:nvGraphicFramePr>
        <xdr:cNvPr id="5" name="Chart 4">
          <a:extLst>
            <a:ext uri="{FF2B5EF4-FFF2-40B4-BE49-F238E27FC236}">
              <a16:creationId xmlns:a16="http://schemas.microsoft.com/office/drawing/2014/main" id="{B93D5DC1-AE9D-43FC-ACF2-E6D64383A1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1</xdr:col>
      <xdr:colOff>0</xdr:colOff>
      <xdr:row>1</xdr:row>
      <xdr:rowOff>0</xdr:rowOff>
    </xdr:from>
    <xdr:ext cx="13335000" cy="2296886"/>
    <xdr:sp macro="" textlink="">
      <xdr:nvSpPr>
        <xdr:cNvPr id="6" name="TextBox 5">
          <a:extLst>
            <a:ext uri="{FF2B5EF4-FFF2-40B4-BE49-F238E27FC236}">
              <a16:creationId xmlns:a16="http://schemas.microsoft.com/office/drawing/2014/main" id="{D5786A63-2B1D-4726-9344-7DE467567C62}"/>
            </a:ext>
          </a:extLst>
        </xdr:cNvPr>
        <xdr:cNvSpPr txBox="1"/>
      </xdr:nvSpPr>
      <xdr:spPr>
        <a:xfrm>
          <a:off x="609600" y="217714"/>
          <a:ext cx="13335000" cy="2296886"/>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600" b="1" i="0" u="none" strike="noStrike">
              <a:solidFill>
                <a:schemeClr val="tx1"/>
              </a:solidFill>
              <a:effectLst/>
              <a:latin typeface="Sorts Mill Goudy" panose="02000503000000000000" pitchFamily="2" charset="0"/>
              <a:ea typeface="+mn-ea"/>
              <a:cs typeface="+mn-cs"/>
            </a:rPr>
            <a:t>Calculating</a:t>
          </a:r>
          <a:r>
            <a:rPr lang="en-GB" sz="1600" b="1" i="0" u="none" strike="noStrike" baseline="0">
              <a:solidFill>
                <a:schemeClr val="tx1"/>
              </a:solidFill>
              <a:effectLst/>
              <a:latin typeface="Sorts Mill Goudy" panose="02000503000000000000" pitchFamily="2" charset="0"/>
              <a:ea typeface="+mn-ea"/>
              <a:cs typeface="+mn-cs"/>
            </a:rPr>
            <a:t> the yearly growth for nominal and inflation-adjusted data</a:t>
          </a:r>
          <a:endParaRPr lang="en-GB" sz="1600" b="1" i="0" u="none" strike="noStrike">
            <a:solidFill>
              <a:schemeClr val="tx1"/>
            </a:solidFill>
            <a:effectLst/>
            <a:latin typeface="Sorts Mill Goudy" panose="02000503000000000000" pitchFamily="2" charset="0"/>
            <a:ea typeface="+mn-ea"/>
            <a:cs typeface="+mn-cs"/>
          </a:endParaRPr>
        </a:p>
        <a:p>
          <a:endParaRPr lang="en-GB" sz="1100" b="1" i="0" u="none" strike="noStrike">
            <a:solidFill>
              <a:schemeClr val="tx1"/>
            </a:solidFill>
            <a:effectLst/>
            <a:latin typeface="Sorts Mill Goudy" panose="02000503000000000000" pitchFamily="2" charset="0"/>
            <a:ea typeface="+mn-ea"/>
            <a:cs typeface="+mn-cs"/>
          </a:endParaRPr>
        </a:p>
        <a:p>
          <a:r>
            <a:rPr lang="en-GB" sz="1200" b="1" i="0" u="none" strike="noStrike">
              <a:solidFill>
                <a:schemeClr val="tx1"/>
              </a:solidFill>
              <a:effectLst/>
              <a:latin typeface="Sorts Mill Goudy" panose="02000503000000000000" pitchFamily="2" charset="0"/>
              <a:ea typeface="+mn-ea"/>
              <a:cs typeface="+mn-cs"/>
            </a:rPr>
            <a:t>Summary</a:t>
          </a:r>
          <a:r>
            <a:rPr lang="en-GB" sz="1200" b="1" i="0" u="none" strike="noStrike" baseline="0">
              <a:solidFill>
                <a:schemeClr val="tx1"/>
              </a:solidFill>
              <a:effectLst/>
              <a:latin typeface="Sorts Mill Goudy" panose="02000503000000000000" pitchFamily="2" charset="0"/>
              <a:ea typeface="+mn-ea"/>
              <a:cs typeface="+mn-cs"/>
            </a:rPr>
            <a:t>:</a:t>
          </a:r>
        </a:p>
        <a:p>
          <a:r>
            <a:rPr lang="en-GB" sz="1200" b="0" i="0" u="none" strike="noStrike" baseline="0">
              <a:solidFill>
                <a:schemeClr val="tx1"/>
              </a:solidFill>
              <a:effectLst/>
              <a:latin typeface="Sorts Mill Goudy" panose="02000503000000000000" pitchFamily="2" charset="0"/>
              <a:ea typeface="+mn-ea"/>
              <a:cs typeface="+mn-cs"/>
            </a:rPr>
            <a:t>I first filtered out all data except the data from January for each year.</a:t>
          </a:r>
        </a:p>
        <a:p>
          <a:endParaRPr lang="en-GB" sz="1200" b="0" i="0" u="none" strike="noStrike" baseline="0">
            <a:solidFill>
              <a:schemeClr val="tx1"/>
            </a:solidFill>
            <a:effectLst/>
            <a:latin typeface="Sorts Mill Goudy" panose="02000503000000000000" pitchFamily="2" charset="0"/>
            <a:ea typeface="+mn-ea"/>
            <a:cs typeface="+mn-cs"/>
          </a:endParaRPr>
        </a:p>
        <a:p>
          <a:r>
            <a:rPr lang="en-GB" sz="1200" b="0" i="0" u="none" strike="noStrike" baseline="0">
              <a:solidFill>
                <a:schemeClr val="tx1"/>
              </a:solidFill>
              <a:effectLst/>
              <a:latin typeface="Sorts Mill Goudy" panose="02000503000000000000" pitchFamily="2" charset="0"/>
              <a:ea typeface="+mn-ea"/>
              <a:cs typeface="+mn-cs"/>
            </a:rPr>
            <a:t>Note to self: I wonder whether choosing the data for January alone was a mistake. Should I have taken the average for the year? I assume the difference won't be too large.</a:t>
          </a:r>
        </a:p>
        <a:p>
          <a:endParaRPr lang="en-GB" sz="1200" b="0" i="0" u="none" strike="noStrike" baseline="0">
            <a:solidFill>
              <a:schemeClr val="tx1"/>
            </a:solidFill>
            <a:effectLst/>
            <a:latin typeface="Sorts Mill Goudy" panose="02000503000000000000" pitchFamily="2" charset="0"/>
            <a:ea typeface="+mn-ea"/>
            <a:cs typeface="+mn-cs"/>
          </a:endParaRPr>
        </a:p>
        <a:p>
          <a:r>
            <a:rPr lang="en-GB" sz="1200" b="1" i="0" u="none" strike="noStrike" baseline="0">
              <a:solidFill>
                <a:schemeClr val="tx1"/>
              </a:solidFill>
              <a:effectLst/>
              <a:latin typeface="Sorts Mill Goudy" panose="02000503000000000000" pitchFamily="2" charset="0"/>
              <a:ea typeface="+mn-ea"/>
              <a:cs typeface="+mn-cs"/>
            </a:rPr>
            <a:t>Source: </a:t>
          </a:r>
          <a:r>
            <a:rPr lang="en-GB" sz="1200" b="0" i="0" u="none" strike="noStrike">
              <a:solidFill>
                <a:schemeClr val="tx1"/>
              </a:solidFill>
              <a:effectLst/>
              <a:latin typeface="Sorts Mill Goudy" panose="02000503000000000000" pitchFamily="2" charset="0"/>
              <a:ea typeface="+mn-ea"/>
              <a:cs typeface="+mn-cs"/>
            </a:rPr>
            <a:t>EIA Short-Term Energy Outlook, April 2024</a:t>
          </a:r>
          <a:r>
            <a:rPr lang="en-GB" sz="1200">
              <a:latin typeface="Sorts Mill Goudy" panose="02000503000000000000" pitchFamily="2" charset="0"/>
            </a:rPr>
            <a:t> </a:t>
          </a:r>
          <a:r>
            <a:rPr lang="en-GB" sz="1200" b="0" i="0" u="none" strike="noStrike">
              <a:solidFill>
                <a:schemeClr val="tx1"/>
              </a:solidFill>
              <a:effectLst/>
              <a:latin typeface="Sorts Mill Goudy" panose="02000503000000000000" pitchFamily="2" charset="0"/>
              <a:ea typeface="+mn-ea"/>
              <a:cs typeface="+mn-cs"/>
            </a:rPr>
            <a:t>https://www.eia.gov/outlooks/steo/realprices/real_prices.xlsx</a:t>
          </a:r>
          <a:r>
            <a:rPr lang="en-GB" sz="1200">
              <a:latin typeface="Sorts Mill Goudy" panose="02000503000000000000" pitchFamily="2" charset="0"/>
            </a:rPr>
            <a:t> </a:t>
          </a:r>
          <a:endParaRPr lang="en-GB" sz="1200" b="1">
            <a:latin typeface="Sorts Mill Goudy" panose="02000503000000000000" pitchFamily="2" charset="0"/>
          </a:endParaRP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1</xdr:row>
      <xdr:rowOff>1</xdr:rowOff>
    </xdr:from>
    <xdr:ext cx="13335000" cy="3158290"/>
    <xdr:sp macro="" textlink="">
      <xdr:nvSpPr>
        <xdr:cNvPr id="7" name="TextBox 6">
          <a:extLst>
            <a:ext uri="{FF2B5EF4-FFF2-40B4-BE49-F238E27FC236}">
              <a16:creationId xmlns:a16="http://schemas.microsoft.com/office/drawing/2014/main" id="{7A8AE420-33CB-4D87-B223-CFE598C99EB9}"/>
            </a:ext>
          </a:extLst>
        </xdr:cNvPr>
        <xdr:cNvSpPr txBox="1"/>
      </xdr:nvSpPr>
      <xdr:spPr>
        <a:xfrm>
          <a:off x="193729" y="193730"/>
          <a:ext cx="13335000" cy="315829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600" b="1" i="0" u="none" strike="noStrike">
              <a:solidFill>
                <a:schemeClr val="tx1"/>
              </a:solidFill>
              <a:effectLst/>
              <a:latin typeface="Sorts Mill Goudy" panose="02000503000000000000" pitchFamily="2" charset="0"/>
              <a:ea typeface="+mn-ea"/>
              <a:cs typeface="+mn-cs"/>
            </a:rPr>
            <a:t>Monthly oil price data between 1974 and 2024</a:t>
          </a:r>
          <a:r>
            <a:rPr lang="en-GB" sz="1600" b="1">
              <a:latin typeface="Sorts Mill Goudy" panose="02000503000000000000" pitchFamily="2" charset="0"/>
            </a:rPr>
            <a:t> </a:t>
          </a:r>
          <a:endParaRPr lang="en-GB" sz="1600" b="1" i="0" u="none" strike="noStrike">
            <a:solidFill>
              <a:schemeClr val="tx1"/>
            </a:solidFill>
            <a:effectLst/>
            <a:latin typeface="Sorts Mill Goudy" panose="02000503000000000000" pitchFamily="2" charset="0"/>
            <a:ea typeface="+mn-ea"/>
            <a:cs typeface="+mn-cs"/>
          </a:endParaRPr>
        </a:p>
        <a:p>
          <a:endParaRPr lang="en-GB" sz="1100" b="1" i="0" u="none" strike="noStrike">
            <a:solidFill>
              <a:schemeClr val="tx1"/>
            </a:solidFill>
            <a:effectLst/>
            <a:latin typeface="Sorts Mill Goudy" panose="02000503000000000000" pitchFamily="2" charset="0"/>
            <a:ea typeface="+mn-ea"/>
            <a:cs typeface="+mn-cs"/>
          </a:endParaRPr>
        </a:p>
        <a:p>
          <a:r>
            <a:rPr lang="en-GB" sz="1200" b="1" i="0" u="none" strike="noStrike">
              <a:solidFill>
                <a:schemeClr val="tx1"/>
              </a:solidFill>
              <a:effectLst/>
              <a:latin typeface="Sorts Mill Goudy" panose="02000503000000000000" pitchFamily="2" charset="0"/>
              <a:ea typeface="+mn-ea"/>
              <a:cs typeface="+mn-cs"/>
            </a:rPr>
            <a:t>Summary</a:t>
          </a:r>
          <a:r>
            <a:rPr lang="en-GB" sz="1200" b="1" i="0" u="none" strike="noStrike" baseline="0">
              <a:solidFill>
                <a:schemeClr val="tx1"/>
              </a:solidFill>
              <a:effectLst/>
              <a:latin typeface="Sorts Mill Goudy" panose="02000503000000000000" pitchFamily="2" charset="0"/>
              <a:ea typeface="+mn-ea"/>
              <a:cs typeface="+mn-cs"/>
            </a:rPr>
            <a:t>:</a:t>
          </a:r>
        </a:p>
        <a:p>
          <a:r>
            <a:rPr lang="en-GB" sz="1200" b="0" i="0" u="none" strike="noStrike" baseline="0">
              <a:solidFill>
                <a:schemeClr val="tx1"/>
              </a:solidFill>
              <a:effectLst/>
              <a:latin typeface="Sorts Mill Goudy" panose="02000503000000000000" pitchFamily="2" charset="0"/>
              <a:ea typeface="+mn-ea"/>
              <a:cs typeface="+mn-cs"/>
            </a:rPr>
            <a:t>I have chosen price data from 1974-2024 to include the two oil shocks of the 1970s followed by the price collapse in the early-to-mid-1980s. To deal with the challenge of low nominal values of oil in the 1970s, 1980s and 1990s, I have compared the nominal prices to the inflation-adjusted prices. Unsurprisingly, they lead to very different conclusions about the likely variance of oil prices in future time periods.</a:t>
          </a:r>
        </a:p>
        <a:p>
          <a:endParaRPr lang="en-GB" sz="1200" b="0" i="0" u="none" strike="noStrike" baseline="0">
            <a:solidFill>
              <a:schemeClr val="tx1"/>
            </a:solidFill>
            <a:effectLst/>
            <a:latin typeface="Sorts Mill Goudy" panose="02000503000000000000" pitchFamily="2" charset="0"/>
            <a:ea typeface="+mn-ea"/>
            <a:cs typeface="+mn-cs"/>
          </a:endParaRPr>
        </a:p>
        <a:p>
          <a:r>
            <a:rPr lang="en-GB" sz="1200" b="0" i="0" u="none" strike="noStrike" baseline="0">
              <a:solidFill>
                <a:schemeClr val="tx1"/>
              </a:solidFill>
              <a:effectLst/>
              <a:latin typeface="Sorts Mill Goudy" panose="02000503000000000000" pitchFamily="2" charset="0"/>
              <a:ea typeface="+mn-ea"/>
              <a:cs typeface="+mn-cs"/>
            </a:rPr>
            <a:t>While there are many challenges associated with using inflation-adjusted data, I think this is a more realistic representation of the potential path of oil prices. To emphasise this, the highest (nominal) oil price between January 1980 and December 1989 was $39, with an average over a 10-year period of $25; in the ten years between January 2014 and December 2023, the highest oil price was $112, with an average of $61. The market fundamentals may have changed over time, but the discrepancies are much more likely to be a result of inflation.</a:t>
          </a:r>
        </a:p>
        <a:p>
          <a:endParaRPr lang="en-GB" sz="1200" b="0" i="0" u="none" strike="noStrike" baseline="0">
            <a:solidFill>
              <a:schemeClr val="tx1"/>
            </a:solidFill>
            <a:effectLst/>
            <a:latin typeface="Sorts Mill Goudy" panose="02000503000000000000" pitchFamily="2" charset="0"/>
            <a:ea typeface="+mn-ea"/>
            <a:cs typeface="+mn-cs"/>
          </a:endParaRPr>
        </a:p>
        <a:p>
          <a:r>
            <a:rPr lang="en-GB" sz="1200" b="1" i="0" u="none" strike="noStrike" baseline="0">
              <a:solidFill>
                <a:schemeClr val="tx1"/>
              </a:solidFill>
              <a:effectLst/>
              <a:latin typeface="Sorts Mill Goudy" panose="02000503000000000000" pitchFamily="2" charset="0"/>
              <a:ea typeface="+mn-ea"/>
              <a:cs typeface="+mn-cs"/>
            </a:rPr>
            <a:t>Source: </a:t>
          </a:r>
          <a:r>
            <a:rPr lang="en-GB" sz="1200" b="0" i="0" u="none" strike="noStrike">
              <a:solidFill>
                <a:schemeClr val="tx1"/>
              </a:solidFill>
              <a:effectLst/>
              <a:latin typeface="Sorts Mill Goudy" panose="02000503000000000000" pitchFamily="2" charset="0"/>
              <a:ea typeface="+mn-ea"/>
              <a:cs typeface="+mn-cs"/>
            </a:rPr>
            <a:t>EIA Short-Term Energy Outlook, April 2024</a:t>
          </a:r>
          <a:r>
            <a:rPr lang="en-GB" sz="1200">
              <a:latin typeface="Sorts Mill Goudy" panose="02000503000000000000" pitchFamily="2" charset="0"/>
            </a:rPr>
            <a:t> </a:t>
          </a:r>
          <a:r>
            <a:rPr lang="en-GB" sz="1200" b="0" i="0" u="none" strike="noStrike">
              <a:solidFill>
                <a:schemeClr val="tx1"/>
              </a:solidFill>
              <a:effectLst/>
              <a:latin typeface="Sorts Mill Goudy" panose="02000503000000000000" pitchFamily="2" charset="0"/>
              <a:ea typeface="+mn-ea"/>
              <a:cs typeface="+mn-cs"/>
            </a:rPr>
            <a:t>https://www.eia.gov/outlooks/steo/realprices/real_prices.xlsx</a:t>
          </a:r>
          <a:r>
            <a:rPr lang="en-GB" sz="1200">
              <a:latin typeface="Sorts Mill Goudy" panose="02000503000000000000" pitchFamily="2" charset="0"/>
            </a:rPr>
            <a:t> </a:t>
          </a:r>
          <a:endParaRPr lang="en-GB" sz="1200" b="1">
            <a:latin typeface="Sorts Mill Goudy" panose="02000503000000000000" pitchFamily="2" charset="0"/>
          </a:endParaRPr>
        </a:p>
      </xdr:txBody>
    </xdr:sp>
    <xdr:clientData/>
  </xdr:oneCellAnchor>
  <xdr:twoCellAnchor>
    <xdr:from>
      <xdr:col>6</xdr:col>
      <xdr:colOff>1679133</xdr:colOff>
      <xdr:row>17</xdr:row>
      <xdr:rowOff>22611</xdr:rowOff>
    </xdr:from>
    <xdr:to>
      <xdr:col>8</xdr:col>
      <xdr:colOff>612321</xdr:colOff>
      <xdr:row>22</xdr:row>
      <xdr:rowOff>58309</xdr:rowOff>
    </xdr:to>
    <xdr:sp macro="" textlink="">
      <xdr:nvSpPr>
        <xdr:cNvPr id="2" name="TextBox 1">
          <a:extLst>
            <a:ext uri="{FF2B5EF4-FFF2-40B4-BE49-F238E27FC236}">
              <a16:creationId xmlns:a16="http://schemas.microsoft.com/office/drawing/2014/main" id="{BFE7FA67-EDA4-CF51-45A1-AD5C2925585B}"/>
            </a:ext>
          </a:extLst>
        </xdr:cNvPr>
        <xdr:cNvSpPr txBox="1"/>
      </xdr:nvSpPr>
      <xdr:spPr>
        <a:xfrm>
          <a:off x="9258312" y="3492432"/>
          <a:ext cx="2566295" cy="10562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100">
              <a:solidFill>
                <a:srgbClr val="FF0000"/>
              </a:solidFill>
              <a:latin typeface="Sorts Mill Goudy" panose="02000503000000000000" pitchFamily="2" charset="0"/>
            </a:rPr>
            <a:t>This was used to</a:t>
          </a:r>
          <a:r>
            <a:rPr lang="en-GB" sz="1100" baseline="0">
              <a:solidFill>
                <a:srgbClr val="FF0000"/>
              </a:solidFill>
              <a:latin typeface="Sorts Mill Goudy" panose="02000503000000000000" pitchFamily="2" charset="0"/>
            </a:rPr>
            <a:t> calculate the  monthly growth rate for the random walk model. (See Appendix B for more information)</a:t>
          </a:r>
          <a:endParaRPr lang="en-GB" sz="1100">
            <a:solidFill>
              <a:srgbClr val="FF0000"/>
            </a:solidFill>
            <a:latin typeface="Sorts Mill Goudy" panose="02000503000000000000" pitchFamily="2" charset="0"/>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608134</xdr:colOff>
      <xdr:row>36</xdr:row>
      <xdr:rowOff>0</xdr:rowOff>
    </xdr:from>
    <xdr:to>
      <xdr:col>16</xdr:col>
      <xdr:colOff>227133</xdr:colOff>
      <xdr:row>54</xdr:row>
      <xdr:rowOff>38042</xdr:rowOff>
    </xdr:to>
    <xdr:graphicFrame macro="">
      <xdr:nvGraphicFramePr>
        <xdr:cNvPr id="2" name="Chart 1">
          <a:extLst>
            <a:ext uri="{FF2B5EF4-FFF2-40B4-BE49-F238E27FC236}">
              <a16:creationId xmlns:a16="http://schemas.microsoft.com/office/drawing/2014/main" id="{6FB2095C-BDF7-4D84-844F-FF9FED7F8A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56</xdr:row>
      <xdr:rowOff>0</xdr:rowOff>
    </xdr:from>
    <xdr:to>
      <xdr:col>16</xdr:col>
      <xdr:colOff>231321</xdr:colOff>
      <xdr:row>74</xdr:row>
      <xdr:rowOff>38042</xdr:rowOff>
    </xdr:to>
    <xdr:graphicFrame macro="">
      <xdr:nvGraphicFramePr>
        <xdr:cNvPr id="3" name="Chart 2">
          <a:extLst>
            <a:ext uri="{FF2B5EF4-FFF2-40B4-BE49-F238E27FC236}">
              <a16:creationId xmlns:a16="http://schemas.microsoft.com/office/drawing/2014/main" id="{929788EE-F610-49C1-B29B-94BD24D487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7</xdr:col>
      <xdr:colOff>369475</xdr:colOff>
      <xdr:row>40</xdr:row>
      <xdr:rowOff>82491</xdr:rowOff>
    </xdr:from>
    <xdr:to>
      <xdr:col>14</xdr:col>
      <xdr:colOff>1198282</xdr:colOff>
      <xdr:row>59</xdr:row>
      <xdr:rowOff>55716</xdr:rowOff>
    </xdr:to>
    <xdr:graphicFrame macro="">
      <xdr:nvGraphicFramePr>
        <xdr:cNvPr id="5" name="Chart 4">
          <a:extLst>
            <a:ext uri="{FF2B5EF4-FFF2-40B4-BE49-F238E27FC236}">
              <a16:creationId xmlns:a16="http://schemas.microsoft.com/office/drawing/2014/main" id="{CBFDCA42-B744-4321-8077-A52A1F69FE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414130</xdr:colOff>
      <xdr:row>59</xdr:row>
      <xdr:rowOff>93179</xdr:rowOff>
    </xdr:from>
    <xdr:to>
      <xdr:col>14</xdr:col>
      <xdr:colOff>1250557</xdr:colOff>
      <xdr:row>78</xdr:row>
      <xdr:rowOff>66404</xdr:rowOff>
    </xdr:to>
    <xdr:graphicFrame macro="">
      <xdr:nvGraphicFramePr>
        <xdr:cNvPr id="6" name="Chart 5">
          <a:extLst>
            <a:ext uri="{FF2B5EF4-FFF2-40B4-BE49-F238E27FC236}">
              <a16:creationId xmlns:a16="http://schemas.microsoft.com/office/drawing/2014/main" id="{49367EE4-B17B-4772-A245-4420B6E671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8</xdr:col>
      <xdr:colOff>1294</xdr:colOff>
      <xdr:row>38</xdr:row>
      <xdr:rowOff>46105</xdr:rowOff>
    </xdr:from>
    <xdr:to>
      <xdr:col>16</xdr:col>
      <xdr:colOff>286032</xdr:colOff>
      <xdr:row>57</xdr:row>
      <xdr:rowOff>31218</xdr:rowOff>
    </xdr:to>
    <xdr:graphicFrame macro="">
      <xdr:nvGraphicFramePr>
        <xdr:cNvPr id="2" name="Chart 1">
          <a:extLst>
            <a:ext uri="{FF2B5EF4-FFF2-40B4-BE49-F238E27FC236}">
              <a16:creationId xmlns:a16="http://schemas.microsoft.com/office/drawing/2014/main" id="{B4046A8A-1B67-5E84-0BF5-A968E27781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58</xdr:row>
      <xdr:rowOff>92178</xdr:rowOff>
    </xdr:from>
    <xdr:to>
      <xdr:col>16</xdr:col>
      <xdr:colOff>292429</xdr:colOff>
      <xdr:row>77</xdr:row>
      <xdr:rowOff>68223</xdr:rowOff>
    </xdr:to>
    <xdr:graphicFrame macro="">
      <xdr:nvGraphicFramePr>
        <xdr:cNvPr id="3" name="Chart 2">
          <a:extLst>
            <a:ext uri="{FF2B5EF4-FFF2-40B4-BE49-F238E27FC236}">
              <a16:creationId xmlns:a16="http://schemas.microsoft.com/office/drawing/2014/main" id="{ECC0F2FE-CF7F-4CA9-8C69-116A363488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9</xdr:col>
      <xdr:colOff>551899</xdr:colOff>
      <xdr:row>31</xdr:row>
      <xdr:rowOff>906</xdr:rowOff>
    </xdr:from>
    <xdr:to>
      <xdr:col>23</xdr:col>
      <xdr:colOff>134409</xdr:colOff>
      <xdr:row>52</xdr:row>
      <xdr:rowOff>45715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F7B0BA7-CF9D-40A7-9135-FECC1082E4B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263339" y="6295026"/>
              <a:ext cx="9153230" cy="4205329"/>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23</xdr:col>
      <xdr:colOff>360904</xdr:colOff>
      <xdr:row>30</xdr:row>
      <xdr:rowOff>170399</xdr:rowOff>
    </xdr:from>
    <xdr:to>
      <xdr:col>35</xdr:col>
      <xdr:colOff>57476</xdr:colOff>
      <xdr:row>51</xdr:row>
      <xdr:rowOff>75633</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EBEC7983-5554-4935-BE7F-057FB1138B5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7643064" y="6266399"/>
              <a:ext cx="7011772" cy="4065754"/>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oneCellAnchor>
    <xdr:from>
      <xdr:col>0</xdr:col>
      <xdr:colOff>569089</xdr:colOff>
      <xdr:row>0</xdr:row>
      <xdr:rowOff>196840</xdr:rowOff>
    </xdr:from>
    <xdr:ext cx="7619999" cy="3335348"/>
    <xdr:sp macro="" textlink="">
      <xdr:nvSpPr>
        <xdr:cNvPr id="4" name="TextBox 3">
          <a:extLst>
            <a:ext uri="{FF2B5EF4-FFF2-40B4-BE49-F238E27FC236}">
              <a16:creationId xmlns:a16="http://schemas.microsoft.com/office/drawing/2014/main" id="{EBE516A5-CD93-E423-E3B6-2C1340930FB6}"/>
            </a:ext>
          </a:extLst>
        </xdr:cNvPr>
        <xdr:cNvSpPr txBox="1"/>
      </xdr:nvSpPr>
      <xdr:spPr>
        <a:xfrm>
          <a:off x="569089" y="196840"/>
          <a:ext cx="7619999" cy="3335348"/>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600" b="1" i="0" u="none" strike="noStrike">
              <a:solidFill>
                <a:schemeClr val="tx1"/>
              </a:solidFill>
              <a:effectLst/>
              <a:latin typeface="Sorts Mill Goudy" panose="02000503000000000000" pitchFamily="2" charset="0"/>
              <a:ea typeface="+mn-ea"/>
              <a:cs typeface="+mn-cs"/>
            </a:rPr>
            <a:t>Monthly oil price data between 1986 and 2024</a:t>
          </a:r>
          <a:r>
            <a:rPr lang="en-GB" sz="1600" b="1">
              <a:latin typeface="Sorts Mill Goudy" panose="02000503000000000000" pitchFamily="2" charset="0"/>
            </a:rPr>
            <a:t> </a:t>
          </a:r>
          <a:endParaRPr lang="en-GB" sz="1600" b="1" i="0" u="none" strike="noStrike">
            <a:solidFill>
              <a:schemeClr val="tx1"/>
            </a:solidFill>
            <a:effectLst/>
            <a:latin typeface="Sorts Mill Goudy" panose="02000503000000000000" pitchFamily="2" charset="0"/>
            <a:ea typeface="+mn-ea"/>
            <a:cs typeface="+mn-cs"/>
          </a:endParaRPr>
        </a:p>
        <a:p>
          <a:endParaRPr lang="en-GB" sz="1100" b="1" i="0" u="none" strike="noStrike">
            <a:solidFill>
              <a:schemeClr val="tx1"/>
            </a:solidFill>
            <a:effectLst/>
            <a:latin typeface="Sorts Mill Goudy" panose="02000503000000000000" pitchFamily="2" charset="0"/>
            <a:ea typeface="+mn-ea"/>
            <a:cs typeface="+mn-cs"/>
          </a:endParaRPr>
        </a:p>
        <a:p>
          <a:r>
            <a:rPr lang="en-GB" sz="1200" b="1" i="0" u="none" strike="noStrike">
              <a:solidFill>
                <a:schemeClr val="tx1"/>
              </a:solidFill>
              <a:effectLst/>
              <a:latin typeface="Sorts Mill Goudy" panose="02000503000000000000" pitchFamily="2" charset="0"/>
              <a:ea typeface="+mn-ea"/>
              <a:cs typeface="+mn-cs"/>
            </a:rPr>
            <a:t>Summary</a:t>
          </a:r>
          <a:r>
            <a:rPr lang="en-GB" sz="1200" b="1" i="0" u="none" strike="noStrike" baseline="0">
              <a:solidFill>
                <a:schemeClr val="tx1"/>
              </a:solidFill>
              <a:effectLst/>
              <a:latin typeface="Sorts Mill Goudy" panose="02000503000000000000" pitchFamily="2" charset="0"/>
              <a:ea typeface="+mn-ea"/>
              <a:cs typeface="+mn-cs"/>
            </a:rPr>
            <a:t>:</a:t>
          </a:r>
        </a:p>
        <a:p>
          <a:r>
            <a:rPr lang="en-GB" sz="1200" b="0" i="0" u="none" strike="noStrike" baseline="0">
              <a:solidFill>
                <a:schemeClr val="tx1"/>
              </a:solidFill>
              <a:effectLst/>
              <a:latin typeface="Sorts Mill Goudy" panose="02000503000000000000" pitchFamily="2" charset="0"/>
              <a:ea typeface="+mn-ea"/>
              <a:cs typeface="+mn-cs"/>
            </a:rPr>
            <a:t>Price data from 1986-2024 may seem more suitable than from 1974-2024, given that the nominal values, although low during the 1980s, seem more representative of potential future prices than those from the 1970s. However, I wanted to consider the inflation-adjusted price, because $1 in 1986 is worth more than $1 today, and the oil price should reflect this. </a:t>
          </a:r>
        </a:p>
        <a:p>
          <a:endParaRPr lang="en-GB" sz="1200" b="0" i="0" u="none" strike="noStrike" baseline="0">
            <a:solidFill>
              <a:schemeClr val="tx1"/>
            </a:solidFill>
            <a:effectLst/>
            <a:latin typeface="Sorts Mill Goudy" panose="02000503000000000000" pitchFamily="2" charset="0"/>
            <a:ea typeface="+mn-ea"/>
            <a:cs typeface="+mn-cs"/>
          </a:endParaRPr>
        </a:p>
        <a:p>
          <a:r>
            <a:rPr lang="en-GB" sz="1200" b="0" i="0" u="none" strike="noStrike" baseline="0">
              <a:solidFill>
                <a:schemeClr val="tx1"/>
              </a:solidFill>
              <a:effectLst/>
              <a:latin typeface="Sorts Mill Goudy" panose="02000503000000000000" pitchFamily="2" charset="0"/>
              <a:ea typeface="+mn-ea"/>
              <a:cs typeface="+mn-cs"/>
            </a:rPr>
            <a:t>Given the inflation adjustment, it didn't make sense to exclude a period defined by oil shocks in 1973 and 1979, events that are not unthinkable and provide important data points about the distribution of oil prices. This is why I chose to use inflation-adjusted prices from 1974-2024.  </a:t>
          </a:r>
        </a:p>
        <a:p>
          <a:endParaRPr lang="en-GB" sz="1200" b="1" i="0" u="none" strike="noStrike" baseline="0">
            <a:solidFill>
              <a:schemeClr val="tx1"/>
            </a:solidFill>
            <a:effectLst/>
            <a:latin typeface="Sorts Mill Goudy" panose="02000503000000000000" pitchFamily="2" charset="0"/>
            <a:ea typeface="+mn-ea"/>
            <a:cs typeface="+mn-cs"/>
          </a:endParaRPr>
        </a:p>
        <a:p>
          <a:r>
            <a:rPr lang="en-GB" sz="1200" b="1" i="0" u="none" strike="noStrike" baseline="0">
              <a:solidFill>
                <a:schemeClr val="tx1"/>
              </a:solidFill>
              <a:effectLst/>
              <a:latin typeface="Sorts Mill Goudy" panose="02000503000000000000" pitchFamily="2" charset="0"/>
              <a:ea typeface="+mn-ea"/>
              <a:cs typeface="+mn-cs"/>
            </a:rPr>
            <a:t>Source: </a:t>
          </a:r>
          <a:r>
            <a:rPr lang="en-GB" sz="1200" b="0" i="0" u="none" strike="noStrike">
              <a:solidFill>
                <a:schemeClr val="tx1"/>
              </a:solidFill>
              <a:effectLst/>
              <a:latin typeface="Sorts Mill Goudy" panose="02000503000000000000" pitchFamily="2" charset="0"/>
              <a:ea typeface="+mn-ea"/>
              <a:cs typeface="+mn-cs"/>
            </a:rPr>
            <a:t>EIA Short-Term Energy Outlook, April 2024</a:t>
          </a:r>
          <a:r>
            <a:rPr lang="en-GB" sz="1200">
              <a:latin typeface="Sorts Mill Goudy" panose="02000503000000000000" pitchFamily="2" charset="0"/>
            </a:rPr>
            <a:t> </a:t>
          </a:r>
          <a:r>
            <a:rPr lang="en-GB" sz="1200" b="0" i="0" u="none" strike="noStrike">
              <a:solidFill>
                <a:schemeClr val="tx1"/>
              </a:solidFill>
              <a:effectLst/>
              <a:latin typeface="Sorts Mill Goudy" panose="02000503000000000000" pitchFamily="2" charset="0"/>
              <a:ea typeface="+mn-ea"/>
              <a:cs typeface="+mn-cs"/>
            </a:rPr>
            <a:t>https://www.eia.gov/outlooks/steo/realprices/real_prices.xlsx</a:t>
          </a:r>
          <a:r>
            <a:rPr lang="en-GB" sz="1200">
              <a:latin typeface="Sorts Mill Goudy" panose="02000503000000000000" pitchFamily="2" charset="0"/>
            </a:rPr>
            <a:t> </a:t>
          </a:r>
          <a:endParaRPr lang="en-GB" sz="1200" b="1">
            <a:latin typeface="Sorts Mill Goudy" panose="02000503000000000000" pitchFamily="2" charset="0"/>
          </a:endParaRPr>
        </a:p>
      </xdr:txBody>
    </xdr:sp>
    <xdr:clientData/>
  </xdr:oneCellAnchor>
  <xdr:oneCellAnchor>
    <xdr:from>
      <xdr:col>10</xdr:col>
      <xdr:colOff>56825</xdr:colOff>
      <xdr:row>27</xdr:row>
      <xdr:rowOff>21617</xdr:rowOff>
    </xdr:from>
    <xdr:ext cx="13886626" cy="585879"/>
    <xdr:sp macro="" textlink="">
      <xdr:nvSpPr>
        <xdr:cNvPr id="6" name="TextBox 5">
          <a:extLst>
            <a:ext uri="{FF2B5EF4-FFF2-40B4-BE49-F238E27FC236}">
              <a16:creationId xmlns:a16="http://schemas.microsoft.com/office/drawing/2014/main" id="{A520D5E6-E737-4949-9CA3-90A6EEF9D720}"/>
            </a:ext>
          </a:extLst>
        </xdr:cNvPr>
        <xdr:cNvSpPr txBox="1"/>
      </xdr:nvSpPr>
      <xdr:spPr>
        <a:xfrm>
          <a:off x="8244044" y="5618892"/>
          <a:ext cx="13886626" cy="585879"/>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200" b="0">
              <a:latin typeface="Sorts Mill Goudy" panose="02000503000000000000" pitchFamily="2" charset="0"/>
            </a:rPr>
            <a:t>The oil price clearly follows a log-normal distribution.</a:t>
          </a:r>
          <a:r>
            <a:rPr lang="en-GB" sz="1200" b="0" baseline="0">
              <a:latin typeface="Sorts Mill Goudy" panose="02000503000000000000" pitchFamily="2" charset="0"/>
            </a:rPr>
            <a:t> See below (left) for the untransformed inflation-adjusted oil price, which is skewed right, while the log-adjusted (inflation-adjusted) oil price (right) now resembles a notmal distribution.</a:t>
          </a:r>
          <a:endParaRPr lang="en-GB" sz="1200" b="0">
            <a:latin typeface="Sorts Mill Goudy" panose="02000503000000000000" pitchFamily="2" charset="0"/>
          </a:endParaRPr>
        </a:p>
      </xdr:txBody>
    </xdr:sp>
    <xdr:clientData/>
  </xdr:oneCellAnchor>
  <xdr:oneCellAnchor>
    <xdr:from>
      <xdr:col>13</xdr:col>
      <xdr:colOff>0</xdr:colOff>
      <xdr:row>4</xdr:row>
      <xdr:rowOff>1</xdr:rowOff>
    </xdr:from>
    <xdr:ext cx="8048090" cy="635970"/>
    <xdr:sp macro="" textlink="">
      <xdr:nvSpPr>
        <xdr:cNvPr id="8" name="TextBox 7">
          <a:extLst>
            <a:ext uri="{FF2B5EF4-FFF2-40B4-BE49-F238E27FC236}">
              <a16:creationId xmlns:a16="http://schemas.microsoft.com/office/drawing/2014/main" id="{F8C2ED0C-B52D-493D-A957-1522981D5F0F}"/>
            </a:ext>
          </a:extLst>
        </xdr:cNvPr>
        <xdr:cNvSpPr txBox="1"/>
      </xdr:nvSpPr>
      <xdr:spPr>
        <a:xfrm>
          <a:off x="10681607" y="816430"/>
          <a:ext cx="8048090" cy="63597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200" b="0">
              <a:latin typeface="Sorts Mill Goudy" panose="02000503000000000000" pitchFamily="2" charset="0"/>
            </a:rPr>
            <a:t>The decision</a:t>
          </a:r>
          <a:r>
            <a:rPr lang="en-GB" sz="1200" b="0" baseline="0">
              <a:latin typeface="Sorts Mill Goudy" panose="02000503000000000000" pitchFamily="2" charset="0"/>
            </a:rPr>
            <a:t> to choose the inflation-adjusted oil price rather than the nominal price clearly makes a big difference to the distribution (see below).</a:t>
          </a:r>
          <a:endParaRPr lang="en-GB" sz="1200" b="0">
            <a:latin typeface="Sorts Mill Goudy" panose="02000503000000000000" pitchFamily="2" charset="0"/>
          </a:endParaRPr>
        </a:p>
      </xdr:txBody>
    </xdr:sp>
    <xdr:clientData/>
  </xdr:oneCellAnchor>
</xdr:wsDr>
</file>

<file path=xl/persons/person.xml><?xml version="1.0" encoding="utf-8"?>
<personList xmlns="http://schemas.microsoft.com/office/spreadsheetml/2018/threadedcomments" xmlns:x="http://schemas.openxmlformats.org/spreadsheetml/2006/main">
  <person displayName="DAVIES, JAMES (PGT)" id="{65DB819C-A2BC-49CC-BF7B-AB82DAC9F0B4}" userId="S::t12jd22@abdn.ac.uk::87370bb2-cdb5-4fe3-b51a-d9b5cb2e386e"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mes Davies" refreshedDate="45416.498043981483" createdVersion="8" refreshedVersion="8" minRefreshableVersion="3" recordCount="1001" xr:uid="{66A96FA2-B43D-4BE5-B15A-CEEB705F9835}">
  <cacheSource type="worksheet">
    <worksheetSource ref="B9:E1010" sheet="MC.Lognormal_nominal"/>
  </cacheSource>
  <cacheFields count="4">
    <cacheField name="Trial number" numFmtId="0">
      <sharedItems containsString="0" containsBlank="1" containsNumber="1" containsInteger="1" minValue="1" maxValue="1000" count="1001">
        <m/>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sharedItems>
    </cacheField>
    <cacheField name="Oil price (MC_nominal)" numFmtId="164">
      <sharedItems containsSemiMixedTypes="0" containsString="0" containsNumber="1" minValue="4.1522308128895284" maxValue="211.06203533372573"/>
    </cacheField>
    <cacheField name="NPV" numFmtId="164">
      <sharedItems containsSemiMixedTypes="0" containsString="0" containsNumber="1" minValue="-5462.7919212337811" maxValue="21308.189605834334" count="1001">
        <n v="6576.1038964049449"/>
        <n v="-1286.468366865221"/>
        <n v="-1023.0744591967681"/>
        <n v="-1135.361231833115"/>
        <n v="2833.0606918163207"/>
        <n v="-2501.7697548535566"/>
        <n v="9565.784621121793"/>
        <n v="-3936.2652086731614"/>
        <n v="12938.119683390441"/>
        <n v="1154.6627808187343"/>
        <n v="2173.5754590802539"/>
        <n v="-1243.5433385860833"/>
        <n v="-3214.9582252017944"/>
        <n v="-2119.0294884567343"/>
        <n v="-318.58295487851535"/>
        <n v="1229.2872526228725"/>
        <n v="154.28577534136781"/>
        <n v="-684.04502040579303"/>
        <n v="-1771.5876354755771"/>
        <n v="-1442.0028974792535"/>
        <n v="-92.360486731959384"/>
        <n v="2328.2833449883419"/>
        <n v="973.32666982717797"/>
        <n v="-2462.9635459203728"/>
        <n v="1933.2253435421326"/>
        <n v="397.81044560856924"/>
        <n v="-4684.3291911990154"/>
        <n v="-3061.2914332000414"/>
        <n v="4779.6980256773677"/>
        <n v="4464.3569916672368"/>
        <n v="-1315.9389786006179"/>
        <n v="-2164.2515149321662"/>
        <n v="-159.62092302593635"/>
        <n v="2998.0395431019356"/>
        <n v="3063.0381225738151"/>
        <n v="-1371.6513051922686"/>
        <n v="-1477.8864502389611"/>
        <n v="648.39083262318456"/>
        <n v="-807.91876188212541"/>
        <n v="-3282.0484085069656"/>
        <n v="-2477.1217399895904"/>
        <n v="190.8206317689847"/>
        <n v="6155.0871233625321"/>
        <n v="-2161.1469963682835"/>
        <n v="-2847.4811403231733"/>
        <n v="1689.8654565423321"/>
        <n v="-2685.2215705636409"/>
        <n v="796.51160115433083"/>
        <n v="6404.0062147231065"/>
        <n v="-3237.441781695908"/>
        <n v="1512.4567921509592"/>
        <n v="8529.9055096177417"/>
        <n v="-894.47724314083666"/>
        <n v="7929.1554181158172"/>
        <n v="6694.60627554863"/>
        <n v="1829.1603006564264"/>
        <n v="376.5029220583487"/>
        <n v="-2025.1328495341995"/>
        <n v="4446.6709156642337"/>
        <n v="-4710.4825643234826"/>
        <n v="2300.4607020890312"/>
        <n v="-4086.6220910267189"/>
        <n v="-4507.9960307178126"/>
        <n v="-2715.125656966125"/>
        <n v="1909.4386141567875"/>
        <n v="-4855.7828252088011"/>
        <n v="1350.8672643563275"/>
        <n v="2935.2139020050922"/>
        <n v="-625.10592506366083"/>
        <n v="3921.6188963021386"/>
        <n v="-3027.7160138295408"/>
        <n v="-360.42008540833621"/>
        <n v="1194.0008803493331"/>
        <n v="-2630.6043218082364"/>
        <n v="-1398.1176384433547"/>
        <n v="-552.66493708156372"/>
        <n v="528.1367712992178"/>
        <n v="4687.7307367560543"/>
        <n v="244.31548039052126"/>
        <n v="-4070.2839848756171"/>
        <n v="-3314.0628761967691"/>
        <n v="-1779.6458011350971"/>
        <n v="-4825.5455041546293"/>
        <n v="-792.77339336695718"/>
        <n v="-2042.3864421076421"/>
        <n v="1729.3083446793098"/>
        <n v="-2284.6111673348742"/>
        <n v="-1668.8991443567156"/>
        <n v="-979.56718645951491"/>
        <n v="718.73359907597819"/>
        <n v="-968.56029664472931"/>
        <n v="-138.72828594940199"/>
        <n v="-1559.2311352192592"/>
        <n v="2671.4244224661015"/>
        <n v="3522.3876450848406"/>
        <n v="-2490.0049649693301"/>
        <n v="-592.59558424952411"/>
        <n v="2911.7141056789469"/>
        <n v="-1615.4308898174668"/>
        <n v="-327.91726929151469"/>
        <n v="1983.99761534096"/>
        <n v="346.45567508363774"/>
        <n v="4283.6305434650731"/>
        <n v="1835.8340927400041"/>
        <n v="4737.4937300509519"/>
        <n v="-3254.71007049017"/>
        <n v="-3086.29916762527"/>
        <n v="-2639.4617465480496"/>
        <n v="331.90511527545959"/>
        <n v="1170.9497292147812"/>
        <n v="-2696.6675794414955"/>
        <n v="-275.37490457496426"/>
        <n v="311.82607927836938"/>
        <n v="-716.8158093622792"/>
        <n v="-860.78409859125259"/>
        <n v="-4225.270721684029"/>
        <n v="369.64810105606597"/>
        <n v="-1322.0707746249564"/>
        <n v="1094.5322567800777"/>
        <n v="-3112.0440175195513"/>
        <n v="-3991.7694129140173"/>
        <n v="-1605.5636716935251"/>
        <n v="-2363.4894560689713"/>
        <n v="2587.007882884534"/>
        <n v="6515.2056259978081"/>
        <n v="-3054.334030645145"/>
        <n v="147.11016224312391"/>
        <n v="-1107.3673928091866"/>
        <n v="2038.6444174459411"/>
        <n v="-4632.6959479980751"/>
        <n v="-442.45290822897306"/>
        <n v="1383.4838907348703"/>
        <n v="-3250.1686203544546"/>
        <n v="-1665.5061501034209"/>
        <n v="-1101.5068409250757"/>
        <n v="-87.086516675047335"/>
        <n v="-2849.1558951382585"/>
        <n v="-4431.8130125155913"/>
        <n v="1108.3151129772925"/>
        <n v="1196.6376642988653"/>
        <n v="1516.8962894985114"/>
        <n v="-2006.0588768040855"/>
        <n v="155.42947126841682"/>
        <n v="-2974.340494563769"/>
        <n v="-1652.2436427685082"/>
        <n v="-1854.5840062750208"/>
        <n v="-2435.0790899167027"/>
        <n v="9693.5705281816627"/>
        <n v="10682.71458594389"/>
        <n v="-670.61972606414429"/>
        <n v="-4408.6755159258528"/>
        <n v="5108.7037939088268"/>
        <n v="2887.6319176645811"/>
        <n v="1957.1113158113651"/>
        <n v="1897.7091316308147"/>
        <n v="-2223.0647201505085"/>
        <n v="6376.1488222670623"/>
        <n v="-45.813911304591578"/>
        <n v="6701.0684259378077"/>
        <n v="49.486286139575483"/>
        <n v="-3570.7677299234474"/>
        <n v="1747.6233676717143"/>
        <n v="1054.8246696185768"/>
        <n v="59.84632570179896"/>
        <n v="-4125.2675476863633"/>
        <n v="147.73490827776186"/>
        <n v="-13.412286661185185"/>
        <n v="-1938.6395904287112"/>
        <n v="-1567.735210929721"/>
        <n v="-3859.1095327096987"/>
        <n v="-5277.8352513265345"/>
        <n v="-2468.5854827984936"/>
        <n v="-2997.5021150647717"/>
        <n v="1071.2400600994249"/>
        <n v="-3708.7817624447016"/>
        <n v="-4259.2034717971101"/>
        <n v="-4418.7164798909043"/>
        <n v="1397.5010918816856"/>
        <n v="1400.282637573514"/>
        <n v="-2949.303438647994"/>
        <n v="1200.1057585851154"/>
        <n v="11113.817494396684"/>
        <n v="-3314.3228058353475"/>
        <n v="-5462.7919212337811"/>
        <n v="-1808.678186892538"/>
        <n v="-3690.5134962134189"/>
        <n v="-4004.7359409039464"/>
        <n v="-1565.5398368262424"/>
        <n v="-1740.3503413301535"/>
        <n v="-4030.9129115063452"/>
        <n v="-1361.2516640472916"/>
        <n v="-1278.5919126694448"/>
        <n v="15895.412324439329"/>
        <n v="-1984.9535996160821"/>
        <n v="4092.9395949026243"/>
        <n v="-511.43153336765391"/>
        <n v="4074.2090336309398"/>
        <n v="-732.96567436374573"/>
        <n v="1503.4383426342808"/>
        <n v="2591.7022617701182"/>
        <n v="-1012.7912888105227"/>
        <n v="1510.0348099352702"/>
        <n v="-1874.8473903646006"/>
        <n v="-521.49083922357556"/>
        <n v="-3874.1816403128864"/>
        <n v="3397.4052665553518"/>
        <n v="-3456.1775676728316"/>
        <n v="-1268.0022349531271"/>
        <n v="-381.60699456217361"/>
        <n v="-3230.0908482262134"/>
        <n v="20260.697456990343"/>
        <n v="-2942.0578394390436"/>
        <n v="532.93453138950144"/>
        <n v="-4886.4724750310788"/>
        <n v="7894.9356344357484"/>
        <n v="-4600.1399052697716"/>
        <n v="1417.2817036028353"/>
        <n v="-885.28067714594329"/>
        <n v="-4558.6081095482696"/>
        <n v="-5115.6529215315013"/>
        <n v="-5152.9127846993188"/>
        <n v="-855.27561739511248"/>
        <n v="-2416.7329444631137"/>
        <n v="-1053.1606155522204"/>
        <n v="-3480.2869004228719"/>
        <n v="5360.1219324939502"/>
        <n v="-699.24828545451533"/>
        <n v="-3010.5529364772656"/>
        <n v="346.48873979124772"/>
        <n v="12318.068150629251"/>
        <n v="-216.79955982826129"/>
        <n v="-678.57910038803436"/>
        <n v="8951.9834917496501"/>
        <n v="-1372.5472249085522"/>
        <n v="-3288.6331721932447"/>
        <n v="2406.3230769424808"/>
        <n v="6461.506511257905"/>
        <n v="-1774.2016757869526"/>
        <n v="-1506.8351622945115"/>
        <n v="-1347.6043926987393"/>
        <n v="2789.070096732713"/>
        <n v="4187.0917821607991"/>
        <n v="-508.40667161253026"/>
        <n v="581.66166650097512"/>
        <n v="13930.432200692976"/>
        <n v="-2875.4451166976619"/>
        <n v="199.3772717827257"/>
        <n v="-2753.3579264776886"/>
        <n v="-1069.8799162730334"/>
        <n v="-4141.5585637128906"/>
        <n v="-4287.1256189764235"/>
        <n v="-3629.4179104899044"/>
        <n v="-4689.1998831049114"/>
        <n v="187.90078812066935"/>
        <n v="8904.5312198787178"/>
        <n v="-704.270135336468"/>
        <n v="-2301.8287565842606"/>
        <n v="5007.6385582034045"/>
        <n v="4797.777839569123"/>
        <n v="2755.0912882758853"/>
        <n v="1353.7913536424905"/>
        <n v="7072.0971435683859"/>
        <n v="3863.6688494826935"/>
        <n v="-4117.2891866183782"/>
        <n v="762.0307755062712"/>
        <n v="-1169.7924121600406"/>
        <n v="2258.9698534978861"/>
        <n v="5466.3111561177147"/>
        <n v="2411.2634740219578"/>
        <n v="11973.960202174865"/>
        <n v="-3594.8120657527129"/>
        <n v="-2166.3847290110625"/>
        <n v="-2669.8289131770825"/>
        <n v="-2145.1211183836622"/>
        <n v="1261.9244464427609"/>
        <n v="2051.9706469573994"/>
        <n v="5426.3514498631812"/>
        <n v="-1305.3948509268487"/>
        <n v="-1472.6663653806986"/>
        <n v="12810.184584340408"/>
        <n v="2074.9840628818506"/>
        <n v="-962.95295914185863"/>
        <n v="-8.0702457526445741"/>
        <n v="-2114.0962905520933"/>
        <n v="-3906.9361160701023"/>
        <n v="1196.7261181598485"/>
        <n v="2693.9547639899597"/>
        <n v="-4155.5749403560958"/>
        <n v="-3255.9414696035892"/>
        <n v="-1867.0029231319613"/>
        <n v="-2549.4189562531951"/>
        <n v="915.21353146813431"/>
        <n v="-3853.9700030217818"/>
        <n v="-2933.7585313666036"/>
        <n v="4028.0777901208635"/>
        <n v="-3619.8931159254848"/>
        <n v="-639.20684393287866"/>
        <n v="-3606.6629740582189"/>
        <n v="4518.5060100729834"/>
        <n v="9545.419857517405"/>
        <n v="-4125.4768219862144"/>
        <n v="8046.7333171540376"/>
        <n v="-1051.2857432107148"/>
        <n v="5703.5433191482198"/>
        <n v="-3153.859194353478"/>
        <n v="-2748.0901234007506"/>
        <n v="-2776.1469407309787"/>
        <n v="5053.125039569718"/>
        <n v="-1314.6493336414906"/>
        <n v="-1956.6585318238542"/>
        <n v="-3940.6730192300597"/>
        <n v="-396.4837044229352"/>
        <n v="-870.98925963153783"/>
        <n v="4408.7825857848457"/>
        <n v="3273.8199064788764"/>
        <n v="-4154.8098662220818"/>
        <n v="13105.514442044065"/>
        <n v="-4161.6084467703513"/>
        <n v="-1109.9997103369344"/>
        <n v="8470.5324331853171"/>
        <n v="-3637.1560359422642"/>
        <n v="5937.9969526620353"/>
        <n v="-3796.3091139102776"/>
        <n v="3429.9187507212218"/>
        <n v="-2746.7778878957415"/>
        <n v="748.4321779337522"/>
        <n v="-4765.2436364344585"/>
        <n v="4326.6188186064628"/>
        <n v="-3277.7585767926485"/>
        <n v="-594.86208766548805"/>
        <n v="-1870.6045246185131"/>
        <n v="4333.4153100385611"/>
        <n v="4540.07300301746"/>
        <n v="-5297.5454240983145"/>
        <n v="2392.762770412492"/>
        <n v="-3276.5222075983747"/>
        <n v="1212.5707033731817"/>
        <n v="-2436.9775028082277"/>
        <n v="-3237.0113585465469"/>
        <n v="-3073.7961982091406"/>
        <n v="2562.1043502768493"/>
        <n v="-2510.0274459273096"/>
        <n v="-1286.1314324174673"/>
        <n v="-3708.1071897923266"/>
        <n v="2076.5120740853808"/>
        <n v="2674.7555009773191"/>
        <n v="-3596.4316530749497"/>
        <n v="-2551.1693388604835"/>
        <n v="-4360.9840569825437"/>
        <n v="662.73797335628046"/>
        <n v="3913.2036956543102"/>
        <n v="-2604.0836770530304"/>
        <n v="-1884.805061722268"/>
        <n v="-1202.6671960221233"/>
        <n v="-860.88987571028281"/>
        <n v="111.45059546701633"/>
        <n v="-4122.6276880333817"/>
        <n v="-3170.8895290994669"/>
        <n v="-691.53380895854377"/>
        <n v="1310.1216997082333"/>
        <n v="-709.68271578884412"/>
        <n v="-295.67805014247404"/>
        <n v="-1208.2981166620896"/>
        <n v="4319.3708935755731"/>
        <n v="-2045.3041989038309"/>
        <n v="-3585.7415094481412"/>
        <n v="2058.9759914896299"/>
        <n v="-1966.1977698191868"/>
        <n v="4001.0011435832444"/>
        <n v="-1184.5091282454509"/>
        <n v="-1900.2148451325525"/>
        <n v="2600.1626222451346"/>
        <n v="-756.06390244210093"/>
        <n v="-334.92695386936225"/>
        <n v="-1421.8854288300884"/>
        <n v="-3580.098766133654"/>
        <n v="-1658.2234542524229"/>
        <n v="9979.9525363635821"/>
        <n v="-4562.5294688913327"/>
        <n v="3490.8032539740748"/>
        <n v="-2705.8912613876669"/>
        <n v="-1531.6591786588524"/>
        <n v="226.95510873066974"/>
        <n v="-3800.5480261438888"/>
        <n v="-970.47414826632155"/>
        <n v="2752.6382961472177"/>
        <n v="241.45173477222471"/>
        <n v="2868.6221152678982"/>
        <n v="-2291.1747501770715"/>
        <n v="-1783.9636951578857"/>
        <n v="-79.643485873034876"/>
        <n v="2144.8639584667203"/>
        <n v="3142.0085507297376"/>
        <n v="782.58920437188181"/>
        <n v="-2167.0489248423178"/>
        <n v="757.60037475469562"/>
        <n v="-2198.3825118486538"/>
        <n v="20741.729137894188"/>
        <n v="-941.98177274161367"/>
        <n v="-665.51540583648148"/>
        <n v="-1727.0039100239521"/>
        <n v="3403.5625853987735"/>
        <n v="-3031.9166923848106"/>
        <n v="-1396.5684864900416"/>
        <n v="-1553.9387039833416"/>
        <n v="2443.6589636880708"/>
        <n v="2706.166548728384"/>
        <n v="-2665.8404778603958"/>
        <n v="1159.2225297671923"/>
        <n v="-960.39737686420949"/>
        <n v="-2169.4414675733283"/>
        <n v="570.6312508261326"/>
        <n v="6244.1844739527887"/>
        <n v="-702.65604202677582"/>
        <n v="644.56560872618104"/>
        <n v="1107.5985120770076"/>
        <n v="-3635.6269243887141"/>
        <n v="-1415.541927092476"/>
        <n v="2129.1456578869111"/>
        <n v="4204.4599378875755"/>
        <n v="-708.88261225933377"/>
        <n v="1351.0232595346363"/>
        <n v="-1708.5645601700714"/>
        <n v="-1969.7616785697439"/>
        <n v="5271.5459285735069"/>
        <n v="416.88019131975085"/>
        <n v="-2851.4803482452012"/>
        <n v="1391.496619035021"/>
        <n v="-2713.8950863017203"/>
        <n v="919.37660580830243"/>
        <n v="2374.5860102106312"/>
        <n v="1286.598160666792"/>
        <n v="2793.964393366181"/>
        <n v="691.01347489968703"/>
        <n v="-422.92167328140346"/>
        <n v="-2558.6644720541499"/>
        <n v="-570.41252491780415"/>
        <n v="1098.5259846767021"/>
        <n v="-525.74163174164755"/>
        <n v="-1521.2248932124232"/>
        <n v="-4352.5329694755055"/>
        <n v="-4114.8987438637059"/>
        <n v="-2679.3112300857574"/>
        <n v="-950.46777799824179"/>
        <n v="9014.5208200558427"/>
        <n v="-3440.1453966450563"/>
        <n v="3127.8997220227634"/>
        <n v="4961.1594413190051"/>
        <n v="-1586.8087929733467"/>
        <n v="2401.3006087766621"/>
        <n v="9155.4431569627632"/>
        <n v="-2829.7143609326267"/>
        <n v="-4186.9075314103666"/>
        <n v="-3544.0744896609035"/>
        <n v="-1434.6811350367977"/>
        <n v="-3663.7393665214809"/>
        <n v="-5093.2943655358968"/>
        <n v="-3797.4707003964154"/>
        <n v="568.50253921105377"/>
        <n v="-3910.6789766073866"/>
        <n v="3297.0889827651417"/>
        <n v="3271.1225889355669"/>
        <n v="2876.0681044762132"/>
        <n v="2641.5011678563901"/>
        <n v="-2186.5269211828195"/>
        <n v="3496.444205212847"/>
        <n v="-4872.7655571093755"/>
        <n v="-968.48850658581273"/>
        <n v="-3358.8685795769156"/>
        <n v="-3740.5062510650891"/>
        <n v="-1796.8969185021333"/>
        <n v="4415.6738812293688"/>
        <n v="-1986.8967267968835"/>
        <n v="-2584.5340242471916"/>
        <n v="-436.55362141378083"/>
        <n v="-22.325155674285121"/>
        <n v="274.0202414543208"/>
        <n v="-3470.0612248156658"/>
        <n v="5974.536437689605"/>
        <n v="764.03663934761857"/>
        <n v="-1458.3001011598785"/>
        <n v="2483.6549194263162"/>
        <n v="-782.77863202540163"/>
        <n v="-3043.0837722378369"/>
        <n v="11395.459175078984"/>
        <n v="307.90614740923905"/>
        <n v="-3418.9831809669613"/>
        <n v="-464.34955202825228"/>
        <n v="-2402.8624699471129"/>
        <n v="-609.87474302337318"/>
        <n v="-105.25068753137674"/>
        <n v="4738.0881079813171"/>
        <n v="-496.7301340821943"/>
        <n v="14299.71023220867"/>
        <n v="1419.6558978011212"/>
        <n v="-3394.9144626657776"/>
        <n v="2990.175910571932"/>
        <n v="1135.1163132311158"/>
        <n v="6409.3363951025722"/>
        <n v="-4985.1745584640203"/>
        <n v="916.02248702232464"/>
        <n v="9364.4226329357389"/>
        <n v="-842.86241361800285"/>
        <n v="1183.0142827264528"/>
        <n v="-4166.0073291807403"/>
        <n v="-1923.2118234363681"/>
        <n v="-5045.9268357536257"/>
        <n v="-483.71002833562744"/>
        <n v="8213.9698526507982"/>
        <n v="-1120.2718529191407"/>
        <n v="2018.2114897283141"/>
        <n v="-3137.5399154677248"/>
        <n v="2767.0262289280045"/>
        <n v="7703.0950932719606"/>
        <n v="-4513.9693786383641"/>
        <n v="9197.1336127071681"/>
        <n v="-3817.9808588107057"/>
        <n v="-525.82744983164616"/>
        <n v="14548.484712084824"/>
        <n v="-217.07898821820169"/>
        <n v="-1397.6919068730906"/>
        <n v="14517.684182617601"/>
        <n v="12648.391509591565"/>
        <n v="-3431.7060076468333"/>
        <n v="-3737.0285019914031"/>
        <n v="-2370.6388541029824"/>
        <n v="-1106.9518423599252"/>
        <n v="-732.35099921345363"/>
        <n v="-2851.5583612406685"/>
        <n v="-3455.6931121093112"/>
        <n v="-2555.34350232014"/>
        <n v="-2819.0073724752779"/>
        <n v="9444.3031691883771"/>
        <n v="-1760.1850962587757"/>
        <n v="-5216.204886132402"/>
        <n v="1176.6819117242239"/>
        <n v="2443.759385349636"/>
        <n v="9553.8619313920408"/>
        <n v="-2340.6394942608499"/>
        <n v="-4042.4515640232603"/>
        <n v="2415.9260658220292"/>
        <n v="-1840.092282492481"/>
        <n v="-2849.5633390600783"/>
        <n v="13.808348901197533"/>
        <n v="3955.9931256990881"/>
        <n v="-648.37961699312154"/>
        <n v="1365.7898257135282"/>
        <n v="-438.57061304926305"/>
        <n v="-189.03306279814404"/>
        <n v="-4557.3398094320828"/>
        <n v="-1148.6940174396618"/>
        <n v="-1467.1479232460363"/>
        <n v="115.35462785406652"/>
        <n v="-1151.0406952267435"/>
        <n v="-3202.4697408709544"/>
        <n v="-772.6791442095074"/>
        <n v="-431.85029406988843"/>
        <n v="1982.9252585690595"/>
        <n v="-2408.1189663774908"/>
        <n v="-1820.7689512766306"/>
        <n v="7536.1994681582446"/>
        <n v="-3877.5560538743121"/>
        <n v="-925.33518529393132"/>
        <n v="-1978.0057114163005"/>
        <n v="6265.6670083080135"/>
        <n v="-22.548911632587583"/>
        <n v="1453.8690605084737"/>
        <n v="-1553.2725583568474"/>
        <n v="1380.8585255858454"/>
        <n v="-4290.8071410416242"/>
        <n v="2280.9585648943107"/>
        <n v="-5045.4311108816291"/>
        <n v="-3752.3005266843306"/>
        <n v="-837.5574537473442"/>
        <n v="-5005.2148733817139"/>
        <n v="-5105.6184368437116"/>
        <n v="-4174.2110003804646"/>
        <n v="-1796.9437797837863"/>
        <n v="-746.31611399748988"/>
        <n v="-888.6380898505123"/>
        <n v="-4186.4538370735772"/>
        <n v="-1261.6541356058503"/>
        <n v="1548.4408074811131"/>
        <n v="7077.4606648868585"/>
        <n v="3513.7873314235403"/>
        <n v="-3038.5108168347492"/>
        <n v="-1184.504352455315"/>
        <n v="817.65735317940721"/>
        <n v="2863.1709828518883"/>
        <n v="-936.20070335448702"/>
        <n v="7634.9568703873374"/>
        <n v="-1001.0635737451846"/>
        <n v="-1655.5406586025902"/>
        <n v="2135.2481604573345"/>
        <n v="204.94990775604919"/>
        <n v="3543.4846264335333"/>
        <n v="-193.75266702722558"/>
        <n v="13016.310539587994"/>
        <n v="-1930.4661877710853"/>
        <n v="-901.00439410070658"/>
        <n v="3212.2256746438225"/>
        <n v="-3051.4036395254902"/>
        <n v="-3956.9293759249322"/>
        <n v="-2869.6144469674527"/>
        <n v="-871.20367286950079"/>
        <n v="-1901.6307004201481"/>
        <n v="3855.4106687788762"/>
        <n v="-2750.4000278938524"/>
        <n v="253.31184640057097"/>
        <n v="-1942.0832610058658"/>
        <n v="4187.1333794915763"/>
        <n v="1099.8456183588585"/>
        <n v="20102.923168117053"/>
        <n v="-1763.3010381098491"/>
        <n v="-935.55594283370363"/>
        <n v="-2564.7466290941898"/>
        <n v="-4383.6289825371005"/>
        <n v="-2786.2473592182532"/>
        <n v="2292.7391124768496"/>
        <n v="-3778.2284198291659"/>
        <n v="-3250.1066714357594"/>
        <n v="-3960.5237400110627"/>
        <n v="3451.147409682032"/>
        <n v="267.80163440299316"/>
        <n v="957.46732956950564"/>
        <n v="10264.131224928233"/>
        <n v="5038.5370304100397"/>
        <n v="-3434.2844156833262"/>
        <n v="-2549.036971317079"/>
        <n v="-1700.2170058679533"/>
        <n v="837.31428893670363"/>
        <n v="-1973.3764417055606"/>
        <n v="-1898.1691674878957"/>
        <n v="2321.4034678745702"/>
        <n v="2582.738602982638"/>
        <n v="-696.49044629588025"/>
        <n v="-3778.5334355609775"/>
        <n v="5080.3812364309206"/>
        <n v="5341.7023347983586"/>
        <n v="-3849.2018773630316"/>
        <n v="-4041.9592565747403"/>
        <n v="-2114.6579895838945"/>
        <n v="1275.0833736665693"/>
        <n v="-4704.1037032381992"/>
        <n v="3085.4748904302337"/>
        <n v="4181.572031669255"/>
        <n v="-3178.7924337354607"/>
        <n v="-2389.5630154763289"/>
        <n v="-1059.6674719425043"/>
        <n v="2068.8312144460533"/>
        <n v="3636.5716763867385"/>
        <n v="220.28528144432079"/>
        <n v="-4239.0059992302758"/>
        <n v="-3595.2677652937959"/>
        <n v="2527.6202711502301"/>
        <n v="4479.6116765234601"/>
        <n v="-1115.4484292803127"/>
        <n v="-4220.456469888155"/>
        <n v="-4088.7287508936447"/>
        <n v="-2052.3122793101707"/>
        <n v="-1965.6123432418819"/>
        <n v="-2088.1829065759512"/>
        <n v="331.67791202370967"/>
        <n v="-235.90414631993724"/>
        <n v="7844.1293422011158"/>
        <n v="3798.2498421933342"/>
        <n v="-845.00039959327091"/>
        <n v="-1465.2758500070497"/>
        <n v="378.78474741320196"/>
        <n v="692.85296635899931"/>
        <n v="-2705.7312150598423"/>
        <n v="-2776.5814142507693"/>
        <n v="-436.40001377400176"/>
        <n v="-1455.8453648332491"/>
        <n v="-4503.0679839394779"/>
        <n v="2785.4676749939904"/>
        <n v="-4252.7625805542602"/>
        <n v="4264.0464664668398"/>
        <n v="-1514.9122579043446"/>
        <n v="518.53005282178469"/>
        <n v="-4233.4843623863126"/>
        <n v="3703.1623504885933"/>
        <n v="1883.5290761282233"/>
        <n v="392.68619665314719"/>
        <n v="-2466.2367743503542"/>
        <n v="-123.77706960864357"/>
        <n v="1052.4343762602477"/>
        <n v="2327.8388992753148"/>
        <n v="-1842.0684590674518"/>
        <n v="-2242.5375168880273"/>
        <n v="-1455.6762456126771"/>
        <n v="71.310580802325561"/>
        <n v="1724.1486233751227"/>
        <n v="1402.608707368656"/>
        <n v="5292.9028488182776"/>
        <n v="-2862.0732500946124"/>
        <n v="13014.023622402199"/>
        <n v="-585.74237104458211"/>
        <n v="910.58036350961493"/>
        <n v="-1409.9160874543684"/>
        <n v="19263.500597199476"/>
        <n v="3358.1410535338809"/>
        <n v="-2978.0947739881699"/>
        <n v="7851.8278791153698"/>
        <n v="-544.49562128322987"/>
        <n v="-1581.2750048964401"/>
        <n v="9797.4339620727933"/>
        <n v="137.30595067556305"/>
        <n v="-4298.6328551413781"/>
        <n v="2447.0637761201556"/>
        <n v="-480.17640191071683"/>
        <n v="-2931.867460270505"/>
        <n v="-3976.5470013816844"/>
        <n v="-1359.4166503612125"/>
        <n v="-2440.8466762106168"/>
        <n v="-1748.4601297305805"/>
        <n v="65.807882477086409"/>
        <n v="-540.02689124529047"/>
        <n v="3712.6913524731513"/>
        <n v="872.83807275177958"/>
        <n v="11745.609875369086"/>
        <n v="-234.22303834740183"/>
        <n v="312.92453230334451"/>
        <n v="-1546.1260693587242"/>
        <n v="-1692.3801291587808"/>
        <n v="3040.0615983273078"/>
        <n v="-2141.0295514138688"/>
        <n v="-578.22786323171943"/>
        <n v="-5.9680942008539475"/>
        <n v="5384.3705547782038"/>
        <n v="88.506549720801914"/>
        <n v="-4176.1145435704875"/>
        <n v="656.33493472891746"/>
        <n v="6126.4835806953033"/>
        <n v="-3644.0867954677547"/>
        <n v="-4504.9717025687478"/>
        <n v="-653.68779714563448"/>
        <n v="-3967.9227239722741"/>
        <n v="-1814.7241322587527"/>
        <n v="463.70782620031395"/>
        <n v="-374.26088854006468"/>
        <n v="-1617.5956018159964"/>
        <n v="-3993.054994683881"/>
        <n v="8038.0157200900894"/>
        <n v="1906.7963351034359"/>
        <n v="4408.383368018548"/>
        <n v="-101.39257119959004"/>
        <n v="-3638.8227818683604"/>
        <n v="-705.29415247082738"/>
        <n v="3946.3392525287004"/>
        <n v="-1345.9130388700792"/>
        <n v="-1252.8916661967826"/>
        <n v="-654.22747145057247"/>
        <n v="-2107.3908010195682"/>
        <n v="-2222.1043424991194"/>
        <n v="-348.04837789692698"/>
        <n v="-1637.8588614719663"/>
        <n v="-1615.304982199347"/>
        <n v="-2797.0586335685061"/>
        <n v="41.240101298669813"/>
        <n v="-927.54106796970052"/>
        <n v="623.05247486659675"/>
        <n v="21308.189605834334"/>
        <n v="-291.57795892144827"/>
        <n v="3194.8828713202779"/>
        <n v="-1646.4908002656719"/>
        <n v="5796.9648329354541"/>
        <n v="1276.2602767849298"/>
        <n v="-178.8036018870306"/>
        <n v="-1852.7850801573554"/>
        <n v="2716.2373813389067"/>
        <n v="-2181.8664624181338"/>
        <n v="-298.08899540996089"/>
        <n v="-3113.677720323542"/>
        <n v="753.5129161863224"/>
        <n v="-2056.5526884814035"/>
        <n v="604.51450301084799"/>
        <n v="-1231.7194091752767"/>
        <n v="24.424281639961336"/>
        <n v="-3466.768657123017"/>
        <n v="379.56875757957533"/>
        <n v="6442.5790282778862"/>
        <n v="-2849.869177980846"/>
        <n v="5174.2190461991167"/>
        <n v="4439.4519325563479"/>
        <n v="3334.5607194685736"/>
        <n v="2517.5476238687138"/>
        <n v="-1486.4564670160937"/>
        <n v="-56.774896644486226"/>
        <n v="-3392.652208284374"/>
        <n v="-2870.8251885817344"/>
        <n v="64.698050591919824"/>
        <n v="137.14311060837741"/>
        <n v="-1424.0981549277142"/>
        <n v="-4577.9993110750011"/>
        <n v="4145.2141707607761"/>
        <n v="-1772.565172343915"/>
        <n v="-3508.7545598362412"/>
        <n v="2464.3399147131918"/>
        <n v="-1585.3764177307587"/>
        <n v="-1397.707603250986"/>
        <n v="-183.22876094124769"/>
        <n v="5597.0146231222661"/>
        <n v="5791.3164581730252"/>
        <n v="-3256.6469839008973"/>
        <n v="-1204.3503582188287"/>
        <n v="6276.6399046789029"/>
        <n v="-2320.0591017309812"/>
        <n v="6798.1473876484079"/>
        <n v="-3075.1466389185985"/>
        <n v="665.52872116088724"/>
        <n v="-1866.3163975042271"/>
        <n v="-3126.0796602392074"/>
        <n v="-2676.1694781400615"/>
        <n v="379.61932995397945"/>
        <n v="-837.39692192013717"/>
        <n v="2775.0686914242101"/>
        <n v="-1344.7291698187676"/>
        <n v="974.28729974203111"/>
        <n v="-1177.1109766480001"/>
        <n v="-1885.1338443908471"/>
        <n v="8465.5667007162519"/>
        <n v="-849.11476385770879"/>
        <n v="-1517.6732808830827"/>
        <n v="4975.1364544371027"/>
        <n v="616.61956700500377"/>
        <n v="-1334.7870428559004"/>
        <n v="-2010.070382822199"/>
        <n v="3366.1901456998003"/>
        <n v="-4554.7631929349145"/>
        <n v="2011.7797000872065"/>
        <n v="-100.55185870349865"/>
        <n v="-3101.733642174403"/>
        <n v="-87.599220228454527"/>
        <n v="6344.7931766683123"/>
        <n v="-2725.8676286470459"/>
        <n v="1588.1249923154967"/>
        <n v="-1798.4833371367015"/>
        <n v="994.64207009898587"/>
        <n v="6769.8266044473758"/>
        <n v="-4590.386070300814"/>
        <n v="-3916.9213344832647"/>
        <n v="868.86680665003871"/>
        <n v="-2671.874828667605"/>
        <n v="2761.4853572444313"/>
        <n v="-2782.4559322162131"/>
        <n v="-1534.0845051247904"/>
        <n v="-1910.6779622896188"/>
        <n v="10641.554607441387"/>
        <n v="807.97536119704523"/>
        <n v="-2943.0237140392396"/>
        <n v="-1509.3898856243179"/>
        <n v="-2163.5038283552994"/>
        <n v="-797.62511983609591"/>
        <n v="-329.31290131410333"/>
        <n v="-73.014073800709355"/>
        <n v="-640.5118409291465"/>
        <n v="-2230.0928666534305"/>
        <n v="7266.8956721526538"/>
        <n v="904.86530356926153"/>
        <n v="1170.6786774781701"/>
        <n v="425.80939888918221"/>
        <n v="668.45313133616662"/>
        <n v="-3819.0048244251225"/>
        <n v="-4994.3037672957298"/>
        <n v="-764.95144668796456"/>
        <n v="-2783.683494985411"/>
        <n v="-891.09684774496691"/>
        <n v="1746.5001993393555"/>
        <n v="-2141.4422270303849"/>
        <n v="-980.43612899953973"/>
        <n v="-1124.702485515116"/>
        <n v="4011.1970648126785"/>
        <n v="2472.0252109631524"/>
        <n v="-1554.980783441267"/>
        <n v="-1033.848710141734"/>
        <n v="2752.3087569105369"/>
        <n v="-107.10445290083481"/>
        <n v="1669.1453619270446"/>
        <n v="-1189.6260626233152"/>
        <n v="-1523.9936054616867"/>
        <n v="-182.06577010947007"/>
        <n v="-3238.6402092834574"/>
        <n v="3640.3791201686604"/>
        <n v="-3993.555723216085"/>
        <n v="-4579.4490832499687"/>
        <n v="-696.57626075446319"/>
        <n v="-5148.9626988150658"/>
        <n v="-1547.2156774009143"/>
        <n v="-518.6131257884399"/>
        <n v="-4333.0500744189158"/>
        <n v="-145.1028309809858"/>
        <n v="-3483.3914198688458"/>
        <n v="-842.7929453943558"/>
        <n v="-2024.118652351593"/>
        <n v="-2345.3852161565242"/>
        <n v="-1614.9675969529603"/>
        <n v="2146.652708399442"/>
        <n v="-2453.0639102354444"/>
        <n v="4761.1349727246334"/>
        <n v="280.71520105330472"/>
        <n v="-115.00173266328693"/>
        <n v="-5328.497136241268"/>
        <n v="886.44007490689114"/>
        <n v="106.50335437495569"/>
        <n v="2292.1594445060837"/>
        <n v="-1703.2409842123543"/>
        <n v="-246.77772840808558"/>
        <n v="-4698.3294043517835"/>
        <n v="-2269.5169633953456"/>
        <n v="-2361.78570237541"/>
        <n v="-2059.7249985554872"/>
        <n v="7385.9293525823532"/>
        <n v="-2743.2805606569273"/>
        <n v="155.93007202933097"/>
        <n v="-3465.8638412575388"/>
        <n v="-4041.3216363222132"/>
        <n v="-2426.4505561951037"/>
        <n v="10635.421167133489"/>
        <n v="253.02234955612886"/>
        <n v="-4160.314921559192"/>
        <n v="2475.8140895935003"/>
        <n v="-2763.4707565909607"/>
        <n v="-3910.1851875300413"/>
        <n v="-1759.4620176452142"/>
        <n v="-5210.168279149445"/>
        <n v="4816.3482120287536"/>
        <n v="-923.57798729330102"/>
        <n v="367.02671589401461"/>
        <n v="-1482.8938815853041"/>
        <n v="-786.88243268374777"/>
        <n v="-3621.2629115843415"/>
        <n v="-143.50974898186865"/>
        <n v="-1634.0052794635526"/>
        <n v="2284.8909179494754"/>
        <n v="-1957.0265869647037"/>
        <n v="-738.95554480813939"/>
        <n v="-1815.3611673259454"/>
        <n v="-2554.8052248563408"/>
        <n v="-1389.1900599080416"/>
        <n v="-3307.1059425725671"/>
        <n v="749.19373226758569"/>
        <n v="13221.653796398656"/>
        <n v="-3880.0216205021893"/>
        <n v="-2324.4825664191462"/>
        <n v="1689.4854910785743"/>
        <n v="-3028.0425344200657"/>
        <n v="1780.4632801379266"/>
        <n v="1403.7052975708311"/>
        <n v="-1198.0983780213098"/>
        <n v="-1531.8565515541025"/>
        <n v="-980.3486591045471"/>
        <n v="884.20068070435468"/>
        <n v="-1320.3135902520817"/>
        <n v="-3778.4328639795021"/>
        <n v="906.76487186422503"/>
        <n v="-1082.0408667280062"/>
        <n v="-2214.2383304192285"/>
        <n v="-868.86572393756239"/>
        <n v="3976.8854575730534"/>
        <n v="-1435.0634707359191"/>
        <n v="-354.33570061885621"/>
        <n v="-825.28152699904842"/>
        <n v="-886.49261972733245"/>
        <n v="-3474.5622835464424"/>
        <n v="-509.35660367486975"/>
        <n v="12716.527604664669"/>
        <n v="-995.90038330964023"/>
        <n v="1212.1629360972345"/>
        <n v="-1430.0375205498258"/>
        <n v="4054.2067232194609"/>
        <n v="3751.6241824192371"/>
        <n v="-804.99465991808415"/>
        <n v="-560.84126470204603"/>
        <n v="2901.4865285402452"/>
        <n v="6299.4343326120388"/>
        <n v="-1167.938024003503"/>
        <n v="-4190.7896522549045"/>
        <n v="-3531.3029599701385"/>
        <n v="347.10103963108833"/>
        <n v="817.07296981502702"/>
        <n v="961.66833239393804"/>
        <n v="-5279.9718574437484"/>
        <n v="-1590.1630367881796"/>
        <n v="10694.344751160206"/>
        <n v="1050.8304343762998"/>
        <n v="-2621.0571746732335"/>
        <n v="12507.085832676916"/>
        <n v="-843.42009444276255"/>
        <n v="-3644.4050545505902"/>
        <n v="-3976.7573948293748"/>
        <n v="-2565.5214688993397"/>
        <n v="862.32866525923623"/>
        <n v="-3937.9819512387567"/>
        <n v="2500.6375678239906"/>
        <n v="-4912.0478061204585"/>
        <n v="-1220.858206992172"/>
        <n v="-3657.9075480334259"/>
        <n v="-356.99265570947279"/>
        <n v="-405.69868576802361"/>
        <n v="889.11065048796524"/>
      </sharedItems>
      <fieldGroup base="2">
        <rangePr autoStart="0" autoEnd="0" startNum="-5463" endNum="21309" groupInterval="2677"/>
        <groupItems count="13">
          <s v="&lt;-5463"/>
          <s v="-5463--2786"/>
          <s v="-2786--109"/>
          <s v="-109-2568"/>
          <s v="2568-5245"/>
          <s v="5245-7922"/>
          <s v="7922-10599"/>
          <s v="10599-13276"/>
          <s v="13276-15953"/>
          <s v="15953-18630"/>
          <s v="18630-21307"/>
          <s v="21307-23984"/>
          <s v="&gt;23984"/>
        </groupItems>
      </fieldGroup>
    </cacheField>
    <cacheField name="Loss" numFmtId="0">
      <sharedItems containsSemiMixedTypes="0" containsString="0"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mes Davies" refreshedDate="45416.584807407409" createdVersion="8" refreshedVersion="8" minRefreshableVersion="3" recordCount="1001" xr:uid="{42305127-88E7-4720-8EB3-513937AFE359}">
  <cacheSource type="worksheet">
    <worksheetSource ref="B9:E1010" sheet="MC.Uniform"/>
  </cacheSource>
  <cacheFields count="4">
    <cacheField name="Trial number" numFmtId="0">
      <sharedItems containsString="0" containsBlank="1" containsNumber="1" containsInteger="1" minValue="1" maxValue="1000" count="1001">
        <m/>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sharedItems>
    </cacheField>
    <cacheField name="Oil price (MC_uniform)" numFmtId="2">
      <sharedItems containsSemiMixedTypes="0" containsString="0" containsNumber="1" minValue="20.018144707695935" maxValue="99.99329680380896" count="1001">
        <n v="57.307552307904203"/>
        <n v="76.85506556514963"/>
        <n v="88.688615525735756"/>
        <n v="52.510081064366432"/>
        <n v="27.700759230922365"/>
        <n v="93.093363043534225"/>
        <n v="90.089088407837167"/>
        <n v="39.920332849286723"/>
        <n v="36.679572453438141"/>
        <n v="27.046028011524513"/>
        <n v="47.240812454704333"/>
        <n v="28.34624134574301"/>
        <n v="77.43324481540516"/>
        <n v="46.639003040683193"/>
        <n v="85.457449201584282"/>
        <n v="73.896806795552195"/>
        <n v="99.137982949724076"/>
        <n v="90.273606461661146"/>
        <n v="90.252426036998685"/>
        <n v="87.707427818685943"/>
        <n v="41.842409494132625"/>
        <n v="30.848383768712544"/>
        <n v="21.488866637644605"/>
        <n v="41.569761525788273"/>
        <n v="61.764225407472928"/>
        <n v="93.887129266324422"/>
        <n v="29.066558647269282"/>
        <n v="57.258171973797275"/>
        <n v="25.665820978654487"/>
        <n v="47.854047582057966"/>
        <n v="63.782152248551689"/>
        <n v="50.878967201131324"/>
        <n v="78.047875458904429"/>
        <n v="76.762081619377739"/>
        <n v="45.049974190583768"/>
        <n v="41.800720891694674"/>
        <n v="88.022108557236251"/>
        <n v="73.000662323333074"/>
        <n v="80.530416149312089"/>
        <n v="21.890115232258172"/>
        <n v="76.535400690477374"/>
        <n v="93.714681330255729"/>
        <n v="41.140526944597219"/>
        <n v="76.598396684389542"/>
        <n v="77.552924442705432"/>
        <n v="37.760501717366679"/>
        <n v="60.667911378551445"/>
        <n v="99.734399679194127"/>
        <n v="56.754995435678751"/>
        <n v="53.258071335290751"/>
        <n v="46.77870506262677"/>
        <n v="79.059125174119103"/>
        <n v="99.417438421354404"/>
        <n v="75.846673088431643"/>
        <n v="20.505285333051138"/>
        <n v="89.306886846022891"/>
        <n v="77.910567462753761"/>
        <n v="89.640282996799016"/>
        <n v="87.972837063802416"/>
        <n v="36.023642885859147"/>
        <n v="40.514522595023273"/>
        <n v="21.349752197718672"/>
        <n v="54.059720607291808"/>
        <n v="49.392991559746179"/>
        <n v="24.697337725160509"/>
        <n v="29.119126649713554"/>
        <n v="57.393058503189508"/>
        <n v="36.187693634104825"/>
        <n v="35.609770046991123"/>
        <n v="60.650947469429724"/>
        <n v="93.412877889117794"/>
        <n v="83.605444655710144"/>
        <n v="63.017530390444009"/>
        <n v="70.402047281660998"/>
        <n v="96.69009319900951"/>
        <n v="60.571615940129135"/>
        <n v="21.35152366598783"/>
        <n v="25.805360316865649"/>
        <n v="97.956188286206768"/>
        <n v="94.221534267775354"/>
        <n v="88.697789345589939"/>
        <n v="51.464083829808878"/>
        <n v="89.960074761278946"/>
        <n v="88.278573198262251"/>
        <n v="39.64774373820849"/>
        <n v="67.053350425469688"/>
        <n v="61.912795485031026"/>
        <n v="53.305009414828646"/>
        <n v="80.780917892748363"/>
        <n v="51.725885815732354"/>
        <n v="34.136701416958537"/>
        <n v="60.205415005014245"/>
        <n v="46.01129243765989"/>
        <n v="71.81700030218127"/>
        <n v="76.723186705831026"/>
        <n v="91.44296674693291"/>
        <n v="55.000525249069909"/>
        <n v="34.609932170256592"/>
        <n v="84.177338673254866"/>
        <n v="76.231465178727134"/>
        <n v="97.591614289256995"/>
        <n v="59.375456388253909"/>
        <n v="76.346457015861915"/>
        <n v="82.25774035376304"/>
        <n v="52.009024330397011"/>
        <n v="73.232731479437192"/>
        <n v="70.074921601276827"/>
        <n v="83.484122462014497"/>
        <n v="73.966802559747705"/>
        <n v="22.949806135331279"/>
        <n v="22.096202810135317"/>
        <n v="43.991816973231046"/>
        <n v="83.015304097445153"/>
        <n v="46.529749565619184"/>
        <n v="94.565138712630571"/>
        <n v="79.382196021844891"/>
        <n v="99.666016089013979"/>
        <n v="30.915888137968494"/>
        <n v="94.944993413107895"/>
        <n v="91.442361585212581"/>
        <n v="36.057601030420869"/>
        <n v="71.223016301928084"/>
        <n v="73.317103855176015"/>
        <n v="88.38951512577917"/>
        <n v="21.789247151817328"/>
        <n v="59.64939646213989"/>
        <n v="71.170137143695342"/>
        <n v="41.357507838409035"/>
        <n v="33.076270141910399"/>
        <n v="57.461896622968148"/>
        <n v="86.635468957979"/>
        <n v="83.320686788452036"/>
        <n v="55.023281841527933"/>
        <n v="51.643893541432753"/>
        <n v="41.065894357061723"/>
        <n v="49.860955802783593"/>
        <n v="74.232563451032917"/>
        <n v="20.451076508057689"/>
        <n v="83.44341149350106"/>
        <n v="59.106207739750687"/>
        <n v="90.183319467558817"/>
        <n v="27.084012486377887"/>
        <n v="99.746872224563049"/>
        <n v="38.296991074786114"/>
        <n v="69.566468073328821"/>
        <n v="52.77946512806232"/>
        <n v="89.972878190053109"/>
        <n v="58.839259423524304"/>
        <n v="63.703953947485729"/>
        <n v="84.908479764444238"/>
        <n v="27.525138820624147"/>
        <n v="52.628132276496949"/>
        <n v="97.883692730008363"/>
        <n v="83.238628651874734"/>
        <n v="91.619719240123658"/>
        <n v="24.525586686148717"/>
        <n v="95.161345370719573"/>
        <n v="50.831466701433534"/>
        <n v="49.407436041325994"/>
        <n v="79.651661405230129"/>
        <n v="80.154412564964005"/>
        <n v="51.13146866010873"/>
        <n v="87.053207798452775"/>
        <n v="51.347220032442507"/>
        <n v="51.456718361679492"/>
        <n v="42.935795818940569"/>
        <n v="28.709991972793183"/>
        <n v="89.614802678330904"/>
        <n v="25.37606721147209"/>
        <n v="69.520967469195654"/>
        <n v="42.572380376850781"/>
        <n v="51.522644410536522"/>
        <n v="40.723809865186986"/>
        <n v="26.49380177334919"/>
        <n v="96.708565624345681"/>
        <n v="68.933417595814362"/>
        <n v="71.885980246891535"/>
        <n v="68.003072263009017"/>
        <n v="45.90756619804899"/>
        <n v="84.917229676534035"/>
        <n v="22.014024379693318"/>
        <n v="88.097390731222816"/>
        <n v="96.714604177965114"/>
        <n v="44.754982919338588"/>
        <n v="24.682851683430023"/>
        <n v="63.468868300090513"/>
        <n v="57.311833280409601"/>
        <n v="41.918437216305392"/>
        <n v="59.825777178393977"/>
        <n v="90.491965987446463"/>
        <n v="28.380299183155486"/>
        <n v="22.99936863598613"/>
        <n v="43.127634808583515"/>
        <n v="63.915762843345135"/>
        <n v="89.898082907791405"/>
        <n v="63.48950081519655"/>
        <n v="59.963991002364679"/>
        <n v="38.4616190953965"/>
        <n v="87.049511438600391"/>
        <n v="28.745873910312927"/>
        <n v="30.5377682974623"/>
        <n v="56.290643650495497"/>
        <n v="88.145371178517749"/>
        <n v="68.286866296839747"/>
        <n v="98.202285202954755"/>
        <n v="59.870534051630102"/>
        <n v="40.340355560881676"/>
        <n v="20.657739586539748"/>
        <n v="76.456584980915807"/>
        <n v="57.387472969611977"/>
        <n v="88.646813441807467"/>
        <n v="59.72573000927477"/>
        <n v="48.569385885909391"/>
        <n v="50.191220491083605"/>
        <n v="62.01502235550138"/>
        <n v="29.707922009399248"/>
        <n v="23.866424378949141"/>
        <n v="23.003376054550131"/>
        <n v="60.136970053659134"/>
        <n v="80.168247343144117"/>
        <n v="60.029589048794634"/>
        <n v="31.90431854307284"/>
        <n v="83.070190977433128"/>
        <n v="22.251916597169235"/>
        <n v="34.816150936676529"/>
        <n v="39.149317176114309"/>
        <n v="69.020247264248809"/>
        <n v="44.941496442148825"/>
        <n v="78.980102016834209"/>
        <n v="30.960189708554047"/>
        <n v="27.945754325532526"/>
        <n v="88.443606369060149"/>
        <n v="46.106190335963603"/>
        <n v="73.985826881647242"/>
        <n v="42.849284871952065"/>
        <n v="92.860395485687434"/>
        <n v="48.050872421900472"/>
        <n v="73.39667788268298"/>
        <n v="99.99329680380896"/>
        <n v="43.063850963896925"/>
        <n v="71.481945104785297"/>
        <n v="76.891763200403844"/>
        <n v="89.978941105552252"/>
        <n v="63.116767221178833"/>
        <n v="61.286356063306769"/>
        <n v="95.805726066992648"/>
        <n v="55.62074240308587"/>
        <n v="69.049981138960675"/>
        <n v="97.948390653539363"/>
        <n v="57.971184531893691"/>
        <n v="80.67636144846135"/>
        <n v="84.753534019866407"/>
        <n v="32.846303001336935"/>
        <n v="75.109613751294191"/>
        <n v="85.568124937338965"/>
        <n v="24.314423597184938"/>
        <n v="45.897427916850823"/>
        <n v="95.54689962443463"/>
        <n v="40.393272496466601"/>
        <n v="77.588369908410783"/>
        <n v="32.25729194330431"/>
        <n v="22.604386993387315"/>
        <n v="70.92441668679507"/>
        <n v="98.488982727485578"/>
        <n v="58.48699441404186"/>
        <n v="38.31789205904979"/>
        <n v="89.838895894170236"/>
        <n v="82.704363612302529"/>
        <n v="56.261464295511374"/>
        <n v="64.848643061921763"/>
        <n v="71.315560600197017"/>
        <n v="95.070116886771288"/>
        <n v="30.909115746704128"/>
        <n v="90.893675488815049"/>
        <n v="24.788322375913765"/>
        <n v="95.584934696162222"/>
        <n v="84.368900383709757"/>
        <n v="31.509704436780748"/>
        <n v="66.987907074659461"/>
        <n v="78.083597298135189"/>
        <n v="68.839417543431722"/>
        <n v="51.553600718541347"/>
        <n v="28.460728958521564"/>
        <n v="36.101981507932223"/>
        <n v="43.12238622087466"/>
        <n v="89.633558341766559"/>
        <n v="20.818875305003715"/>
        <n v="26.635987552306215"/>
        <n v="32.292559072396941"/>
        <n v="97.953516046253242"/>
        <n v="93.880198200309167"/>
        <n v="80.220864347288853"/>
        <n v="75.263063510286173"/>
        <n v="32.668791014876255"/>
        <n v="20.938686327746751"/>
        <n v="39.3245971977029"/>
        <n v="38.332058787776418"/>
        <n v="30.339780872968944"/>
        <n v="74.626241407921128"/>
        <n v="86.246215442984521"/>
        <n v="52.830719457413167"/>
        <n v="33.221836409469788"/>
        <n v="73.301094297459542"/>
        <n v="21.989218463347111"/>
        <n v="64.618030016880184"/>
        <n v="66.344851332782426"/>
        <n v="21.192857923686887"/>
        <n v="43.630272564286145"/>
        <n v="36.407465248968748"/>
        <n v="51.983359273006293"/>
        <n v="63.549873474139488"/>
        <n v="94.180186665690428"/>
        <n v="42.55223957026314"/>
        <n v="35.47967928306312"/>
        <n v="96.68487542998983"/>
        <n v="78.136663907681253"/>
        <n v="62.226373840590796"/>
        <n v="28.759050069733725"/>
        <n v="97.419725988242448"/>
        <n v="71.255525097250157"/>
        <n v="66.344630202028839"/>
        <n v="30.611454830080483"/>
        <n v="45.952022922159685"/>
        <n v="65.004829627686192"/>
        <n v="96.561889224014479"/>
        <n v="93.332796220079615"/>
        <n v="64.671321268887283"/>
        <n v="34.335588108469473"/>
        <n v="58.819883450493442"/>
        <n v="40.46799922844361"/>
        <n v="65.671042418600294"/>
        <n v="98.72174165487047"/>
        <n v="57.089543572424802"/>
        <n v="80.088137370715259"/>
        <n v="43.487661222338104"/>
        <n v="60.806313675831014"/>
        <n v="43.126180118419093"/>
        <n v="90.387921639232275"/>
        <n v="90.885995669546659"/>
        <n v="79.073830456951313"/>
        <n v="78.545122008318572"/>
        <n v="55.172041804055702"/>
        <n v="84.114216745582127"/>
        <n v="85.863831924328494"/>
        <n v="60.613079932141503"/>
        <n v="53.913010211716667"/>
        <n v="71.932769116840149"/>
        <n v="38.996785688485758"/>
        <n v="32.097540087382448"/>
        <n v="21.304805716090893"/>
        <n v="40.674737040500865"/>
        <n v="33.936388432082495"/>
        <n v="39.230445360431133"/>
        <n v="86.193425252645866"/>
        <n v="86.783163501197762"/>
        <n v="55.19259513865898"/>
        <n v="25.571401535969677"/>
        <n v="21.386267363057144"/>
        <n v="59.043321688882514"/>
        <n v="96.693258924979844"/>
        <n v="92.847246815251864"/>
        <n v="68.676128428007758"/>
        <n v="26.992490472107562"/>
        <n v="35.897182432672764"/>
        <n v="60.909073903004625"/>
        <n v="34.919043069919518"/>
        <n v="20.846967972812696"/>
        <n v="23.401345132295177"/>
        <n v="57.485357667313608"/>
        <n v="94.423898912430758"/>
        <n v="70.413547570163644"/>
        <n v="21.565191061186873"/>
        <n v="65.485179517285658"/>
        <n v="86.924407212215243"/>
        <n v="92.473115223484811"/>
        <n v="88.524065248453141"/>
        <n v="67.657797579533863"/>
        <n v="30.408899057619667"/>
        <n v="63.719825907361766"/>
        <n v="60.025875218958269"/>
        <n v="90.333718237897671"/>
        <n v="41.767794694533215"/>
        <n v="71.339892810200155"/>
        <n v="58.332803909024449"/>
        <n v="79.826368802508568"/>
        <n v="87.756452989494903"/>
        <n v="60.880642693538661"/>
        <n v="48.856240534825773"/>
        <n v="36.553849931297279"/>
        <n v="69.641465959958168"/>
        <n v="72.243634023513465"/>
        <n v="70.715606375877044"/>
        <n v="77.291644835514546"/>
        <n v="30.991511729846685"/>
        <n v="61.712602943906617"/>
        <n v="34.742174618013088"/>
        <n v="26.391594285649358"/>
        <n v="27.413547334455508"/>
        <n v="90.666268568557413"/>
        <n v="20.946077261897607"/>
        <n v="72.176151979720345"/>
        <n v="57.958873297169042"/>
        <n v="34.338016423474841"/>
        <n v="25.696815765273247"/>
        <n v="67.062028179330923"/>
        <n v="34.710669913225445"/>
        <n v="40.42789142591139"/>
        <n v="29.647355588739252"/>
        <n v="24.456110239036182"/>
        <n v="51.943336993838685"/>
        <n v="72.5492765188243"/>
        <n v="90.552070730672924"/>
        <n v="92.108534408564367"/>
        <n v="78.957372964611082"/>
        <n v="25.239047700286974"/>
        <n v="66.268294997583894"/>
        <n v="39.153895195363788"/>
        <n v="91.52934190904918"/>
        <n v="71.113410684244798"/>
        <n v="69.579240443878632"/>
        <n v="44.403449331915716"/>
        <n v="60.505566531648896"/>
        <n v="29.51606517010136"/>
        <n v="75.734421149451322"/>
        <n v="72.121653688226047"/>
        <n v="34.76308417926009"/>
        <n v="63.515915767396706"/>
        <n v="42.484437614580422"/>
        <n v="74.64497939711535"/>
        <n v="28.828751752862516"/>
        <n v="51.425013779631101"/>
        <n v="27.959062173858467"/>
        <n v="60.601126884022761"/>
        <n v="71.894957203565937"/>
        <n v="88.566759653025372"/>
        <n v="99.05182398543468"/>
        <n v="33.37197875590018"/>
        <n v="97.517851962072882"/>
        <n v="44.090483313765255"/>
        <n v="83.790164657670147"/>
        <n v="43.839178542213389"/>
        <n v="79.593315773920551"/>
        <n v="25.903735801303476"/>
        <n v="87.514122079280241"/>
        <n v="30.563540833485739"/>
        <n v="36.043625265602664"/>
        <n v="91.177230857780216"/>
        <n v="42.596816958080687"/>
        <n v="52.916332440112271"/>
        <n v="85.154735075573342"/>
        <n v="53.585843705478482"/>
        <n v="38.3242014529621"/>
        <n v="50.020367448285725"/>
        <n v="91.090799586616427"/>
        <n v="28.379589538225236"/>
        <n v="22.855184443178285"/>
        <n v="50.544674279729392"/>
        <n v="84.007246750418162"/>
        <n v="61.282677655956263"/>
        <n v="36.831256431421977"/>
        <n v="39.152768086527097"/>
        <n v="87.780096293197147"/>
        <n v="31.701600640974739"/>
        <n v="69.067817593795212"/>
        <n v="74.113946544340649"/>
        <n v="53.212373705383918"/>
        <n v="42.551234971258978"/>
        <n v="94.334612741867346"/>
        <n v="77.147540987671505"/>
        <n v="52.301907861956579"/>
        <n v="93.774552039162202"/>
        <n v="73.076904935005587"/>
        <n v="20.492592242197574"/>
        <n v="47.015224410505027"/>
        <n v="71.517321234577068"/>
        <n v="93.174632394056857"/>
        <n v="64.133801498538162"/>
        <n v="50.993332049272446"/>
        <n v="96.746658778646307"/>
        <n v="88.376626482499759"/>
        <n v="39.859537217203837"/>
        <n v="70.534581850712868"/>
        <n v="25.490517738163785"/>
        <n v="79.904311585887228"/>
        <n v="87.10944587364861"/>
        <n v="81.912293456667641"/>
        <n v="69.095400710464844"/>
        <n v="65.442504246664015"/>
        <n v="90.129192614330648"/>
        <n v="22.524886292470711"/>
        <n v="84.914589945328373"/>
        <n v="30.746091877891022"/>
        <n v="34.759140298801292"/>
        <n v="90.44469417245412"/>
        <n v="47.860656209488191"/>
        <n v="76.983607126383617"/>
        <n v="77.572659824420739"/>
        <n v="35.934447140273335"/>
        <n v="36.711592652402445"/>
        <n v="36.827259515359721"/>
        <n v="86.42306139173246"/>
        <n v="34.732487981998233"/>
        <n v="41.372512755839963"/>
        <n v="75.748626925599609"/>
        <n v="78.408784569942867"/>
        <n v="86.183313907091147"/>
        <n v="77.085052614294924"/>
        <n v="99.942272412512722"/>
        <n v="30.912830720360631"/>
        <n v="62.310385355491924"/>
        <n v="72.575438092330728"/>
        <n v="99.047705249699533"/>
        <n v="62.758350172190234"/>
        <n v="84.534932761404121"/>
        <n v="57.150495062594885"/>
        <n v="57.88269599076628"/>
        <n v="25.912480644260079"/>
        <n v="40.716875968903722"/>
        <n v="35.265981337149924"/>
        <n v="50.500262988939411"/>
        <n v="92.352653872967096"/>
        <n v="43.30500827637578"/>
        <n v="63.611876595468033"/>
        <n v="72.068797644901551"/>
        <n v="99.153679759100456"/>
        <n v="27.362522569107021"/>
        <n v="82.686186027496746"/>
        <n v="78.153508240109858"/>
        <n v="54.958959474437961"/>
        <n v="47.61128069123167"/>
        <n v="61.345648468388859"/>
        <n v="85.036465209992599"/>
        <n v="70.715102573745384"/>
        <n v="82.314684157978107"/>
        <n v="60.61846850128579"/>
        <n v="44.60966726032899"/>
        <n v="75.002040491963356"/>
        <n v="21.649022690499685"/>
        <n v="70.305098213983555"/>
        <n v="75.804522609268432"/>
        <n v="36.996674688657087"/>
        <n v="56.132428520915809"/>
        <n v="64.538160036274789"/>
        <n v="85.820600722973396"/>
        <n v="85.963186530092656"/>
        <n v="96.895991109052119"/>
        <n v="25.73764998077861"/>
        <n v="85.788683608276386"/>
        <n v="38.94421886964561"/>
        <n v="98.567331292000461"/>
        <n v="41.595747746757411"/>
        <n v="60.193244279368159"/>
        <n v="40.901008720449205"/>
        <n v="42.1697340320381"/>
        <n v="47.627348958634471"/>
        <n v="59.907730580516834"/>
        <n v="99.224532963164279"/>
        <n v="61.123504134982227"/>
        <n v="88.975563242590056"/>
        <n v="65.168030309360717"/>
        <n v="33.166067316066929"/>
        <n v="40.821465339067977"/>
        <n v="40.245239112334971"/>
        <n v="48.378581760832056"/>
        <n v="76.169481438209402"/>
        <n v="69.165318176193836"/>
        <n v="76.957868385525501"/>
        <n v="73.865445766782628"/>
        <n v="38.42171608712782"/>
        <n v="56.951279835429752"/>
        <n v="39.113702456719828"/>
        <n v="44.060716010647056"/>
        <n v="64.219159892997595"/>
        <n v="56.68187096316526"/>
        <n v="55.336386205898876"/>
        <n v="88.674499052651655"/>
        <n v="91.787232680543482"/>
        <n v="73.872460871778216"/>
        <n v="87.648787527665235"/>
        <n v="44.266005534221875"/>
        <n v="26.59772156067887"/>
        <n v="24.739102401055604"/>
        <n v="43.591516572428446"/>
        <n v="91.036253249708224"/>
        <n v="30.562202810623553"/>
        <n v="87.380603428328385"/>
        <n v="41.281678114632243"/>
        <n v="38.888255864746554"/>
        <n v="39.051410877188772"/>
        <n v="97.504309043960774"/>
        <n v="51.50205807732965"/>
        <n v="57.903578568722402"/>
        <n v="31.532672548930883"/>
        <n v="86.812469753475796"/>
        <n v="72.133071148143657"/>
        <n v="79.149382798146405"/>
        <n v="86.47495157444969"/>
        <n v="92.949673474090517"/>
        <n v="50.314502468962054"/>
        <n v="67.846011685635204"/>
        <n v="77.326681182407654"/>
        <n v="38.125253499034585"/>
        <n v="74.633913201972419"/>
        <n v="79.428201870929442"/>
        <n v="53.45089746709958"/>
        <n v="71.059144963162652"/>
        <n v="35.403060120280941"/>
        <n v="71.015829953465428"/>
        <n v="29.199075396779392"/>
        <n v="50.621821419453347"/>
        <n v="93.190504540742353"/>
        <n v="60.709323376639652"/>
        <n v="98.99271318931747"/>
        <n v="63.269312148176439"/>
        <n v="34.874675654319198"/>
        <n v="59.133193908787973"/>
        <n v="82.391873497456174"/>
        <n v="36.21683392065183"/>
        <n v="20.018144707695935"/>
        <n v="53.632932971541791"/>
        <n v="26.31824319719729"/>
        <n v="30.377387500540564"/>
        <n v="47.890866558893606"/>
        <n v="67.455351635976513"/>
        <n v="52.144744331722009"/>
        <n v="53.324293500113342"/>
        <n v="30.559967538767225"/>
        <n v="51.251411965163229"/>
        <n v="73.78505707676085"/>
        <n v="56.272697365102331"/>
        <n v="85.248219402811458"/>
        <n v="64.848730822727504"/>
        <n v="24.617763368585635"/>
        <n v="74.056700344936928"/>
        <n v="44.730786483266591"/>
        <n v="66.278225724944321"/>
        <n v="75.027150102170026"/>
        <n v="93.096639828176137"/>
        <n v="30.404465054527805"/>
        <n v="92.628571583626055"/>
        <n v="92.773091755576488"/>
        <n v="42.360412822212901"/>
        <n v="84.800028287542617"/>
        <n v="48.831908454559148"/>
        <n v="22.717918175941243"/>
        <n v="30.141661574078064"/>
        <n v="52.280384536724476"/>
        <n v="35.2962122877464"/>
        <n v="35.230833211826223"/>
        <n v="67.518368978041934"/>
        <n v="28.170268376491727"/>
        <n v="60.82297657640774"/>
        <n v="53.501955067491139"/>
        <n v="27.601557445734699"/>
        <n v="51.746268015646635"/>
        <n v="61.589718090579012"/>
        <n v="37.384683719688219"/>
        <n v="38.661613665077425"/>
        <n v="23.537878877083848"/>
        <n v="65.613172294180004"/>
        <n v="82.203028739629445"/>
        <n v="60.411792802308256"/>
        <n v="50.487320964320659"/>
        <n v="34.834278647555777"/>
        <n v="65.417345998491584"/>
        <n v="46.240168116526235"/>
        <n v="76.384405661225458"/>
        <n v="54.544278968061562"/>
        <n v="24.6966239934942"/>
        <n v="50.917368379945515"/>
        <n v="96.233128284397779"/>
        <n v="29.214143276995415"/>
        <n v="72.558547531328529"/>
        <n v="81.675200254837094"/>
        <n v="25.902434818838501"/>
        <n v="43.813003995786687"/>
        <n v="86.544650262104611"/>
        <n v="55.169296370665954"/>
        <n v="82.128973693388232"/>
        <n v="68.2033207666843"/>
        <n v="20.537375531360979"/>
        <n v="74.126493385660552"/>
        <n v="51.547997505546242"/>
        <n v="66.233793141800462"/>
        <n v="95.843291509160849"/>
        <n v="79.592207333996498"/>
        <n v="94.297560377201378"/>
        <n v="56.232921667778946"/>
        <n v="75.190947937884147"/>
        <n v="99.70164154198234"/>
        <n v="67.798794275199754"/>
        <n v="91.346511353547029"/>
        <n v="40.241503356568913"/>
        <n v="85.960586675922087"/>
        <n v="34.012117397207547"/>
        <n v="67.609235229527926"/>
        <n v="28.672763530017882"/>
        <n v="94.985298363208443"/>
        <n v="54.868067977245261"/>
        <n v="63.055324015107665"/>
        <n v="99.303273501316241"/>
        <n v="85.395192130213616"/>
        <n v="54.569618801030479"/>
        <n v="97.668138012953307"/>
        <n v="39.329540337222461"/>
        <n v="32.204457241400853"/>
        <n v="92.799238956652744"/>
        <n v="76.753741781754911"/>
        <n v="79.46800822507916"/>
        <n v="93.615389408688401"/>
        <n v="30.608676028888048"/>
        <n v="68.058112239471697"/>
        <n v="49.875300872234021"/>
        <n v="54.072082473208297"/>
        <n v="62.358803011634535"/>
        <n v="60.825031582467723"/>
        <n v="43.190516393758962"/>
        <n v="58.958041014267863"/>
        <n v="27.667634278343279"/>
        <n v="96.236030006882274"/>
        <n v="44.655868378783545"/>
        <n v="99.690887060388221"/>
        <n v="65.560506937693432"/>
        <n v="72.93337857225211"/>
        <n v="74.535661306158147"/>
        <n v="98.080296427852872"/>
        <n v="87.442952798165379"/>
        <n v="76.383645242143686"/>
        <n v="62.201059933997193"/>
        <n v="79.628788811918781"/>
        <n v="26.732073618838719"/>
        <n v="29.484397020082991"/>
        <n v="57.254807039980513"/>
        <n v="86.896588479021759"/>
        <n v="79.687862567812886"/>
        <n v="22.15380712373549"/>
        <n v="33.40288035918455"/>
        <n v="96.194898448516085"/>
        <n v="74.341458405727565"/>
        <n v="44.556379946912188"/>
        <n v="40.487138811985368"/>
        <n v="48.117310518571202"/>
        <n v="71.821072833108616"/>
        <n v="95.06400155729655"/>
        <n v="32.317010445815555"/>
        <n v="48.0699572548085"/>
        <n v="71.042383721261501"/>
        <n v="87.587811770707589"/>
        <n v="67.267337948823624"/>
        <n v="57.253675842123009"/>
        <n v="66.833349369335266"/>
        <n v="42.758642658774477"/>
        <n v="50.988233255572169"/>
        <n v="93.576997338168553"/>
        <n v="81.630206695457417"/>
        <n v="43.849494786005998"/>
        <n v="76.760084118828672"/>
        <n v="33.262669505059101"/>
        <n v="48.620952288619002"/>
        <n v="55.864969146721641"/>
        <n v="42.601835759305125"/>
        <n v="62.584936329124687"/>
        <n v="97.770680082623031"/>
        <n v="82.138509264275555"/>
        <n v="69.713374387775929"/>
        <n v="70.144514084638644"/>
        <n v="47.637072823168879"/>
        <n v="65.668009807366445"/>
        <n v="50.974800758468312"/>
        <n v="42.090474602320938"/>
        <n v="96.143039767337996"/>
        <n v="76.799651203998025"/>
        <n v="32.284578328646411"/>
        <n v="84.048279068545"/>
        <n v="37.750042330271867"/>
        <n v="71.670345531428367"/>
        <n v="35.967299754014761"/>
        <n v="75.196272260974496"/>
        <n v="80.912291590592218"/>
        <n v="59.52349690109007"/>
        <n v="96.321214797730349"/>
        <n v="31.888112257759555"/>
        <n v="50.33332134377261"/>
        <n v="22.87045574223189"/>
        <n v="88.69249715140495"/>
        <n v="97.557849323453539"/>
        <n v="61.559203897792756"/>
        <n v="91.287713563456833"/>
        <n v="39.849996891804764"/>
        <n v="80.424853574715883"/>
        <n v="28.801845935456569"/>
        <n v="51.753200076585642"/>
        <n v="66.586096345171256"/>
        <n v="54.145451693536145"/>
        <n v="30.76060207542076"/>
        <n v="72.124158906495325"/>
        <n v="63.427444628384471"/>
        <n v="83.816049536912004"/>
        <n v="39.993281796737115"/>
        <n v="32.07516098102991"/>
        <n v="46.827264142957226"/>
        <n v="20.411519812828196"/>
        <n v="51.766081846754489"/>
        <n v="79.203268475352331"/>
        <n v="76.895589637784255"/>
        <n v="36.410582959739408"/>
        <n v="47.836984662448792"/>
        <n v="70.765586724777108"/>
        <n v="87.560132807333005"/>
        <n v="66.341881858877059"/>
        <n v="79.011866399622079"/>
        <n v="46.73410219521611"/>
        <n v="91.347974341693131"/>
        <n v="60.587366487819352"/>
        <n v="36.308810990996321"/>
        <n v="89.288578753783383"/>
        <n v="24.090297488061118"/>
        <n v="24.158885775480734"/>
        <n v="22.748504414247634"/>
        <n v="35.64759211395527"/>
        <n v="53.725267799882459"/>
        <n v="23.848115351107655"/>
        <n v="29.834163285964237"/>
        <n v="85.422647370502759"/>
        <n v="59.637233084089672"/>
        <n v="75.367822970723637"/>
        <n v="41.821349846972481"/>
        <n v="47.971418780029325"/>
        <n v="62.663854888049386"/>
        <n v="94.43670234162289"/>
        <n v="62.008827465377948"/>
        <n v="59.767830869641607"/>
        <n v="22.595497286731295"/>
        <n v="64.540012760139575"/>
        <n v="30.313537671044692"/>
        <n v="28.662292863380692"/>
        <n v="23.884991599380161"/>
        <n v="71.338312246574333"/>
        <n v="62.953272904453648"/>
        <n v="60.815139338242766"/>
        <n v="49.415846120218475"/>
        <n v="85.876612224950691"/>
        <n v="43.71985597889018"/>
        <n v="25.055710269502136"/>
        <n v="43.586544583305475"/>
        <n v="78.365640851550111"/>
        <n v="74.90185920837564"/>
        <n v="70.111147269640085"/>
        <n v="30.32020510918306"/>
        <n v="22.366443347185132"/>
        <n v="52.66013881186705"/>
        <n v="66.483554676523539"/>
        <n v="61.789210677037723"/>
        <n v="99.747628604682149"/>
        <n v="97.340454016484472"/>
        <n v="98.918705882782049"/>
        <n v="99.177781276329938"/>
        <n v="62.964500720004125"/>
        <n v="54.169195875777945"/>
        <n v="27.358624785597296"/>
        <n v="34.526884595495424"/>
        <n v="94.010786893533037"/>
        <n v="74.30315867371155"/>
        <n v="62.444812531047305"/>
        <n v="66.267103279205955"/>
        <n v="43.474519681142681"/>
        <n v="41.938304878952181"/>
        <n v="36.520692117187217"/>
        <n v="92.380100689882866"/>
        <n v="90.251560374836671"/>
        <n v="23.044308771941022"/>
        <n v="26.401205980516949"/>
        <n v="81.22206322477993"/>
        <n v="36.173134147062896"/>
        <n v="27.52498775855301"/>
        <n v="72.671548342948284"/>
        <n v="50.766306386021995"/>
        <n v="86.470763690195767"/>
        <n v="25.60575229291662"/>
        <n v="39.003542278059527"/>
        <n v="64.509425281532742"/>
        <n v="71.872658448582371"/>
        <n v="82.998814311915282"/>
        <n v="94.837344428724066"/>
        <n v="94.342750918685311"/>
        <n v="85.893622352448517"/>
        <n v="98.629429698515594"/>
        <n v="40.4490201055279"/>
        <n v="69.26174070810319"/>
        <n v="81.428897768807133"/>
        <n v="46.971423061021028"/>
        <n v="35.444787520277508"/>
        <n v="47.087680060635158"/>
        <n v="89.014693127349872"/>
        <n v="61.200609021031134"/>
        <n v="73.266567552352569"/>
        <n v="67.67324134245959"/>
        <n v="96.282252817996422"/>
        <n v="99.944245585918154"/>
        <n v="30.628046283983224"/>
        <n v="37.190715228527424"/>
        <n v="70.256859649966174"/>
        <n v="64.500720347151258"/>
        <n v="41.789235752944272"/>
        <n v="91.606542528128244"/>
        <n v="91.235339443371799"/>
        <n v="24.226836152414883"/>
        <n v="65.77257763920008"/>
        <n v="95.647213939774332"/>
        <n v="25.399364298046947"/>
        <n v="33.478120582025319"/>
        <n v="37.3201139202787"/>
        <n v="20.977317893739659"/>
        <n v="62.056840772795113"/>
        <n v="46.379055637961564"/>
        <n v="21.657481172719237"/>
        <n v="69.0285331689999"/>
        <n v="23.33800690065905"/>
        <n v="47.925412819027017"/>
        <n v="78.582423394260388"/>
        <n v="23.921689912290152"/>
        <n v="92.247229312070473"/>
        <n v="92.426294310285655"/>
        <n v="46.006638291123224"/>
        <n v="98.602756686133532"/>
        <n v="68.261478532722748"/>
        <n v="86.045924816353903"/>
        <n v="42.347038561752292"/>
        <n v="44.363071768061822"/>
        <n v="24.991077599211671"/>
        <n v="61.062523667941555"/>
        <n v="34.363904381352761"/>
        <n v="97.086338301106039"/>
        <n v="22.628437927461256"/>
        <n v="96.818479552531343"/>
        <n v="33.993351351480392"/>
        <n v="96.640917215789599"/>
        <n v="36.564583606667178"/>
        <n v="93.495408436359185"/>
        <n v="23.661839941208118"/>
        <n v="29.321463581460094"/>
        <n v="96.439634286941896"/>
        <n v="50.506541462406972"/>
        <n v="33.054212782999734"/>
        <n v="92.387548777779784"/>
        <n v="69.075029382327102"/>
        <n v="79.01811030529332"/>
        <n v="54.704892961543493"/>
        <n v="94.947581113297417"/>
        <n v="29.966808071473707"/>
        <n v="46.751448497324475"/>
        <n v="74.777198287844385"/>
        <n v="74.590299819447722"/>
        <n v="46.544657985630323"/>
        <n v="83.078738018965211"/>
        <n v="34.147389735786753"/>
        <n v="55.541887727927424"/>
        <n v="27.81370741293923"/>
        <n v="31.668547768705018"/>
        <n v="70.14824437716058"/>
        <n v="70.609118705187086"/>
        <n v="83.04789570614669"/>
        <n v="24.61117788813624"/>
        <n v="94.711933877750923"/>
        <n v="57.489914667572606"/>
        <n v="99.058714984957035"/>
        <n v="79.097798164807486"/>
        <n v="46.280437433162191"/>
        <n v="40.793868883665077"/>
        <n v="95.217302079326203"/>
        <n v="42.411907203508562"/>
        <n v="34.104702565265512"/>
        <n v="91.617091104109249"/>
        <n v="76.005420415354166"/>
        <n v="89.707804192733263"/>
        <n v="20.84691166035401"/>
        <n v="61.000262751769803"/>
        <n v="30.187359205266677"/>
        <n v="83.761903770963073"/>
        <n v="55.24347374386668"/>
        <n v="21.997248887288396"/>
        <n v="53.877807402689591"/>
        <n v="46.471914171919778"/>
        <n v="58.041232929669945"/>
        <n v="81.068121641934368"/>
        <n v="96.946340070128997"/>
        <n v="95.732103299444759"/>
        <n v="82.811790745975358"/>
        <n v="40.19641839913654"/>
        <n v="54.863289997637388"/>
        <n v="78.611954889091038"/>
        <n v="39.460043786041048"/>
        <n v="99.79214568638595"/>
        <n v="46.105119163493356"/>
        <n v="85.841064099698812"/>
        <n v="27.604088409315874"/>
        <n v="22.623347348601783"/>
        <n v="53.49004439033429"/>
        <n v="82.829788449072765"/>
        <n v="22.32725820907018"/>
        <n v="94.975062927014932"/>
      </sharedItems>
      <fieldGroup base="1">
        <rangePr autoStart="0" autoEnd="0" startNum="20" endNum="100" groupInterval="10"/>
        <groupItems count="10">
          <s v="&lt;20"/>
          <s v="20-30"/>
          <s v="30-40"/>
          <s v="40-50"/>
          <s v="50-60"/>
          <s v="60-70"/>
          <s v="70-80"/>
          <s v="80-90"/>
          <s v="90-100"/>
          <s v="&gt;100"/>
        </groupItems>
      </fieldGroup>
    </cacheField>
    <cacheField name="NPV" numFmtId="164">
      <sharedItems containsSemiMixedTypes="0" containsString="0" containsNumber="1" minValue="-2490.4146644903353" maxValue="7756.4391131716129"/>
    </cacheField>
    <cacheField name="Loss" numFmtId="0">
      <sharedItems containsSemiMixedTypes="0" containsString="0"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mes Davies" refreshedDate="45416.766770833332" createdVersion="8" refreshedVersion="8" minRefreshableVersion="3" recordCount="1001" xr:uid="{8D8B4934-9B56-4630-849F-CC524FFA8C10}">
  <cacheSource type="worksheet">
    <worksheetSource ref="B9:E1010" sheet="MC.Lognormal_infl_adj"/>
  </cacheSource>
  <cacheFields count="4">
    <cacheField name="Trial number" numFmtId="0">
      <sharedItems containsString="0" containsBlank="1" containsNumber="1" containsInteger="1" minValue="1" maxValue="1000"/>
    </cacheField>
    <cacheField name="Oil price (MC_inflation_adjusted)" numFmtId="164">
      <sharedItems containsSemiMixedTypes="0" containsString="0" containsNumber="1" minValue="13.456377928182674" maxValue="245.28841756725049"/>
    </cacheField>
    <cacheField name="NPV" numFmtId="164">
      <sharedItems containsSemiMixedTypes="0" containsString="0" containsNumber="1" minValue="-3719.7196051823689" maxValue="25477.321121143839" count="1001">
        <n v="961.33345465967227"/>
        <n v="2890.747777571738"/>
        <n v="2575.9822036650985"/>
        <n v="4729.5642713819161"/>
        <n v="-18.451114132554203"/>
        <n v="3481.9986565338459"/>
        <n v="3101.3440562670098"/>
        <n v="2932.8955358673684"/>
        <n v="8785.4717790597861"/>
        <n v="9606.5711741482955"/>
        <n v="5092.9458004743119"/>
        <n v="3689.1445292423509"/>
        <n v="5510.9436642011515"/>
        <n v="10520.405653116746"/>
        <n v="5826.9734561279283"/>
        <n v="1931.2778683403392"/>
        <n v="7914.2735698026763"/>
        <n v="2315.6616334379773"/>
        <n v="6478.6688952681861"/>
        <n v="1084.7279605441954"/>
        <n v="293.57444274205"/>
        <n v="5706.5593289450781"/>
        <n v="3245.4180220714916"/>
        <n v="1532.4840368533974"/>
        <n v="3402.4300218793237"/>
        <n v="5968.349746645481"/>
        <n v="-371.7021219032286"/>
        <n v="6720.9368200823283"/>
        <n v="3733.242763957317"/>
        <n v="-2353.7411652801497"/>
        <n v="2969.3432129897005"/>
        <n v="1818.4994725597048"/>
        <n v="157.69965902284792"/>
        <n v="4138.0849575111461"/>
        <n v="814.7559686355138"/>
        <n v="1602.374213930831"/>
        <n v="3703.5556826576931"/>
        <n v="6023.6906651383733"/>
        <n v="147.4576429609121"/>
        <n v="4664.9031690561742"/>
        <n v="-477.4656710503013"/>
        <n v="4569.0819264215033"/>
        <n v="580.33801116892869"/>
        <n v="11702.367145642691"/>
        <n v="5120.5286301972301"/>
        <n v="4318.737143512004"/>
        <n v="316.28889581195386"/>
        <n v="10666.770544457429"/>
        <n v="1518.6331074387169"/>
        <n v="3917.2559775817549"/>
        <n v="1316.3221171048597"/>
        <n v="4567.2750758156535"/>
        <n v="-2709.0430250727704"/>
        <n v="-504.69608025334463"/>
        <n v="3956.5868011087473"/>
        <n v="1617.7925025914251"/>
        <n v="-1330.8548071544499"/>
        <n v="21040.386953108438"/>
        <n v="2307.8191650260733"/>
        <n v="4655.0105942097061"/>
        <n v="7239.8979973415035"/>
        <n v="8714.7628519048631"/>
        <n v="-1290.3362683312587"/>
        <n v="7589.8501609051873"/>
        <n v="835.8890221179405"/>
        <n v="8396.655103453335"/>
        <n v="4210.4108675942862"/>
        <n v="-1149.8720258352448"/>
        <n v="182.14256009488503"/>
        <n v="9785.6963202664101"/>
        <n v="22394.041860701764"/>
        <n v="373.11546469198294"/>
        <n v="3465.9721494067649"/>
        <n v="597.44069813119233"/>
        <n v="-796.80525754565974"/>
        <n v="2851.5338400951273"/>
        <n v="7362.4517045713665"/>
        <n v="-902.86768419826535"/>
        <n v="-409.50574544399063"/>
        <n v="-588.30452838936037"/>
        <n v="696.68844172157185"/>
        <n v="2739.3954992738836"/>
        <n v="1441.9578537690211"/>
        <n v="12388.253651395928"/>
        <n v="2004.6786687542258"/>
        <n v="13518.574308230765"/>
        <n v="-669.91866363696863"/>
        <n v="1460.4510945071384"/>
        <n v="6106.3735476088459"/>
        <n v="2392.4838706618571"/>
        <n v="9157.9199096425491"/>
        <n v="5924.5268000132073"/>
        <n v="-184.21735380705894"/>
        <n v="7019.9134206801764"/>
        <n v="5981.668064558794"/>
        <n v="-2509.1163755044217"/>
        <n v="-381.03340711113736"/>
        <n v="6804.768070645654"/>
        <n v="3090.7161288808702"/>
        <n v="7116.479388684018"/>
        <n v="9350.1438224274953"/>
        <n v="-166.68777409303425"/>
        <n v="1221.4361871558651"/>
        <n v="2541.5627663862706"/>
        <n v="818.77609388848111"/>
        <n v="-333.8952584404978"/>
        <n v="1601.4810842547602"/>
        <n v="-1146.2404278019819"/>
        <n v="5670.2706842246225"/>
        <n v="8210.8905423503056"/>
        <n v="8490.8965360625061"/>
        <n v="-1684.0786376523556"/>
        <n v="1965.2728113337132"/>
        <n v="7191.5468266205398"/>
        <n v="-368.64718960216851"/>
        <n v="9403.7986226833873"/>
        <n v="11568.799259306239"/>
        <n v="11491.507783431303"/>
        <n v="6003.8439083699686"/>
        <n v="43.607860520451268"/>
        <n v="3795.0545841491298"/>
        <n v="21316.154680374111"/>
        <n v="7605.8536043095855"/>
        <n v="6402.6264075876406"/>
        <n v="6365.4445721446373"/>
        <n v="41.344264288420121"/>
        <n v="5239.7614342195429"/>
        <n v="2411.3644258687336"/>
        <n v="8832.8212541189132"/>
        <n v="14662.368516682507"/>
        <n v="6729.2694241570061"/>
        <n v="10355.014706080936"/>
        <n v="2860.0927290850077"/>
        <n v="2451.592622144683"/>
        <n v="-1088.9266320901054"/>
        <n v="446.35463562130866"/>
        <n v="476.06068555983342"/>
        <n v="1789.4540391388637"/>
        <n v="-557.37828481545068"/>
        <n v="6104.6211284200335"/>
        <n v="15591.341571719006"/>
        <n v="5308.025089840201"/>
        <n v="10698.640851361213"/>
        <n v="1466.2222322408181"/>
        <n v="3749.5480758330755"/>
        <n v="2785.6456095588383"/>
        <n v="981.91969501239078"/>
        <n v="10459.024983269897"/>
        <n v="5496.7543214092648"/>
        <n v="3979.8928157222285"/>
        <n v="-1076.0317656639077"/>
        <n v="4714.708235799224"/>
        <n v="-477.71479630515381"/>
        <n v="16853.081635985283"/>
        <n v="883.55274927512664"/>
        <n v="549.90772816939398"/>
        <n v="3029.7783805681261"/>
        <n v="2384.3919948228859"/>
        <n v="2264.6002801105142"/>
        <n v="3500.4123020333927"/>
        <n v="2600.3097401395617"/>
        <n v="-1549.726036049344"/>
        <n v="10085.401235126126"/>
        <n v="4074.1626306757212"/>
        <n v="6656.8381022729445"/>
        <n v="7357.8329293183015"/>
        <n v="2310.6973427973785"/>
        <n v="2447.2672856674162"/>
        <n v="2509.3605782969112"/>
        <n v="-3586.557538120896"/>
        <n v="15428.539815742459"/>
        <n v="6522.5370911625523"/>
        <n v="1015.3147185669682"/>
        <n v="4242.9221983899915"/>
        <n v="3853.3800939629514"/>
        <n v="8600.7626278708976"/>
        <n v="-348.75380695225721"/>
        <n v="338.72038915045397"/>
        <n v="3188.0418040113764"/>
        <n v="2926.2198021034051"/>
        <n v="2369.7965469615324"/>
        <n v="279.03704518165029"/>
        <n v="5178.4540721438016"/>
        <n v="4685.977287502019"/>
        <n v="1532.2300166316925"/>
        <n v="12064.839123887463"/>
        <n v="7755.4187458116612"/>
        <n v="187.78453516318552"/>
        <n v="596.96298306136055"/>
        <n v="-1583.8881807885352"/>
        <n v="-317.40339927138012"/>
        <n v="3188.9013389114716"/>
        <n v="77.147027376515567"/>
        <n v="6541.0940558393504"/>
        <n v="1508.5694779120524"/>
        <n v="13907.160703063568"/>
        <n v="2071.009090746858"/>
        <n v="4361.9208722080821"/>
        <n v="1742.6194043110947"/>
        <n v="5207.5886064854585"/>
        <n v="3782.791237377281"/>
        <n v="2164.3980632318303"/>
        <n v="3227.124522744049"/>
        <n v="6664.0426096434367"/>
        <n v="10539.077735655677"/>
        <n v="2219.3241472542181"/>
        <n v="6553.5334612443685"/>
        <n v="2243.1636007160023"/>
        <n v="9951.2776355397491"/>
        <n v="-140.7931318633552"/>
        <n v="10558.480229565957"/>
        <n v="7361.8538182172906"/>
        <n v="6072.2645811764842"/>
        <n v="9521.7178836568728"/>
        <n v="3295.4615804627379"/>
        <n v="9170.7784183452695"/>
        <n v="-493.2923419997669"/>
        <n v="6685.6869532547626"/>
        <n v="12879.294311743033"/>
        <n v="2118.5441354926284"/>
        <n v="4769.2881102632946"/>
        <n v="11041.161831426341"/>
        <n v="8923.7094646575806"/>
        <n v="1131.3357995756398"/>
        <n v="9893.5129733895828"/>
        <n v="357.4606098834991"/>
        <n v="-1441.8516889962614"/>
        <n v="1484.3147404289432"/>
        <n v="4719.9509082596305"/>
        <n v="6664.9624472277465"/>
        <n v="4597.8625773594576"/>
        <n v="10225.202480806263"/>
        <n v="7010.065366484132"/>
        <n v="3315.1354833145861"/>
        <n v="3170.8106255309731"/>
        <n v="1672.9025867223336"/>
        <n v="3419.5144337404513"/>
        <n v="3355.9827490932335"/>
        <n v="1264.3564863868801"/>
        <n v="5044.3345598853921"/>
        <n v="-1211.1626671985255"/>
        <n v="3733.0202915388004"/>
        <n v="368.31263907678982"/>
        <n v="329.83497858431843"/>
        <n v="478.74838707117459"/>
        <n v="7852.3244299254748"/>
        <n v="8179.0349397389718"/>
        <n v="7317.9007651669499"/>
        <n v="4351.6616003801273"/>
        <n v="11132.090440242639"/>
        <n v="6815.5173110458263"/>
        <n v="17297.893661609975"/>
        <n v="987.32867267694405"/>
        <n v="18.033109185706778"/>
        <n v="213.42945517502767"/>
        <n v="-777.67119256336673"/>
        <n v="2442.8472461983933"/>
        <n v="6070.2287688202714"/>
        <n v="5593.7401680127259"/>
        <n v="4906.1555210000388"/>
        <n v="6129.6302825637076"/>
        <n v="1626.6016842166348"/>
        <n v="-2116.4014621113301"/>
        <n v="3142.43264577134"/>
        <n v="9931.3889044694915"/>
        <n v="1947.3301768969106"/>
        <n v="6010.0854145823287"/>
        <n v="1770.5244719321267"/>
        <n v="3131.5445070076826"/>
        <n v="3748.1592891028849"/>
        <n v="258.38253805317476"/>
        <n v="7674.6428487281837"/>
        <n v="7503.8827494674979"/>
        <n v="5160.4752951796618"/>
        <n v="9331.4785496206314"/>
        <n v="9724.1631454347189"/>
        <n v="725.94035938195043"/>
        <n v="1787.7521488677257"/>
        <n v="6236.6657597673429"/>
        <n v="3892.0483371116434"/>
        <n v="2715.1101172331382"/>
        <n v="4629.5601967323928"/>
        <n v="2627.2332396762836"/>
        <n v="2728.8329303904088"/>
        <n v="9864.7513415543199"/>
        <n v="-1101.1351306065374"/>
        <n v="7882.9674193575293"/>
        <n v="1254.1853124793909"/>
        <n v="5295.7684947167299"/>
        <n v="4648.490833672131"/>
        <n v="6086.4999331443805"/>
        <n v="7601.7628762615486"/>
        <n v="105.94865814486009"/>
        <n v="4182.3547555557961"/>
        <n v="11956.450905775862"/>
        <n v="5733.5098105788766"/>
        <n v="5730.5442757242972"/>
        <n v="8869.0584039401874"/>
        <n v="10520.73077820608"/>
        <n v="13972.144131707813"/>
        <n v="10671.501805550595"/>
        <n v="264.96237455782932"/>
        <n v="7014.3796097032982"/>
        <n v="179.06131391919763"/>
        <n v="8190.1406295284369"/>
        <n v="341.42925505702664"/>
        <n v="4587.7337184259559"/>
        <n v="-800.72482104146343"/>
        <n v="7819.812264621858"/>
        <n v="6174.8682610288806"/>
        <n v="6184.1516137250419"/>
        <n v="9277.3530765780833"/>
        <n v="2880.3474286722339"/>
        <n v="3043.9505357651196"/>
        <n v="-685.75858393768704"/>
        <n v="-1648.5935429258418"/>
        <n v="10853.901371256276"/>
        <n v="3137.1165174350058"/>
        <n v="11782.360186691363"/>
        <n v="5536.1443407334855"/>
        <n v="-2023.508774625604"/>
        <n v="1185.7459647475764"/>
        <n v="4085.5208609149536"/>
        <n v="1588.1938432776253"/>
        <n v="474.9898641941241"/>
        <n v="589.62017316692925"/>
        <n v="1556.9253491265961"/>
        <n v="6624.8072601697349"/>
        <n v="9230.7106234589337"/>
        <n v="4954.0125778180936"/>
        <n v="1032.1801555297518"/>
        <n v="15395.190980013094"/>
        <n v="11259.349842115387"/>
        <n v="4841.6384027546746"/>
        <n v="-1229.4141477101646"/>
        <n v="4595.6169666252308"/>
        <n v="2198.7535728507437"/>
        <n v="3257.4903585794705"/>
        <n v="4980.4224993830458"/>
        <n v="11723.1092231478"/>
        <n v="3798.1093752149704"/>
        <n v="5910.9629084284798"/>
        <n v="9248.0012826384282"/>
        <n v="-1600.5921944510167"/>
        <n v="3576.3819903087015"/>
        <n v="844.78188281316955"/>
        <n v="5486.5387769930885"/>
        <n v="-1140.9888837693629"/>
        <n v="607.99106970431126"/>
        <n v="1651.6894306149279"/>
        <n v="6050.0936080437459"/>
        <n v="1466.0862851308484"/>
        <n v="9230.6446637199806"/>
        <n v="4620.3006926790194"/>
        <n v="4445.6052097805477"/>
        <n v="-828.63564283285928"/>
        <n v="3747.3480317583917"/>
        <n v="4781.6904921191008"/>
        <n v="4347.9463786521192"/>
        <n v="4175.7688628289807"/>
        <n v="2781.7749778465709"/>
        <n v="1062.9457671706116"/>
        <n v="3440.0504711042195"/>
        <n v="1839.7727729111434"/>
        <n v="4469.1719769622723"/>
        <n v="17365.030769579447"/>
        <n v="5795.1983538037312"/>
        <n v="14152.163231531276"/>
        <n v="903.56609429315643"/>
        <n v="4377.2849040170777"/>
        <n v="6814.4763027074141"/>
        <n v="973.90325023310243"/>
        <n v="-89.542213968820079"/>
        <n v="5390.3286337278041"/>
        <n v="1516.6832200771451"/>
        <n v="7779.5309925292249"/>
        <n v="4274.550184223729"/>
        <n v="7918.2698418144046"/>
        <n v="5646.7148048596064"/>
        <n v="15946.057826084832"/>
        <n v="-1637.2511268018695"/>
        <n v="3673.3054413635846"/>
        <n v="2640.6511020674352"/>
        <n v="3262.5702760929657"/>
        <n v="2811.9870066760454"/>
        <n v="5684.3501358513622"/>
        <n v="1668.6624706413554"/>
        <n v="5820.30127268465"/>
        <n v="1602.1927189662404"/>
        <n v="10226.638634233876"/>
        <n v="595.80160613122757"/>
        <n v="-142.96179505764604"/>
        <n v="2170.1309151529304"/>
        <n v="7326.2937152710565"/>
        <n v="396.60330350209102"/>
        <n v="-2388.8049289218411"/>
        <n v="-621.23846308247255"/>
        <n v="3675.9765192431746"/>
        <n v="4158.7640015642146"/>
        <n v="3346.0347253703749"/>
        <n v="-1476.1406978600176"/>
        <n v="4905.2701946172692"/>
        <n v="2249.7984358064114"/>
        <n v="3442.6986349339832"/>
        <n v="23.691697658666854"/>
        <n v="477.00712143165157"/>
        <n v="-2123.7766102032865"/>
        <n v="266.45695826719754"/>
        <n v="9002.9492004058902"/>
        <n v="5132.034275356903"/>
        <n v="792.10920570792746"/>
        <n v="-472.52114100032748"/>
        <n v="3734.0558445028696"/>
        <n v="3610.7203450525185"/>
        <n v="1545.0311294644525"/>
        <n v="1499.2028054653813"/>
        <n v="1146.9492201296457"/>
        <n v="1358.0580199721333"/>
        <n v="2613.3864811258486"/>
        <n v="1863.5194389992582"/>
        <n v="-103.3680850725377"/>
        <n v="4975.5987010909721"/>
        <n v="5819.1328555174296"/>
        <n v="2832.2001440634649"/>
        <n v="1701.3806493685479"/>
        <n v="3473.612106655125"/>
        <n v="2546.6258452578727"/>
        <n v="8533.5811637824008"/>
        <n v="11587.957964764506"/>
        <n v="974.76357204467763"/>
        <n v="2692.1893924171159"/>
        <n v="2955.7487074254873"/>
        <n v="5490.9768998788804"/>
        <n v="1314.8602218757801"/>
        <n v="881.55321538746557"/>
        <n v="7036.9562324313483"/>
        <n v="994.42625683018173"/>
        <n v="7958.6833284850418"/>
        <n v="19036.724670573985"/>
        <n v="770.95552632601823"/>
        <n v="10522.498464161214"/>
        <n v="7010.5705149094183"/>
        <n v="5820.8261053737897"/>
        <n v="2409.4382153462643"/>
        <n v="8164.9105690087299"/>
        <n v="2894.2041427933973"/>
        <n v="1081.5543571855042"/>
        <n v="5068.0966057351852"/>
        <n v="-858.87317579349792"/>
        <n v="8085.8106549899376"/>
        <n v="3368.2696380582056"/>
        <n v="4407.6241482091928"/>
        <n v="5704.6131586612855"/>
        <n v="3756.92002548966"/>
        <n v="3848.6101210235165"/>
        <n v="1166.437932146097"/>
        <n v="-2001.3136209007801"/>
        <n v="3391.3817683047751"/>
        <n v="2525.6130456456503"/>
        <n v="1597.9927527295658"/>
        <n v="548.73176052389499"/>
        <n v="4654.6295645175578"/>
        <n v="8389.3036727492108"/>
        <n v="5324.2758552303394"/>
        <n v="-2913.4530966802408"/>
        <n v="1006.8236748131569"/>
        <n v="3086.1365754977069"/>
        <n v="225.27173891029878"/>
        <n v="5824.8651307852206"/>
        <n v="4234.5558533057001"/>
        <n v="1780.0519798440996"/>
        <n v="5448.1875408232236"/>
        <n v="6103.2846479034824"/>
        <n v="9909.0785856460589"/>
        <n v="7515.7934056892409"/>
        <n v="1387.1229457525747"/>
        <n v="6527.7021604611509"/>
        <n v="378.97075776731521"/>
        <n v="7402.8833128642018"/>
        <n v="3284.8567338904691"/>
        <n v="5152.7428377837896"/>
        <n v="-111.98011889425172"/>
        <n v="5705.9382515913503"/>
        <n v="-214.22669901945648"/>
        <n v="2232.512044250399"/>
        <n v="2677.9241517593946"/>
        <n v="-1453.5805751324961"/>
        <n v="14740.192362998254"/>
        <n v="-725.00904043338642"/>
        <n v="-180.6178081173764"/>
        <n v="2026.1721008925279"/>
        <n v="-1208.6490772202214"/>
        <n v="618.55001663891119"/>
        <n v="1934.1091924848026"/>
        <n v="5850.6024249288821"/>
        <n v="3666.4858132214008"/>
        <n v="1064.4629999182368"/>
        <n v="4141.4536089360181"/>
        <n v="4730.9041173709975"/>
        <n v="1073.9092663099691"/>
        <n v="4567.5893978602471"/>
        <n v="2994.8771259577388"/>
        <n v="5812.5721987616962"/>
        <n v="9469.653746765649"/>
        <n v="6285.6347954068724"/>
        <n v="11578.658747364721"/>
        <n v="-1605.8856856979278"/>
        <n v="2074.5642339418814"/>
        <n v="7545.8651429081228"/>
        <n v="4102.4861637760268"/>
        <n v="1463.7896111057182"/>
        <n v="4252.9449127174021"/>
        <n v="1873.9299277064017"/>
        <n v="7799.9173472363036"/>
        <n v="5906.0026444804162"/>
        <n v="694.51258039609888"/>
        <n v="11920.442149259121"/>
        <n v="11822.573930028455"/>
        <n v="2126.6141164070864"/>
        <n v="1090.6605374082067"/>
        <n v="7706.7398863060325"/>
        <n v="2291.8293045207138"/>
        <n v="1364.1378223736426"/>
        <n v="2152.5369608172882"/>
        <n v="8850.7103975944647"/>
        <n v="-1188.5606564756417"/>
        <n v="5307.6234791833122"/>
        <n v="3027.1907390120073"/>
        <n v="5866.4306324247045"/>
        <n v="1875.0613579625563"/>
        <n v="5324.7536271565223"/>
        <n v="5354.3325112509356"/>
        <n v="18605.755277616081"/>
        <n v="23269.922751188511"/>
        <n v="3452.8135897983962"/>
        <n v="3580.5717297810529"/>
        <n v="4837.4146640813988"/>
        <n v="10498.976741772334"/>
        <n v="2124.2480587389941"/>
        <n v="1935.3917510721378"/>
        <n v="2775.7779538858904"/>
        <n v="2038.8329064313584"/>
        <n v="2376.482040972744"/>
        <n v="720.8005667902396"/>
        <n v="7912.3003037561757"/>
        <n v="4394.8638518448388"/>
        <n v="6834.3690574440207"/>
        <n v="5594.7145163773957"/>
        <n v="9981.6863507873368"/>
        <n v="7954.234200530851"/>
        <n v="6964.0430176827158"/>
        <n v="3167.6520432307198"/>
        <n v="4590.866835314594"/>
        <n v="8266.2894074773976"/>
        <n v="1510.1451133073738"/>
        <n v="1655.3403106238411"/>
        <n v="1813.0605146164619"/>
        <n v="36.018463299933856"/>
        <n v="-1218.7497111950188"/>
        <n v="-965.97188895692989"/>
        <n v="3045.7233078068839"/>
        <n v="11150.660682801676"/>
        <n v="720.55271493626708"/>
        <n v="2254.9752181872313"/>
        <n v="817.95548530389112"/>
        <n v="-976.55066089733805"/>
        <n v="1408.809390238076"/>
        <n v="13886.600299956574"/>
        <n v="1642.4187988393808"/>
        <n v="3558.9723539114666"/>
        <n v="-767.70967695187687"/>
        <n v="5606.3952520361354"/>
        <n v="10417.627334045163"/>
        <n v="10689.543206575625"/>
        <n v="7862.5034442859633"/>
        <n v="7147.0465586341797"/>
        <n v="10272.077022027908"/>
        <n v="-1553.1902933706513"/>
        <n v="-2542.9584817918303"/>
        <n v="614.08260634354565"/>
        <n v="3103.1983934860514"/>
        <n v="218.42830203870545"/>
        <n v="8781.8513035017877"/>
        <n v="946.20844567204927"/>
        <n v="2851.0658424289863"/>
        <n v="-1182.8000986513027"/>
        <n v="2645.6176606111198"/>
        <n v="4277.4601362922804"/>
        <n v="3453.6763541077125"/>
        <n v="969.53760517454225"/>
        <n v="1116.8448002620487"/>
        <n v="3076.4729999894412"/>
        <n v="826.1815229140318"/>
        <n v="1398.6982010467671"/>
        <n v="5672.8345905449496"/>
        <n v="2562.5073179598721"/>
        <n v="1694.2240608917259"/>
        <n v="274.2859052530759"/>
        <n v="12610.711236397005"/>
        <n v="2362.0411930868659"/>
        <n v="5806.2218521040068"/>
        <n v="16923.570842873502"/>
        <n v="8358.2872498462602"/>
        <n v="7287.7635008800789"/>
        <n v="12251.793887536662"/>
        <n v="9309.6305600389442"/>
        <n v="5549.6117904580087"/>
        <n v="-75.238625558631128"/>
        <n v="1114.7223132900231"/>
        <n v="2460.205610075307"/>
        <n v="12673.862366843481"/>
        <n v="1717.1523679675779"/>
        <n v="5249.1793421325738"/>
        <n v="461.13164462692504"/>
        <n v="-1129.5868563298297"/>
        <n v="8268.4045261050833"/>
        <n v="4530.9321562480136"/>
        <n v="-1897.4849309177639"/>
        <n v="1533.1140712106608"/>
        <n v="3341.5285810627975"/>
        <n v="8973.2326922361572"/>
        <n v="4148.1469573722889"/>
        <n v="724.29821926874251"/>
        <n v="6867.1072902349952"/>
        <n v="3444.665477106566"/>
        <n v="10672.828923850626"/>
        <n v="8374.8339402744441"/>
        <n v="3266.5400412451936"/>
        <n v="3092.123486080272"/>
        <n v="8656.1870551042502"/>
        <n v="4405.0119481934671"/>
        <n v="6917.7354246736977"/>
        <n v="10110.801080985981"/>
        <n v="3688.4778977167548"/>
        <n v="7516.4079328905746"/>
        <n v="11568.494616728352"/>
        <n v="2094.0081930036927"/>
        <n v="1899.9421786812807"/>
        <n v="5294.0128037404511"/>
        <n v="-1451.194663379101"/>
        <n v="13011.524834638383"/>
        <n v="11146.604437231519"/>
        <n v="-2973.1765612328404"/>
        <n v="9651.7925410300631"/>
        <n v="-712.59194257161153"/>
        <n v="606.353731433598"/>
        <n v="4483.0119566913518"/>
        <n v="8081.8595361096122"/>
        <n v="2844.4451184121367"/>
        <n v="8054.1347285303991"/>
        <n v="1597.6844630826772"/>
        <n v="7385.8586372589052"/>
        <n v="4.584061542818155"/>
        <n v="7843.9989985438378"/>
        <n v="3440.5157318166521"/>
        <n v="9912.6558808030841"/>
        <n v="6283.2776198702613"/>
        <n v="-141.9561179908485"/>
        <n v="5326.5017506614686"/>
        <n v="5646.105302150223"/>
        <n v="5258.1945912364145"/>
        <n v="5493.6126872559653"/>
        <n v="1503.6849456066836"/>
        <n v="4260.5784515119904"/>
        <n v="15494.70492140309"/>
        <n v="-580.77163350955539"/>
        <n v="4766.1940009942318"/>
        <n v="7838.8356826260115"/>
        <n v="5145.550854834285"/>
        <n v="-997.88200266901219"/>
        <n v="5407.2399338281048"/>
        <n v="11438.999156382091"/>
        <n v="2703.2683829519178"/>
        <n v="2627.7828805966892"/>
        <n v="1424.4175259264532"/>
        <n v="244.68708704821637"/>
        <n v="-685.26972698802206"/>
        <n v="7179.205732171833"/>
        <n v="1480.577228219546"/>
        <n v="1436.0476983705612"/>
        <n v="1802.2838399527334"/>
        <n v="6687.8701512014923"/>
        <n v="685.10472999719718"/>
        <n v="-1279.8651398256113"/>
        <n v="5586.7065377295585"/>
        <n v="1649.8395975586427"/>
        <n v="3556.3087299839185"/>
        <n v="4290.2192571020196"/>
        <n v="6822.2385465035768"/>
        <n v="-2887.2005962630674"/>
        <n v="4846.5332253228098"/>
        <n v="4147.9628162406307"/>
        <n v="-1063.0551920086757"/>
        <n v="20194.122736767426"/>
        <n v="5403.8248428066399"/>
        <n v="6085.2910290073942"/>
        <n v="6543.5636511274861"/>
        <n v="300.52681524001071"/>
        <n v="5337.1802433469484"/>
        <n v="1394.4971869483645"/>
        <n v="636.74454258084074"/>
        <n v="1878.3414464043503"/>
        <n v="3669.0638436964537"/>
        <n v="10511.313667622824"/>
        <n v="2360.0991107126365"/>
        <n v="22409.039561573882"/>
        <n v="9987.9381703806921"/>
        <n v="1665.7950781834045"/>
        <n v="-1200.5005194423472"/>
        <n v="4919.7460964533484"/>
        <n v="1901.0161591095966"/>
        <n v="-1083.4445936049867"/>
        <n v="18.468426773035404"/>
        <n v="13011.178060178599"/>
        <n v="6699.3229757083564"/>
        <n v="516.93527117869519"/>
        <n v="4635.0099242381839"/>
        <n v="5786.3005893921736"/>
        <n v="469.9785593060322"/>
        <n v="984.81265037360686"/>
        <n v="204.32046273113099"/>
        <n v="-984.28058114514647"/>
        <n v="3640.2695836926518"/>
        <n v="2721.01395845262"/>
        <n v="11653.923611024989"/>
        <n v="2278.6566421765488"/>
        <n v="6993.9064418553608"/>
        <n v="12426.741905367928"/>
        <n v="4107.9144693519174"/>
        <n v="846.39938083927473"/>
        <n v="2852.9737407492812"/>
        <n v="2434.1133556612176"/>
        <n v="10699.713020065054"/>
        <n v="5144.4235333915221"/>
        <n v="1834.096939878335"/>
        <n v="1278.0565705271101"/>
        <n v="10803.584997393156"/>
        <n v="599.19623299097759"/>
        <n v="170.35100820858185"/>
        <n v="153.9833508234654"/>
        <n v="1663.1517346484591"/>
        <n v="6241.2911350160384"/>
        <n v="563.93653604917699"/>
        <n v="7078.0039248097455"/>
        <n v="329.27025389566319"/>
        <n v="12729.095595035262"/>
        <n v="8408.1741165059811"/>
        <n v="2293.6921971940769"/>
        <n v="9114.9265370458234"/>
        <n v="1252.5042801068653"/>
        <n v="1927.3849022362426"/>
        <n v="2980.7800694369507"/>
        <n v="-71.866711808530908"/>
        <n v="3255.4052612863925"/>
        <n v="1740.1394761158435"/>
        <n v="5999.0521827181201"/>
        <n v="1928.2398288258034"/>
        <n v="724.33180711229556"/>
        <n v="3674.4675755220796"/>
        <n v="6893.0353714208859"/>
        <n v="-263.43470689604857"/>
        <n v="6618.439760365618"/>
        <n v="2127.9522575332098"/>
        <n v="8543.7518143913985"/>
        <n v="8500.399436105914"/>
        <n v="793.98659525051096"/>
        <n v="3109.9579225942157"/>
        <n v="2378.5295237152404"/>
        <n v="6148.2820232190124"/>
        <n v="546.48833867187329"/>
        <n v="2288.6673148597752"/>
        <n v="7511.1119149701262"/>
        <n v="939.1404145535214"/>
        <n v="5913.8805430166585"/>
        <n v="-222.20354650070726"/>
        <n v="3605.6788274629903"/>
        <n v="7823.4325657637564"/>
        <n v="-708.51381547455185"/>
        <n v="8796.1876797087552"/>
        <n v="3394.1892990006099"/>
        <n v="9086.4206379998686"/>
        <n v="4894.9613747384819"/>
        <n v="6377.9129895119177"/>
        <n v="-566.3732795124439"/>
        <n v="-532.0099732607913"/>
        <n v="-301.15625993444735"/>
        <n v="-277.21478917333604"/>
        <n v="860.70149226238243"/>
        <n v="5754.6851340552712"/>
        <n v="4021.903836000753"/>
        <n v="2916.4874055785017"/>
        <n v="-1333.7011406861286"/>
        <n v="18267.66348559891"/>
        <n v="3537.46279814437"/>
        <n v="1890.2610254405777"/>
        <n v="1203.7465377358847"/>
        <n v="1281.898239839747"/>
        <n v="2305.2624670314108"/>
        <n v="3340.8435177041197"/>
        <n v="-575.12419867611743"/>
        <n v="4900.0826839084584"/>
        <n v="4049.8465472202793"/>
        <n v="-1620.0160786514762"/>
        <n v="6818.9867284649226"/>
        <n v="6963.0953406489798"/>
        <n v="-1716.8365575499529"/>
        <n v="-823.24273558279197"/>
        <n v="4644.2846251730698"/>
        <n v="1989.7778643833192"/>
        <n v="4203.3671054457345"/>
        <n v="3391.2911229740098"/>
        <n v="7360.540841594604"/>
        <n v="4436.725676833199"/>
        <n v="832.73228921910356"/>
        <n v="-613.05122823752981"/>
        <n v="-1613.0136790236595"/>
        <n v="609.24170538808858"/>
        <n v="2658.170092601697"/>
        <n v="430.52692660124302"/>
        <n v="-68.870909403037871"/>
        <n v="2648.4771657878018"/>
        <n v="5019.3014970600307"/>
        <n v="14189.439481881229"/>
        <n v="662.29548490040349"/>
        <n v="5494.9658906754512"/>
        <n v="7021.0432403113518"/>
        <n v="20364.007042148442"/>
        <n v="-31.537557397936517"/>
        <n v="4822.7277265925522"/>
        <n v="2628.2823406062134"/>
        <n v="8873.3309796670419"/>
        <n v="3272.9347230639082"/>
        <n v="831.54590448932152"/>
        <n v="-175.52792811508266"/>
        <n v="10631.534178182854"/>
        <n v="4202.9737471503195"/>
        <n v="4557.5567319643596"/>
        <n v="5402.5853646443638"/>
        <n v="10700.496314645256"/>
        <n v="2607.4765985094496"/>
        <n v="1590.8094054254148"/>
        <n v="760.66109641022115"/>
        <n v="-41.054066935803853"/>
        <n v="3584.164494273909"/>
        <n v="1981.2430060022577"/>
        <n v="23550.180924691605"/>
        <n v="-3719.7196051823689"/>
        <n v="1006.5802775401191"/>
        <n v="735.99389107829745"/>
        <n v="12880.024213734358"/>
        <n v="4189.1279643322878"/>
        <n v="10319.875888380249"/>
        <n v="11116.654197054631"/>
        <n v="2748.350302617444"/>
        <n v="4699.1329183595708"/>
        <n v="238.13512668958663"/>
        <n v="4624.652704517649"/>
        <n v="4634.2293242497472"/>
        <n v="2518.7738220737133"/>
        <n v="12432.638434308616"/>
        <n v="2308.8672197795759"/>
        <n v="406.98399673736884"/>
        <n v="14297.081611861058"/>
        <n v="-158.00104914871457"/>
        <n v="-275.58729868269535"/>
        <n v="16918.691901902439"/>
        <n v="3760.5635394788874"/>
        <n v="2800.8567726692158"/>
        <n v="5249.5279970004458"/>
        <n v="6193.5721285452455"/>
        <n v="6364.0788854381044"/>
        <n v="-344.51568691137021"/>
        <n v="3325.701920609898"/>
        <n v="2916.8097248764557"/>
        <n v="-24.457990071466519"/>
        <n v="3239.1731297814836"/>
        <n v="7860.7858944652316"/>
        <n v="5830.1730703600269"/>
        <n v="3278.4540302792739"/>
        <n v="9111.8040328183106"/>
        <n v="5811.7244782020771"/>
        <n v="288.23753841230098"/>
        <n v="4635.5652079351275"/>
        <n v="11386.189579992968"/>
        <n v="-739.3457958544484"/>
        <n v="15533.911852134834"/>
        <n v="7688.7652995044409"/>
        <n v="1585.8196569031447"/>
        <n v="3076.1117886596589"/>
        <n v="207.82727556239871"/>
        <n v="867.98964350857841"/>
        <n v="19092.521197763974"/>
        <n v="4498.5647175310605"/>
        <n v="4412.006427667131"/>
        <n v="9775.9731681694029"/>
        <n v="4160.9860641848672"/>
        <n v="3612.3562977885022"/>
        <n v="338.42287790129473"/>
        <n v="2110.3800016056371"/>
        <n v="2290.8413447299667"/>
        <n v="-413.01326973556189"/>
        <n v="2351.8176751125175"/>
        <n v="7085.8521099502268"/>
        <n v="972.26793910998731"/>
        <n v="740.70271629901367"/>
        <n v="7686.9298468642728"/>
        <n v="-2082.9397167986626"/>
        <n v="2434.5316765203852"/>
        <n v="1555.1194163709483"/>
        <n v="5782.2625843356409"/>
        <n v="2853.6889120114438"/>
        <n v="-381.67936185252034"/>
        <n v="934.76459712063638"/>
        <n v="9525.7034937143035"/>
        <n v="5403.5030239179096"/>
        <n v="5334.184327741038"/>
        <n v="-384.49720386499251"/>
        <n v="-1706.3314995600449"/>
        <n v="4069.6436506470886"/>
        <n v="763.58678304519435"/>
        <n v="572.97612977665631"/>
        <n v="25477.321121143839"/>
        <n v="2168.9721719657418"/>
        <n v="11657.895131870797"/>
        <n v="-1589.4827864937888"/>
        <n v="-1410.1234352929891"/>
        <n v="3702.0173381770396"/>
        <n v="3928.5940357456175"/>
        <n v="4978.2305977902997"/>
        <n v="3415.2854503624208"/>
        <n v="4503.1854956675415"/>
        <n v="5278.047963288328"/>
        <n v="-521.87853472143377"/>
        <n v="3128.3465219502159"/>
        <n v="1675.3787234266811"/>
        <n v="4274.2755001750911"/>
        <n v="3410.0499553816044"/>
        <n v="4510.3062793246263"/>
        <n v="7257.1885823766406"/>
        <n v="5532.9010962690036"/>
        <n v="3887.8364703285888"/>
        <n v="4081.2705719861638"/>
        <n v="4436.531990896422"/>
        <n v="2743.8865505039844"/>
        <n v="4060.6391205117675"/>
        <n v="1494.7098665778917"/>
        <n v="2818.0470389113602"/>
        <n v="374.55235683592792"/>
        <n v="10002.755629125146"/>
        <n v="1840.8552200968256"/>
        <n v="14045.902698762642"/>
        <n v="2251.4106972104082"/>
        <n v="3915.0930017792148"/>
        <n v="1079.0493833360017"/>
        <n v="1742.4165422758715"/>
        <n v="11228.873877752549"/>
        <n v="742.15935738811686"/>
        <n v="18628.080532019376"/>
        <n v="7992.245864773301"/>
        <n v="4774.3660800685266"/>
        <n v="5557.6885688826824"/>
        <n v="-138.73374437182787"/>
        <n v="2093.9803892739096"/>
        <n v="3755.4246086829462"/>
        <n v="9570.8451749544602"/>
        <n v="2726.9072608282754"/>
        <n v="1921.8847963991695"/>
        <n v="3964.2585846578149"/>
        <n v="5638.9811933681331"/>
        <n v="3451.6264137251273"/>
        <n v="4498.4042667789627"/>
        <n v="10008.127461078147"/>
        <n v="323.64044013886365"/>
        <n v="1670.4173388316972"/>
        <n v="3710.4684644252343"/>
        <n v="2131.2146443877232"/>
        <n v="2008.151199585373"/>
        <n v="3818.4752120883459"/>
        <n v="3326.1357541027501"/>
        <n v="4313.9393455530208"/>
        <n v="9058.8854585983718"/>
        <n v="2524.8479882600109"/>
        <n v="-6.2671823784411274"/>
        <n v="646.34774202130097"/>
        <n v="2977.1838163102934"/>
        <n v="6874.9218824912396"/>
        <n v="9398.3214794302603"/>
        <n v="7370.7161548662571"/>
        <n v="7963.8674767381281"/>
        <n v="5543.238473740922"/>
        <n v="7166.8791406686651"/>
        <n v="14825.644178083132"/>
        <n v="1325.7843063521625"/>
        <n v="3451.9185476238281"/>
        <n v="8410.7798186411055"/>
        <n v="4914.4033192496909"/>
        <n v="-293.1529680377015"/>
        <n v="3359.1727166628225"/>
        <n v="736.75947226544781"/>
        <n v="3333.8995314053182"/>
        <n v="10747.867760139769"/>
      </sharedItems>
      <fieldGroup base="2">
        <rangePr autoStart="0" autoEnd="0" startNum="-3720" endNum="25478" groupInterval="2920"/>
        <groupItems count="12">
          <s v="&lt;-3720"/>
          <s v="-3720--800"/>
          <s v="-800-2120"/>
          <s v="2120-5040"/>
          <s v="5040-7960"/>
          <s v="7960-10880"/>
          <s v="10880-13800"/>
          <s v="13800-16720"/>
          <s v="16720-19640"/>
          <s v="19640-22560"/>
          <s v="22560-25480"/>
          <s v="&gt;25480"/>
        </groupItems>
      </fieldGroup>
    </cacheField>
    <cacheField name="Loss" numFmtId="0">
      <sharedItems containsSemiMixedTypes="0" containsString="0"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mes Davies" refreshedDate="45416.782101041666" createdVersion="8" refreshedVersion="8" minRefreshableVersion="3" recordCount="1001" xr:uid="{03D450AE-7979-4588-A76B-6A35820D72A6}">
  <cacheSource type="worksheet">
    <worksheetSource ref="D9:D1010" sheet="MC.Uniform"/>
  </cacheSource>
  <cacheFields count="1">
    <cacheField name="NPV" numFmtId="164">
      <sharedItems containsSemiMixedTypes="0" containsString="0" containsNumber="1" minValue="-2490.4146644903353" maxValue="7756.4391131716129" count="1001">
        <n v="-1609.0695237291234"/>
        <n v="4922.9021120167172"/>
        <n v="6372.0535757773778"/>
        <n v="1933.4695046108322"/>
        <n v="-1228.4120273665849"/>
        <n v="6911.4645162114894"/>
        <n v="6543.5572525112411"/>
        <n v="356.03334539577128"/>
        <n v="-55.960389753272374"/>
        <n v="-1316.6209157175833"/>
        <n v="1276.591252796246"/>
        <n v="-1142.0544400479323"/>
        <n v="4993.706672745705"/>
        <n v="1201.1645357546013"/>
        <n v="5976.360869540109"/>
        <n v="4560.6300093574546"/>
        <n v="7651.6962990752354"/>
        <n v="6566.1535662699971"/>
        <n v="6563.5597847331856"/>
        <n v="6251.8960907765904"/>
        <n v="598.61540580661267"/>
        <n v="-809.82891220149486"/>
        <n v="-2214.8843392561707"/>
        <n v="564.2049643160733"/>
        <n v="3074.8587795666949"/>
        <n v="7008.6701296978426"/>
        <n v="-1045.6848229269774"/>
        <n v="2522.4842910036955"/>
        <n v="-1505.4121027789131"/>
        <n v="1353.3855603550439"/>
        <n v="3321.9766474297694"/>
        <n v="1730.2529755822225"/>
        <n v="5068.9751170980544"/>
        <n v="4911.5151806588074"/>
        <n v="1002.0064191564957"/>
        <n v="593.35395741319701"/>
        <n v="6290.4322911903573"/>
        <n v="4450.8870262304354"/>
        <n v="5372.9901833572985"/>
        <n v="-2139.7129873354943"/>
        <n v="4883.7555480027822"/>
        <n v="6987.5519377935716"/>
        <n v="510.03198979701716"/>
        <n v="4891.4701169269783"/>
        <n v="5008.3627909572451"/>
        <n v="82.879140744059427"/>
        <n v="2940.6027798840578"/>
        <n v="7724.7342445270733"/>
        <n v="2460.1104926164139"/>
        <n v="2026.6315398242118"/>
        <n v="1218.6738412486386"/>
        <n v="5192.8140335611497"/>
        <n v="7685.9187688427901"/>
        <n v="4799.4130965861586"/>
        <n v="-2399.1519912373587"/>
        <n v="6447.7678620042116"/>
        <n v="5052.1602065876386"/>
        <n v="6488.5959754206078"/>
        <n v="6284.3984419169656"/>
        <n v="-140.21100285167688"/>
        <n v="431.02503377733598"/>
        <n v="-2240.9465377568072"/>
        <n v="2126.0040388999259"/>
        <n v="1545.1188663886303"/>
        <n v="-1640.2249850243925"/>
        <n v="-1038.6518691750211"/>
        <n v="2539.2048344951108"/>
        <n v="-119.13956957269751"/>
        <n v="-193.37073545544968"/>
        <n v="2938.5253581621973"/>
        <n v="6950.5927074738656"/>
        <n v="5749.5620553648241"/>
        <n v="3228.3400896266826"/>
        <n v="4132.6573484133614"/>
        <n v="7351.9246306251162"/>
        <n v="2928.8103189566141"/>
        <n v="-2240.6146645329127"/>
        <n v="-1486.3252580699284"/>
        <n v="7506.9722329915339"/>
        <n v="7049.6217882411847"/>
        <n v="6373.1770133353584"/>
        <n v="1803.1512404041168"/>
        <n v="6527.75807852054"/>
        <n v="6321.8392748244778"/>
        <n v="321.63033218179027"/>
        <n v="3722.5717048825995"/>
        <n v="3093.0528587805779"/>
        <n v="2032.4499874027301"/>
        <n v="5403.6669430265738"/>
        <n v="1835.7685162861599"/>
        <n v="-383.66301845861534"/>
        <n v="2883.9648902458894"/>
        <n v="1122.4915390629674"/>
        <n v="4305.9342811739489"/>
        <n v="4906.75206045508"/>
        <n v="6709.3549026998289"/>
        <n v="2242.6262472157327"/>
        <n v="-322.33232340442561"/>
        <n v="5819.5969185632093"/>
        <n v="4846.5352216249239"/>
        <n v="7462.3260411819292"/>
        <n v="2782.3271105141152"/>
        <n v="4860.6172671361546"/>
        <n v="5584.5204855579514"/>
        <n v="1871.0440586510244"/>
        <n v="4479.3065079905236"/>
        <n v="4092.5971247153716"/>
        <n v="5734.7047863993603"/>
        <n v="4569.2017789852353"/>
        <n v="-1941.1866899941544"/>
        <n v="-2101.1038007836946"/>
        <n v="869.38415842191375"/>
        <n v="5677.2926977601601"/>
        <n v="1187.4714449562903"/>
        <n v="7091.7000222347933"/>
        <n v="5232.3776973340309"/>
        <n v="7716.3599037640006"/>
        <n v="-801.08034745415148"/>
        <n v="7138.2175082847561"/>
        <n v="6709.2807938317601"/>
        <n v="-135.84926244474701"/>
        <n v="4233.1942508124512"/>
        <n v="4489.6388556131833"/>
        <n v="6335.4253632923565"/>
        <n v="-2158.609975572137"/>
        <n v="2815.8741577126975"/>
        <n v="4226.7186023544109"/>
        <n v="537.41678344288914"/>
        <n v="-521.09488801198609"/>
        <n v="2547.7380125731029"/>
        <n v="6120.6226557331174"/>
        <n v="5714.6902475363295"/>
        <n v="2245.4471559871677"/>
        <n v="1825.5532972472638"/>
        <n v="500.6127364562613"/>
        <n v="1603.4213989849434"/>
        <n v="4601.7471931592609"/>
        <n v="-2409.3076670839323"/>
        <n v="5729.7192698122935"/>
        <n v="2749.3545811891349"/>
        <n v="6555.0969070174688"/>
        <n v="-1311.4252212118408"/>
        <n v="7726.2616481750383"/>
        <n v="151.15411049880782"/>
        <n v="4030.3312639437286"/>
        <n v="1967.0314132143947"/>
        <n v="6529.3260025679338"/>
        <n v="2716.6637534581182"/>
        <n v="3312.4003847840922"/>
        <n v="5909.1333793920921"/>
        <n v="-1251.9078835166499"/>
        <n v="1948.1772194537455"/>
        <n v="7498.0943356799917"/>
        <n v="5704.641304562283"/>
        <n v="6731.0002361022198"/>
        <n v="-1664.5369422142451"/>
        <n v="7164.7122420801679"/>
        <n v="1724.3350032730648"/>
        <n v="1546.9184693939328"/>
        <n v="5265.3767682862108"/>
        <n v="5326.9443098491693"/>
        <n v="1761.711521318739"/>
        <n v="6171.7794813821019"/>
        <n v="1788.5914626931997"/>
        <n v="1802.2335945538405"/>
        <n v="736.60985478354905"/>
        <n v="-1093.3890691314543"/>
        <n v="6485.4756234612942"/>
        <n v="-1545.2573733702989"/>
        <n v="4024.7592025334848"/>
        <n v="690.74380310259471"/>
        <n v="1810.4471614440899"/>
        <n v="457.43882812326507"/>
        <n v="-1392.1570088895917"/>
        <n v="7354.1867871465556"/>
        <n v="3952.8071034694835"/>
        <n v="4314.3816522654588"/>
        <n v="3838.8758397888273"/>
        <n v="1109.4911945308857"/>
        <n v="5910.2049046702159"/>
        <n v="-2116.4994029065979"/>
        <n v="6299.6514412333336"/>
        <n v="7354.9262760442862"/>
        <n v="965.03421063404198"/>
        <n v="-1642.2518673290674"/>
        <n v="3283.6114996932624"/>
        <n v="2529.1361502743007"/>
        <n v="608.21073674332001"/>
        <n v="2837.4739628421885"/>
        <n v="6592.8941493977818"/>
        <n v="-1137.4979192695851"/>
        <n v="-1931.9014732262742"/>
        <n v="760.82153099298068"/>
        <n v="3338.3387695033439"/>
        <n v="6520.1664779001094"/>
        <n v="3286.138183534254"/>
        <n v="2854.3998021707266"/>
        <n v="171.93153607552244"/>
        <n v="6171.3268204892593"/>
        <n v="-1088.5885061392717"/>
        <n v="-850.34809416474309"/>
        <n v="2402.5494132821236"/>
        <n v="6305.5271873670745"/>
        <n v="3873.6296153593139"/>
        <n v="7537.1095720250578"/>
        <n v="2842.9549460280887"/>
        <n v="409.04370534747881"/>
        <n v="-2370.590664183158"/>
        <n v="4874.1036767334763"/>
        <n v="2538.5124513674073"/>
        <n v="6366.9344398194708"/>
        <n v="2825.2220602383964"/>
        <n v="1442.5078285586746"/>
        <n v="1644.5682772806924"/>
        <n v="3105.5716903629195"/>
        <n v="-960.15610580666328"/>
        <n v="-1769.4641382073521"/>
        <n v="-1931.150709048625"/>
        <n v="2875.5830351158866"/>
        <n v="5328.6385342465201"/>
        <n v="2862.4330217304037"/>
        <n v="-672.97978903680439"/>
        <n v="5684.0142143583716"/>
        <n v="-2071.9318210156389"/>
        <n v="-295.60637588388039"/>
        <n v="258.72475413394278"/>
        <n v="3963.4403742570944"/>
        <n v="988.41055268134937"/>
        <n v="5183.1367579818161"/>
        <n v="-795.33886489607971"/>
        <n v="-1195.6346896376883"/>
        <n v="6342.0494452152225"/>
        <n v="1134.3853990731891"/>
        <n v="4571.5315214563961"/>
        <n v="725.69145367564386"/>
        <n v="6882.935015040086"/>
        <n v="1377.9074908474227"/>
        <n v="4499.3835914551855"/>
        <n v="7756.4391131716129"/>
        <n v="752.77147923958773"/>
        <n v="4264.9029988145385"/>
        <n v="4927.3961507474705"/>
        <n v="6530.0684748522017"/>
        <n v="3240.4927571691637"/>
        <n v="3016.3382965424753"/>
        <n v="7243.6239154439072"/>
        <n v="2319.5084084261425"/>
        <n v="3967.0816220825996"/>
        <n v="7506.0173250533853"/>
        <n v="2610.3582065976839"/>
        <n v="5390.8628288943992"/>
        <n v="5890.1585279479932"/>
        <n v="-550.89862429222694"/>
        <n v="4709.1518798888219"/>
        <n v="5989.9143598288101"/>
        <n v="-1694.7497550331314"/>
        <n v="1108.2205310128243"/>
        <n v="7211.9277026132522"/>
        <n v="415.72226278130501"/>
        <n v="5012.7034874246337"/>
        <n v="-627.23444425317439"/>
        <n v="-2005.8987518624706"/>
        <n v="4196.6273650689827"/>
        <n v="7572.2189127312868"/>
        <n v="2673.5249357894199"/>
        <n v="153.79198856724696"/>
        <n v="6512.91836150981"/>
        <n v="5639.2145334994193"/>
        <n v="2398.9323384247468"/>
        <n v="3452.5804584949319"/>
        <n v="4244.5273423822518"/>
        <n v="7153.5402867928151"/>
        <n v="-801.95804921069998"/>
        <n v="6642.0880019486876"/>
        <n v="-1627.4944419236735"/>
        <n v="7216.5855255025672"/>
        <n v="5843.0558074030578"/>
        <n v="-724.12176839552615"/>
        <n v="3714.5574295437605"/>
        <n v="5073.3496586161855"/>
        <n v="3941.2957384135539"/>
        <n v="1814.3039329461142"/>
        <n v="-1126.7374021464643"/>
        <n v="-130.14882961667297"/>
        <n v="760.15911556637684"/>
        <n v="6487.772465677881"/>
        <n v="-2340.4029203200012"/>
        <n v="-1372.7081716113769"/>
        <n v="-622.6638251107313"/>
        <n v="7506.6449871140858"/>
        <n v="7007.8213426056445"/>
        <n v="5335.0820789840691"/>
        <n v="4727.9435310499357"/>
        <n v="-573.90417377143888"/>
        <n v="-2317.9570932803658"/>
        <n v="280.8465508374382"/>
        <n v="155.57994757138101"/>
        <n v="-876.54644646980046"/>
        <n v="4649.957492636172"/>
        <n v="6072.9541789947752"/>
        <n v="1973.4170660759989"/>
        <n v="-502.22950298862844"/>
        <n v="4487.6783049689329"/>
        <n v="-2121.1466323110303"/>
        <n v="3424.3392939333762"/>
        <n v="3635.80801176764"/>
        <n v="-2270.3396741961774"/>
        <n v="824.07063025813227"/>
        <n v="-90.91109168557756"/>
        <n v="1867.846511258522"/>
        <n v="3293.5314955471058"/>
        <n v="7044.5583087034365"/>
        <n v="688.2018657800287"/>
        <n v="-210.08019202077588"/>
        <n v="7351.2856560454156"/>
        <n v="5079.8482625986453"/>
        <n v="3131.4540599819638"/>
        <n v="-1086.8256976716475"/>
        <n v="7441.2763828927273"/>
        <n v="4237.1753189182173"/>
        <n v="3635.7809318164573"/>
        <n v="-840.597647909839"/>
        <n v="1115.0630993099924"/>
        <n v="3471.7072624676302"/>
        <n v="7336.2246100359625"/>
        <n v="6940.7858052092351"/>
        <n v="3430.8654079151447"/>
        <n v="-357.88730768245728"/>
        <n v="2714.2909473455834"/>
        <n v="425.15339793367292"/>
        <n v="3553.2925216962508"/>
        <n v="7600.7228647530073"/>
        <n v="2501.5811027332225"/>
        <n v="5318.8281659129461"/>
        <n v="806.19669029403235"/>
        <n v="2957.5516998918797"/>
        <n v="760.63793699411963"/>
        <n v="6580.152747197023"/>
        <n v="6641.1475215880819"/>
        <n v="5194.6148610568962"/>
        <n v="5129.8685571336728"/>
        <n v="2263.8874512074117"/>
        <n v="5811.8669276317469"/>
        <n v="6026.1270106789289"/>
        <n v="2933.8880517517796"/>
        <n v="2107.8178081405613"/>
        <n v="4320.1114763334326"/>
        <n v="239.47401163848377"/>
        <n v="-647.93828121136426"/>
        <n v="-2249.3669729518306"/>
        <n v="451.24542946017772"/>
        <n v="-409.6235768230228"/>
        <n v="268.96380581886825"/>
        <n v="6066.4894256573352"/>
        <n v="6138.709515906764"/>
        <n v="2266.4352439831341"/>
        <n v="-1518.3272366983997"/>
        <n v="-2234.1056556180333"/>
        <n v="2741.6534760288691"/>
        <n v="7352.3123094230314"/>
        <n v="6881.3248122630912"/>
        <n v="3921.2991472451436"/>
        <n v="-1323.9440312923903"/>
        <n v="-156.45416559394971"/>
        <n v="2970.1358470092705"/>
        <n v="-282.27155771447457"/>
        <n v="-2335.1399390993611"/>
        <n v="-1856.5937535893015"/>
        <n v="2550.6462452491151"/>
        <n v="7074.4036180380372"/>
        <n v="4134.0656882583571"/>
        <n v="-2200.5854477977118"/>
        <n v="3530.5315162164079"/>
        <n v="6156.0063990271865"/>
        <n v="6835.5081853291504"/>
        <n v="6351.9025411359935"/>
        <n v="3796.593066265747"/>
        <n v="-867.40049916128123"/>
        <n v="3314.3440850231332"/>
        <n v="2861.9782214412721"/>
        <n v="6573.5149302573491"/>
        <n v="589.19839745135107"/>
        <n v="4247.5070955298734"/>
        <n v="2654.6425719351068"/>
        <n v="5286.7716566619847"/>
        <n v="6257.8997750704475"/>
        <n v="2966.654125213925"/>
        <n v="1478.2463550971534"/>
        <n v="-72.108769235143825"/>
        <n v="4039.5155997981306"/>
        <n v="4358.1803851594323"/>
        <n v="4171.0561908462823"/>
        <n v="4976.3661604894151"/>
        <n v="-791.27953163637153"/>
        <n v="3068.5370275236291"/>
        <n v="-305.19370512983392"/>
        <n v="-1406.1374281092242"/>
        <n v="-1266.8374552112957"/>
        <n v="6614.2394634747498"/>
        <n v="-2316.5724491481869"/>
        <n v="4349.9164489047935"/>
        <n v="2608.8505572548111"/>
        <n v="-357.57259811201658"/>
        <n v="-1501.1724905909493"/>
        <n v="3723.6343935729797"/>
        <n v="-309.27671416641311"/>
        <n v="420.09145963745237"/>
        <n v="-968.17045535622333"/>
        <n v="-1674.4775000183242"/>
        <n v="1862.8602323484008"/>
        <n v="4395.6097508985704"/>
        <n v="6600.2546521138447"/>
        <n v="6790.8611585822537"/>
        <n v="5180.3533295593452"/>
        <n v="-1564.4290993519935"/>
        <n v="3626.4328263344755"/>
        <n v="259.30253824318555"/>
        <n v="6719.9325140700657"/>
        <n v="4219.77180853341"/>
        <n v="4031.8953845617675"/>
        <n v="920.9753710555583"/>
        <n v="2920.7218250305773"/>
        <n v="-985.5463653237623"/>
        <n v="4785.6665824610545"/>
        <n v="4343.2425193439722"/>
        <n v="-302.48382645939785"/>
        <n v="3289.3729919200323"/>
        <n v="679.64469499628115"/>
        <n v="4652.2521704428473"/>
        <n v="-1077.5004676631852"/>
        <n v="1798.2835973995043"/>
        <n v="-1193.854262810293"/>
        <n v="2932.4242663927475"/>
        <n v="4315.4809817099749"/>
        <n v="6357.1309518061908"/>
        <n v="7641.1451635637477"/>
        <n v="-482.77105824583072"/>
        <n v="7453.29301349664"/>
        <n v="881.75032946480655"/>
        <n v="5772.1830999472022"/>
        <n v="850.25349100825144"/>
        <n v="5258.231688635733"/>
        <n v="-1472.8689982172809"/>
        <n v="6228.223625950217"/>
        <n v="-846.93778676635884"/>
        <n v="-137.64437401259204"/>
        <n v="6676.8125503185074"/>
        <n v="693.82790291726246"/>
        <n v="1984.0833804125043"/>
        <n v="5939.2901156014423"/>
        <n v="2067.2622254508838"/>
        <n v="154.58828656051145"/>
        <n v="1623.2821101320069"/>
        <n v="6666.2280677634972"/>
        <n v="-1137.592861054372"/>
        <n v="-1958.9134574287248"/>
        <n v="1688.6042294723736"/>
        <n v="5798.7672470129428"/>
        <n v="3015.8878341356703"/>
        <n v="-36.477401374639946"/>
        <n v="259.16028773270597"/>
        <n v="6260.7951638829627"/>
        <n v="-699.25202461945889"/>
        <n v="3969.2658968537266"/>
        <n v="4587.2212170546773"/>
        <n v="2020.9664452516577"/>
        <n v="688.07507702944974"/>
        <n v="7063.4695208992662"/>
        <n v="4958.7190214034408"/>
        <n v="1907.5337090885043"/>
        <n v="6994.8837803714259"/>
        <n v="4460.2237926846392"/>
        <n v="-2401.5299604373085"/>
        <n v="1248.3175748155261"/>
        <n v="4269.2352043184364"/>
        <n v="6921.4168634497237"/>
        <n v="3365.0400584134168"/>
        <n v="1744.5014152564634"/>
        <n v="7358.8517229010722"/>
        <n v="6333.8470037690977"/>
        <n v="348.36043092891435"/>
        <n v="4148.8876990165272"/>
        <n v="-1529.3909016690454"/>
        <n v="5296.3166282891771"/>
        <n v="6178.6664670508626"/>
        <n v="5542.2166225375786"/>
        <n v="3972.6437601348221"/>
        <n v="3525.3054487139493"/>
        <n v="6548.4684642555267"/>
        <n v="-2020.7926985248832"/>
        <n v="5909.8816398550616"/>
        <n v="-823.08593896649006"/>
        <n v="-302.9949532787416"/>
        <n v="6587.1051832702087"/>
        <n v="1354.2089132541178"/>
        <n v="4938.6434738427724"/>
        <n v="5010.7796107109007"/>
        <n v="-151.66771500921897"/>
        <n v="-51.847567999813997"/>
        <n v="-36.990783672667838"/>
        <n v="6094.6109570826529"/>
        <n v="-306.44909294093367"/>
        <n v="539.31052883355835"/>
        <n v="4787.4062397378393"/>
        <n v="5113.1725023533581"/>
        <n v="6065.2511775187777"/>
        <n v="4951.0666163307178"/>
        <n v="7750.1906018135933"/>
        <n v="-801.47658870782016"/>
        <n v="3141.7422161309819"/>
        <n v="4398.8135302097162"/>
        <n v="7640.6407779872043"/>
        <n v="3196.6005529778122"/>
        <n v="5863.3883419314825"/>
        <n v="2509.1366536607138"/>
        <n v="2599.5217881663639"/>
        <n v="-1471.6728376101221"/>
        <n v="456.56371273617555"/>
        <n v="-237.52853990896227"/>
        <n v="1683.0711342253494"/>
        <n v="6820.7563363057598"/>
        <n v="783.20753802066235"/>
        <n v="3301.1244760415689"/>
        <n v="4336.76970156677"/>
        <n v="7653.6185501630234"/>
        <n v="-1273.6639427743473"/>
        <n v="5636.9884835214625"/>
        <n v="5081.9110408077431"/>
        <n v="2237.4737509240763"/>
        <n v="1323.0232330850795"/>
        <n v="3023.5993193040968"/>
        <n v="5924.8066385893917"/>
        <n v="4170.9944946013702"/>
        <n v="5591.4938956931373"/>
        <n v="2934.547942730313"/>
        <n v="946.82132988064791"/>
        <n v="4695.9783227787411"/>
        <n v="-2184.8801294645073"/>
        <n v="4120.7848432223618"/>
        <n v="4794.2512957080571"/>
        <n v="-15.23031894600873"/>
        <n v="2382.9370549016608"/>
        <n v="3414.5583153014049"/>
        <n v="6020.8328631971908"/>
        <n v="6038.2941011001512"/>
        <n v="7377.1391485607564"/>
        <n v="-1495.5869952019382"/>
        <n v="6016.9242530475522"/>
        <n v="232.83964185011916"/>
        <n v="7581.813576828572"/>
        <n v="567.48464155573379"/>
        <n v="2882.4744478221196"/>
        <n v="479.80279759722811"/>
        <n v="639.92648517540806"/>
        <n v="1325.0371209215009"/>
        <n v="2847.5100799027559"/>
        <n v="7662.2953229592877"/>
        <n v="2996.3952438580495"/>
        <n v="6407.1935553513194"/>
        <n v="3491.6930239274716"/>
        <n v="-509.45717624760829"/>
        <n v="469.76376122516371"/>
        <n v="397.03921836237686"/>
        <n v="1418.7360043491419"/>
        <n v="4838.9446145290131"/>
        <n v="3981.2059412335666"/>
        <n v="4935.4914751514152"/>
        <n v="4556.7894981923509"/>
        <n v="166.89544451883847"/>
        <n v="2484.4419203543143"/>
        <n v="254.22988030316486"/>
        <n v="878.01949724935889"/>
        <n v="3375.4931551330947"/>
        <n v="2451.0459779576286"/>
        <n v="2284.2595946006127"/>
        <n v="6370.3248546665445"/>
        <n v="6751.5141434413126"/>
        <n v="4557.6485768041493"/>
        <n v="6244.7149267259847"/>
        <n v="903.74909609832014"/>
        <n v="-1377.9423733009476"/>
        <n v="-1634.3812849918243"/>
        <n v="819.21321665938763"/>
        <n v="6659.5482545006471"/>
        <n v="-847.11483838681079"/>
        <n v="6211.8727634355291"/>
        <n v="527.84644155070453"/>
        <n v="225.77664513164876"/>
        <n v="246.36816482505964"/>
        <n v="7451.6345306515832"/>
        <n v="1807.882360007465"/>
        <n v="2602.0790950195919"/>
        <n v="-721.14510157403811"/>
        <n v="6142.2983965492995"/>
        <n v="4344.6407158959073"/>
        <n v="5203.8670961172184"/>
        <n v="6100.9654943508385"/>
        <n v="6893.8681101811735"/>
        <n v="1659.9276805700204"/>
        <n v="3819.6420032513183"/>
        <n v="4980.6567557506933"/>
        <n v="129.47939992601061"/>
        <n v="4650.8969902185672"/>
        <n v="5238.0116316787116"/>
        <n v="2050.5342804293587"/>
        <n v="4213.1263598387959"/>
        <n v="-219.92150998927406"/>
        <n v="4207.8219490817028"/>
        <n v="-1027.9557077365691"/>
        <n v="1698.2158049194079"/>
        <n v="6923.3605865656873"/>
        <n v="2945.6741454376474"/>
        <n v="7633.9063808651845"/>
        <n v="3259.1736014622234"/>
        <n v="-288.02157378498902"/>
        <n v="2752.6593415097436"/>
        <n v="5600.9465996293111"/>
        <n v="-115.3966570272091"/>
        <n v="-2490.4146644903353"/>
        <n v="2073.0994141215251"/>
        <n v="-1416.1707337882349"/>
        <n v="-871.570212849673"/>
        <n v="1357.9727475794132"/>
        <n v="3771.8012805027515"/>
        <n v="1887.9530851823315"/>
        <n v="2034.8404439453343"/>
        <n v="-847.41061696840245"/>
        <n v="1776.6549674403063"/>
        <n v="4546.9449977505683"/>
        <n v="2400.3247905063895"/>
        <n v="5950.7383243052582"/>
        <n v="3452.591205793969"/>
        <n v="-1651.3590034297133"/>
        <n v="4580.2107752230268"/>
        <n v="962.00159317326893"/>
        <n v="3627.6489557409923"/>
        <n v="4699.053277336473"/>
        <n v="6911.8657953944958"/>
        <n v="-867.98722114839597"/>
        <n v="6854.545567399613"/>
        <n v="6872.2436900612374"/>
        <n v="663.99173456142194"/>
        <n v="5895.8522746498593"/>
        <n v="1475.2148800988223"/>
        <n v="-1984.6294126241585"/>
        <n v="-902.76224883228065"/>
        <n v="1904.8521700829147"/>
        <n v="-233.64553745230916"/>
        <n v="-242.04312692279581"/>
        <n v="3779.5184637487419"/>
        <n v="-1165.5974642602494"/>
        <n v="2959.5922597274052"/>
        <n v="2056.8633840971679"/>
        <n v="-1241.6840090835221"/>
        <n v="1838.3078852498527"/>
        <n v="3053.4883932873408"/>
        <n v="34.607347120407368"/>
        <n v="197.17251432385245"/>
        <n v="-1831.015031778596"/>
        <n v="3546.2056732195902"/>
        <n v="5577.8204322374795"/>
        <n v="2909.2381757800226"/>
        <n v="1681.4587186969766"/>
        <n v="-293.25702495895115"/>
        <n v="3522.2245378895423"/>
        <n v="1151.1772669119507"/>
        <n v="4865.2645061438461"/>
        <n v="2186.0699267382906"/>
        <n v="-1640.3248501298258"/>
        <n v="1735.0372855222715"/>
        <n v="7295.9641304284305"/>
        <n v="-1025.9398102367234"/>
        <n v="4396.745090791148"/>
        <n v="5513.181889796786"/>
        <n v="-1473.046952696616"/>
        <n v="846.97295058960174"/>
        <n v="6109.5008836105053"/>
        <n v="2263.547127094967"/>
        <n v="5568.7515578070052"/>
        <n v="3863.3985242903882"/>
        <n v="-2393.1400983043081"/>
        <n v="4588.7577190785742"/>
        <n v="1813.6058421984735"/>
        <n v="3622.2076855290916"/>
        <n v="7248.224226904641"/>
        <n v="5258.0959476836269"/>
        <n v="7058.9320415570292"/>
        <n v="2395.394192321427"/>
        <n v="4719.1121670336934"/>
        <n v="7720.7226416987878"/>
        <n v="3813.8596995744479"/>
        <n v="6697.5428534856628"/>
        <n v="396.56773491068867"/>
        <n v="6037.9757196770452"/>
        <n v="-399.80910463480302"/>
        <n v="3790.6460595915732"/>
        <n v="-1098.3697780060897"/>
        <n v="7143.1533033445266"/>
        <n v="2226.2068346600263"/>
        <n v="3232.9683446038098"/>
        <n v="7671.9379886428942"/>
        <n v="5968.7367900029649"/>
        <n v="2189.2110541817137"/>
        <n v="7471.6972329693717"/>
        <n v="281.47041616183526"/>
        <n v="-634.08182043939462"/>
        <n v="6875.445709306443"/>
        <n v="4910.4938736174809"/>
        <n v="5242.8863680490458"/>
        <n v="6975.3925237582089"/>
        <n v="-840.9653480948964"/>
        <n v="3845.6161047745582"/>
        <n v="1605.2086164736165"/>
        <n v="2127.5364166519744"/>
        <n v="3147.6715034120275"/>
        <n v="2959.8439183632136"/>
        <n v="768.75771009107439"/>
        <n v="2731.2098969794779"/>
        <n v="-1232.8437396001132"/>
        <n v="7296.3194790262596"/>
        <n v="952.6118652353457"/>
        <n v="7719.4056343091179"/>
        <n v="3539.756207193233"/>
        <n v="4442.6473731515989"/>
        <n v="4638.864939049583"/>
        <n v="7522.1706726592656"/>
        <n v="6219.5081459593512"/>
        <n v="4865.1713842633371"/>
        <n v="3128.354087030837"/>
        <n v="5262.5757616409064"/>
        <n v="-1359.5650690704456"/>
        <n v="-989.78317524868396"/>
        <n v="2522.0671735755682"/>
        <n v="6152.5996818491985"/>
        <n v="5269.8100083470026"/>
        <n v="-2090.3120019140742"/>
        <n v="-478.76621115060078"/>
        <n v="7291.2824564749835"/>
        <n v="4615.0826067517592"/>
        <n v="940.14265883071789"/>
        <n v="427.56897257967631"/>
        <n v="1386.1848525356588"/>
        <n v="4306.4330084514113"/>
        <n v="7152.7913958269428"/>
        <n v="-619.49492766198784"/>
        <n v="1380.2852239953511"/>
        <n v="4211.0737570005604"/>
        <n v="6237.2477585690576"/>
        <n v="3748.776887074564"/>
        <n v="2521.9269502110938"/>
        <n v="3695.6300978764211"/>
        <n v="714.25165241080799"/>
        <n v="1743.8661688881025"/>
        <n v="6970.6909823462129"/>
        <n v="5507.6719217270156"/>
        <n v="851.5464591528978"/>
        <n v="4911.2705642204455"/>
        <n v="-496.93753471257406"/>
        <n v="1448.9323618848489"/>
        <n v="2349.7827724202989"/>
        <n v="694.46131737816995"/>
        <n v="3175.3640748835969"/>
        <n v="7484.2546642434936"/>
        <n v="5569.9192958530812"/>
        <n v="4048.3215966271387"/>
        <n v="4101.1195080632597"/>
        <n v="1326.2558442609836"/>
        <n v="3552.9211442969763"/>
        <n v="1742.1926465797219"/>
        <n v="629.92328586525832"/>
        <n v="7284.9317769250392"/>
        <n v="4916.1159994094533"/>
        <n v="-623.69812932248885"/>
        <n v="5803.7921164792515"/>
        <n v="81.535688917938032"/>
        <n v="4287.9747528488124"/>
        <n v="-147.44797406993439"/>
        <n v="4719.7641903593749"/>
        <n v="5419.7551318764281"/>
        <n v="2800.4563385637648"/>
        <n v="7306.7513160285798"/>
        <n v="-675.08012325131369"/>
        <n v="1662.2722786421859"/>
        <n v="-1956.0524774505891"/>
        <n v="6372.5289245559798"/>
        <n v="7458.1911408535561"/>
        <n v="3049.751586725577"/>
        <n v="6690.3424019002205"/>
        <n v="347.15636250713561"/>
        <n v="5360.0628572375826"/>
        <n v="-1081.1001359152781"/>
        <n v="1839.1715339470966"/>
        <n v="3665.3511804695622"/>
        <n v="2136.6312702667178"/>
        <n v="-821.2054176908332"/>
        <n v="4343.5493115351628"/>
        <n v="3278.5387045736998"/>
        <n v="5775.3529949294816"/>
        <n v="365.24010935327033"/>
        <n v="-650.83861289464448"/>
        <n v="1224.7599075788655"/>
        <n v="-2416.7183603494841"/>
        <n v="1840.7764425193673"/>
        <n v="5210.4660041590814"/>
        <n v="4927.8647410985723"/>
        <n v="-90.510638562445763"/>
        <n v="1351.2597324921176"/>
        <n v="4177.1768474547425"/>
        <n v="6233.8581577795048"/>
        <n v="3635.4443662452991"/>
        <n v="5187.0266643890918"/>
        <n v="1213.0836198578652"/>
        <n v="6697.7220128605268"/>
        <n v="2930.7391509061431"/>
        <n v="-103.58269871439796"/>
        <n v="6445.5258299211991"/>
        <n v="-1727.5229463962257"/>
        <n v="-1717.1064077982082"/>
        <n v="-1978.8992769563347"/>
        <n v="-188.51269506837076"/>
        <n v="2084.545245814274"/>
        <n v="-1772.8942171999599"/>
        <n v="-943.45144162229326"/>
        <n v="5972.098993381107"/>
        <n v="2814.3846150847917"/>
        <n v="4740.7725067961292"/>
        <n v="595.9575031608822"/>
        <n v="1368.008553879459"/>
        <n v="3185.0285412157218"/>
        <n v="7075.9715421366145"/>
        <n v="3104.8130562995902"/>
        <n v="2830.3777847360657"/>
        <n v="-2007.5641814153264"/>
        <n v="3414.785202204283"/>
        <n v="-880.01903394036151"/>
        <n v="-1099.7706247338983"/>
        <n v="-1765.9856884882861"/>
        <n v="4247.3135377133622"/>
        <n v="3220.4710367904113"/>
        <n v="2958.6325016500364"/>
        <n v="1547.9662607712901"/>
        <n v="6027.6921024236408"/>
        <n v="835.29840886633781"/>
        <n v="-1590.0816137624852"/>
        <n v="818.59006120855042"/>
        <n v="5107.8890681456023"/>
        <n v="4683.7099963478631"/>
        <n v="4097.0333657849724"/>
        <n v="-879.13677642442087"/>
        <n v="-2050.4759685956014"/>
        <n v="1952.1648362417261"/>
        <n v="3652.7937983051042"/>
        <n v="3077.9185072124878"/>
        <n v="7726.3542754390774"/>
        <n v="7431.5686371789816"/>
        <n v="7624.843352699334"/>
        <n v="7656.5700523824171"/>
        <n v="3221.8460092537885"/>
        <n v="2139.574600735898"/>
        <n v="-1274.1854183846883"/>
        <n v="-333.09528723796927"/>
        <n v="7023.8133987989495"/>
        <n v="4610.3923732294843"/>
        <n v="3158.2043377153018"/>
        <n v="3626.2868869977988"/>
        <n v="804.54961850328868"/>
        <n v="610.71820102853997"/>
        <n v="-76.367711514703757"/>
        <n v="6824.1175081469664"/>
        <n v="6563.4537746522392"/>
        <n v="-1923.4822268523856"/>
        <n v="-1404.8226954346981"/>
        <n v="5457.6901571739763"/>
        <n v="-121.0096571100048"/>
        <n v="-1251.9280937683347"/>
        <n v="4410.5833128048562"/>
        <n v="1716.2168372597623"/>
        <n v="6100.4526407594094"/>
        <n v="-1513.6285791593323"/>
        <n v="240.32674944399724"/>
        <n v="3411.0394209684346"/>
        <n v="4312.7502480305557"/>
        <n v="5675.2733378117673"/>
        <n v="7125.0346777891109"/>
        <n v="7064.4661323039063"/>
        <n v="6029.7751841061745"/>
        <n v="7589.4182260672487"/>
        <n v="422.75807475338814"/>
        <n v="3993.0139661898443"/>
        <n v="5483.0193764895339"/>
        <n v="1242.8278102545223"/>
        <n v="-214.56185065010351"/>
        <n v="1257.3986753983793"/>
        <n v="6411.9854504263685"/>
        <n v="3005.8376055206968"/>
        <n v="4483.4501161855751"/>
        <n v="3798.4843289658102"/>
        <n v="7301.9799828149216"/>
        <n v="7750.4322391192391"/>
        <n v="-838.40221173145869"/>
        <n v="9.693141221156516"/>
        <n v="4114.87748778901"/>
        <n v="3409.9734037172398"/>
        <n v="591.90443736952511"/>
        <n v="6729.3865993204172"/>
        <n v="6683.9286010511778"/>
        <n v="-1707.2815999076688"/>
        <n v="3565.7266529624826"/>
        <n v="7224.2123202803832"/>
        <n v="-1541.9976525019219"/>
        <n v="-469.0150799515049"/>
        <n v="26.313704850289966"/>
        <n v="-2310.7197170465711"/>
        <n v="3110.6928265253728"/>
        <n v="1168.584488427349"/>
        <n v="-2183.2954870453773"/>
        <n v="3964.4550766108778"/>
        <n v="-1868.4597652445902"/>
        <n v="1362.2767825296812"/>
        <n v="5134.4365319356484"/>
        <n v="-1759.1104948260906"/>
        <n v="6807.8459115178875"/>
        <n v="6829.7744372042744"/>
        <n v="1121.9082198497542"/>
        <n v="7586.1518153058851"/>
        <n v="3870.5205977226551"/>
        <n v="6048.4263360629375"/>
        <n v="662.30379164421015"/>
        <n v="915.91472060263641"/>
        <n v="-1599.124996223542"/>
        <n v="2988.9274988984121"/>
        <n v="-354.21751934944439"/>
        <n v="7400.4493059443312"/>
        <n v="-2001.3929635467891"/>
        <n v="7367.6469855188498"/>
        <n v="-402.24118374175896"/>
        <n v="7345.9024776530687"/>
        <n v="-70.730086560339629"/>
        <n v="6960.6995024540856"/>
        <n v="-1807.7917210908142"/>
        <n v="-1011.5816702494549"/>
        <n v="7321.2531161393053"/>
        <n v="1683.853354041167"/>
        <n v="-523.95352123398834"/>
        <n v="6825.0296103913479"/>
        <n v="3970.1490615796201"/>
        <n v="5187.7913009582708"/>
        <n v="2205.97964845361"/>
        <n v="7138.5344013160011"/>
        <n v="-925.89944390779942"/>
        <n v="1215.2576879105802"/>
        <n v="4668.4438626801721"/>
        <n v="4645.5560403484333"/>
        <n v="1189.3399653740826"/>
        <n v="5685.060895851947"/>
        <n v="-382.2778125772839"/>
        <n v="2309.7335774520716"/>
        <n v="-1213.300946413219"/>
        <n v="-703.53567612712573"/>
        <n v="4101.5763243936453"/>
        <n v="4158.0155762913264"/>
        <n v="5681.2839072968991"/>
        <n v="-1652.2907159571739"/>
        <n v="7109.6767434313642"/>
        <n v="2551.2111313156788"/>
        <n v="7641.989044062655"/>
        <n v="5197.5499768115487"/>
        <n v="1156.2243503915277"/>
        <n v="466.28085900603406"/>
        <n v="7171.564771241292"/>
        <n v="670.49075381113812"/>
        <n v="-387.81006892309091"/>
        <n v="6730.6783912488218"/>
        <n v="4818.8534946023137"/>
        <n v="6496.8647062958635"/>
        <n v="-2335.1504888774939"/>
        <n v="2981.302948522075"/>
        <n v="-896.71538679319121"/>
        <n v="5768.7222360918804"/>
        <n v="2272.7421593956005"/>
        <n v="-2119.6421838661854"/>
        <n v="2103.4540655043656"/>
        <n v="1180.2227483192455"/>
        <n v="2618.9364218001933"/>
        <n v="5438.8382766430032"/>
        <n v="7383.3049458816295"/>
        <n v="7234.6079784078138"/>
        <n v="5652.3701958769916"/>
        <n v="390.87763826609967"/>
        <n v="2225.6145559781266"/>
        <n v="5138.0529960654676"/>
        <n v="297.94103693027586"/>
        <n v="7731.805893451281"/>
        <n v="1134.2511455687845"/>
        <n v="6023.3388341386126"/>
        <n v="-1241.3453972096324"/>
        <n v="-2002.3466508619906"/>
        <n v="2055.3869357348999"/>
        <n v="5654.574217313906"/>
        <n v="-2057.8170530176812"/>
        <n v="7141.8998589097228"/>
      </sharedItems>
      <fieldGroup base="0">
        <rangePr autoStart="0" autoEnd="0" startNum="-6000" endNum="26000" groupInterval="2000"/>
        <groupItems count="18">
          <s v="&lt;-6000"/>
          <s v="-6000--4000"/>
          <s v="-4000--2000"/>
          <s v="-2000-0"/>
          <s v="0-2000"/>
          <s v="2000-4000"/>
          <s v="4000-6000"/>
          <s v="6000-8000"/>
          <s v="8000-10000"/>
          <s v="10000-12000"/>
          <s v="12000-14000"/>
          <s v="14000-16000"/>
          <s v="16000-18000"/>
          <s v="18000-20000"/>
          <s v="20000-22000"/>
          <s v="22000-24000"/>
          <s v="24000-26000"/>
          <s v="&gt;26000"/>
        </groupItems>
      </fieldGroup>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mes Davies" refreshedDate="45416.794295023145" createdVersion="8" refreshedVersion="8" minRefreshableVersion="3" recordCount="1001" xr:uid="{F796A53D-C02C-40A2-B33C-D056E0083BF5}">
  <cacheSource type="worksheet">
    <worksheetSource ref="D9:D1010" sheet="MC.Lognormal_nominal"/>
  </cacheSource>
  <cacheFields count="1">
    <cacheField name="NPV" numFmtId="164">
      <sharedItems containsSemiMixedTypes="0" containsString="0" containsNumber="1" minValue="-5462.7919212337811" maxValue="21308.189605834334" count="1001">
        <n v="1646.2926064659755"/>
        <n v="-1286.468366865221"/>
        <n v="-1023.0744591967681"/>
        <n v="-1135.361231833115"/>
        <n v="2833.0606918163207"/>
        <n v="-2501.7697548535566"/>
        <n v="9565.784621121793"/>
        <n v="-3936.2652086731614"/>
        <n v="12938.119683390441"/>
        <n v="1154.6627808187343"/>
        <n v="2173.5754590802539"/>
        <n v="-1243.5433385860833"/>
        <n v="-3214.9582252017944"/>
        <n v="-2119.0294884567343"/>
        <n v="-318.58295487851535"/>
        <n v="1229.2872526228725"/>
        <n v="154.28577534136781"/>
        <n v="-684.04502040579303"/>
        <n v="-1771.5876354755771"/>
        <n v="-1442.0028974792535"/>
        <n v="-92.360486731959384"/>
        <n v="2328.2833449883419"/>
        <n v="973.32666982717797"/>
        <n v="-2462.9635459203728"/>
        <n v="1933.2253435421326"/>
        <n v="397.81044560856924"/>
        <n v="-4684.3291911990154"/>
        <n v="-3061.2914332000414"/>
        <n v="4779.6980256773677"/>
        <n v="4464.3569916672368"/>
        <n v="-1315.9389786006179"/>
        <n v="-2164.2515149321662"/>
        <n v="-159.62092302593635"/>
        <n v="2998.0395431019356"/>
        <n v="3063.0381225738151"/>
        <n v="-1371.6513051922686"/>
        <n v="-1477.8864502389611"/>
        <n v="648.39083262318456"/>
        <n v="-807.91876188212541"/>
        <n v="-3282.0484085069656"/>
        <n v="-2477.1217399895904"/>
        <n v="190.8206317689847"/>
        <n v="6155.0871233625321"/>
        <n v="-2161.1469963682835"/>
        <n v="-2847.4811403231733"/>
        <n v="1689.8654565423321"/>
        <n v="-2685.2215705636409"/>
        <n v="796.51160115433083"/>
        <n v="6404.0062147231065"/>
        <n v="-3237.441781695908"/>
        <n v="1512.4567921509592"/>
        <n v="8529.9055096177417"/>
        <n v="-894.47724314083666"/>
        <n v="7929.1554181158172"/>
        <n v="6694.60627554863"/>
        <n v="1829.1603006564264"/>
        <n v="376.5029220583487"/>
        <n v="-2025.1328495341995"/>
        <n v="4446.6709156642337"/>
        <n v="-4710.4825643234826"/>
        <n v="2300.4607020890312"/>
        <n v="-4086.6220910267189"/>
        <n v="-4507.9960307178126"/>
        <n v="-2715.125656966125"/>
        <n v="1909.4386141567875"/>
        <n v="-4855.7828252088011"/>
        <n v="1350.8672643563275"/>
        <n v="2935.2139020050922"/>
        <n v="-625.10592506366083"/>
        <n v="3921.6188963021386"/>
        <n v="-3027.7160138295408"/>
        <n v="-360.42008540833621"/>
        <n v="1194.0008803493331"/>
        <n v="-2630.6043218082364"/>
        <n v="-1398.1176384433547"/>
        <n v="-552.66493708156372"/>
        <n v="528.1367712992178"/>
        <n v="4687.7307367560543"/>
        <n v="244.31548039052126"/>
        <n v="-4070.2839848756171"/>
        <n v="-3314.0628761967691"/>
        <n v="-1779.6458011350971"/>
        <n v="-4825.5455041546293"/>
        <n v="-792.77339336695718"/>
        <n v="-2042.3864421076421"/>
        <n v="1729.3083446793098"/>
        <n v="-2284.6111673348742"/>
        <n v="-1668.8991443567156"/>
        <n v="-979.56718645951491"/>
        <n v="718.73359907597819"/>
        <n v="-968.56029664472931"/>
        <n v="-138.72828594940199"/>
        <n v="-1559.2311352192592"/>
        <n v="2671.4244224661015"/>
        <n v="3522.3876450848406"/>
        <n v="-2490.0049649693301"/>
        <n v="-592.59558424952411"/>
        <n v="2911.7141056789469"/>
        <n v="-1615.4308898174668"/>
        <n v="-327.91726929151469"/>
        <n v="1983.99761534096"/>
        <n v="346.45567508363774"/>
        <n v="4283.6305434650731"/>
        <n v="1835.8340927400041"/>
        <n v="4737.4937300509519"/>
        <n v="-3254.71007049017"/>
        <n v="-3086.29916762527"/>
        <n v="-2639.4617465480496"/>
        <n v="331.90511527545959"/>
        <n v="1170.9497292147812"/>
        <n v="-2696.6675794414955"/>
        <n v="-275.37490457496426"/>
        <n v="311.82607927836938"/>
        <n v="-716.8158093622792"/>
        <n v="-860.78409859125259"/>
        <n v="-4225.270721684029"/>
        <n v="369.64810105606597"/>
        <n v="-1322.0707746249564"/>
        <n v="1094.5322567800777"/>
        <n v="-3112.0440175195513"/>
        <n v="-3991.7694129140173"/>
        <n v="-1605.5636716935251"/>
        <n v="-2363.4894560689713"/>
        <n v="2587.007882884534"/>
        <n v="6515.2056259978081"/>
        <n v="-3054.334030645145"/>
        <n v="147.11016224312391"/>
        <n v="-1107.3673928091866"/>
        <n v="2038.6444174459411"/>
        <n v="-4632.6959479980751"/>
        <n v="-442.45290822897306"/>
        <n v="1383.4838907348703"/>
        <n v="-3250.1686203544546"/>
        <n v="-1665.5061501034209"/>
        <n v="-1101.5068409250757"/>
        <n v="-87.086516675047335"/>
        <n v="-2849.1558951382585"/>
        <n v="-4431.8130125155913"/>
        <n v="1108.3151129772925"/>
        <n v="1196.6376642988653"/>
        <n v="1516.8962894985114"/>
        <n v="-2006.0588768040855"/>
        <n v="155.42947126841682"/>
        <n v="-2974.340494563769"/>
        <n v="-1652.2436427685082"/>
        <n v="-1854.5840062750208"/>
        <n v="-2435.0790899167027"/>
        <n v="9693.5705281816627"/>
        <n v="10682.71458594389"/>
        <n v="-670.61972606414429"/>
        <n v="-4408.6755159258528"/>
        <n v="5108.7037939088268"/>
        <n v="2887.6319176645811"/>
        <n v="1957.1113158113651"/>
        <n v="1897.7091316308147"/>
        <n v="-2223.0647201505085"/>
        <n v="6376.1488222670623"/>
        <n v="-45.813911304591578"/>
        <n v="6701.0684259378077"/>
        <n v="49.486286139575483"/>
        <n v="-3570.7677299234474"/>
        <n v="1747.6233676717143"/>
        <n v="1054.8246696185768"/>
        <n v="59.84632570179896"/>
        <n v="-4125.2675476863633"/>
        <n v="147.73490827776186"/>
        <n v="-13.412286661185185"/>
        <n v="-1938.6395904287112"/>
        <n v="-1567.735210929721"/>
        <n v="-3859.1095327096987"/>
        <n v="-5277.8352513265345"/>
        <n v="-2468.5854827984936"/>
        <n v="-2997.5021150647717"/>
        <n v="1071.2400600994249"/>
        <n v="-3708.7817624447016"/>
        <n v="-4259.2034717971101"/>
        <n v="-4418.7164798909043"/>
        <n v="1397.5010918816856"/>
        <n v="1400.282637573514"/>
        <n v="-2949.303438647994"/>
        <n v="1200.1057585851154"/>
        <n v="11113.817494396684"/>
        <n v="-3314.3228058353475"/>
        <n v="-5462.7919212337811"/>
        <n v="-1808.678186892538"/>
        <n v="-3690.5134962134189"/>
        <n v="-4004.7359409039464"/>
        <n v="-1565.5398368262424"/>
        <n v="-1740.3503413301535"/>
        <n v="-4030.9129115063452"/>
        <n v="-1361.2516640472916"/>
        <n v="-1278.5919126694448"/>
        <n v="15895.412324439329"/>
        <n v="-1984.9535996160821"/>
        <n v="4092.9395949026243"/>
        <n v="-511.43153336765391"/>
        <n v="4074.2090336309398"/>
        <n v="-732.96567436374573"/>
        <n v="1503.4383426342808"/>
        <n v="2591.7022617701182"/>
        <n v="-1012.7912888105227"/>
        <n v="1510.0348099352702"/>
        <n v="-1874.8473903646006"/>
        <n v="-521.49083922357556"/>
        <n v="-3874.1816403128864"/>
        <n v="3397.4052665553518"/>
        <n v="-3456.1775676728316"/>
        <n v="-1268.0022349531271"/>
        <n v="-381.60699456217361"/>
        <n v="-3230.0908482262134"/>
        <n v="20260.697456990343"/>
        <n v="-2942.0578394390436"/>
        <n v="532.93453138950144"/>
        <n v="-4886.4724750310788"/>
        <n v="7894.9356344357484"/>
        <n v="-4600.1399052697716"/>
        <n v="1417.2817036028353"/>
        <n v="-885.28067714594329"/>
        <n v="-4558.6081095482696"/>
        <n v="-5115.6529215315013"/>
        <n v="-5152.9127846993188"/>
        <n v="-855.27561739511248"/>
        <n v="-2416.7329444631137"/>
        <n v="-1053.1606155522204"/>
        <n v="-3480.2869004228719"/>
        <n v="5360.1219324939502"/>
        <n v="-699.24828545451533"/>
        <n v="-3010.5529364772656"/>
        <n v="346.48873979124772"/>
        <n v="12318.068150629251"/>
        <n v="-216.79955982826129"/>
        <n v="-678.57910038803436"/>
        <n v="8951.9834917496501"/>
        <n v="-1372.5472249085522"/>
        <n v="-3288.6331721932447"/>
        <n v="2406.3230769424808"/>
        <n v="6461.506511257905"/>
        <n v="-1774.2016757869526"/>
        <n v="-1506.8351622945115"/>
        <n v="-1347.6043926987393"/>
        <n v="2789.070096732713"/>
        <n v="4187.0917821607991"/>
        <n v="-508.40667161253026"/>
        <n v="581.66166650097512"/>
        <n v="13930.432200692976"/>
        <n v="-2875.4451166976619"/>
        <n v="199.3772717827257"/>
        <n v="-2753.3579264776886"/>
        <n v="-1069.8799162730334"/>
        <n v="-4141.5585637128906"/>
        <n v="-4287.1256189764235"/>
        <n v="-3629.4179104899044"/>
        <n v="-4689.1998831049114"/>
        <n v="187.90078812066935"/>
        <n v="8904.5312198787178"/>
        <n v="-704.270135336468"/>
        <n v="-2301.8287565842606"/>
        <n v="5007.6385582034045"/>
        <n v="4797.777839569123"/>
        <n v="2755.0912882758853"/>
        <n v="1353.7913536424905"/>
        <n v="7072.0971435683859"/>
        <n v="3863.6688494826935"/>
        <n v="-4117.2891866183782"/>
        <n v="762.0307755062712"/>
        <n v="-1169.7924121600406"/>
        <n v="2258.9698534978861"/>
        <n v="5466.3111561177147"/>
        <n v="2411.2634740219578"/>
        <n v="11973.960202174865"/>
        <n v="-3594.8120657527129"/>
        <n v="-2166.3847290110625"/>
        <n v="-2669.8289131770825"/>
        <n v="-2145.1211183836622"/>
        <n v="1261.9244464427609"/>
        <n v="2051.9706469573994"/>
        <n v="5426.3514498631812"/>
        <n v="-1305.3948509268487"/>
        <n v="-1472.6663653806986"/>
        <n v="12810.184584340408"/>
        <n v="2074.9840628818506"/>
        <n v="-962.95295914185863"/>
        <n v="-8.0702457526445741"/>
        <n v="-2114.0962905520933"/>
        <n v="-3906.9361160701023"/>
        <n v="1196.7261181598485"/>
        <n v="2693.9547639899597"/>
        <n v="-4155.5749403560958"/>
        <n v="-3255.9414696035892"/>
        <n v="-1867.0029231319613"/>
        <n v="-2549.4189562531951"/>
        <n v="915.21353146813431"/>
        <n v="-3853.9700030217818"/>
        <n v="-2933.7585313666036"/>
        <n v="4028.0777901208635"/>
        <n v="-3619.8931159254848"/>
        <n v="-639.20684393287866"/>
        <n v="-3606.6629740582189"/>
        <n v="4518.5060100729834"/>
        <n v="9545.419857517405"/>
        <n v="-4125.4768219862144"/>
        <n v="8046.7333171540376"/>
        <n v="-1051.2857432107148"/>
        <n v="5703.5433191482198"/>
        <n v="-3153.859194353478"/>
        <n v="-2748.0901234007506"/>
        <n v="-2776.1469407309787"/>
        <n v="5053.125039569718"/>
        <n v="-1314.6493336414906"/>
        <n v="-1956.6585318238542"/>
        <n v="-3940.6730192300597"/>
        <n v="-396.4837044229352"/>
        <n v="-870.98925963153783"/>
        <n v="4408.7825857848457"/>
        <n v="3273.8199064788764"/>
        <n v="-4154.8098662220818"/>
        <n v="13105.514442044065"/>
        <n v="-4161.6084467703513"/>
        <n v="-1109.9997103369344"/>
        <n v="8470.5324331853171"/>
        <n v="-3637.1560359422642"/>
        <n v="5937.9969526620353"/>
        <n v="-3796.3091139102776"/>
        <n v="3429.9187507212218"/>
        <n v="-2746.7778878957415"/>
        <n v="748.4321779337522"/>
        <n v="-4765.2436364344585"/>
        <n v="4326.6188186064628"/>
        <n v="-3277.7585767926485"/>
        <n v="-594.86208766548805"/>
        <n v="-1870.6045246185131"/>
        <n v="4333.4153100385611"/>
        <n v="4540.07300301746"/>
        <n v="-5297.5454240983145"/>
        <n v="2392.762770412492"/>
        <n v="-3276.5222075983747"/>
        <n v="1212.5707033731817"/>
        <n v="-2436.9775028082277"/>
        <n v="-3237.0113585465469"/>
        <n v="-3073.7961982091406"/>
        <n v="2562.1043502768493"/>
        <n v="-2510.0274459273096"/>
        <n v="-1286.1314324174673"/>
        <n v="-3708.1071897923266"/>
        <n v="2076.5120740853808"/>
        <n v="2674.7555009773191"/>
        <n v="-3596.4316530749497"/>
        <n v="-2551.1693388604835"/>
        <n v="-4360.9840569825437"/>
        <n v="662.73797335628046"/>
        <n v="3913.2036956543102"/>
        <n v="-2604.0836770530304"/>
        <n v="-1884.805061722268"/>
        <n v="-1202.6671960221233"/>
        <n v="-860.88987571028281"/>
        <n v="111.45059546701633"/>
        <n v="-4122.6276880333817"/>
        <n v="-3170.8895290994669"/>
        <n v="-691.53380895854377"/>
        <n v="1310.1216997082333"/>
        <n v="-709.68271578884412"/>
        <n v="-295.67805014247404"/>
        <n v="-1208.2981166620896"/>
        <n v="4319.3708935755731"/>
        <n v="-2045.3041989038309"/>
        <n v="-3585.7415094481412"/>
        <n v="2058.9759914896299"/>
        <n v="-1966.1977698191868"/>
        <n v="4001.0011435832444"/>
        <n v="-1184.5091282454509"/>
        <n v="-1900.2148451325525"/>
        <n v="2600.1626222451346"/>
        <n v="-756.06390244210093"/>
        <n v="-334.92695386936225"/>
        <n v="-1421.8854288300884"/>
        <n v="-3580.098766133654"/>
        <n v="-1658.2234542524229"/>
        <n v="9979.9525363635821"/>
        <n v="-4562.5294688913327"/>
        <n v="3490.8032539740748"/>
        <n v="-2705.8912613876669"/>
        <n v="-1531.6591786588524"/>
        <n v="226.95510873066974"/>
        <n v="-3800.5480261438888"/>
        <n v="-970.47414826632155"/>
        <n v="2752.6382961472177"/>
        <n v="241.45173477222471"/>
        <n v="2868.6221152678982"/>
        <n v="-2291.1747501770715"/>
        <n v="-1783.9636951578857"/>
        <n v="-79.643485873034876"/>
        <n v="2144.8639584667203"/>
        <n v="3142.0085507297376"/>
        <n v="782.58920437188181"/>
        <n v="-2167.0489248423178"/>
        <n v="757.60037475469562"/>
        <n v="-2198.3825118486538"/>
        <n v="20741.729137894188"/>
        <n v="-941.98177274161367"/>
        <n v="-665.51540583648148"/>
        <n v="-1727.0039100239521"/>
        <n v="3403.5625853987735"/>
        <n v="-3031.9166923848106"/>
        <n v="-1396.5684864900416"/>
        <n v="-1553.9387039833416"/>
        <n v="2443.6589636880708"/>
        <n v="2706.166548728384"/>
        <n v="-2665.8404778603958"/>
        <n v="1159.2225297671923"/>
        <n v="-960.39737686420949"/>
        <n v="-2169.4414675733283"/>
        <n v="570.6312508261326"/>
        <n v="6244.1844739527887"/>
        <n v="-702.65604202677582"/>
        <n v="644.56560872618104"/>
        <n v="1107.5985120770076"/>
        <n v="-3635.6269243887141"/>
        <n v="-1415.541927092476"/>
        <n v="2129.1456578869111"/>
        <n v="4204.4599378875755"/>
        <n v="-708.88261225933377"/>
        <n v="1351.0232595346363"/>
        <n v="-1708.5645601700714"/>
        <n v="-1969.7616785697439"/>
        <n v="5271.5459285735069"/>
        <n v="416.88019131975085"/>
        <n v="-2851.4803482452012"/>
        <n v="1391.496619035021"/>
        <n v="-2713.8950863017203"/>
        <n v="919.37660580830243"/>
        <n v="2374.5860102106312"/>
        <n v="1286.598160666792"/>
        <n v="2793.964393366181"/>
        <n v="691.01347489968703"/>
        <n v="-422.92167328140346"/>
        <n v="-2558.6644720541499"/>
        <n v="-570.41252491780415"/>
        <n v="1098.5259846767021"/>
        <n v="-525.74163174164755"/>
        <n v="-1521.2248932124232"/>
        <n v="-4352.5329694755055"/>
        <n v="-4114.8987438637059"/>
        <n v="-2679.3112300857574"/>
        <n v="-950.46777799824179"/>
        <n v="9014.5208200558427"/>
        <n v="-3440.1453966450563"/>
        <n v="3127.8997220227634"/>
        <n v="4961.1594413190051"/>
        <n v="-1586.8087929733467"/>
        <n v="2401.3006087766621"/>
        <n v="9155.4431569627632"/>
        <n v="-2829.7143609326267"/>
        <n v="-4186.9075314103666"/>
        <n v="-3544.0744896609035"/>
        <n v="-1434.6811350367977"/>
        <n v="-3663.7393665214809"/>
        <n v="-5093.2943655358968"/>
        <n v="-3797.4707003964154"/>
        <n v="568.50253921105377"/>
        <n v="-3910.6789766073866"/>
        <n v="3297.0889827651417"/>
        <n v="3271.1225889355669"/>
        <n v="2876.0681044762132"/>
        <n v="2641.5011678563901"/>
        <n v="-2186.5269211828195"/>
        <n v="3496.444205212847"/>
        <n v="-4872.7655571093755"/>
        <n v="-968.48850658581273"/>
        <n v="-3358.8685795769156"/>
        <n v="-3740.5062510650891"/>
        <n v="-1796.8969185021333"/>
        <n v="4415.6738812293688"/>
        <n v="-1986.8967267968835"/>
        <n v="-2584.5340242471916"/>
        <n v="-436.55362141378083"/>
        <n v="-22.325155674285121"/>
        <n v="274.0202414543208"/>
        <n v="-3470.0612248156658"/>
        <n v="5974.536437689605"/>
        <n v="764.03663934761857"/>
        <n v="-1458.3001011598785"/>
        <n v="2483.6549194263162"/>
        <n v="-782.77863202540163"/>
        <n v="-3043.0837722378369"/>
        <n v="11395.459175078984"/>
        <n v="307.90614740923905"/>
        <n v="-3418.9831809669613"/>
        <n v="-464.34955202825228"/>
        <n v="-2402.8624699471129"/>
        <n v="-609.87474302337318"/>
        <n v="-105.25068753137674"/>
        <n v="4738.0881079813171"/>
        <n v="-496.7301340821943"/>
        <n v="14299.71023220867"/>
        <n v="1419.6558978011212"/>
        <n v="-3394.9144626657776"/>
        <n v="2990.175910571932"/>
        <n v="1135.1163132311158"/>
        <n v="6409.3363951025722"/>
        <n v="-4985.1745584640203"/>
        <n v="916.02248702232464"/>
        <n v="9364.4226329357389"/>
        <n v="-842.86241361800285"/>
        <n v="1183.0142827264528"/>
        <n v="-4166.0073291807403"/>
        <n v="-1923.2118234363681"/>
        <n v="-5045.9268357536257"/>
        <n v="-483.71002833562744"/>
        <n v="8213.9698526507982"/>
        <n v="-1120.2718529191407"/>
        <n v="2018.2114897283141"/>
        <n v="-3137.5399154677248"/>
        <n v="2767.0262289280045"/>
        <n v="7703.0950932719606"/>
        <n v="-4513.9693786383641"/>
        <n v="9197.1336127071681"/>
        <n v="-3817.9808588107057"/>
        <n v="-525.82744983164616"/>
        <n v="14548.484712084824"/>
        <n v="-217.07898821820169"/>
        <n v="-1397.6919068730906"/>
        <n v="14517.684182617601"/>
        <n v="12648.391509591565"/>
        <n v="-3431.7060076468333"/>
        <n v="-3737.0285019914031"/>
        <n v="-2370.6388541029824"/>
        <n v="-1106.9518423599252"/>
        <n v="-732.35099921345363"/>
        <n v="-2851.5583612406685"/>
        <n v="-3455.6931121093112"/>
        <n v="-2555.34350232014"/>
        <n v="-2819.0073724752779"/>
        <n v="9444.3031691883771"/>
        <n v="-1760.1850962587757"/>
        <n v="-5216.204886132402"/>
        <n v="1176.6819117242239"/>
        <n v="2443.759385349636"/>
        <n v="9553.8619313920408"/>
        <n v="-2340.6394942608499"/>
        <n v="-4042.4515640232603"/>
        <n v="2415.9260658220292"/>
        <n v="-1840.092282492481"/>
        <n v="-2849.5633390600783"/>
        <n v="13.808348901197533"/>
        <n v="3955.9931256990881"/>
        <n v="-648.37961699312154"/>
        <n v="1365.7898257135282"/>
        <n v="-438.57061304926305"/>
        <n v="-189.03306279814404"/>
        <n v="-4557.3398094320828"/>
        <n v="-1148.6940174396618"/>
        <n v="-1467.1479232460363"/>
        <n v="115.35462785406652"/>
        <n v="-1151.0406952267435"/>
        <n v="-3202.4697408709544"/>
        <n v="-772.6791442095074"/>
        <n v="-431.85029406988843"/>
        <n v="1982.9252585690595"/>
        <n v="-2408.1189663774908"/>
        <n v="-1820.7689512766306"/>
        <n v="7536.1994681582446"/>
        <n v="-3877.5560538743121"/>
        <n v="-925.33518529393132"/>
        <n v="-1978.0057114163005"/>
        <n v="6265.6670083080135"/>
        <n v="-22.548911632587583"/>
        <n v="1453.8690605084737"/>
        <n v="-1553.2725583568474"/>
        <n v="1380.8585255858454"/>
        <n v="-4290.8071410416242"/>
        <n v="2280.9585648943107"/>
        <n v="-5045.4311108816291"/>
        <n v="-3752.3005266843306"/>
        <n v="-837.5574537473442"/>
        <n v="-5005.2148733817139"/>
        <n v="-5105.6184368437116"/>
        <n v="-4174.2110003804646"/>
        <n v="-1796.9437797837863"/>
        <n v="-746.31611399748988"/>
        <n v="-888.6380898505123"/>
        <n v="-4186.4538370735772"/>
        <n v="-1261.6541356058503"/>
        <n v="1548.4408074811131"/>
        <n v="7077.4606648868585"/>
        <n v="3513.7873314235403"/>
        <n v="-3038.5108168347492"/>
        <n v="-1184.504352455315"/>
        <n v="817.65735317940721"/>
        <n v="2863.1709828518883"/>
        <n v="-936.20070335448702"/>
        <n v="7634.9568703873374"/>
        <n v="-1001.0635737451846"/>
        <n v="-1655.5406586025902"/>
        <n v="2135.2481604573345"/>
        <n v="204.94990775604919"/>
        <n v="3543.4846264335333"/>
        <n v="-193.75266702722558"/>
        <n v="13016.310539587994"/>
        <n v="-1930.4661877710853"/>
        <n v="-901.00439410070658"/>
        <n v="3212.2256746438225"/>
        <n v="-3051.4036395254902"/>
        <n v="-3956.9293759249322"/>
        <n v="-2869.6144469674527"/>
        <n v="-871.20367286950079"/>
        <n v="-1901.6307004201481"/>
        <n v="3855.4106687788762"/>
        <n v="-2750.4000278938524"/>
        <n v="253.31184640057097"/>
        <n v="-1942.0832610058658"/>
        <n v="4187.1333794915763"/>
        <n v="1099.8456183588585"/>
        <n v="20102.923168117053"/>
        <n v="-1763.3010381098491"/>
        <n v="-935.55594283370363"/>
        <n v="-2564.7466290941898"/>
        <n v="-4383.6289825371005"/>
        <n v="-2786.2473592182532"/>
        <n v="2292.7391124768496"/>
        <n v="-3778.2284198291659"/>
        <n v="-3250.1066714357594"/>
        <n v="-3960.5237400110627"/>
        <n v="3451.147409682032"/>
        <n v="267.80163440299316"/>
        <n v="957.46732956950564"/>
        <n v="10264.131224928233"/>
        <n v="5038.5370304100397"/>
        <n v="-3434.2844156833262"/>
        <n v="-2549.036971317079"/>
        <n v="-1700.2170058679533"/>
        <n v="837.31428893670363"/>
        <n v="-1973.3764417055606"/>
        <n v="-1898.1691674878957"/>
        <n v="2321.4034678745702"/>
        <n v="2582.738602982638"/>
        <n v="-696.49044629588025"/>
        <n v="-3778.5334355609775"/>
        <n v="5080.3812364309206"/>
        <n v="5341.7023347983586"/>
        <n v="-3849.2018773630316"/>
        <n v="-4041.9592565747403"/>
        <n v="-2114.6579895838945"/>
        <n v="1275.0833736665693"/>
        <n v="-4704.1037032381992"/>
        <n v="3085.4748904302337"/>
        <n v="4181.572031669255"/>
        <n v="-3178.7924337354607"/>
        <n v="-2389.5630154763289"/>
        <n v="-1059.6674719425043"/>
        <n v="2068.8312144460533"/>
        <n v="3636.5716763867385"/>
        <n v="220.28528144432079"/>
        <n v="-4239.0059992302758"/>
        <n v="-3595.2677652937959"/>
        <n v="2527.6202711502301"/>
        <n v="4479.6116765234601"/>
        <n v="-1115.4484292803127"/>
        <n v="-4220.456469888155"/>
        <n v="-4088.7287508936447"/>
        <n v="-2052.3122793101707"/>
        <n v="-1965.6123432418819"/>
        <n v="-2088.1829065759512"/>
        <n v="331.67791202370967"/>
        <n v="-235.90414631993724"/>
        <n v="7844.1293422011158"/>
        <n v="3798.2498421933342"/>
        <n v="-845.00039959327091"/>
        <n v="-1465.2758500070497"/>
        <n v="378.78474741320196"/>
        <n v="692.85296635899931"/>
        <n v="-2705.7312150598423"/>
        <n v="-2776.5814142507693"/>
        <n v="-436.40001377400176"/>
        <n v="-1455.8453648332491"/>
        <n v="-4503.0679839394779"/>
        <n v="2785.4676749939904"/>
        <n v="-4252.7625805542602"/>
        <n v="4264.0464664668398"/>
        <n v="-1514.9122579043446"/>
        <n v="518.53005282178469"/>
        <n v="-4233.4843623863126"/>
        <n v="3703.1623504885933"/>
        <n v="1883.5290761282233"/>
        <n v="392.68619665314719"/>
        <n v="-2466.2367743503542"/>
        <n v="-123.77706960864357"/>
        <n v="1052.4343762602477"/>
        <n v="2327.8388992753148"/>
        <n v="-1842.0684590674518"/>
        <n v="-2242.5375168880273"/>
        <n v="-1455.6762456126771"/>
        <n v="71.310580802325561"/>
        <n v="1724.1486233751227"/>
        <n v="1402.608707368656"/>
        <n v="5292.9028488182776"/>
        <n v="-2862.0732500946124"/>
        <n v="13014.023622402199"/>
        <n v="-585.74237104458211"/>
        <n v="910.58036350961493"/>
        <n v="-1409.9160874543684"/>
        <n v="19263.500597199476"/>
        <n v="3358.1410535338809"/>
        <n v="-2978.0947739881699"/>
        <n v="7851.8278791153698"/>
        <n v="-544.49562128322987"/>
        <n v="-1581.2750048964401"/>
        <n v="9797.4339620727933"/>
        <n v="137.30595067556305"/>
        <n v="-4298.6328551413781"/>
        <n v="2447.0637761201556"/>
        <n v="-480.17640191071683"/>
        <n v="-2931.867460270505"/>
        <n v="-3976.5470013816844"/>
        <n v="-1359.4166503612125"/>
        <n v="-2440.8466762106168"/>
        <n v="-1748.4601297305805"/>
        <n v="65.807882477086409"/>
        <n v="-540.02689124529047"/>
        <n v="3712.6913524731513"/>
        <n v="872.83807275177958"/>
        <n v="11745.609875369086"/>
        <n v="-234.22303834740183"/>
        <n v="312.92453230334451"/>
        <n v="-1546.1260693587242"/>
        <n v="-1692.3801291587808"/>
        <n v="3040.0615983273078"/>
        <n v="-2141.0295514138688"/>
        <n v="-578.22786323171943"/>
        <n v="-5.9680942008539475"/>
        <n v="5384.3705547782038"/>
        <n v="88.506549720801914"/>
        <n v="-4176.1145435704875"/>
        <n v="656.33493472891746"/>
        <n v="6126.4835806953033"/>
        <n v="-3644.0867954677547"/>
        <n v="-4504.9717025687478"/>
        <n v="-653.68779714563448"/>
        <n v="-3967.9227239722741"/>
        <n v="-1814.7241322587527"/>
        <n v="463.70782620031395"/>
        <n v="-374.26088854006468"/>
        <n v="-1617.5956018159964"/>
        <n v="-3993.054994683881"/>
        <n v="8038.0157200900894"/>
        <n v="1906.7963351034359"/>
        <n v="4408.383368018548"/>
        <n v="-101.39257119959004"/>
        <n v="-3638.8227818683604"/>
        <n v="-705.29415247082738"/>
        <n v="3946.3392525287004"/>
        <n v="-1345.9130388700792"/>
        <n v="-1252.8916661967826"/>
        <n v="-654.22747145057247"/>
        <n v="-2107.3908010195682"/>
        <n v="-2222.1043424991194"/>
        <n v="-348.04837789692698"/>
        <n v="-1637.8588614719663"/>
        <n v="-1615.304982199347"/>
        <n v="-2797.0586335685061"/>
        <n v="41.240101298669813"/>
        <n v="-927.54106796970052"/>
        <n v="623.05247486659675"/>
        <n v="21308.189605834334"/>
        <n v="-291.57795892144827"/>
        <n v="3194.8828713202779"/>
        <n v="-1646.4908002656719"/>
        <n v="5796.9648329354541"/>
        <n v="1276.2602767849298"/>
        <n v="-178.8036018870306"/>
        <n v="-1852.7850801573554"/>
        <n v="2716.2373813389067"/>
        <n v="-2181.8664624181338"/>
        <n v="-298.08899540996089"/>
        <n v="-3113.677720323542"/>
        <n v="753.5129161863224"/>
        <n v="-2056.5526884814035"/>
        <n v="604.51450301084799"/>
        <n v="-1231.7194091752767"/>
        <n v="24.424281639961336"/>
        <n v="-3466.768657123017"/>
        <n v="379.56875757957533"/>
        <n v="6442.5790282778862"/>
        <n v="-2849.869177980846"/>
        <n v="5174.2190461991167"/>
        <n v="4439.4519325563479"/>
        <n v="3334.5607194685736"/>
        <n v="2517.5476238687138"/>
        <n v="-1486.4564670160937"/>
        <n v="-56.774896644486226"/>
        <n v="-3392.652208284374"/>
        <n v="-2870.8251885817344"/>
        <n v="64.698050591919824"/>
        <n v="137.14311060837741"/>
        <n v="-1424.0981549277142"/>
        <n v="-4577.9993110750011"/>
        <n v="4145.2141707607761"/>
        <n v="-1772.565172343915"/>
        <n v="-3508.7545598362412"/>
        <n v="2464.3399147131918"/>
        <n v="-1585.3764177307587"/>
        <n v="-1397.707603250986"/>
        <n v="-183.22876094124769"/>
        <n v="5597.0146231222661"/>
        <n v="5791.3164581730252"/>
        <n v="-3256.6469839008973"/>
        <n v="-1204.3503582188287"/>
        <n v="6276.6399046789029"/>
        <n v="-2320.0591017309812"/>
        <n v="6798.1473876484079"/>
        <n v="-3075.1466389185985"/>
        <n v="665.52872116088724"/>
        <n v="-1866.3163975042271"/>
        <n v="-3126.0796602392074"/>
        <n v="-2676.1694781400615"/>
        <n v="379.61932995397945"/>
        <n v="-837.39692192013717"/>
        <n v="2775.0686914242101"/>
        <n v="-1344.7291698187676"/>
        <n v="974.28729974203111"/>
        <n v="-1177.1109766480001"/>
        <n v="-1885.1338443908471"/>
        <n v="8465.5667007162519"/>
        <n v="-849.11476385770879"/>
        <n v="-1517.6732808830827"/>
        <n v="4975.1364544371027"/>
        <n v="616.61956700500377"/>
        <n v="-1334.7870428559004"/>
        <n v="-2010.070382822199"/>
        <n v="3366.1901456998003"/>
        <n v="-4554.7631929349145"/>
        <n v="2011.7797000872065"/>
        <n v="-100.55185870349865"/>
        <n v="-3101.733642174403"/>
        <n v="-87.599220228454527"/>
        <n v="6344.7931766683123"/>
        <n v="-2725.8676286470459"/>
        <n v="1588.1249923154967"/>
        <n v="-1798.4833371367015"/>
        <n v="994.64207009898587"/>
        <n v="6769.8266044473758"/>
        <n v="-4590.386070300814"/>
        <n v="-3916.9213344832647"/>
        <n v="868.86680665003871"/>
        <n v="-2671.874828667605"/>
        <n v="2761.4853572444313"/>
        <n v="-2782.4559322162131"/>
        <n v="-1534.0845051247904"/>
        <n v="-1910.6779622896188"/>
        <n v="10641.554607441387"/>
        <n v="807.97536119704523"/>
        <n v="-2943.0237140392396"/>
        <n v="-1509.3898856243179"/>
        <n v="-2163.5038283552994"/>
        <n v="-797.62511983609591"/>
        <n v="-329.31290131410333"/>
        <n v="-73.014073800709355"/>
        <n v="-640.5118409291465"/>
        <n v="-2230.0928666534305"/>
        <n v="7266.8956721526538"/>
        <n v="904.86530356926153"/>
        <n v="1170.6786774781701"/>
        <n v="425.80939888918221"/>
        <n v="668.45313133616662"/>
        <n v="-3819.0048244251225"/>
        <n v="-4994.3037672957298"/>
        <n v="-764.95144668796456"/>
        <n v="-2783.683494985411"/>
        <n v="-891.09684774496691"/>
        <n v="1746.5001993393555"/>
        <n v="-2141.4422270303849"/>
        <n v="-980.43612899953973"/>
        <n v="-1124.702485515116"/>
        <n v="4011.1970648126785"/>
        <n v="2472.0252109631524"/>
        <n v="-1554.980783441267"/>
        <n v="-1033.848710141734"/>
        <n v="2752.3087569105369"/>
        <n v="-107.10445290083481"/>
        <n v="1669.1453619270446"/>
        <n v="-1189.6260626233152"/>
        <n v="-1523.9936054616867"/>
        <n v="-182.06577010947007"/>
        <n v="-3238.6402092834574"/>
        <n v="3640.3791201686604"/>
        <n v="-3993.555723216085"/>
        <n v="-4579.4490832499687"/>
        <n v="-696.57626075446319"/>
        <n v="-5148.9626988150658"/>
        <n v="-1547.2156774009143"/>
        <n v="-518.6131257884399"/>
        <n v="-4333.0500744189158"/>
        <n v="-145.1028309809858"/>
        <n v="-3483.3914198688458"/>
        <n v="-842.7929453943558"/>
        <n v="-2024.118652351593"/>
        <n v="-2345.3852161565242"/>
        <n v="-1614.9675969529603"/>
        <n v="2146.652708399442"/>
        <n v="-2453.0639102354444"/>
        <n v="4761.1349727246334"/>
        <n v="280.71520105330472"/>
        <n v="-115.00173266328693"/>
        <n v="-5328.497136241268"/>
        <n v="886.44007490689114"/>
        <n v="106.50335437495569"/>
        <n v="2292.1594445060837"/>
        <n v="-1703.2409842123543"/>
        <n v="-246.77772840808558"/>
        <n v="-4698.3294043517835"/>
        <n v="-2269.5169633953456"/>
        <n v="-2361.78570237541"/>
        <n v="-2059.7249985554872"/>
        <n v="7385.9293525823532"/>
        <n v="-2743.2805606569273"/>
        <n v="155.93007202933097"/>
        <n v="-3465.8638412575388"/>
        <n v="-4041.3216363222132"/>
        <n v="-2426.4505561951037"/>
        <n v="10635.421167133489"/>
        <n v="253.02234955612886"/>
        <n v="-4160.314921559192"/>
        <n v="2475.8140895935003"/>
        <n v="-2763.4707565909607"/>
        <n v="-3910.1851875300413"/>
        <n v="-1759.4620176452142"/>
        <n v="-5210.168279149445"/>
        <n v="4816.3482120287536"/>
        <n v="-923.57798729330102"/>
        <n v="367.02671589401461"/>
        <n v="-1482.8938815853041"/>
        <n v="-786.88243268374777"/>
        <n v="-3621.2629115843415"/>
        <n v="-143.50974898186865"/>
        <n v="-1634.0052794635526"/>
        <n v="2284.8909179494754"/>
        <n v="-1957.0265869647037"/>
        <n v="-738.95554480813939"/>
        <n v="-1815.3611673259454"/>
        <n v="-2554.8052248563408"/>
        <n v="-1389.1900599080416"/>
        <n v="-3307.1059425725671"/>
        <n v="749.19373226758569"/>
        <n v="13221.653796398656"/>
        <n v="-3880.0216205021893"/>
        <n v="-2324.4825664191462"/>
        <n v="1689.4854910785743"/>
        <n v="-3028.0425344200657"/>
        <n v="1780.4632801379266"/>
        <n v="1403.7052975708311"/>
        <n v="-1198.0983780213098"/>
        <n v="-1531.8565515541025"/>
        <n v="-980.3486591045471"/>
        <n v="884.20068070435468"/>
        <n v="-1320.3135902520817"/>
        <n v="-3778.4328639795021"/>
        <n v="906.76487186422503"/>
        <n v="-1082.0408667280062"/>
        <n v="-2214.2383304192285"/>
        <n v="-868.86572393756239"/>
        <n v="3976.8854575730534"/>
        <n v="-1435.0634707359191"/>
        <n v="-354.33570061885621"/>
        <n v="-825.28152699904842"/>
        <n v="-886.49261972733245"/>
        <n v="-3474.5622835464424"/>
        <n v="-509.35660367486975"/>
        <n v="12716.527604664669"/>
        <n v="-995.90038330964023"/>
        <n v="1212.1629360972345"/>
        <n v="-1430.0375205498258"/>
        <n v="4054.2067232194609"/>
        <n v="3751.6241824192371"/>
        <n v="-804.99465991808415"/>
        <n v="-560.84126470204603"/>
        <n v="2901.4865285402452"/>
        <n v="6299.4343326120388"/>
        <n v="-1167.938024003503"/>
        <n v="-4190.7896522549045"/>
        <n v="-3531.3029599701385"/>
        <n v="347.10103963108833"/>
        <n v="817.07296981502702"/>
        <n v="961.66833239393804"/>
        <n v="-5279.9718574437484"/>
        <n v="-1590.1630367881796"/>
        <n v="10694.344751160206"/>
        <n v="1050.8304343762998"/>
        <n v="-2621.0571746732335"/>
        <n v="12507.085832676916"/>
        <n v="-843.42009444276255"/>
        <n v="-3644.4050545505902"/>
        <n v="-3976.7573948293748"/>
        <n v="-2565.5214688993397"/>
        <n v="862.32866525923623"/>
        <n v="-3937.9819512387567"/>
        <n v="2500.6375678239906"/>
        <n v="-4912.0478061204585"/>
        <n v="-1220.858206992172"/>
        <n v="-3657.9075480334259"/>
        <n v="-356.99265570947279"/>
        <n v="-405.69868576802361"/>
        <n v="889.11065048796524"/>
      </sharedItems>
      <fieldGroup base="0">
        <rangePr autoStart="0" autoEnd="0" startNum="-6000" endNum="26000" groupInterval="2000"/>
        <groupItems count="18">
          <s v="&lt;-6000"/>
          <s v="-6000--4000"/>
          <s v="-4000--2000"/>
          <s v="-2000-0"/>
          <s v="0-2000"/>
          <s v="2000-4000"/>
          <s v="4000-6000"/>
          <s v="6000-8000"/>
          <s v="8000-10000"/>
          <s v="10000-12000"/>
          <s v="12000-14000"/>
          <s v="14000-16000"/>
          <s v="16000-18000"/>
          <s v="18000-20000"/>
          <s v="20000-22000"/>
          <s v="22000-24000"/>
          <s v="24000-26000"/>
          <s v="&gt;26000"/>
        </groupItems>
      </fieldGroup>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mes Davies" refreshedDate="45416.803005787035" createdVersion="8" refreshedVersion="8" minRefreshableVersion="3" recordCount="1001" xr:uid="{EDF65361-4800-46D2-B2D5-693B46FFC05E}">
  <cacheSource type="worksheet">
    <worksheetSource ref="D9:D1010" sheet="MC.Lognormal_infl_adj"/>
  </cacheSource>
  <cacheFields count="1">
    <cacheField name="NPV" numFmtId="164">
      <sharedItems containsSemiMixedTypes="0" containsString="0" containsNumber="1" minValue="-3719.7196051823689" maxValue="25477.321121143839" count="1001">
        <n v="-3141.8273397758298"/>
        <n v="2890.747777571738"/>
        <n v="2575.9822036650985"/>
        <n v="4729.5642713819161"/>
        <n v="-18.451114132554203"/>
        <n v="3481.9986565338459"/>
        <n v="3101.3440562670098"/>
        <n v="2932.8955358673684"/>
        <n v="8785.4717790597861"/>
        <n v="9606.5711741482955"/>
        <n v="5092.9458004743119"/>
        <n v="3689.1445292423509"/>
        <n v="5510.9436642011515"/>
        <n v="10520.405653116746"/>
        <n v="5826.9734561279283"/>
        <n v="1931.2778683403392"/>
        <n v="7914.2735698026763"/>
        <n v="2315.6616334379773"/>
        <n v="6478.6688952681861"/>
        <n v="1084.7279605441954"/>
        <n v="293.57444274205"/>
        <n v="5706.5593289450781"/>
        <n v="3245.4180220714916"/>
        <n v="1532.4840368533974"/>
        <n v="3402.4300218793237"/>
        <n v="5968.349746645481"/>
        <n v="-371.7021219032286"/>
        <n v="6720.9368200823283"/>
        <n v="3733.242763957317"/>
        <n v="-2353.7411652801497"/>
        <n v="2969.3432129897005"/>
        <n v="1818.4994725597048"/>
        <n v="157.69965902284792"/>
        <n v="4138.0849575111461"/>
        <n v="814.7559686355138"/>
        <n v="1602.374213930831"/>
        <n v="3703.5556826576931"/>
        <n v="6023.6906651383733"/>
        <n v="147.4576429609121"/>
        <n v="4664.9031690561742"/>
        <n v="-477.4656710503013"/>
        <n v="4569.0819264215033"/>
        <n v="580.33801116892869"/>
        <n v="11702.367145642691"/>
        <n v="5120.5286301972301"/>
        <n v="4318.737143512004"/>
        <n v="316.28889581195386"/>
        <n v="10666.770544457429"/>
        <n v="1518.6331074387169"/>
        <n v="3917.2559775817549"/>
        <n v="1316.3221171048597"/>
        <n v="4567.2750758156535"/>
        <n v="-2709.0430250727704"/>
        <n v="-504.69608025334463"/>
        <n v="3956.5868011087473"/>
        <n v="1617.7925025914251"/>
        <n v="-1330.8548071544499"/>
        <n v="21040.386953108438"/>
        <n v="2307.8191650260733"/>
        <n v="4655.0105942097061"/>
        <n v="7239.8979973415035"/>
        <n v="8714.7628519048631"/>
        <n v="-1290.3362683312587"/>
        <n v="7589.8501609051873"/>
        <n v="835.8890221179405"/>
        <n v="8396.655103453335"/>
        <n v="4210.4108675942862"/>
        <n v="-1149.8720258352448"/>
        <n v="182.14256009488503"/>
        <n v="9785.6963202664101"/>
        <n v="22394.041860701764"/>
        <n v="373.11546469198294"/>
        <n v="3465.9721494067649"/>
        <n v="597.44069813119233"/>
        <n v="-796.80525754565974"/>
        <n v="2851.5338400951273"/>
        <n v="7362.4517045713665"/>
        <n v="-902.86768419826535"/>
        <n v="-409.50574544399063"/>
        <n v="-588.30452838936037"/>
        <n v="696.68844172157185"/>
        <n v="2739.3954992738836"/>
        <n v="1441.9578537690211"/>
        <n v="12388.253651395928"/>
        <n v="2004.6786687542258"/>
        <n v="13518.574308230765"/>
        <n v="-669.91866363696863"/>
        <n v="1460.4510945071384"/>
        <n v="6106.3735476088459"/>
        <n v="2392.4838706618571"/>
        <n v="9157.9199096425491"/>
        <n v="5924.5268000132073"/>
        <n v="-184.21735380705894"/>
        <n v="7019.9134206801764"/>
        <n v="5981.668064558794"/>
        <n v="-2509.1163755044217"/>
        <n v="-381.03340711113736"/>
        <n v="6804.768070645654"/>
        <n v="3090.7161288808702"/>
        <n v="7116.479388684018"/>
        <n v="9350.1438224274953"/>
        <n v="-166.68777409303425"/>
        <n v="1221.4361871558651"/>
        <n v="2541.5627663862706"/>
        <n v="818.77609388848111"/>
        <n v="-333.8952584404978"/>
        <n v="1601.4810842547602"/>
        <n v="-1146.2404278019819"/>
        <n v="5670.2706842246225"/>
        <n v="8210.8905423503056"/>
        <n v="8490.8965360625061"/>
        <n v="-1684.0786376523556"/>
        <n v="1965.2728113337132"/>
        <n v="7191.5468266205398"/>
        <n v="-368.64718960216851"/>
        <n v="9403.7986226833873"/>
        <n v="11568.799259306239"/>
        <n v="11491.507783431303"/>
        <n v="6003.8439083699686"/>
        <n v="43.607860520451268"/>
        <n v="3795.0545841491298"/>
        <n v="21316.154680374111"/>
        <n v="7605.8536043095855"/>
        <n v="6402.6264075876406"/>
        <n v="6365.4445721446373"/>
        <n v="41.344264288420121"/>
        <n v="5239.7614342195429"/>
        <n v="2411.3644258687336"/>
        <n v="8832.8212541189132"/>
        <n v="14662.368516682507"/>
        <n v="6729.2694241570061"/>
        <n v="10355.014706080936"/>
        <n v="2860.0927290850077"/>
        <n v="2451.592622144683"/>
        <n v="-1088.9266320901054"/>
        <n v="446.35463562130866"/>
        <n v="476.06068555983342"/>
        <n v="1789.4540391388637"/>
        <n v="-557.37828481545068"/>
        <n v="6104.6211284200335"/>
        <n v="15591.341571719006"/>
        <n v="5308.025089840201"/>
        <n v="10698.640851361213"/>
        <n v="1466.2222322408181"/>
        <n v="3749.5480758330755"/>
        <n v="2785.6456095588383"/>
        <n v="981.91969501239078"/>
        <n v="10459.024983269897"/>
        <n v="5496.7543214092648"/>
        <n v="3979.8928157222285"/>
        <n v="-1076.0317656639077"/>
        <n v="4714.708235799224"/>
        <n v="-477.71479630515381"/>
        <n v="16853.081635985283"/>
        <n v="883.55274927512664"/>
        <n v="549.90772816939398"/>
        <n v="3029.7783805681261"/>
        <n v="2384.3919948228859"/>
        <n v="2264.6002801105142"/>
        <n v="3500.4123020333927"/>
        <n v="2600.3097401395617"/>
        <n v="-1549.726036049344"/>
        <n v="10085.401235126126"/>
        <n v="4074.1626306757212"/>
        <n v="6656.8381022729445"/>
        <n v="7357.8329293183015"/>
        <n v="2310.6973427973785"/>
        <n v="2447.2672856674162"/>
        <n v="2509.3605782969112"/>
        <n v="-3586.557538120896"/>
        <n v="15428.539815742459"/>
        <n v="6522.5370911625523"/>
        <n v="1015.3147185669682"/>
        <n v="4242.9221983899915"/>
        <n v="3853.3800939629514"/>
        <n v="8600.7626278708976"/>
        <n v="-348.75380695225721"/>
        <n v="338.72038915045397"/>
        <n v="3188.0418040113764"/>
        <n v="2926.2198021034051"/>
        <n v="2369.7965469615324"/>
        <n v="279.03704518165029"/>
        <n v="5178.4540721438016"/>
        <n v="4685.977287502019"/>
        <n v="1532.2300166316925"/>
        <n v="12064.839123887463"/>
        <n v="7755.4187458116612"/>
        <n v="187.78453516318552"/>
        <n v="596.96298306136055"/>
        <n v="-1583.8881807885352"/>
        <n v="-317.40339927138012"/>
        <n v="3188.9013389114716"/>
        <n v="77.147027376515567"/>
        <n v="6541.0940558393504"/>
        <n v="1508.5694779120524"/>
        <n v="13907.160703063568"/>
        <n v="2071.009090746858"/>
        <n v="4361.9208722080821"/>
        <n v="1742.6194043110947"/>
        <n v="5207.5886064854585"/>
        <n v="3782.791237377281"/>
        <n v="2164.3980632318303"/>
        <n v="3227.124522744049"/>
        <n v="6664.0426096434367"/>
        <n v="10539.077735655677"/>
        <n v="2219.3241472542181"/>
        <n v="6553.5334612443685"/>
        <n v="2243.1636007160023"/>
        <n v="9951.2776355397491"/>
        <n v="-140.7931318633552"/>
        <n v="10558.480229565957"/>
        <n v="7361.8538182172906"/>
        <n v="6072.2645811764842"/>
        <n v="9521.7178836568728"/>
        <n v="3295.4615804627379"/>
        <n v="9170.7784183452695"/>
        <n v="-493.2923419997669"/>
        <n v="6685.6869532547626"/>
        <n v="12879.294311743033"/>
        <n v="2118.5441354926284"/>
        <n v="4769.2881102632946"/>
        <n v="11041.161831426341"/>
        <n v="8923.7094646575806"/>
        <n v="1131.3357995756398"/>
        <n v="9893.5129733895828"/>
        <n v="357.4606098834991"/>
        <n v="-1441.8516889962614"/>
        <n v="1484.3147404289432"/>
        <n v="4719.9509082596305"/>
        <n v="6664.9624472277465"/>
        <n v="4597.8625773594576"/>
        <n v="10225.202480806263"/>
        <n v="7010.065366484132"/>
        <n v="3315.1354833145861"/>
        <n v="3170.8106255309731"/>
        <n v="1672.9025867223336"/>
        <n v="3419.5144337404513"/>
        <n v="3355.9827490932335"/>
        <n v="1264.3564863868801"/>
        <n v="5044.3345598853921"/>
        <n v="-1211.1626671985255"/>
        <n v="3733.0202915388004"/>
        <n v="368.31263907678982"/>
        <n v="329.83497858431843"/>
        <n v="478.74838707117459"/>
        <n v="7852.3244299254748"/>
        <n v="8179.0349397389718"/>
        <n v="7317.9007651669499"/>
        <n v="4351.6616003801273"/>
        <n v="11132.090440242639"/>
        <n v="6815.5173110458263"/>
        <n v="17297.893661609975"/>
        <n v="987.32867267694405"/>
        <n v="18.033109185706778"/>
        <n v="213.42945517502767"/>
        <n v="-777.67119256336673"/>
        <n v="2442.8472461983933"/>
        <n v="6070.2287688202714"/>
        <n v="5593.7401680127259"/>
        <n v="4906.1555210000388"/>
        <n v="6129.6302825637076"/>
        <n v="1626.6016842166348"/>
        <n v="-2116.4014621113301"/>
        <n v="3142.43264577134"/>
        <n v="9931.3889044694915"/>
        <n v="1947.3301768969106"/>
        <n v="6010.0854145823287"/>
        <n v="1770.5244719321267"/>
        <n v="3131.5445070076826"/>
        <n v="3748.1592891028849"/>
        <n v="258.38253805317476"/>
        <n v="7674.6428487281837"/>
        <n v="7503.8827494674979"/>
        <n v="5160.4752951796618"/>
        <n v="9331.4785496206314"/>
        <n v="9724.1631454347189"/>
        <n v="725.94035938195043"/>
        <n v="1787.7521488677257"/>
        <n v="6236.6657597673429"/>
        <n v="3892.0483371116434"/>
        <n v="2715.1101172331382"/>
        <n v="4629.5601967323928"/>
        <n v="2627.2332396762836"/>
        <n v="2728.8329303904088"/>
        <n v="9864.7513415543199"/>
        <n v="-1101.1351306065374"/>
        <n v="7882.9674193575293"/>
        <n v="1254.1853124793909"/>
        <n v="5295.7684947167299"/>
        <n v="4648.490833672131"/>
        <n v="6086.4999331443805"/>
        <n v="7601.7628762615486"/>
        <n v="105.94865814486009"/>
        <n v="4182.3547555557961"/>
        <n v="11956.450905775862"/>
        <n v="5733.5098105788766"/>
        <n v="5730.5442757242972"/>
        <n v="8869.0584039401874"/>
        <n v="10520.73077820608"/>
        <n v="13972.144131707813"/>
        <n v="10671.501805550595"/>
        <n v="264.96237455782932"/>
        <n v="7014.3796097032982"/>
        <n v="179.06131391919763"/>
        <n v="8190.1406295284369"/>
        <n v="341.42925505702664"/>
        <n v="4587.7337184259559"/>
        <n v="-800.72482104146343"/>
        <n v="7819.812264621858"/>
        <n v="6174.8682610288806"/>
        <n v="6184.1516137250419"/>
        <n v="9277.3530765780833"/>
        <n v="2880.3474286722339"/>
        <n v="3043.9505357651196"/>
        <n v="-685.75858393768704"/>
        <n v="-1648.5935429258418"/>
        <n v="10853.901371256276"/>
        <n v="3137.1165174350058"/>
        <n v="11782.360186691363"/>
        <n v="5536.1443407334855"/>
        <n v="-2023.508774625604"/>
        <n v="1185.7459647475764"/>
        <n v="4085.5208609149536"/>
        <n v="1588.1938432776253"/>
        <n v="474.9898641941241"/>
        <n v="589.62017316692925"/>
        <n v="1556.9253491265961"/>
        <n v="6624.8072601697349"/>
        <n v="9230.7106234589337"/>
        <n v="4954.0125778180936"/>
        <n v="1032.1801555297518"/>
        <n v="15395.190980013094"/>
        <n v="11259.349842115387"/>
        <n v="4841.6384027546746"/>
        <n v="-1229.4141477101646"/>
        <n v="4595.6169666252308"/>
        <n v="2198.7535728507437"/>
        <n v="3257.4903585794705"/>
        <n v="4980.4224993830458"/>
        <n v="11723.1092231478"/>
        <n v="3798.1093752149704"/>
        <n v="5910.9629084284798"/>
        <n v="9248.0012826384282"/>
        <n v="-1600.5921944510167"/>
        <n v="3576.3819903087015"/>
        <n v="844.78188281316955"/>
        <n v="5486.5387769930885"/>
        <n v="-1140.9888837693629"/>
        <n v="607.99106970431126"/>
        <n v="1651.6894306149279"/>
        <n v="6050.0936080437459"/>
        <n v="1466.0862851308484"/>
        <n v="9230.6446637199806"/>
        <n v="4620.3006926790194"/>
        <n v="4445.6052097805477"/>
        <n v="-828.63564283285928"/>
        <n v="3747.3480317583917"/>
        <n v="4781.6904921191008"/>
        <n v="4347.9463786521192"/>
        <n v="4175.7688628289807"/>
        <n v="2781.7749778465709"/>
        <n v="1062.9457671706116"/>
        <n v="3440.0504711042195"/>
        <n v="1839.7727729111434"/>
        <n v="4469.1719769622723"/>
        <n v="17365.030769579447"/>
        <n v="5795.1983538037312"/>
        <n v="14152.163231531276"/>
        <n v="903.56609429315643"/>
        <n v="4377.2849040170777"/>
        <n v="6814.4763027074141"/>
        <n v="973.90325023310243"/>
        <n v="-89.542213968820079"/>
        <n v="5390.3286337278041"/>
        <n v="1516.6832200771451"/>
        <n v="7779.5309925292249"/>
        <n v="4274.550184223729"/>
        <n v="7918.2698418144046"/>
        <n v="5646.7148048596064"/>
        <n v="15946.057826084832"/>
        <n v="-1637.2511268018695"/>
        <n v="3673.3054413635846"/>
        <n v="2640.6511020674352"/>
        <n v="3262.5702760929657"/>
        <n v="2811.9870066760454"/>
        <n v="5684.3501358513622"/>
        <n v="1668.6624706413554"/>
        <n v="5820.30127268465"/>
        <n v="1602.1927189662404"/>
        <n v="10226.638634233876"/>
        <n v="595.80160613122757"/>
        <n v="-142.96179505764604"/>
        <n v="2170.1309151529304"/>
        <n v="7326.2937152710565"/>
        <n v="396.60330350209102"/>
        <n v="-2388.8049289218411"/>
        <n v="-621.23846308247255"/>
        <n v="3675.9765192431746"/>
        <n v="4158.7640015642146"/>
        <n v="3346.0347253703749"/>
        <n v="-1476.1406978600176"/>
        <n v="4905.2701946172692"/>
        <n v="2249.7984358064114"/>
        <n v="3442.6986349339832"/>
        <n v="23.691697658666854"/>
        <n v="477.00712143165157"/>
        <n v="-2123.7766102032865"/>
        <n v="266.45695826719754"/>
        <n v="9002.9492004058902"/>
        <n v="5132.034275356903"/>
        <n v="792.10920570792746"/>
        <n v="-472.52114100032748"/>
        <n v="3734.0558445028696"/>
        <n v="3610.7203450525185"/>
        <n v="1545.0311294644525"/>
        <n v="1499.2028054653813"/>
        <n v="1146.9492201296457"/>
        <n v="1358.0580199721333"/>
        <n v="2613.3864811258486"/>
        <n v="1863.5194389992582"/>
        <n v="-103.3680850725377"/>
        <n v="4975.5987010909721"/>
        <n v="5819.1328555174296"/>
        <n v="2832.2001440634649"/>
        <n v="1701.3806493685479"/>
        <n v="3473.612106655125"/>
        <n v="2546.6258452578727"/>
        <n v="8533.5811637824008"/>
        <n v="11587.957964764506"/>
        <n v="974.76357204467763"/>
        <n v="2692.1893924171159"/>
        <n v="2955.7487074254873"/>
        <n v="5490.9768998788804"/>
        <n v="1314.8602218757801"/>
        <n v="881.55321538746557"/>
        <n v="7036.9562324313483"/>
        <n v="994.42625683018173"/>
        <n v="7958.6833284850418"/>
        <n v="19036.724670573985"/>
        <n v="770.95552632601823"/>
        <n v="10522.498464161214"/>
        <n v="7010.5705149094183"/>
        <n v="5820.8261053737897"/>
        <n v="2409.4382153462643"/>
        <n v="8164.9105690087299"/>
        <n v="2894.2041427933973"/>
        <n v="1081.5543571855042"/>
        <n v="5068.0966057351852"/>
        <n v="-858.87317579349792"/>
        <n v="8085.8106549899376"/>
        <n v="3368.2696380582056"/>
        <n v="4407.6241482091928"/>
        <n v="5704.6131586612855"/>
        <n v="3756.92002548966"/>
        <n v="3848.6101210235165"/>
        <n v="1166.437932146097"/>
        <n v="-2001.3136209007801"/>
        <n v="3391.3817683047751"/>
        <n v="2525.6130456456503"/>
        <n v="1597.9927527295658"/>
        <n v="548.73176052389499"/>
        <n v="4654.6295645175578"/>
        <n v="8389.3036727492108"/>
        <n v="5324.2758552303394"/>
        <n v="-2913.4530966802408"/>
        <n v="1006.8236748131569"/>
        <n v="3086.1365754977069"/>
        <n v="225.27173891029878"/>
        <n v="5824.8651307852206"/>
        <n v="4234.5558533057001"/>
        <n v="1780.0519798440996"/>
        <n v="5448.1875408232236"/>
        <n v="6103.2846479034824"/>
        <n v="9909.0785856460589"/>
        <n v="7515.7934056892409"/>
        <n v="1387.1229457525747"/>
        <n v="6527.7021604611509"/>
        <n v="378.97075776731521"/>
        <n v="7402.8833128642018"/>
        <n v="3284.8567338904691"/>
        <n v="5152.7428377837896"/>
        <n v="-111.98011889425172"/>
        <n v="5705.9382515913503"/>
        <n v="-214.22669901945648"/>
        <n v="2232.512044250399"/>
        <n v="2677.9241517593946"/>
        <n v="-1453.5805751324961"/>
        <n v="14740.192362998254"/>
        <n v="-725.00904043338642"/>
        <n v="-180.6178081173764"/>
        <n v="2026.1721008925279"/>
        <n v="-1208.6490772202214"/>
        <n v="618.55001663891119"/>
        <n v="1934.1091924848026"/>
        <n v="5850.6024249288821"/>
        <n v="3666.4858132214008"/>
        <n v="1064.4629999182368"/>
        <n v="4141.4536089360181"/>
        <n v="4730.9041173709975"/>
        <n v="1073.9092663099691"/>
        <n v="4567.5893978602471"/>
        <n v="2994.8771259577388"/>
        <n v="5812.5721987616962"/>
        <n v="9469.653746765649"/>
        <n v="6285.6347954068724"/>
        <n v="11578.658747364721"/>
        <n v="-1605.8856856979278"/>
        <n v="2074.5642339418814"/>
        <n v="7545.8651429081228"/>
        <n v="4102.4861637760268"/>
        <n v="1463.7896111057182"/>
        <n v="4252.9449127174021"/>
        <n v="1873.9299277064017"/>
        <n v="7799.9173472363036"/>
        <n v="5906.0026444804162"/>
        <n v="694.51258039609888"/>
        <n v="11920.442149259121"/>
        <n v="11822.573930028455"/>
        <n v="2126.6141164070864"/>
        <n v="1090.6605374082067"/>
        <n v="7706.7398863060325"/>
        <n v="2291.8293045207138"/>
        <n v="1364.1378223736426"/>
        <n v="2152.5369608172882"/>
        <n v="8850.7103975944647"/>
        <n v="-1188.5606564756417"/>
        <n v="5307.6234791833122"/>
        <n v="3027.1907390120073"/>
        <n v="5866.4306324247045"/>
        <n v="1875.0613579625563"/>
        <n v="5324.7536271565223"/>
        <n v="5354.3325112509356"/>
        <n v="18605.755277616081"/>
        <n v="23269.922751188511"/>
        <n v="3452.8135897983962"/>
        <n v="3580.5717297810529"/>
        <n v="4837.4146640813988"/>
        <n v="10498.976741772334"/>
        <n v="2124.2480587389941"/>
        <n v="1935.3917510721378"/>
        <n v="2775.7779538858904"/>
        <n v="2038.8329064313584"/>
        <n v="2376.482040972744"/>
        <n v="720.8005667902396"/>
        <n v="7912.3003037561757"/>
        <n v="4394.8638518448388"/>
        <n v="6834.3690574440207"/>
        <n v="5594.7145163773957"/>
        <n v="9981.6863507873368"/>
        <n v="7954.234200530851"/>
        <n v="6964.0430176827158"/>
        <n v="3167.6520432307198"/>
        <n v="4590.866835314594"/>
        <n v="8266.2894074773976"/>
        <n v="1510.1451133073738"/>
        <n v="1655.3403106238411"/>
        <n v="1813.0605146164619"/>
        <n v="36.018463299933856"/>
        <n v="-1218.7497111950188"/>
        <n v="-965.97188895692989"/>
        <n v="3045.7233078068839"/>
        <n v="11150.660682801676"/>
        <n v="720.55271493626708"/>
        <n v="2254.9752181872313"/>
        <n v="817.95548530389112"/>
        <n v="-976.55066089733805"/>
        <n v="1408.809390238076"/>
        <n v="13886.600299956574"/>
        <n v="1642.4187988393808"/>
        <n v="3558.9723539114666"/>
        <n v="-767.70967695187687"/>
        <n v="5606.3952520361354"/>
        <n v="10417.627334045163"/>
        <n v="10689.543206575625"/>
        <n v="7862.5034442859633"/>
        <n v="7147.0465586341797"/>
        <n v="10272.077022027908"/>
        <n v="-1553.1902933706513"/>
        <n v="-2542.9584817918303"/>
        <n v="614.08260634354565"/>
        <n v="3103.1983934860514"/>
        <n v="218.42830203870545"/>
        <n v="8781.8513035017877"/>
        <n v="946.20844567204927"/>
        <n v="2851.0658424289863"/>
        <n v="-1182.8000986513027"/>
        <n v="2645.6176606111198"/>
        <n v="4277.4601362922804"/>
        <n v="3453.6763541077125"/>
        <n v="969.53760517454225"/>
        <n v="1116.8448002620487"/>
        <n v="3076.4729999894412"/>
        <n v="826.1815229140318"/>
        <n v="1398.6982010467671"/>
        <n v="5672.8345905449496"/>
        <n v="2562.5073179598721"/>
        <n v="1694.2240608917259"/>
        <n v="274.2859052530759"/>
        <n v="12610.711236397005"/>
        <n v="2362.0411930868659"/>
        <n v="5806.2218521040068"/>
        <n v="16923.570842873502"/>
        <n v="8358.2872498462602"/>
        <n v="7287.7635008800789"/>
        <n v="12251.793887536662"/>
        <n v="9309.6305600389442"/>
        <n v="5549.6117904580087"/>
        <n v="-75.238625558631128"/>
        <n v="1114.7223132900231"/>
        <n v="2460.205610075307"/>
        <n v="12673.862366843481"/>
        <n v="1717.1523679675779"/>
        <n v="5249.1793421325738"/>
        <n v="461.13164462692504"/>
        <n v="-1129.5868563298297"/>
        <n v="8268.4045261050833"/>
        <n v="4530.9321562480136"/>
        <n v="-1897.4849309177639"/>
        <n v="1533.1140712106608"/>
        <n v="3341.5285810627975"/>
        <n v="8973.2326922361572"/>
        <n v="4148.1469573722889"/>
        <n v="724.29821926874251"/>
        <n v="6867.1072902349952"/>
        <n v="3444.665477106566"/>
        <n v="10672.828923850626"/>
        <n v="8374.8339402744441"/>
        <n v="3266.5400412451936"/>
        <n v="3092.123486080272"/>
        <n v="8656.1870551042502"/>
        <n v="4405.0119481934671"/>
        <n v="6917.7354246736977"/>
        <n v="10110.801080985981"/>
        <n v="3688.4778977167548"/>
        <n v="7516.4079328905746"/>
        <n v="11568.494616728352"/>
        <n v="2094.0081930036927"/>
        <n v="1899.9421786812807"/>
        <n v="5294.0128037404511"/>
        <n v="-1451.194663379101"/>
        <n v="13011.524834638383"/>
        <n v="11146.604437231519"/>
        <n v="-2973.1765612328404"/>
        <n v="9651.7925410300631"/>
        <n v="-712.59194257161153"/>
        <n v="606.353731433598"/>
        <n v="4483.0119566913518"/>
        <n v="8081.8595361096122"/>
        <n v="2844.4451184121367"/>
        <n v="8054.1347285303991"/>
        <n v="1597.6844630826772"/>
        <n v="7385.8586372589052"/>
        <n v="4.584061542818155"/>
        <n v="7843.9989985438378"/>
        <n v="3440.5157318166521"/>
        <n v="9912.6558808030841"/>
        <n v="6283.2776198702613"/>
        <n v="-141.9561179908485"/>
        <n v="5326.5017506614686"/>
        <n v="5646.105302150223"/>
        <n v="5258.1945912364145"/>
        <n v="5493.6126872559653"/>
        <n v="1503.6849456066836"/>
        <n v="4260.5784515119904"/>
        <n v="15494.70492140309"/>
        <n v="-580.77163350955539"/>
        <n v="4766.1940009942318"/>
        <n v="7838.8356826260115"/>
        <n v="5145.550854834285"/>
        <n v="-997.88200266901219"/>
        <n v="5407.2399338281048"/>
        <n v="11438.999156382091"/>
        <n v="2703.2683829519178"/>
        <n v="2627.7828805966892"/>
        <n v="1424.4175259264532"/>
        <n v="244.68708704821637"/>
        <n v="-685.26972698802206"/>
        <n v="7179.205732171833"/>
        <n v="1480.577228219546"/>
        <n v="1436.0476983705612"/>
        <n v="1802.2838399527334"/>
        <n v="6687.8701512014923"/>
        <n v="685.10472999719718"/>
        <n v="-1279.8651398256113"/>
        <n v="5586.7065377295585"/>
        <n v="1649.8395975586427"/>
        <n v="3556.3087299839185"/>
        <n v="4290.2192571020196"/>
        <n v="6822.2385465035768"/>
        <n v="-2887.2005962630674"/>
        <n v="4846.5332253228098"/>
        <n v="4147.9628162406307"/>
        <n v="-1063.0551920086757"/>
        <n v="20194.122736767426"/>
        <n v="5403.8248428066399"/>
        <n v="6085.2910290073942"/>
        <n v="6543.5636511274861"/>
        <n v="300.52681524001071"/>
        <n v="5337.1802433469484"/>
        <n v="1394.4971869483645"/>
        <n v="636.74454258084074"/>
        <n v="1878.3414464043503"/>
        <n v="3669.0638436964537"/>
        <n v="10511.313667622824"/>
        <n v="2360.0991107126365"/>
        <n v="22409.039561573882"/>
        <n v="9987.9381703806921"/>
        <n v="1665.7950781834045"/>
        <n v="-1200.5005194423472"/>
        <n v="4919.7460964533484"/>
        <n v="1901.0161591095966"/>
        <n v="-1083.4445936049867"/>
        <n v="18.468426773035404"/>
        <n v="13011.178060178599"/>
        <n v="6699.3229757083564"/>
        <n v="516.93527117869519"/>
        <n v="4635.0099242381839"/>
        <n v="5786.3005893921736"/>
        <n v="469.9785593060322"/>
        <n v="984.81265037360686"/>
        <n v="204.32046273113099"/>
        <n v="-984.28058114514647"/>
        <n v="3640.2695836926518"/>
        <n v="2721.01395845262"/>
        <n v="11653.923611024989"/>
        <n v="2278.6566421765488"/>
        <n v="6993.9064418553608"/>
        <n v="12426.741905367928"/>
        <n v="4107.9144693519174"/>
        <n v="846.39938083927473"/>
        <n v="2852.9737407492812"/>
        <n v="2434.1133556612176"/>
        <n v="10699.713020065054"/>
        <n v="5144.4235333915221"/>
        <n v="1834.096939878335"/>
        <n v="1278.0565705271101"/>
        <n v="10803.584997393156"/>
        <n v="599.19623299097759"/>
        <n v="170.35100820858185"/>
        <n v="153.9833508234654"/>
        <n v="1663.1517346484591"/>
        <n v="6241.2911350160384"/>
        <n v="563.93653604917699"/>
        <n v="7078.0039248097455"/>
        <n v="329.27025389566319"/>
        <n v="12729.095595035262"/>
        <n v="8408.1741165059811"/>
        <n v="2293.6921971940769"/>
        <n v="9114.9265370458234"/>
        <n v="1252.5042801068653"/>
        <n v="1927.3849022362426"/>
        <n v="2980.7800694369507"/>
        <n v="-71.866711808530908"/>
        <n v="3255.4052612863925"/>
        <n v="1740.1394761158435"/>
        <n v="5999.0521827181201"/>
        <n v="1928.2398288258034"/>
        <n v="724.33180711229556"/>
        <n v="3674.4675755220796"/>
        <n v="6893.0353714208859"/>
        <n v="-263.43470689604857"/>
        <n v="6618.439760365618"/>
        <n v="2127.9522575332098"/>
        <n v="8543.7518143913985"/>
        <n v="8500.399436105914"/>
        <n v="793.98659525051096"/>
        <n v="3109.9579225942157"/>
        <n v="2378.5295237152404"/>
        <n v="6148.2820232190124"/>
        <n v="546.48833867187329"/>
        <n v="2288.6673148597752"/>
        <n v="7511.1119149701262"/>
        <n v="939.1404145535214"/>
        <n v="5913.8805430166585"/>
        <n v="-222.20354650070726"/>
        <n v="3605.6788274629903"/>
        <n v="7823.4325657637564"/>
        <n v="-708.51381547455185"/>
        <n v="8796.1876797087552"/>
        <n v="3394.1892990006099"/>
        <n v="9086.4206379998686"/>
        <n v="4894.9613747384819"/>
        <n v="6377.9129895119177"/>
        <n v="-566.3732795124439"/>
        <n v="-532.0099732607913"/>
        <n v="-301.15625993444735"/>
        <n v="-277.21478917333604"/>
        <n v="860.70149226238243"/>
        <n v="5754.6851340552712"/>
        <n v="4021.903836000753"/>
        <n v="2916.4874055785017"/>
        <n v="-1333.7011406861286"/>
        <n v="18267.66348559891"/>
        <n v="3537.46279814437"/>
        <n v="1890.2610254405777"/>
        <n v="1203.7465377358847"/>
        <n v="1281.898239839747"/>
        <n v="2305.2624670314108"/>
        <n v="3340.8435177041197"/>
        <n v="-575.12419867611743"/>
        <n v="4900.0826839084584"/>
        <n v="4049.8465472202793"/>
        <n v="-1620.0160786514762"/>
        <n v="6818.9867284649226"/>
        <n v="6963.0953406489798"/>
        <n v="-1716.8365575499529"/>
        <n v="-823.24273558279197"/>
        <n v="4644.2846251730698"/>
        <n v="1989.7778643833192"/>
        <n v="4203.3671054457345"/>
        <n v="3391.2911229740098"/>
        <n v="7360.540841594604"/>
        <n v="4436.725676833199"/>
        <n v="832.73228921910356"/>
        <n v="-613.05122823752981"/>
        <n v="-1613.0136790236595"/>
        <n v="609.24170538808858"/>
        <n v="2658.170092601697"/>
        <n v="430.52692660124302"/>
        <n v="-68.870909403037871"/>
        <n v="2648.4771657878018"/>
        <n v="5019.3014970600307"/>
        <n v="14189.439481881229"/>
        <n v="662.29548490040349"/>
        <n v="5494.9658906754512"/>
        <n v="7021.0432403113518"/>
        <n v="20364.007042148442"/>
        <n v="-31.537557397936517"/>
        <n v="4822.7277265925522"/>
        <n v="2628.2823406062134"/>
        <n v="8873.3309796670419"/>
        <n v="3272.9347230639082"/>
        <n v="831.54590448932152"/>
        <n v="-175.52792811508266"/>
        <n v="10631.534178182854"/>
        <n v="4202.9737471503195"/>
        <n v="4557.5567319643596"/>
        <n v="5402.5853646443638"/>
        <n v="10700.496314645256"/>
        <n v="2607.4765985094496"/>
        <n v="1590.8094054254148"/>
        <n v="760.66109641022115"/>
        <n v="-41.054066935803853"/>
        <n v="3584.164494273909"/>
        <n v="1981.2430060022577"/>
        <n v="23550.180924691605"/>
        <n v="-3719.7196051823689"/>
        <n v="1006.5802775401191"/>
        <n v="735.99389107829745"/>
        <n v="12880.024213734358"/>
        <n v="4189.1279643322878"/>
        <n v="10319.875888380249"/>
        <n v="11116.654197054631"/>
        <n v="2748.350302617444"/>
        <n v="4699.1329183595708"/>
        <n v="238.13512668958663"/>
        <n v="4624.652704517649"/>
        <n v="4634.2293242497472"/>
        <n v="2518.7738220737133"/>
        <n v="12432.638434308616"/>
        <n v="2308.8672197795759"/>
        <n v="406.98399673736884"/>
        <n v="14297.081611861058"/>
        <n v="-158.00104914871457"/>
        <n v="-275.58729868269535"/>
        <n v="16918.691901902439"/>
        <n v="3760.5635394788874"/>
        <n v="2800.8567726692158"/>
        <n v="5249.5279970004458"/>
        <n v="6193.5721285452455"/>
        <n v="6364.0788854381044"/>
        <n v="-344.51568691137021"/>
        <n v="3325.701920609898"/>
        <n v="2916.8097248764557"/>
        <n v="-24.457990071466519"/>
        <n v="3239.1731297814836"/>
        <n v="7860.7858944652316"/>
        <n v="5830.1730703600269"/>
        <n v="3278.4540302792739"/>
        <n v="9111.8040328183106"/>
        <n v="5811.7244782020771"/>
        <n v="288.23753841230098"/>
        <n v="4635.5652079351275"/>
        <n v="11386.189579992968"/>
        <n v="-739.3457958544484"/>
        <n v="15533.911852134834"/>
        <n v="7688.7652995044409"/>
        <n v="1585.8196569031447"/>
        <n v="3076.1117886596589"/>
        <n v="207.82727556239871"/>
        <n v="867.98964350857841"/>
        <n v="19092.521197763974"/>
        <n v="4498.5647175310605"/>
        <n v="4412.006427667131"/>
        <n v="9775.9731681694029"/>
        <n v="4160.9860641848672"/>
        <n v="3612.3562977885022"/>
        <n v="338.42287790129473"/>
        <n v="2110.3800016056371"/>
        <n v="2290.8413447299667"/>
        <n v="-413.01326973556189"/>
        <n v="2351.8176751125175"/>
        <n v="7085.8521099502268"/>
        <n v="972.26793910998731"/>
        <n v="740.70271629901367"/>
        <n v="7686.9298468642728"/>
        <n v="-2082.9397167986626"/>
        <n v="2434.5316765203852"/>
        <n v="1555.1194163709483"/>
        <n v="5782.2625843356409"/>
        <n v="2853.6889120114438"/>
        <n v="-381.67936185252034"/>
        <n v="934.76459712063638"/>
        <n v="9525.7034937143035"/>
        <n v="5403.5030239179096"/>
        <n v="5334.184327741038"/>
        <n v="-384.49720386499251"/>
        <n v="-1706.3314995600449"/>
        <n v="4069.6436506470886"/>
        <n v="763.58678304519435"/>
        <n v="572.97612977665631"/>
        <n v="25477.321121143839"/>
        <n v="2168.9721719657418"/>
        <n v="11657.895131870797"/>
        <n v="-1589.4827864937888"/>
        <n v="-1410.1234352929891"/>
        <n v="3702.0173381770396"/>
        <n v="3928.5940357456175"/>
        <n v="4978.2305977902997"/>
        <n v="3415.2854503624208"/>
        <n v="4503.1854956675415"/>
        <n v="5278.047963288328"/>
        <n v="-521.87853472143377"/>
        <n v="3128.3465219502159"/>
        <n v="1675.3787234266811"/>
        <n v="4274.2755001750911"/>
        <n v="3410.0499553816044"/>
        <n v="4510.3062793246263"/>
        <n v="7257.1885823766406"/>
        <n v="5532.9010962690036"/>
        <n v="3887.8364703285888"/>
        <n v="4081.2705719861638"/>
        <n v="4436.531990896422"/>
        <n v="2743.8865505039844"/>
        <n v="4060.6391205117675"/>
        <n v="1494.7098665778917"/>
        <n v="2818.0470389113602"/>
        <n v="374.55235683592792"/>
        <n v="10002.755629125146"/>
        <n v="1840.8552200968256"/>
        <n v="14045.902698762642"/>
        <n v="2251.4106972104082"/>
        <n v="3915.0930017792148"/>
        <n v="1079.0493833360017"/>
        <n v="1742.4165422758715"/>
        <n v="11228.873877752549"/>
        <n v="742.15935738811686"/>
        <n v="18628.080532019376"/>
        <n v="7992.245864773301"/>
        <n v="4774.3660800685266"/>
        <n v="5557.6885688826824"/>
        <n v="-138.73374437182787"/>
        <n v="2093.9803892739096"/>
        <n v="3755.4246086829462"/>
        <n v="9570.8451749544602"/>
        <n v="2726.9072608282754"/>
        <n v="1921.8847963991695"/>
        <n v="3964.2585846578149"/>
        <n v="5638.9811933681331"/>
        <n v="3451.6264137251273"/>
        <n v="4498.4042667789627"/>
        <n v="10008.127461078147"/>
        <n v="323.64044013886365"/>
        <n v="1670.4173388316972"/>
        <n v="3710.4684644252343"/>
        <n v="2131.2146443877232"/>
        <n v="2008.151199585373"/>
        <n v="3818.4752120883459"/>
        <n v="3326.1357541027501"/>
        <n v="4313.9393455530208"/>
        <n v="9058.8854585983718"/>
        <n v="2524.8479882600109"/>
        <n v="-6.2671823784411274"/>
        <n v="646.34774202130097"/>
        <n v="2977.1838163102934"/>
        <n v="6874.9218824912396"/>
        <n v="9398.3214794302603"/>
        <n v="7370.7161548662571"/>
        <n v="7963.8674767381281"/>
        <n v="5543.238473740922"/>
        <n v="7166.8791406686651"/>
        <n v="14825.644178083132"/>
        <n v="1325.7843063521625"/>
        <n v="3451.9185476238281"/>
        <n v="8410.7798186411055"/>
        <n v="4914.4033192496909"/>
        <n v="-293.1529680377015"/>
        <n v="3359.1727166628225"/>
        <n v="736.75947226544781"/>
        <n v="3333.8995314053182"/>
        <n v="10747.867760139769"/>
      </sharedItems>
      <fieldGroup base="0">
        <rangePr autoStart="0" autoEnd="0" startNum="-6000" endNum="26000" groupInterval="2000"/>
        <groupItems count="18">
          <s v="&lt;-6000"/>
          <s v="-6000--4000"/>
          <s v="-4000--2000"/>
          <s v="-2000-0"/>
          <s v="0-2000"/>
          <s v="2000-4000"/>
          <s v="4000-6000"/>
          <s v="6000-8000"/>
          <s v="8000-10000"/>
          <s v="10000-12000"/>
          <s v="12000-14000"/>
          <s v="14000-16000"/>
          <s v="16000-18000"/>
          <s v="18000-20000"/>
          <s v="20000-22000"/>
          <s v="22000-24000"/>
          <s v="24000-26000"/>
          <s v="&gt;2600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x v="0"/>
    <n v="158.84341903776061"/>
    <x v="0"/>
    <n v="0"/>
  </r>
  <r>
    <x v="1"/>
    <n v="27.266815556001845"/>
    <x v="1"/>
    <n v="1"/>
  </r>
  <r>
    <x v="2"/>
    <n v="29.235560420600287"/>
    <x v="2"/>
    <n v="1"/>
  </r>
  <r>
    <x v="3"/>
    <n v="28.39626991100959"/>
    <x v="3"/>
    <n v="1"/>
  </r>
  <r>
    <x v="4"/>
    <n v="59.789739079906546"/>
    <x v="4"/>
    <n v="0"/>
  </r>
  <r>
    <x v="5"/>
    <n v="19.957533664611855"/>
    <x v="5"/>
    <n v="1"/>
  </r>
  <r>
    <x v="6"/>
    <n v="114.76813642528467"/>
    <x v="6"/>
    <n v="0"/>
  </r>
  <r>
    <x v="7"/>
    <n v="12.300503823881401"/>
    <x v="7"/>
    <n v="1"/>
  </r>
  <r>
    <x v="8"/>
    <n v="142.34815297359427"/>
    <x v="8"/>
    <n v="0"/>
  </r>
  <r>
    <x v="9"/>
    <n v="46.267978091082675"/>
    <x v="9"/>
    <n v="0"/>
  </r>
  <r>
    <x v="10"/>
    <n v="54.44348467391309"/>
    <x v="10"/>
    <n v="0"/>
  </r>
  <r>
    <x v="11"/>
    <n v="27.587659837235833"/>
    <x v="11"/>
    <n v="1"/>
  </r>
  <r>
    <x v="12"/>
    <n v="16.150686187346793"/>
    <x v="12"/>
    <n v="1"/>
  </r>
  <r>
    <x v="13"/>
    <n v="22.000519324305785"/>
    <x v="13"/>
    <n v="1"/>
  </r>
  <r>
    <x v="14"/>
    <n v="34.638862487944024"/>
    <x v="14"/>
    <n v="1"/>
  </r>
  <r>
    <x v="15"/>
    <n v="46.86338660691785"/>
    <x v="15"/>
    <n v="0"/>
  </r>
  <r>
    <x v="16"/>
    <n v="38.321804533139854"/>
    <x v="16"/>
    <n v="0"/>
  </r>
  <r>
    <x v="17"/>
    <n v="31.818938656679293"/>
    <x v="17"/>
    <n v="1"/>
  </r>
  <r>
    <x v="18"/>
    <n v="23.855089604826141"/>
    <x v="18"/>
    <n v="1"/>
  </r>
  <r>
    <x v="19"/>
    <n v="26.129390451708637"/>
    <x v="19"/>
    <n v="1"/>
  </r>
  <r>
    <x v="20"/>
    <n v="36.396181045435249"/>
    <x v="20"/>
    <n v="1"/>
  </r>
  <r>
    <x v="21"/>
    <n v="55.691530816101256"/>
    <x v="21"/>
    <n v="0"/>
  </r>
  <r>
    <x v="22"/>
    <n v="44.821146212711938"/>
    <x v="22"/>
    <n v="0"/>
  </r>
  <r>
    <x v="23"/>
    <n v="20.164672905810434"/>
    <x v="23"/>
    <n v="1"/>
  </r>
  <r>
    <x v="24"/>
    <n v="52.50812130988227"/>
    <x v="24"/>
    <n v="0"/>
  </r>
  <r>
    <x v="25"/>
    <n v="40.251349860488666"/>
    <x v="25"/>
    <n v="0"/>
  </r>
  <r>
    <x v="26"/>
    <n v="8.3074983237772226"/>
    <x v="26"/>
    <n v="1"/>
  </r>
  <r>
    <x v="27"/>
    <n v="16.970926648028453"/>
    <x v="27"/>
    <n v="1"/>
  </r>
  <r>
    <x v="28"/>
    <n v="75.685682824535959"/>
    <x v="28"/>
    <n v="0"/>
  </r>
  <r>
    <x v="29"/>
    <n v="73.110656007878731"/>
    <x v="29"/>
    <n v="0"/>
  </r>
  <r>
    <x v="30"/>
    <n v="27.051013490028364"/>
    <x v="30"/>
    <n v="1"/>
  </r>
  <r>
    <x v="31"/>
    <n v="21.759133821647907"/>
    <x v="31"/>
    <n v="1"/>
  </r>
  <r>
    <x v="32"/>
    <n v="35.87252777727501"/>
    <x v="32"/>
    <n v="1"/>
  </r>
  <r>
    <x v="33"/>
    <n v="61.136931231969164"/>
    <x v="33"/>
    <n v="0"/>
  </r>
  <r>
    <x v="34"/>
    <n v="61.667699724278158"/>
    <x v="34"/>
    <n v="0"/>
  </r>
  <r>
    <x v="35"/>
    <n v="26.643714048903664"/>
    <x v="35"/>
    <n v="1"/>
  </r>
  <r>
    <x v="36"/>
    <n v="25.867054414448482"/>
    <x v="36"/>
    <n v="1"/>
  </r>
  <r>
    <x v="37"/>
    <n v="42.236800510555426"/>
    <x v="37"/>
    <n v="0"/>
  </r>
  <r>
    <x v="38"/>
    <n v="30.863122585446135"/>
    <x v="38"/>
    <n v="1"/>
  </r>
  <r>
    <x v="39"/>
    <n v="15.792573141941228"/>
    <x v="39"/>
    <n v="1"/>
  </r>
  <r>
    <x v="40"/>
    <n v="20.089099494831547"/>
    <x v="40"/>
    <n v="1"/>
  </r>
  <r>
    <x v="41"/>
    <n v="38.611285107850904"/>
    <x v="41"/>
    <n v="0"/>
  </r>
  <r>
    <x v="42"/>
    <n v="86.916900547261804"/>
    <x v="42"/>
    <n v="0"/>
  </r>
  <r>
    <x v="43"/>
    <n v="21.775705077570297"/>
    <x v="43"/>
    <n v="1"/>
  </r>
  <r>
    <x v="44"/>
    <n v="18.112200249456944"/>
    <x v="44"/>
    <n v="1"/>
  </r>
  <r>
    <x v="45"/>
    <n v="50.554797496420136"/>
    <x v="45"/>
    <n v="0"/>
  </r>
  <r>
    <x v="46"/>
    <n v="18.978307119495916"/>
    <x v="46"/>
    <n v="1"/>
  </r>
  <r>
    <x v="47"/>
    <n v="43.410421797010699"/>
    <x v="47"/>
    <n v="0"/>
  </r>
  <r>
    <x v="48"/>
    <n v="88.949535904862728"/>
    <x v="48"/>
    <n v="0"/>
  </r>
  <r>
    <x v="49"/>
    <n v="16.030673772847479"/>
    <x v="49"/>
    <n v="1"/>
  </r>
  <r>
    <x v="50"/>
    <n v="49.13083000061642"/>
    <x v="50"/>
    <n v="0"/>
  </r>
  <r>
    <x v="51"/>
    <n v="106.30930549859883"/>
    <x v="51"/>
    <n v="0"/>
  </r>
  <r>
    <x v="52"/>
    <n v="30.204273410107358"/>
    <x v="52"/>
    <n v="1"/>
  </r>
  <r>
    <x v="53"/>
    <n v="101.4036718230365"/>
    <x v="53"/>
    <n v="0"/>
  </r>
  <r>
    <x v="54"/>
    <n v="91.322531705732416"/>
    <x v="54"/>
    <n v="0"/>
  </r>
  <r>
    <x v="55"/>
    <n v="51.672845090273512"/>
    <x v="55"/>
    <n v="0"/>
  </r>
  <r>
    <x v="56"/>
    <n v="40.082521657339505"/>
    <x v="56"/>
    <n v="0"/>
  </r>
  <r>
    <x v="57"/>
    <n v="22.501719494902183"/>
    <x v="57"/>
    <n v="1"/>
  </r>
  <r>
    <x v="58"/>
    <n v="72.966234207106339"/>
    <x v="58"/>
    <n v="0"/>
  </r>
  <r>
    <x v="59"/>
    <n v="8.167897213214907"/>
    <x v="59"/>
    <n v="1"/>
  </r>
  <r>
    <x v="60"/>
    <n v="55.467082385873248"/>
    <x v="60"/>
    <n v="0"/>
  </r>
  <r>
    <x v="61"/>
    <n v="11.497930952789421"/>
    <x v="61"/>
    <n v="1"/>
  </r>
  <r>
    <x v="62"/>
    <n v="9.2487270102256574"/>
    <x v="62"/>
    <n v="1"/>
  </r>
  <r>
    <x v="63"/>
    <n v="18.818685503872167"/>
    <x v="63"/>
    <n v="1"/>
  </r>
  <r>
    <x v="64"/>
    <n v="52.317197548675836"/>
    <x v="64"/>
    <n v="0"/>
  </r>
  <r>
    <x v="65"/>
    <n v="7.3923155057215943"/>
    <x v="65"/>
    <n v="1"/>
  </r>
  <r>
    <x v="66"/>
    <n v="47.833834523923024"/>
    <x v="66"/>
    <n v="0"/>
  </r>
  <r>
    <x v="67"/>
    <n v="60.623906623212235"/>
    <x v="67"/>
    <n v="0"/>
  </r>
  <r>
    <x v="68"/>
    <n v="32.273715705314068"/>
    <x v="68"/>
    <n v="1"/>
  </r>
  <r>
    <x v="69"/>
    <n v="68.678739450068207"/>
    <x v="69"/>
    <n v="0"/>
  </r>
  <r>
    <x v="70"/>
    <n v="17.150145053601243"/>
    <x v="70"/>
    <n v="1"/>
  </r>
  <r>
    <x v="71"/>
    <n v="34.316045067091984"/>
    <x v="71"/>
    <n v="1"/>
  </r>
  <r>
    <x v="72"/>
    <n v="46.581846168015474"/>
    <x v="72"/>
    <n v="0"/>
  </r>
  <r>
    <x v="73"/>
    <n v="19.269842308697925"/>
    <x v="73"/>
    <n v="1"/>
  </r>
  <r>
    <x v="74"/>
    <n v="26.450225042048885"/>
    <x v="74"/>
    <n v="1"/>
  </r>
  <r>
    <x v="75"/>
    <n v="32.832674042279493"/>
    <x v="75"/>
    <n v="1"/>
  </r>
  <r>
    <x v="76"/>
    <n v="41.283978515692304"/>
    <x v="76"/>
    <n v="0"/>
  </r>
  <r>
    <x v="77"/>
    <n v="74.934691961672101"/>
    <x v="77"/>
    <n v="0"/>
  </r>
  <r>
    <x v="78"/>
    <n v="39.035146620861724"/>
    <x v="78"/>
    <n v="0"/>
  </r>
  <r>
    <x v="79"/>
    <n v="11.585140268097398"/>
    <x v="79"/>
    <n v="1"/>
  </r>
  <r>
    <x v="80"/>
    <n v="15.621686762494567"/>
    <x v="80"/>
    <n v="1"/>
  </r>
  <r>
    <x v="81"/>
    <n v="23.812076840476003"/>
    <x v="81"/>
    <n v="1"/>
  </r>
  <r>
    <x v="82"/>
    <n v="7.5537158566248044"/>
    <x v="82"/>
    <n v="1"/>
  </r>
  <r>
    <x v="83"/>
    <n v="30.979985016975363"/>
    <x v="83"/>
    <n v="1"/>
  </r>
  <r>
    <x v="84"/>
    <n v="22.409623508928238"/>
    <x v="84"/>
    <n v="1"/>
  </r>
  <r>
    <x v="85"/>
    <n v="50.871385137955919"/>
    <x v="85"/>
    <n v="0"/>
  </r>
  <r>
    <x v="86"/>
    <n v="21.116679746513991"/>
    <x v="86"/>
    <n v="1"/>
  </r>
  <r>
    <x v="87"/>
    <n v="24.495098426594392"/>
    <x v="87"/>
    <n v="1"/>
  </r>
  <r>
    <x v="88"/>
    <n v="29.561227674567014"/>
    <x v="88"/>
    <n v="1"/>
  </r>
  <r>
    <x v="89"/>
    <n v="42.7941549509612"/>
    <x v="89"/>
    <n v="0"/>
  </r>
  <r>
    <x v="90"/>
    <n v="29.644409461754861"/>
    <x v="90"/>
    <n v="1"/>
  </r>
  <r>
    <x v="91"/>
    <n v="36.035186515285503"/>
    <x v="91"/>
    <n v="1"/>
  </r>
  <r>
    <x v="92"/>
    <n v="25.276197329136515"/>
    <x v="92"/>
    <n v="1"/>
  </r>
  <r>
    <x v="93"/>
    <n v="58.469841942422462"/>
    <x v="93"/>
    <n v="0"/>
  </r>
  <r>
    <x v="94"/>
    <n v="65.418677906986147"/>
    <x v="94"/>
    <n v="0"/>
  </r>
  <r>
    <x v="95"/>
    <n v="20.020331596089143"/>
    <x v="95"/>
    <n v="1"/>
  </r>
  <r>
    <x v="96"/>
    <n v="32.524567143730948"/>
    <x v="96"/>
    <n v="1"/>
  </r>
  <r>
    <x v="97"/>
    <n v="60.432010868459734"/>
    <x v="97"/>
    <n v="0"/>
  </r>
  <r>
    <x v="98"/>
    <n v="24.874540070362709"/>
    <x v="98"/>
    <n v="1"/>
  </r>
  <r>
    <x v="99"/>
    <n v="34.566838444562784"/>
    <x v="99"/>
    <n v="1"/>
  </r>
  <r>
    <x v="100"/>
    <n v="52.915644048287817"/>
    <x v="100"/>
    <n v="0"/>
  </r>
  <r>
    <x v="101"/>
    <n v="39.844445059448482"/>
    <x v="101"/>
    <n v="0"/>
  </r>
  <r>
    <x v="102"/>
    <n v="71.634871379783576"/>
    <x v="102"/>
    <n v="0"/>
  </r>
  <r>
    <x v="103"/>
    <n v="51.726412163975176"/>
    <x v="103"/>
    <n v="0"/>
  </r>
  <r>
    <x v="104"/>
    <n v="75.341048979602661"/>
    <x v="104"/>
    <n v="0"/>
  </r>
  <r>
    <x v="105"/>
    <n v="15.938499341590868"/>
    <x v="105"/>
    <n v="1"/>
  </r>
  <r>
    <x v="106"/>
    <n v="16.837440711748087"/>
    <x v="106"/>
    <n v="1"/>
  </r>
  <r>
    <x v="107"/>
    <n v="19.222563270368326"/>
    <x v="107"/>
    <n v="1"/>
  </r>
  <r>
    <x v="108"/>
    <n v="39.729155037056195"/>
    <x v="108"/>
    <n v="0"/>
  </r>
  <r>
    <x v="109"/>
    <n v="46.39792725571364"/>
    <x v="109"/>
    <n v="0"/>
  </r>
  <r>
    <x v="110"/>
    <n v="18.917210772831559"/>
    <x v="110"/>
    <n v="1"/>
  </r>
  <r>
    <x v="111"/>
    <n v="34.972257995293546"/>
    <x v="111"/>
    <n v="1"/>
  </r>
  <r>
    <x v="112"/>
    <n v="39.570060642047487"/>
    <x v="112"/>
    <n v="0"/>
  </r>
  <r>
    <x v="113"/>
    <n v="31.566077587187952"/>
    <x v="113"/>
    <n v="1"/>
  </r>
  <r>
    <x v="114"/>
    <n v="30.458900832274157"/>
    <x v="114"/>
    <n v="1"/>
  </r>
  <r>
    <x v="115"/>
    <n v="10.757854224422923"/>
    <x v="115"/>
    <n v="1"/>
  </r>
  <r>
    <x v="116"/>
    <n v="40.028208113581272"/>
    <x v="116"/>
    <n v="0"/>
  </r>
  <r>
    <x v="117"/>
    <n v="27.006185401765073"/>
    <x v="117"/>
    <n v="1"/>
  </r>
  <r>
    <x v="118"/>
    <n v="45.78821287186323"/>
    <x v="118"/>
    <n v="0"/>
  </r>
  <r>
    <x v="119"/>
    <n v="16.700020210790242"/>
    <x v="119"/>
    <n v="1"/>
  </r>
  <r>
    <x v="120"/>
    <n v="12.004234256050708"/>
    <x v="120"/>
    <n v="1"/>
  </r>
  <r>
    <x v="121"/>
    <n v="24.945060659139656"/>
    <x v="121"/>
    <n v="1"/>
  </r>
  <r>
    <x v="122"/>
    <n v="20.695644316241598"/>
    <x v="122"/>
    <n v="1"/>
  </r>
  <r>
    <x v="123"/>
    <n v="57.780509347714982"/>
    <x v="123"/>
    <n v="0"/>
  </r>
  <r>
    <x v="124"/>
    <n v="89.857573347334139"/>
    <x v="124"/>
    <n v="0"/>
  </r>
  <r>
    <x v="125"/>
    <n v="17.008063774420147"/>
    <x v="125"/>
    <n v="1"/>
  </r>
  <r>
    <x v="126"/>
    <n v="38.264949222713241"/>
    <x v="126"/>
    <n v="0"/>
  </r>
  <r>
    <x v="127"/>
    <n v="28.605510615574886"/>
    <x v="127"/>
    <n v="1"/>
  </r>
  <r>
    <x v="128"/>
    <n v="53.354980587746596"/>
    <x v="128"/>
    <n v="0"/>
  </r>
  <r>
    <x v="129"/>
    <n v="8.5831055297189227"/>
    <x v="129"/>
    <n v="1"/>
  </r>
  <r>
    <x v="130"/>
    <n v="33.68307564608223"/>
    <x v="130"/>
    <n v="1"/>
  </r>
  <r>
    <x v="131"/>
    <n v="48.09563129661818"/>
    <x v="131"/>
    <n v="0"/>
  </r>
  <r>
    <x v="132"/>
    <n v="15.962740630830767"/>
    <x v="132"/>
    <n v="1"/>
  </r>
  <r>
    <x v="133"/>
    <n v="24.518812708070168"/>
    <x v="133"/>
    <n v="1"/>
  </r>
  <r>
    <x v="134"/>
    <n v="28.649315468647192"/>
    <x v="134"/>
    <n v="1"/>
  </r>
  <r>
    <x v="135"/>
    <n v="36.437241315166631"/>
    <x v="135"/>
    <n v="1"/>
  </r>
  <r>
    <x v="136"/>
    <n v="18.103260766546164"/>
    <x v="136"/>
    <n v="1"/>
  </r>
  <r>
    <x v="137"/>
    <n v="9.6553756630171854"/>
    <x v="137"/>
    <n v="1"/>
  </r>
  <r>
    <x v="138"/>
    <n v="45.898182560813154"/>
    <x v="138"/>
    <n v="0"/>
  </r>
  <r>
    <x v="139"/>
    <n v="46.602884355355542"/>
    <x v="139"/>
    <n v="0"/>
  </r>
  <r>
    <x v="140"/>
    <n v="49.166463547277218"/>
    <x v="140"/>
    <n v="0"/>
  </r>
  <r>
    <x v="141"/>
    <n v="22.603532280705632"/>
    <x v="141"/>
    <n v="1"/>
  </r>
  <r>
    <x v="142"/>
    <n v="38.330866502629533"/>
    <x v="142"/>
    <n v="0"/>
  </r>
  <r>
    <x v="143"/>
    <n v="17.435052156439571"/>
    <x v="143"/>
    <n v="1"/>
  </r>
  <r>
    <x v="144"/>
    <n v="24.611506891595326"/>
    <x v="144"/>
    <n v="1"/>
  </r>
  <r>
    <x v="145"/>
    <n v="23.41207273349935"/>
    <x v="145"/>
    <n v="1"/>
  </r>
  <r>
    <x v="146"/>
    <n v="20.313514166439131"/>
    <x v="146"/>
    <n v="1"/>
  </r>
  <r>
    <x v="147"/>
    <n v="115.81161666407736"/>
    <x v="147"/>
    <n v="0"/>
  </r>
  <r>
    <x v="148"/>
    <n v="123.8888162656777"/>
    <x v="148"/>
    <n v="0"/>
  </r>
  <r>
    <x v="149"/>
    <n v="31.922528908655618"/>
    <x v="149"/>
    <n v="1"/>
  </r>
  <r>
    <x v="150"/>
    <n v="9.7788786698449179"/>
    <x v="150"/>
    <n v="1"/>
  </r>
  <r>
    <x v="151"/>
    <n v="78.37229377794489"/>
    <x v="151"/>
    <n v="0"/>
  </r>
  <r>
    <x v="152"/>
    <n v="60.235359391954525"/>
    <x v="152"/>
    <n v="0"/>
  </r>
  <r>
    <x v="153"/>
    <n v="52.699841642334704"/>
    <x v="153"/>
    <n v="0"/>
  </r>
  <r>
    <x v="154"/>
    <n v="52.223051065374797"/>
    <x v="154"/>
    <n v="0"/>
  </r>
  <r>
    <x v="155"/>
    <n v="21.445201514517372"/>
    <x v="155"/>
    <n v="1"/>
  </r>
  <r>
    <x v="156"/>
    <n v="88.72205668433682"/>
    <x v="156"/>
    <n v="0"/>
  </r>
  <r>
    <x v="157"/>
    <n v="36.758567430169286"/>
    <x v="157"/>
    <n v="1"/>
  </r>
  <r>
    <x v="158"/>
    <n v="91.37530064079229"/>
    <x v="158"/>
    <n v="0"/>
  </r>
  <r>
    <x v="159"/>
    <n v="37.500523067058644"/>
    <x v="159"/>
    <n v="0"/>
  </r>
  <r>
    <x v="160"/>
    <n v="14.25145117198659"/>
    <x v="160"/>
    <n v="1"/>
  </r>
  <r>
    <x v="161"/>
    <n v="51.018390344920036"/>
    <x v="161"/>
    <n v="0"/>
  </r>
  <r>
    <x v="162"/>
    <n v="45.471396752865736"/>
    <x v="162"/>
    <n v="0"/>
  </r>
  <r>
    <x v="163"/>
    <n v="37.581180714762802"/>
    <x v="163"/>
    <n v="0"/>
  </r>
  <r>
    <x v="164"/>
    <n v="11.291649772836124"/>
    <x v="164"/>
    <n v="1"/>
  </r>
  <r>
    <x v="165"/>
    <n v="38.269899340459396"/>
    <x v="165"/>
    <n v="0"/>
  </r>
  <r>
    <x v="166"/>
    <n v="37.010828901743182"/>
    <x v="166"/>
    <n v="1"/>
  </r>
  <r>
    <x v="167"/>
    <n v="22.963402007892597"/>
    <x v="167"/>
    <n v="1"/>
  </r>
  <r>
    <x v="168"/>
    <n v="25.21541906128305"/>
    <x v="168"/>
    <n v="1"/>
  </r>
  <r>
    <x v="169"/>
    <n v="12.712344315714889"/>
    <x v="169"/>
    <n v="1"/>
  </r>
  <r>
    <x v="170"/>
    <n v="5.1394899477658251"/>
    <x v="170"/>
    <n v="1"/>
  </r>
  <r>
    <x v="171"/>
    <n v="20.134664209495746"/>
    <x v="171"/>
    <n v="1"/>
  </r>
  <r>
    <x v="172"/>
    <n v="17.311420381334518"/>
    <x v="172"/>
    <n v="1"/>
  </r>
  <r>
    <x v="173"/>
    <n v="45.602370722218701"/>
    <x v="173"/>
    <n v="0"/>
  </r>
  <r>
    <x v="174"/>
    <n v="13.514761792706285"/>
    <x v="174"/>
    <n v="1"/>
  </r>
  <r>
    <x v="175"/>
    <n v="10.576728463792533"/>
    <x v="175"/>
    <n v="1"/>
  </r>
  <r>
    <x v="176"/>
    <n v="9.7252821523339126"/>
    <x v="176"/>
    <n v="1"/>
  </r>
  <r>
    <x v="177"/>
    <n v="48.208140112823315"/>
    <x v="177"/>
    <n v="0"/>
  </r>
  <r>
    <x v="178"/>
    <n v="48.230466139947438"/>
    <x v="178"/>
    <n v="0"/>
  </r>
  <r>
    <x v="179"/>
    <n v="17.568694604563518"/>
    <x v="179"/>
    <n v="1"/>
  </r>
  <r>
    <x v="180"/>
    <n v="46.63055534346212"/>
    <x v="180"/>
    <n v="0"/>
  </r>
  <r>
    <x v="181"/>
    <n v="127.40913690358495"/>
    <x v="181"/>
    <n v="0"/>
  </r>
  <r>
    <x v="182"/>
    <n v="15.620299313692426"/>
    <x v="182"/>
    <n v="1"/>
  </r>
  <r>
    <x v="183"/>
    <n v="4.1522308128895284"/>
    <x v="183"/>
    <n v="1"/>
  </r>
  <r>
    <x v="184"/>
    <n v="23.65710817640641"/>
    <x v="184"/>
    <n v="1"/>
  </r>
  <r>
    <x v="185"/>
    <n v="13.612273889589467"/>
    <x v="185"/>
    <n v="1"/>
  </r>
  <r>
    <x v="186"/>
    <n v="11.935021703661516"/>
    <x v="186"/>
    <n v="1"/>
  </r>
  <r>
    <x v="187"/>
    <n v="25.23110930674213"/>
    <x v="187"/>
    <n v="1"/>
  </r>
  <r>
    <x v="188"/>
    <n v="24.021827598159138"/>
    <x v="188"/>
    <n v="1"/>
  </r>
  <r>
    <x v="189"/>
    <n v="11.795294634810375"/>
    <x v="189"/>
    <n v="1"/>
  </r>
  <r>
    <x v="190"/>
    <n v="26.719743327976733"/>
    <x v="190"/>
    <n v="1"/>
  </r>
  <r>
    <x v="191"/>
    <n v="27.325688325256245"/>
    <x v="191"/>
    <n v="1"/>
  </r>
  <r>
    <x v="192"/>
    <n v="166.62597389079198"/>
    <x v="192"/>
    <n v="0"/>
  </r>
  <r>
    <x v="193"/>
    <n v="22.716187735133971"/>
    <x v="193"/>
    <n v="1"/>
  </r>
  <r>
    <x v="194"/>
    <n v="70.077718160623618"/>
    <x v="194"/>
    <n v="0"/>
  </r>
  <r>
    <x v="195"/>
    <n v="33.150833076403202"/>
    <x v="195"/>
    <n v="1"/>
  </r>
  <r>
    <x v="196"/>
    <n v="69.924767252356858"/>
    <x v="196"/>
    <n v="0"/>
  </r>
  <r>
    <x v="197"/>
    <n v="31.441464409829482"/>
    <x v="197"/>
    <n v="1"/>
  </r>
  <r>
    <x v="198"/>
    <n v="49.058443575644709"/>
    <x v="198"/>
    <n v="0"/>
  </r>
  <r>
    <x v="199"/>
    <n v="57.818842930135908"/>
    <x v="199"/>
    <n v="0"/>
  </r>
  <r>
    <x v="200"/>
    <n v="29.31242225491118"/>
    <x v="200"/>
    <n v="1"/>
  </r>
  <r>
    <x v="201"/>
    <n v="49.11139000335141"/>
    <x v="201"/>
    <n v="0"/>
  </r>
  <r>
    <x v="202"/>
    <n v="23.303911124318255"/>
    <x v="202"/>
    <n v="1"/>
  </r>
  <r>
    <x v="203"/>
    <n v="33.073214962281924"/>
    <x v="203"/>
    <n v="1"/>
  </r>
  <r>
    <x v="204"/>
    <n v="12.631892629811659"/>
    <x v="204"/>
    <n v="1"/>
  </r>
  <r>
    <x v="205"/>
    <n v="64.398090854833924"/>
    <x v="205"/>
    <n v="0"/>
  </r>
  <r>
    <x v="206"/>
    <n v="14.863108942996474"/>
    <x v="206"/>
    <n v="1"/>
  </r>
  <r>
    <x v="207"/>
    <n v="27.404841156869935"/>
    <x v="207"/>
    <n v="1"/>
  </r>
  <r>
    <x v="208"/>
    <n v="34.1525658016105"/>
    <x v="208"/>
    <n v="1"/>
  </r>
  <r>
    <x v="209"/>
    <n v="16.069911483071522"/>
    <x v="209"/>
    <n v="1"/>
  </r>
  <r>
    <x v="210"/>
    <n v="202.46267440176695"/>
    <x v="210"/>
    <n v="0"/>
  </r>
  <r>
    <x v="211"/>
    <n v="17.607370063038609"/>
    <x v="211"/>
    <n v="1"/>
  </r>
  <r>
    <x v="212"/>
    <n v="41.321993126506847"/>
    <x v="212"/>
    <n v="0"/>
  </r>
  <r>
    <x v="213"/>
    <n v="7.2285007206241305"/>
    <x v="213"/>
    <n v="1"/>
  </r>
  <r>
    <x v="214"/>
    <n v="101.12423828558715"/>
    <x v="214"/>
    <n v="0"/>
  </r>
  <r>
    <x v="215"/>
    <n v="8.7568827208581137"/>
    <x v="215"/>
    <n v="1"/>
  </r>
  <r>
    <x v="216"/>
    <n v="48.366908841705083"/>
    <x v="216"/>
    <n v="0"/>
  </r>
  <r>
    <x v="217"/>
    <n v="30.27377413268373"/>
    <x v="217"/>
    <n v="1"/>
  </r>
  <r>
    <x v="218"/>
    <n v="8.9785705612286755"/>
    <x v="218"/>
    <n v="1"/>
  </r>
  <r>
    <x v="219"/>
    <n v="6.0051845273987805"/>
    <x v="219"/>
    <n v="1"/>
  </r>
  <r>
    <x v="220"/>
    <n v="5.8062993490750463"/>
    <x v="220"/>
    <n v="1"/>
  </r>
  <r>
    <x v="221"/>
    <n v="30.500529786347091"/>
    <x v="221"/>
    <n v="1"/>
  </r>
  <r>
    <x v="222"/>
    <n v="20.411441965949727"/>
    <x v="222"/>
    <n v="1"/>
  </r>
  <r>
    <x v="223"/>
    <n v="29.010680633726626"/>
    <x v="223"/>
    <n v="1"/>
  </r>
  <r>
    <x v="224"/>
    <n v="14.734418482656839"/>
    <x v="224"/>
    <n v="1"/>
  </r>
  <r>
    <x v="225"/>
    <n v="80.425335974254594"/>
    <x v="225"/>
    <n v="0"/>
  </r>
  <r>
    <x v="226"/>
    <n v="31.701629492561068"/>
    <x v="226"/>
    <n v="1"/>
  </r>
  <r>
    <x v="227"/>
    <n v="17.241757888689158"/>
    <x v="227"/>
    <n v="1"/>
  </r>
  <r>
    <x v="228"/>
    <n v="39.844707044618197"/>
    <x v="228"/>
    <n v="0"/>
  </r>
  <r>
    <x v="229"/>
    <n v="137.25785522528929"/>
    <x v="229"/>
    <n v="0"/>
  </r>
  <r>
    <x v="230"/>
    <n v="35.427365930574865"/>
    <x v="230"/>
    <n v="1"/>
  </r>
  <r>
    <x v="231"/>
    <n v="31.8611139727292"/>
    <x v="231"/>
    <n v="1"/>
  </r>
  <r>
    <x v="232"/>
    <n v="109.75592996382879"/>
    <x v="232"/>
    <n v="0"/>
  </r>
  <r>
    <x v="233"/>
    <n v="26.637164195001322"/>
    <x v="233"/>
    <n v="1"/>
  </r>
  <r>
    <x v="234"/>
    <n v="15.757425082108941"/>
    <x v="234"/>
    <n v="1"/>
  </r>
  <r>
    <x v="235"/>
    <n v="56.321086225194129"/>
    <x v="235"/>
    <n v="0"/>
  </r>
  <r>
    <x v="236"/>
    <n v="89.419074561662129"/>
    <x v="236"/>
    <n v="0"/>
  </r>
  <r>
    <x v="237"/>
    <n v="23.841136416884154"/>
    <x v="237"/>
    <n v="1"/>
  </r>
  <r>
    <x v="238"/>
    <n v="25.655417332265078"/>
    <x v="238"/>
    <n v="1"/>
  </r>
  <r>
    <x v="239"/>
    <n v="26.819515251592208"/>
    <x v="239"/>
    <n v="1"/>
  </r>
  <r>
    <x v="240"/>
    <n v="59.430518585889395"/>
    <x v="240"/>
    <n v="0"/>
  </r>
  <r>
    <x v="241"/>
    <n v="70.846550570264739"/>
    <x v="241"/>
    <n v="0"/>
  </r>
  <r>
    <x v="242"/>
    <n v="33.174173063105371"/>
    <x v="242"/>
    <n v="1"/>
  </r>
  <r>
    <x v="243"/>
    <n v="41.708078100018056"/>
    <x v="243"/>
    <n v="0"/>
  </r>
  <r>
    <x v="244"/>
    <n v="150.49451808287205"/>
    <x v="244"/>
    <n v="0"/>
  </r>
  <r>
    <x v="245"/>
    <n v="17.962934526101176"/>
    <x v="245"/>
    <n v="1"/>
  </r>
  <r>
    <x v="246"/>
    <n v="38.679082858026291"/>
    <x v="246"/>
    <n v="0"/>
  </r>
  <r>
    <x v="247"/>
    <n v="18.614609828519274"/>
    <x v="247"/>
    <n v="1"/>
  </r>
  <r>
    <x v="248"/>
    <n v="28.885711769696517"/>
    <x v="248"/>
    <n v="1"/>
  </r>
  <r>
    <x v="249"/>
    <n v="11.204691814538807"/>
    <x v="249"/>
    <n v="1"/>
  </r>
  <r>
    <x v="250"/>
    <n v="10.427686015731798"/>
    <x v="250"/>
    <n v="1"/>
  </r>
  <r>
    <x v="251"/>
    <n v="13.9383890555708"/>
    <x v="251"/>
    <n v="1"/>
  </r>
  <r>
    <x v="252"/>
    <n v="8.2814996124051152"/>
    <x v="252"/>
    <n v="1"/>
  </r>
  <r>
    <x v="253"/>
    <n v="38.588149995248081"/>
    <x v="253"/>
    <n v="0"/>
  </r>
  <r>
    <x v="254"/>
    <n v="109.36844194482572"/>
    <x v="254"/>
    <n v="0"/>
  </r>
  <r>
    <x v="255"/>
    <n v="31.662880644199138"/>
    <x v="255"/>
    <n v="1"/>
  </r>
  <r>
    <x v="256"/>
    <n v="21.024775938581413"/>
    <x v="256"/>
    <n v="1"/>
  </r>
  <r>
    <x v="257"/>
    <n v="77.547010468431537"/>
    <x v="257"/>
    <n v="0"/>
  </r>
  <r>
    <x v="258"/>
    <n v="75.833319828890879"/>
    <x v="258"/>
    <n v="0"/>
  </r>
  <r>
    <x v="259"/>
    <n v="59.15305281538145"/>
    <x v="259"/>
    <n v="0"/>
  </r>
  <r>
    <x v="260"/>
    <n v="47.857304674676982"/>
    <x v="260"/>
    <n v="0"/>
  </r>
  <r>
    <x v="261"/>
    <n v="94.405064593484823"/>
    <x v="261"/>
    <n v="0"/>
  </r>
  <r>
    <x v="262"/>
    <n v="68.205528200999311"/>
    <x v="262"/>
    <n v="0"/>
  </r>
  <r>
    <x v="263"/>
    <n v="11.334236557349817"/>
    <x v="263"/>
    <n v="1"/>
  </r>
  <r>
    <x v="264"/>
    <n v="43.137216146267626"/>
    <x v="264"/>
    <n v="0"/>
  </r>
  <r>
    <x v="265"/>
    <n v="28.138913125308903"/>
    <x v="265"/>
    <n v="1"/>
  </r>
  <r>
    <x v="266"/>
    <n v="55.132370983048851"/>
    <x v="266"/>
    <n v="0"/>
  </r>
  <r>
    <x v="267"/>
    <n v="81.292460988065585"/>
    <x v="267"/>
    <n v="0"/>
  </r>
  <r>
    <x v="268"/>
    <n v="56.360940971316005"/>
    <x v="268"/>
    <n v="0"/>
  </r>
  <r>
    <x v="269"/>
    <n v="134.43293114474233"/>
    <x v="269"/>
    <n v="0"/>
  </r>
  <r>
    <x v="270"/>
    <n v="14.1231076513048"/>
    <x v="270"/>
    <n v="1"/>
  </r>
  <r>
    <x v="271"/>
    <n v="21.747747181268338"/>
    <x v="271"/>
    <n v="1"/>
  </r>
  <r>
    <x v="272"/>
    <n v="19.060469831565293"/>
    <x v="272"/>
    <n v="1"/>
  </r>
  <r>
    <x v="273"/>
    <n v="21.861247785722785"/>
    <x v="273"/>
    <n v="1"/>
  </r>
  <r>
    <x v="274"/>
    <n v="47.123789966077673"/>
    <x v="274"/>
    <n v="0"/>
  </r>
  <r>
    <x v="275"/>
    <n v="53.462484799533001"/>
    <x v="275"/>
    <n v="0"/>
  </r>
  <r>
    <x v="276"/>
    <n v="80.966156117802925"/>
    <x v="276"/>
    <n v="0"/>
  </r>
  <r>
    <x v="277"/>
    <n v="27.12809907541688"/>
    <x v="277"/>
    <n v="1"/>
  </r>
  <r>
    <x v="278"/>
    <n v="25.905217201312105"/>
    <x v="278"/>
    <n v="1"/>
  </r>
  <r>
    <x v="279"/>
    <n v="141.297872936831"/>
    <x v="279"/>
    <n v="0"/>
  </r>
  <r>
    <x v="280"/>
    <n v="53.648136647817886"/>
    <x v="280"/>
    <n v="0"/>
  </r>
  <r>
    <x v="281"/>
    <n v="29.686785497374629"/>
    <x v="281"/>
    <n v="1"/>
  </r>
  <r>
    <x v="282"/>
    <n v="37.052419134196867"/>
    <x v="282"/>
    <n v="1"/>
  </r>
  <r>
    <x v="283"/>
    <n v="22.026851679326839"/>
    <x v="283"/>
    <n v="1"/>
  </r>
  <r>
    <x v="284"/>
    <n v="12.457056245616306"/>
    <x v="284"/>
    <n v="1"/>
  </r>
  <r>
    <x v="285"/>
    <n v="46.603590104834424"/>
    <x v="285"/>
    <n v="0"/>
  </r>
  <r>
    <x v="286"/>
    <n v="58.65382127703235"/>
    <x v="286"/>
    <n v="0"/>
  </r>
  <r>
    <x v="287"/>
    <n v="11.129875394639971"/>
    <x v="287"/>
    <n v="1"/>
  </r>
  <r>
    <x v="288"/>
    <n v="15.931926396565363"/>
    <x v="288"/>
    <n v="1"/>
  </r>
  <r>
    <x v="289"/>
    <n v="23.345783212183726"/>
    <x v="289"/>
    <n v="1"/>
  </r>
  <r>
    <x v="290"/>
    <n v="19.703192421471257"/>
    <x v="290"/>
    <n v="1"/>
  </r>
  <r>
    <x v="291"/>
    <n v="44.357477169241889"/>
    <x v="291"/>
    <n v="0"/>
  </r>
  <r>
    <x v="292"/>
    <n v="12.739778025653044"/>
    <x v="292"/>
    <n v="1"/>
  </r>
  <r>
    <x v="293"/>
    <n v="17.651669993999619"/>
    <x v="293"/>
    <n v="1"/>
  </r>
  <r>
    <x v="294"/>
    <n v="69.548066549585712"/>
    <x v="294"/>
    <n v="0"/>
  </r>
  <r>
    <x v="295"/>
    <n v="13.989230371249004"/>
    <x v="295"/>
    <n v="1"/>
  </r>
  <r>
    <x v="296"/>
    <n v="32.164912300220109"/>
    <x v="296"/>
    <n v="1"/>
  </r>
  <r>
    <x v="297"/>
    <n v="14.059850038118643"/>
    <x v="297"/>
    <n v="1"/>
  </r>
  <r>
    <x v="298"/>
    <n v="73.552828638307744"/>
    <x v="298"/>
    <n v="0"/>
  </r>
  <r>
    <x v="299"/>
    <n v="114.6018408698686"/>
    <x v="299"/>
    <n v="0"/>
  </r>
  <r>
    <x v="300"/>
    <n v="11.290532711395056"/>
    <x v="300"/>
    <n v="1"/>
  </r>
  <r>
    <x v="301"/>
    <n v="102.36379502431929"/>
    <x v="301"/>
    <n v="0"/>
  </r>
  <r>
    <x v="302"/>
    <n v="29.024694417594262"/>
    <x v="302"/>
    <n v="1"/>
  </r>
  <r>
    <x v="303"/>
    <n v="83.229662670348148"/>
    <x v="303"/>
    <n v="0"/>
  </r>
  <r>
    <x v="304"/>
    <n v="16.476819742667278"/>
    <x v="304"/>
    <n v="1"/>
  </r>
  <r>
    <x v="305"/>
    <n v="18.642728234365599"/>
    <x v="305"/>
    <n v="1"/>
  </r>
  <r>
    <x v="306"/>
    <n v="18.492966945850217"/>
    <x v="306"/>
    <n v="1"/>
  </r>
  <r>
    <x v="307"/>
    <n v="77.918446141817029"/>
    <x v="307"/>
    <n v="0"/>
  </r>
  <r>
    <x v="308"/>
    <n v="27.060441774633166"/>
    <x v="308"/>
    <n v="1"/>
  </r>
  <r>
    <x v="309"/>
    <n v="22.867220753644901"/>
    <x v="309"/>
    <n v="1"/>
  </r>
  <r>
    <x v="310"/>
    <n v="12.276975874122767"/>
    <x v="310"/>
    <n v="1"/>
  </r>
  <r>
    <x v="311"/>
    <n v="34.037776353883146"/>
    <x v="311"/>
    <n v="1"/>
  </r>
  <r>
    <x v="312"/>
    <n v="30.381777907619234"/>
    <x v="312"/>
    <n v="1"/>
  </r>
  <r>
    <x v="313"/>
    <n v="72.656843880585612"/>
    <x v="313"/>
    <n v="0"/>
  </r>
  <r>
    <x v="314"/>
    <n v="63.388911642423075"/>
    <x v="314"/>
    <n v="0"/>
  </r>
  <r>
    <x v="315"/>
    <n v="11.133959196689617"/>
    <x v="315"/>
    <n v="1"/>
  </r>
  <r>
    <x v="316"/>
    <n v="143.72237611156172"/>
    <x v="316"/>
    <n v="0"/>
  </r>
  <r>
    <x v="317"/>
    <n v="11.097669828191377"/>
    <x v="317"/>
    <n v="1"/>
  </r>
  <r>
    <x v="318"/>
    <n v="28.585835287240151"/>
    <x v="318"/>
    <n v="1"/>
  </r>
  <r>
    <x v="319"/>
    <n v="105.82447400662107"/>
    <x v="319"/>
    <n v="0"/>
  </r>
  <r>
    <x v="320"/>
    <n v="13.897084597378013"/>
    <x v="320"/>
    <n v="1"/>
  </r>
  <r>
    <x v="321"/>
    <n v="85.144175304125469"/>
    <x v="321"/>
    <n v="0"/>
  </r>
  <r>
    <x v="322"/>
    <n v="13.047559515928416"/>
    <x v="322"/>
    <n v="1"/>
  </r>
  <r>
    <x v="323"/>
    <n v="64.663591010539577"/>
    <x v="323"/>
    <n v="0"/>
  </r>
  <r>
    <x v="324"/>
    <n v="18.649732666755508"/>
    <x v="324"/>
    <n v="1"/>
  </r>
  <r>
    <x v="325"/>
    <n v="43.029468909095471"/>
    <x v="325"/>
    <n v="0"/>
  </r>
  <r>
    <x v="326"/>
    <n v="7.875594325709999"/>
    <x v="326"/>
    <n v="1"/>
  </r>
  <r>
    <x v="327"/>
    <n v="71.985907081935053"/>
    <x v="327"/>
    <n v="0"/>
  </r>
  <r>
    <x v="328"/>
    <n v="15.815471345878214"/>
    <x v="328"/>
    <n v="1"/>
  </r>
  <r>
    <x v="329"/>
    <n v="32.507078688432316"/>
    <x v="329"/>
    <n v="1"/>
  </r>
  <r>
    <x v="330"/>
    <n v="23.326558633964591"/>
    <x v="330"/>
    <n v="1"/>
  </r>
  <r>
    <x v="331"/>
    <n v="72.041406194988227"/>
    <x v="331"/>
    <n v="0"/>
  </r>
  <r>
    <x v="332"/>
    <n v="73.728941415260522"/>
    <x v="332"/>
    <n v="0"/>
  </r>
  <r>
    <x v="333"/>
    <n v="5.0342812622467354"/>
    <x v="333"/>
    <n v="1"/>
  </r>
  <r>
    <x v="334"/>
    <n v="56.211693687429786"/>
    <x v="334"/>
    <n v="0"/>
  </r>
  <r>
    <x v="335"/>
    <n v="15.822070820132035"/>
    <x v="335"/>
    <n v="1"/>
  </r>
  <r>
    <x v="336"/>
    <n v="46.730009773045346"/>
    <x v="336"/>
    <n v="0"/>
  </r>
  <r>
    <x v="337"/>
    <n v="20.303380844565066"/>
    <x v="337"/>
    <n v="1"/>
  </r>
  <r>
    <x v="338"/>
    <n v="16.032971279535307"/>
    <x v="338"/>
    <n v="1"/>
  </r>
  <r>
    <x v="339"/>
    <n v="16.904178887642708"/>
    <x v="339"/>
    <n v="1"/>
  </r>
  <r>
    <x v="340"/>
    <n v="57.577791506045969"/>
    <x v="340"/>
    <n v="0"/>
  </r>
  <r>
    <x v="341"/>
    <n v="19.913455876286417"/>
    <x v="341"/>
    <n v="1"/>
  </r>
  <r>
    <x v="342"/>
    <n v="27.269333981616139"/>
    <x v="342"/>
    <n v="1"/>
  </r>
  <r>
    <x v="343"/>
    <n v="13.518362517208562"/>
    <x v="343"/>
    <n v="1"/>
  </r>
  <r>
    <x v="344"/>
    <n v="53.660463288289975"/>
    <x v="344"/>
    <n v="0"/>
  </r>
  <r>
    <x v="345"/>
    <n v="58.497043021792607"/>
    <x v="345"/>
    <n v="0"/>
  </r>
  <r>
    <x v="346"/>
    <n v="14.114462640668465"/>
    <x v="346"/>
    <n v="1"/>
  </r>
  <r>
    <x v="347"/>
    <n v="19.693849253585284"/>
    <x v="347"/>
    <n v="1"/>
  </r>
  <r>
    <x v="348"/>
    <n v="10.033445474713163"/>
    <x v="348"/>
    <n v="1"/>
  </r>
  <r>
    <x v="349"/>
    <n v="42.350478760615211"/>
    <x v="349"/>
    <n v="0"/>
  </r>
  <r>
    <x v="350"/>
    <n v="68.610022204297351"/>
    <x v="350"/>
    <n v="0"/>
  </r>
  <r>
    <x v="351"/>
    <n v="19.411403836652109"/>
    <x v="351"/>
    <n v="1"/>
  </r>
  <r>
    <x v="352"/>
    <n v="23.250759204926091"/>
    <x v="352"/>
    <n v="1"/>
  </r>
  <r>
    <x v="353"/>
    <n v="27.893189666948857"/>
    <x v="353"/>
    <n v="1"/>
  </r>
  <r>
    <x v="354"/>
    <n v="30.458101448437979"/>
    <x v="354"/>
    <n v="1"/>
  </r>
  <r>
    <x v="355"/>
    <n v="37.9829435638093"/>
    <x v="355"/>
    <n v="0"/>
  </r>
  <r>
    <x v="356"/>
    <n v="11.305740778899898"/>
    <x v="356"/>
    <n v="1"/>
  </r>
  <r>
    <x v="357"/>
    <n v="16.385915459213155"/>
    <x v="357"/>
    <n v="1"/>
  </r>
  <r>
    <x v="358"/>
    <n v="31.761154784427774"/>
    <x v="358"/>
    <n v="1"/>
  </r>
  <r>
    <x v="359"/>
    <n v="47.508342839154565"/>
    <x v="359"/>
    <n v="0"/>
  </r>
  <r>
    <x v="360"/>
    <n v="31.621116898940731"/>
    <x v="360"/>
    <n v="1"/>
  </r>
  <r>
    <x v="361"/>
    <n v="34.815597894462407"/>
    <x v="361"/>
    <n v="1"/>
  </r>
  <r>
    <x v="362"/>
    <n v="27.851101198802322"/>
    <x v="362"/>
    <n v="1"/>
  </r>
  <r>
    <x v="363"/>
    <n v="71.926721630925627"/>
    <x v="363"/>
    <n v="0"/>
  </r>
  <r>
    <x v="364"/>
    <n v="22.394049147366534"/>
    <x v="364"/>
    <n v="1"/>
  </r>
  <r>
    <x v="365"/>
    <n v="14.171524340330336"/>
    <x v="365"/>
    <n v="1"/>
  </r>
  <r>
    <x v="366"/>
    <n v="53.518997712025019"/>
    <x v="366"/>
    <n v="0"/>
  </r>
  <r>
    <x v="367"/>
    <n v="22.816302342022471"/>
    <x v="367"/>
    <n v="1"/>
  </r>
  <r>
    <x v="368"/>
    <n v="69.326962781221468"/>
    <x v="368"/>
    <n v="0"/>
  </r>
  <r>
    <x v="369"/>
    <n v="28.028912634130588"/>
    <x v="369"/>
    <n v="1"/>
  </r>
  <r>
    <x v="370"/>
    <n v="23.16850507780595"/>
    <x v="370"/>
    <n v="1"/>
  </r>
  <r>
    <x v="371"/>
    <n v="57.887928944171925"/>
    <x v="371"/>
    <n v="0"/>
  </r>
  <r>
    <x v="372"/>
    <n v="31.263237310597805"/>
    <x v="372"/>
    <n v="1"/>
  </r>
  <r>
    <x v="373"/>
    <n v="34.51275136287839"/>
    <x v="373"/>
    <n v="1"/>
  </r>
  <r>
    <x v="374"/>
    <n v="26.276464434055601"/>
    <x v="374"/>
    <n v="1"/>
  </r>
  <r>
    <x v="375"/>
    <n v="14.20164409695108"/>
    <x v="375"/>
    <n v="1"/>
  </r>
  <r>
    <x v="376"/>
    <n v="24.56971285302189"/>
    <x v="376"/>
    <n v="1"/>
  </r>
  <r>
    <x v="377"/>
    <n v="118.15016849001226"/>
    <x v="377"/>
    <n v="0"/>
  </r>
  <r>
    <x v="378"/>
    <n v="8.9576391839795484"/>
    <x v="378"/>
    <n v="1"/>
  </r>
  <r>
    <x v="379"/>
    <n v="65.160764583547888"/>
    <x v="379"/>
    <n v="0"/>
  </r>
  <r>
    <x v="380"/>
    <n v="18.867976731890415"/>
    <x v="380"/>
    <n v="1"/>
  </r>
  <r>
    <x v="381"/>
    <n v="25.473934909788369"/>
    <x v="381"/>
    <n v="1"/>
  </r>
  <r>
    <x v="382"/>
    <n v="38.897593312687441"/>
    <x v="382"/>
    <n v="0"/>
  </r>
  <r>
    <x v="383"/>
    <n v="13.024933109285875"/>
    <x v="383"/>
    <n v="1"/>
  </r>
  <r>
    <x v="384"/>
    <n v="29.629946011954306"/>
    <x v="384"/>
    <n v="1"/>
  </r>
  <r>
    <x v="385"/>
    <n v="59.133022055565512"/>
    <x v="385"/>
    <n v="0"/>
  </r>
  <r>
    <x v="386"/>
    <n v="39.012455995840298"/>
    <x v="386"/>
    <n v="0"/>
  </r>
  <r>
    <x v="387"/>
    <n v="60.080128243225431"/>
    <x v="387"/>
    <n v="0"/>
  </r>
  <r>
    <x v="388"/>
    <n v="21.081644745496046"/>
    <x v="388"/>
    <n v="1"/>
  </r>
  <r>
    <x v="389"/>
    <n v="23.789028845939967"/>
    <x v="389"/>
    <n v="1"/>
  </r>
  <r>
    <x v="390"/>
    <n v="36.495188715142689"/>
    <x v="390"/>
    <n v="1"/>
  </r>
  <r>
    <x v="391"/>
    <n v="54.21186572723289"/>
    <x v="391"/>
    <n v="0"/>
  </r>
  <r>
    <x v="392"/>
    <n v="62.312560203228294"/>
    <x v="392"/>
    <n v="0"/>
  </r>
  <r>
    <x v="393"/>
    <n v="43.300108966579202"/>
    <x v="393"/>
    <n v="0"/>
  </r>
  <r>
    <x v="394"/>
    <n v="21.744201846017209"/>
    <x v="394"/>
    <n v="1"/>
  </r>
  <r>
    <x v="395"/>
    <n v="43.102112273386467"/>
    <x v="395"/>
    <n v="0"/>
  </r>
  <r>
    <x v="396"/>
    <n v="21.576949861993278"/>
    <x v="396"/>
    <n v="1"/>
  </r>
  <r>
    <x v="397"/>
    <n v="206.41169210883427"/>
    <x v="397"/>
    <n v="0"/>
  </r>
  <r>
    <x v="398"/>
    <n v="29.845269936991581"/>
    <x v="398"/>
    <n v="1"/>
  </r>
  <r>
    <x v="399"/>
    <n v="31.961914102387354"/>
    <x v="399"/>
    <n v="1"/>
  </r>
  <r>
    <x v="400"/>
    <n v="24.093067993175193"/>
    <x v="400"/>
    <n v="1"/>
  </r>
  <r>
    <x v="401"/>
    <n v="64.448370581956297"/>
    <x v="401"/>
    <n v="0"/>
  </r>
  <r>
    <x v="402"/>
    <n v="17.127722730154087"/>
    <x v="402"/>
    <n v="1"/>
  </r>
  <r>
    <x v="403"/>
    <n v="26.461550519970974"/>
    <x v="403"/>
    <n v="1"/>
  </r>
  <r>
    <x v="404"/>
    <n v="25.314022110359584"/>
    <x v="404"/>
    <n v="1"/>
  </r>
  <r>
    <x v="405"/>
    <n v="56.62227907741687"/>
    <x v="405"/>
    <n v="0"/>
  </r>
  <r>
    <x v="406"/>
    <n v="58.753540849778084"/>
    <x v="406"/>
    <n v="0"/>
  </r>
  <r>
    <x v="407"/>
    <n v="19.08175924601159"/>
    <x v="407"/>
    <n v="1"/>
  </r>
  <r>
    <x v="408"/>
    <n v="46.30435909704957"/>
    <x v="408"/>
    <n v="0"/>
  </r>
  <r>
    <x v="409"/>
    <n v="29.70609866437616"/>
    <x v="409"/>
    <n v="1"/>
  </r>
  <r>
    <x v="410"/>
    <n v="21.731430964772663"/>
    <x v="410"/>
    <n v="1"/>
  </r>
  <r>
    <x v="411"/>
    <n v="41.62067961591066"/>
    <x v="411"/>
    <n v="0"/>
  </r>
  <r>
    <x v="412"/>
    <n v="87.644455931175628"/>
    <x v="412"/>
    <n v="0"/>
  </r>
  <r>
    <x v="413"/>
    <n v="31.675335070032144"/>
    <x v="413"/>
    <n v="1"/>
  </r>
  <r>
    <x v="414"/>
    <n v="42.206491700821992"/>
    <x v="414"/>
    <n v="0"/>
  </r>
  <r>
    <x v="415"/>
    <n v="45.892464995674402"/>
    <x v="415"/>
    <n v="0"/>
  </r>
  <r>
    <x v="416"/>
    <n v="13.905246667717213"/>
    <x v="416"/>
    <n v="1"/>
  </r>
  <r>
    <x v="417"/>
    <n v="26.322840251950275"/>
    <x v="417"/>
    <n v="1"/>
  </r>
  <r>
    <x v="418"/>
    <n v="54.085064405598644"/>
    <x v="418"/>
    <n v="0"/>
  </r>
  <r>
    <x v="419"/>
    <n v="70.988376282521671"/>
    <x v="419"/>
    <n v="0"/>
  </r>
  <r>
    <x v="420"/>
    <n v="31.627290538350035"/>
    <x v="420"/>
    <n v="1"/>
  </r>
  <r>
    <x v="421"/>
    <n v="47.83508661645287"/>
    <x v="421"/>
    <n v="0"/>
  </r>
  <r>
    <x v="422"/>
    <n v="24.217869299389616"/>
    <x v="422"/>
    <n v="1"/>
  </r>
  <r>
    <x v="423"/>
    <n v="22.797278959564203"/>
    <x v="423"/>
    <n v="1"/>
  </r>
  <r>
    <x v="424"/>
    <n v="79.702037827778227"/>
    <x v="424"/>
    <n v="0"/>
  </r>
  <r>
    <x v="425"/>
    <n v="40.402447236743676"/>
    <x v="425"/>
    <n v="0"/>
  </r>
  <r>
    <x v="426"/>
    <n v="18.090853333147997"/>
    <x v="426"/>
    <n v="1"/>
  </r>
  <r>
    <x v="427"/>
    <n v="48.159945318096575"/>
    <x v="427"/>
    <n v="0"/>
  </r>
  <r>
    <x v="428"/>
    <n v="18.825254026814065"/>
    <x v="428"/>
    <n v="1"/>
  </r>
  <r>
    <x v="429"/>
    <n v="44.390693215590552"/>
    <x v="429"/>
    <n v="0"/>
  </r>
  <r>
    <x v="430"/>
    <n v="56.065059691921064"/>
    <x v="430"/>
    <n v="0"/>
  </r>
  <r>
    <x v="431"/>
    <n v="47.320654871263599"/>
    <x v="431"/>
    <n v="0"/>
  </r>
  <r>
    <x v="432"/>
    <n v="59.470484666166314"/>
    <x v="432"/>
    <n v="0"/>
  </r>
  <r>
    <x v="433"/>
    <n v="42.574517096532723"/>
    <x v="433"/>
    <n v="0"/>
  </r>
  <r>
    <x v="434"/>
    <n v="33.833779645424045"/>
    <x v="434"/>
    <n v="1"/>
  </r>
  <r>
    <x v="435"/>
    <n v="19.65384183608435"/>
    <x v="435"/>
    <n v="1"/>
  </r>
  <r>
    <x v="436"/>
    <n v="32.695732754502686"/>
    <x v="436"/>
    <n v="1"/>
  </r>
  <r>
    <x v="437"/>
    <n v="45.820077748653503"/>
    <x v="437"/>
    <n v="0"/>
  </r>
  <r>
    <x v="438"/>
    <n v="33.04041563164229"/>
    <x v="438"/>
    <n v="1"/>
  </r>
  <r>
    <x v="439"/>
    <n v="25.550217465029981"/>
    <x v="439"/>
    <n v="1"/>
  </r>
  <r>
    <x v="440"/>
    <n v="10.078555571824811"/>
    <x v="440"/>
    <n v="1"/>
  </r>
  <r>
    <x v="441"/>
    <n v="11.346996229369932"/>
    <x v="441"/>
    <n v="1"/>
  </r>
  <r>
    <x v="442"/>
    <n v="19.009855252525909"/>
    <x v="442"/>
    <n v="1"/>
  </r>
  <r>
    <x v="443"/>
    <n v="29.78113909756194"/>
    <x v="443"/>
    <n v="1"/>
  </r>
  <r>
    <x v="444"/>
    <n v="110.26660025428444"/>
    <x v="444"/>
    <n v="0"/>
  </r>
  <r>
    <x v="445"/>
    <n v="14.948685242066993"/>
    <x v="445"/>
    <n v="1"/>
  </r>
  <r>
    <x v="446"/>
    <n v="62.197349658599599"/>
    <x v="446"/>
    <n v="0"/>
  </r>
  <r>
    <x v="447"/>
    <n v="77.167469084711598"/>
    <x v="447"/>
    <n v="0"/>
  </r>
  <r>
    <x v="448"/>
    <n v="25.079100980654196"/>
    <x v="448"/>
    <n v="1"/>
  </r>
  <r>
    <x v="449"/>
    <n v="56.280569402268007"/>
    <x v="449"/>
    <n v="0"/>
  </r>
  <r>
    <x v="450"/>
    <n v="111.41735057683732"/>
    <x v="450"/>
    <n v="0"/>
  </r>
  <r>
    <x v="451"/>
    <n v="18.207035516870899"/>
    <x v="451"/>
    <n v="1"/>
  </r>
  <r>
    <x v="452"/>
    <n v="10.962628726795087"/>
    <x v="452"/>
    <n v="1"/>
  </r>
  <r>
    <x v="453"/>
    <n v="14.393933977834353"/>
    <x v="453"/>
    <n v="1"/>
  </r>
  <r>
    <x v="454"/>
    <n v="26.182918098699904"/>
    <x v="454"/>
    <n v="1"/>
  </r>
  <r>
    <x v="455"/>
    <n v="13.755188465906089"/>
    <x v="455"/>
    <n v="1"/>
  </r>
  <r>
    <x v="456"/>
    <n v="6.1245297159792988"/>
    <x v="456"/>
    <n v="1"/>
  </r>
  <r>
    <x v="457"/>
    <n v="13.041359215771827"/>
    <x v="457"/>
    <n v="1"/>
  </r>
  <r>
    <x v="458"/>
    <n v="41.603812965210999"/>
    <x v="458"/>
    <n v="0"/>
  </r>
  <r>
    <x v="459"/>
    <n v="12.437077656804911"/>
    <x v="459"/>
    <n v="1"/>
  </r>
  <r>
    <x v="460"/>
    <n v="63.578923372498302"/>
    <x v="460"/>
    <n v="0"/>
  </r>
  <r>
    <x v="461"/>
    <n v="63.366885758513405"/>
    <x v="461"/>
    <n v="0"/>
  </r>
  <r>
    <x v="462"/>
    <n v="60.14093105611699"/>
    <x v="462"/>
    <n v="0"/>
  </r>
  <r>
    <x v="463"/>
    <n v="58.225493206446679"/>
    <x v="463"/>
    <n v="0"/>
  </r>
  <r>
    <x v="464"/>
    <n v="21.640232468617132"/>
    <x v="464"/>
    <n v="1"/>
  </r>
  <r>
    <x v="465"/>
    <n v="65.206827731520022"/>
    <x v="465"/>
    <n v="0"/>
  </r>
  <r>
    <x v="466"/>
    <n v="7.3016653160722917"/>
    <x v="466"/>
    <n v="1"/>
  </r>
  <r>
    <x v="467"/>
    <n v="29.6449519969763"/>
    <x v="467"/>
    <n v="1"/>
  </r>
  <r>
    <x v="468"/>
    <n v="15.382523503452381"/>
    <x v="468"/>
    <n v="1"/>
  </r>
  <r>
    <x v="469"/>
    <n v="13.345423259494892"/>
    <x v="469"/>
    <n v="1"/>
  </r>
  <r>
    <x v="470"/>
    <n v="23.71999406662432"/>
    <x v="470"/>
    <n v="1"/>
  </r>
  <r>
    <x v="471"/>
    <n v="72.713117148753383"/>
    <x v="471"/>
    <n v="0"/>
  </r>
  <r>
    <x v="472"/>
    <n v="22.705815737949795"/>
    <x v="472"/>
    <n v="1"/>
  </r>
  <r>
    <x v="473"/>
    <n v="19.515755700934168"/>
    <x v="473"/>
    <n v="1"/>
  </r>
  <r>
    <x v="474"/>
    <n v="33.728594842318437"/>
    <x v="474"/>
    <n v="1"/>
  </r>
  <r>
    <x v="475"/>
    <n v="36.941438138843658"/>
    <x v="475"/>
    <n v="1"/>
  </r>
  <r>
    <x v="476"/>
    <n v="39.270509563136848"/>
    <x v="476"/>
    <n v="0"/>
  </r>
  <r>
    <x v="477"/>
    <n v="14.789000951396989"/>
    <x v="477"/>
    <n v="1"/>
  </r>
  <r>
    <x v="478"/>
    <n v="85.442551169189102"/>
    <x v="478"/>
    <n v="0"/>
  </r>
  <r>
    <x v="479"/>
    <n v="43.153109423930715"/>
    <x v="479"/>
    <n v="0"/>
  </r>
  <r>
    <x v="480"/>
    <n v="26.010245509159986"/>
    <x v="480"/>
    <n v="1"/>
  </r>
  <r>
    <x v="481"/>
    <n v="56.944931009277028"/>
    <x v="481"/>
    <n v="0"/>
  </r>
  <r>
    <x v="482"/>
    <n v="31.057105102350551"/>
    <x v="482"/>
    <n v="1"/>
  </r>
  <r>
    <x v="483"/>
    <n v="17.06811524695101"/>
    <x v="483"/>
    <n v="1"/>
  </r>
  <r>
    <x v="484"/>
    <n v="129.70897993772058"/>
    <x v="484"/>
    <n v="0"/>
  </r>
  <r>
    <x v="485"/>
    <n v="39.539001422407416"/>
    <x v="485"/>
    <n v="0"/>
  </r>
  <r>
    <x v="486"/>
    <n v="15.061644621974184"/>
    <x v="486"/>
    <n v="1"/>
  </r>
  <r>
    <x v="487"/>
    <n v="33.514120032083781"/>
    <x v="487"/>
    <n v="1"/>
  </r>
  <r>
    <x v="488"/>
    <n v="20.485479591507417"/>
    <x v="488"/>
    <n v="1"/>
  </r>
  <r>
    <x v="489"/>
    <n v="32.391240278354964"/>
    <x v="489"/>
    <n v="1"/>
  </r>
  <r>
    <x v="490"/>
    <n v="36.295824934952201"/>
    <x v="490"/>
    <n v="1"/>
  </r>
  <r>
    <x v="491"/>
    <n v="75.345902579181697"/>
    <x v="491"/>
    <n v="0"/>
  </r>
  <r>
    <x v="492"/>
    <n v="33.264269818841008"/>
    <x v="492"/>
    <n v="1"/>
  </r>
  <r>
    <x v="493"/>
    <n v="153.52609696463381"/>
    <x v="493"/>
    <n v="0"/>
  </r>
  <r>
    <x v="494"/>
    <n v="48.385965269296619"/>
    <x v="494"/>
    <n v="0"/>
  </r>
  <r>
    <x v="495"/>
    <n v="15.190118291074763"/>
    <x v="495"/>
    <n v="1"/>
  </r>
  <r>
    <x v="496"/>
    <n v="61.072718007373588"/>
    <x v="496"/>
    <n v="0"/>
  </r>
  <r>
    <x v="497"/>
    <n v="46.112022102721248"/>
    <x v="497"/>
    <n v="0"/>
  </r>
  <r>
    <x v="498"/>
    <n v="88.993061345368204"/>
    <x v="498"/>
    <n v="0"/>
  </r>
  <r>
    <x v="499"/>
    <n v="6.701650115293921"/>
    <x v="499"/>
    <n v="1"/>
  </r>
  <r>
    <x v="500"/>
    <n v="44.363931607233241"/>
    <x v="500"/>
    <n v="0"/>
  </r>
  <r>
    <x v="501"/>
    <n v="113.12384512313255"/>
    <x v="501"/>
    <n v="0"/>
  </r>
  <r>
    <x v="502"/>
    <n v="30.594339435783201"/>
    <x v="502"/>
    <n v="1"/>
  </r>
  <r>
    <x v="503"/>
    <n v="46.494187071387138"/>
    <x v="503"/>
    <n v="0"/>
  </r>
  <r>
    <x v="504"/>
    <n v="11.074189534968745"/>
    <x v="504"/>
    <n v="1"/>
  </r>
  <r>
    <x v="505"/>
    <n v="23.045752127526409"/>
    <x v="505"/>
    <n v="1"/>
  </r>
  <r>
    <x v="506"/>
    <n v="6.3773674562863816"/>
    <x v="506"/>
    <n v="1"/>
  </r>
  <r>
    <x v="507"/>
    <n v="33.364733615069376"/>
    <x v="507"/>
    <n v="1"/>
  </r>
  <r>
    <x v="508"/>
    <n v="103.72942308151396"/>
    <x v="508"/>
    <n v="0"/>
  </r>
  <r>
    <x v="509"/>
    <n v="28.509055880547887"/>
    <x v="509"/>
    <n v="1"/>
  </r>
  <r>
    <x v="510"/>
    <n v="53.190261103775164"/>
    <x v="510"/>
    <n v="0"/>
  </r>
  <r>
    <x v="511"/>
    <n v="16.563928562060678"/>
    <x v="511"/>
    <n v="1"/>
  </r>
  <r>
    <x v="512"/>
    <n v="59.250511721517441"/>
    <x v="512"/>
    <n v="0"/>
  </r>
  <r>
    <x v="513"/>
    <n v="99.557697668475711"/>
    <x v="513"/>
    <n v="0"/>
  </r>
  <r>
    <x v="514"/>
    <n v="9.2168425569463217"/>
    <x v="514"/>
    <n v="1"/>
  </r>
  <r>
    <x v="515"/>
    <n v="111.75778848361814"/>
    <x v="515"/>
    <n v="0"/>
  </r>
  <r>
    <x v="516"/>
    <n v="12.931880378039605"/>
    <x v="516"/>
    <n v="1"/>
  </r>
  <r>
    <x v="517"/>
    <n v="33.039753454907775"/>
    <x v="517"/>
    <n v="1"/>
  </r>
  <r>
    <x v="518"/>
    <n v="155.56840491460397"/>
    <x v="518"/>
    <n v="0"/>
  </r>
  <r>
    <x v="519"/>
    <n v="35.425190452720848"/>
    <x v="519"/>
    <n v="1"/>
  </r>
  <r>
    <x v="520"/>
    <n v="26.453337463325219"/>
    <x v="520"/>
    <n v="1"/>
  </r>
  <r>
    <x v="521"/>
    <n v="155.31554872844887"/>
    <x v="521"/>
    <n v="0"/>
  </r>
  <r>
    <x v="522"/>
    <n v="139.96963668456684"/>
    <x v="522"/>
    <n v="0"/>
  </r>
  <r>
    <x v="523"/>
    <n v="14.99373289504133"/>
    <x v="523"/>
    <n v="1"/>
  </r>
  <r>
    <x v="524"/>
    <n v="13.363986740030764"/>
    <x v="524"/>
    <n v="1"/>
  </r>
  <r>
    <x v="525"/>
    <n v="20.657482359057337"/>
    <x v="525"/>
    <n v="1"/>
  </r>
  <r>
    <x v="526"/>
    <n v="28.608616658612128"/>
    <x v="526"/>
    <n v="1"/>
  </r>
  <r>
    <x v="527"/>
    <n v="31.44620727446112"/>
    <x v="527"/>
    <n v="1"/>
  </r>
  <r>
    <x v="528"/>
    <n v="18.090436916468065"/>
    <x v="528"/>
    <n v="1"/>
  </r>
  <r>
    <x v="529"/>
    <n v="14.865694863151541"/>
    <x v="529"/>
    <n v="1"/>
  </r>
  <r>
    <x v="530"/>
    <n v="19.671568462045954"/>
    <x v="530"/>
    <n v="1"/>
  </r>
  <r>
    <x v="531"/>
    <n v="18.264187130634461"/>
    <x v="531"/>
    <n v="1"/>
  </r>
  <r>
    <x v="532"/>
    <n v="113.77613740607374"/>
    <x v="532"/>
    <n v="0"/>
  </r>
  <r>
    <x v="533"/>
    <n v="23.915953919739565"/>
    <x v="533"/>
    <n v="1"/>
  </r>
  <r>
    <x v="534"/>
    <n v="5.4684596521521645"/>
    <x v="534"/>
    <n v="1"/>
  </r>
  <r>
    <x v="535"/>
    <n v="46.443662792568112"/>
    <x v="535"/>
    <n v="0"/>
  </r>
  <r>
    <x v="536"/>
    <n v="56.623089190402204"/>
    <x v="536"/>
    <n v="0"/>
  </r>
  <r>
    <x v="537"/>
    <n v="114.67077755831333"/>
    <x v="537"/>
    <n v="0"/>
  </r>
  <r>
    <x v="538"/>
    <n v="20.817612523919401"/>
    <x v="538"/>
    <n v="1"/>
  </r>
  <r>
    <x v="539"/>
    <n v="11.733703776220631"/>
    <x v="539"/>
    <n v="1"/>
  </r>
  <r>
    <x v="540"/>
    <n v="56.39855463059731"/>
    <x v="540"/>
    <n v="0"/>
  </r>
  <r>
    <x v="541"/>
    <n v="23.489426454733579"/>
    <x v="541"/>
    <n v="1"/>
  </r>
  <r>
    <x v="542"/>
    <n v="18.101085918058846"/>
    <x v="542"/>
    <n v="1"/>
  </r>
  <r>
    <x v="543"/>
    <n v="37.222754003021734"/>
    <x v="543"/>
    <n v="0"/>
  </r>
  <r>
    <x v="544"/>
    <n v="68.959434167699612"/>
    <x v="544"/>
    <n v="0"/>
  </r>
  <r>
    <x v="545"/>
    <n v="32.094134718108975"/>
    <x v="545"/>
    <n v="1"/>
  </r>
  <r>
    <x v="546"/>
    <n v="47.953610197787036"/>
    <x v="546"/>
    <n v="0"/>
  </r>
  <r>
    <x v="547"/>
    <n v="33.713031632571479"/>
    <x v="547"/>
    <n v="1"/>
  </r>
  <r>
    <x v="548"/>
    <n v="35.643540813111038"/>
    <x v="548"/>
    <n v="1"/>
  </r>
  <r>
    <x v="549"/>
    <n v="8.9853404759124675"/>
    <x v="549"/>
    <n v="1"/>
  </r>
  <r>
    <x v="550"/>
    <n v="28.296613645509623"/>
    <x v="550"/>
    <n v="1"/>
  </r>
  <r>
    <x v="551"/>
    <n v="25.945561206576887"/>
    <x v="551"/>
    <n v="1"/>
  </r>
  <r>
    <x v="552"/>
    <n v="38.013338242035097"/>
    <x v="552"/>
    <n v="0"/>
  </r>
  <r>
    <x v="553"/>
    <n v="28.279073339118028"/>
    <x v="553"/>
    <n v="1"/>
  </r>
  <r>
    <x v="554"/>
    <n v="16.217347044955034"/>
    <x v="554"/>
    <n v="1"/>
  </r>
  <r>
    <x v="555"/>
    <n v="31.135033262512721"/>
    <x v="555"/>
    <n v="1"/>
  </r>
  <r>
    <x v="556"/>
    <n v="33.764885954623473"/>
    <x v="556"/>
    <n v="1"/>
  </r>
  <r>
    <x v="557"/>
    <n v="52.907036795692058"/>
    <x v="557"/>
    <n v="0"/>
  </r>
  <r>
    <x v="558"/>
    <n v="20.457421538121523"/>
    <x v="558"/>
    <n v="1"/>
  </r>
  <r>
    <x v="559"/>
    <n v="23.592570262786865"/>
    <x v="559"/>
    <n v="1"/>
  </r>
  <r>
    <x v="560"/>
    <n v="98.194853433504449"/>
    <x v="560"/>
    <n v="0"/>
  </r>
  <r>
    <x v="561"/>
    <n v="12.613880732132923"/>
    <x v="561"/>
    <n v="1"/>
  </r>
  <r>
    <x v="562"/>
    <n v="29.9710723133011"/>
    <x v="562"/>
    <n v="1"/>
  </r>
  <r>
    <x v="563"/>
    <n v="22.75327407593354"/>
    <x v="563"/>
    <n v="1"/>
  </r>
  <r>
    <x v="564"/>
    <n v="87.819879032162504"/>
    <x v="564"/>
    <n v="0"/>
  </r>
  <r>
    <x v="565"/>
    <n v="36.93969609634005"/>
    <x v="565"/>
    <n v="1"/>
  </r>
  <r>
    <x v="566"/>
    <n v="48.660576612497074"/>
    <x v="566"/>
    <n v="0"/>
  </r>
  <r>
    <x v="567"/>
    <n v="25.318783024854579"/>
    <x v="567"/>
    <n v="1"/>
  </r>
  <r>
    <x v="568"/>
    <n v="48.074558849848728"/>
    <x v="568"/>
    <n v="0"/>
  </r>
  <r>
    <x v="569"/>
    <n v="10.408034838561813"/>
    <x v="569"/>
    <n v="1"/>
  </r>
  <r>
    <x v="570"/>
    <n v="55.309756423156941"/>
    <x v="570"/>
    <n v="0"/>
  </r>
  <r>
    <x v="571"/>
    <n v="6.3800135295991822"/>
    <x v="571"/>
    <n v="1"/>
  </r>
  <r>
    <x v="572"/>
    <n v="13.282467939472182"/>
    <x v="572"/>
    <n v="1"/>
  </r>
  <r>
    <x v="573"/>
    <n v="30.634430328889845"/>
    <x v="573"/>
    <n v="1"/>
  </r>
  <r>
    <x v="574"/>
    <n v="6.594679201629571"/>
    <x v="574"/>
    <n v="1"/>
  </r>
  <r>
    <x v="575"/>
    <n v="6.0587464599139231"/>
    <x v="575"/>
    <n v="1"/>
  </r>
  <r>
    <x v="576"/>
    <n v="11.030400093174027"/>
    <x v="576"/>
    <n v="1"/>
  </r>
  <r>
    <x v="577"/>
    <n v="23.719743931128221"/>
    <x v="577"/>
    <n v="1"/>
  </r>
  <r>
    <x v="578"/>
    <n v="31.338451740575451"/>
    <x v="578"/>
    <n v="1"/>
  </r>
  <r>
    <x v="579"/>
    <n v="30.248401334936808"/>
    <x v="579"/>
    <n v="1"/>
  </r>
  <r>
    <x v="580"/>
    <n v="10.965050450102831"/>
    <x v="580"/>
    <n v="1"/>
  </r>
  <r>
    <x v="581"/>
    <n v="27.452290196601119"/>
    <x v="581"/>
    <n v="1"/>
  </r>
  <r>
    <x v="582"/>
    <n v="49.419655060961851"/>
    <x v="582"/>
    <n v="0"/>
  </r>
  <r>
    <x v="583"/>
    <n v="94.448862291016098"/>
    <x v="583"/>
    <n v="0"/>
  </r>
  <r>
    <x v="584"/>
    <n v="65.348449056563851"/>
    <x v="584"/>
    <n v="0"/>
  </r>
  <r>
    <x v="585"/>
    <n v="17.092524704568003"/>
    <x v="585"/>
    <n v="1"/>
  </r>
  <r>
    <x v="586"/>
    <n v="28.028948330902725"/>
    <x v="586"/>
    <n v="1"/>
  </r>
  <r>
    <x v="587"/>
    <n v="43.579102757723149"/>
    <x v="587"/>
    <n v="0"/>
  </r>
  <r>
    <x v="588"/>
    <n v="60.035615126826109"/>
    <x v="588"/>
    <n v="0"/>
  </r>
  <r>
    <x v="589"/>
    <n v="29.888958907406472"/>
    <x v="589"/>
    <n v="1"/>
  </r>
  <r>
    <x v="590"/>
    <n v="99.001291326630479"/>
    <x v="590"/>
    <n v="0"/>
  </r>
  <r>
    <x v="591"/>
    <n v="29.400081377374335"/>
    <x v="591"/>
    <n v="1"/>
  </r>
  <r>
    <x v="592"/>
    <n v="24.588463421526495"/>
    <x v="592"/>
    <n v="1"/>
  </r>
  <r>
    <x v="593"/>
    <n v="54.134293989119904"/>
    <x v="593"/>
    <n v="0"/>
  </r>
  <r>
    <x v="594"/>
    <n v="38.723237126633016"/>
    <x v="594"/>
    <n v="0"/>
  </r>
  <r>
    <x v="595"/>
    <n v="65.590952640891089"/>
    <x v="595"/>
    <n v="0"/>
  </r>
  <r>
    <x v="596"/>
    <n v="35.606796534971373"/>
    <x v="596"/>
    <n v="1"/>
  </r>
  <r>
    <x v="597"/>
    <n v="142.99005887691175"/>
    <x v="597"/>
    <n v="0"/>
  </r>
  <r>
    <x v="598"/>
    <n v="23.00702988268516"/>
    <x v="598"/>
    <n v="1"/>
  </r>
  <r>
    <x v="599"/>
    <n v="30.154946116818973"/>
    <x v="599"/>
    <n v="1"/>
  </r>
  <r>
    <x v="600"/>
    <n v="62.885942533995632"/>
    <x v="600"/>
    <n v="0"/>
  </r>
  <r>
    <x v="601"/>
    <n v="17.023705575297573"/>
    <x v="601"/>
    <n v="1"/>
  </r>
  <r>
    <x v="602"/>
    <n v="12.190202919922905"/>
    <x v="602"/>
    <n v="1"/>
  </r>
  <r>
    <x v="603"/>
    <n v="17.994057393724617"/>
    <x v="603"/>
    <n v="1"/>
  </r>
  <r>
    <x v="604"/>
    <n v="30.380157533777886"/>
    <x v="604"/>
    <n v="1"/>
  </r>
  <r>
    <x v="605"/>
    <n v="23.160947545184701"/>
    <x v="605"/>
    <n v="1"/>
  </r>
  <r>
    <x v="606"/>
    <n v="68.138093156156884"/>
    <x v="606"/>
    <n v="0"/>
  </r>
  <r>
    <x v="607"/>
    <n v="18.630398458355621"/>
    <x v="607"/>
    <n v="1"/>
  </r>
  <r>
    <x v="608"/>
    <n v="39.106428499526274"/>
    <x v="608"/>
    <n v="0"/>
  </r>
  <r>
    <x v="609"/>
    <n v="22.945020431080543"/>
    <x v="609"/>
    <n v="1"/>
  </r>
  <r>
    <x v="610"/>
    <n v="70.846890247727217"/>
    <x v="610"/>
    <n v="0"/>
  </r>
  <r>
    <x v="611"/>
    <n v="45.830606749571615"/>
    <x v="611"/>
    <n v="0"/>
  </r>
  <r>
    <x v="612"/>
    <n v="201.16743027291889"/>
    <x v="612"/>
    <n v="0"/>
  </r>
  <r>
    <x v="613"/>
    <n v="23.899321688754014"/>
    <x v="613"/>
    <n v="1"/>
  </r>
  <r>
    <x v="614"/>
    <n v="29.893831522044163"/>
    <x v="614"/>
    <n v="1"/>
  </r>
  <r>
    <x v="615"/>
    <n v="19.621376583003496"/>
    <x v="615"/>
    <n v="1"/>
  </r>
  <r>
    <x v="616"/>
    <n v="9.9125717066920309"/>
    <x v="616"/>
    <n v="1"/>
  </r>
  <r>
    <x v="617"/>
    <n v="18.43905307281911"/>
    <x v="617"/>
    <n v="1"/>
  </r>
  <r>
    <x v="618"/>
    <n v="55.404791442716224"/>
    <x v="618"/>
    <n v="0"/>
  </r>
  <r>
    <x v="619"/>
    <n v="13.144070392802623"/>
    <x v="619"/>
    <n v="1"/>
  </r>
  <r>
    <x v="620"/>
    <n v="15.963071300905597"/>
    <x v="620"/>
    <n v="1"/>
  </r>
  <r>
    <x v="621"/>
    <n v="12.171016973398874"/>
    <x v="621"/>
    <n v="1"/>
  </r>
  <r>
    <x v="622"/>
    <n v="64.836941003753608"/>
    <x v="622"/>
    <n v="0"/>
  </r>
  <r>
    <x v="623"/>
    <n v="39.221237002104971"/>
    <x v="623"/>
    <n v="0"/>
  </r>
  <r>
    <x v="624"/>
    <n v="44.694608817985326"/>
    <x v="624"/>
    <n v="0"/>
  </r>
  <r>
    <x v="625"/>
    <n v="120.47072834380201"/>
    <x v="625"/>
    <n v="0"/>
  </r>
  <r>
    <x v="626"/>
    <n v="77.799322682652502"/>
    <x v="626"/>
    <n v="0"/>
  </r>
  <r>
    <x v="627"/>
    <n v="14.979969904559598"/>
    <x v="627"/>
    <n v="1"/>
  </r>
  <r>
    <x v="628"/>
    <n v="19.705231375339512"/>
    <x v="628"/>
    <n v="1"/>
  </r>
  <r>
    <x v="629"/>
    <n v="24.276211942370093"/>
    <x v="629"/>
    <n v="1"/>
  </r>
  <r>
    <x v="630"/>
    <n v="43.73594014178984"/>
    <x v="630"/>
    <n v="0"/>
  </r>
  <r>
    <x v="631"/>
    <n v="22.777984127277055"/>
    <x v="631"/>
    <n v="1"/>
  </r>
  <r>
    <x v="632"/>
    <n v="23.179424467426838"/>
    <x v="632"/>
    <n v="1"/>
  </r>
  <r>
    <x v="633"/>
    <n v="55.636030063569009"/>
    <x v="633"/>
    <n v="0"/>
  </r>
  <r>
    <x v="634"/>
    <n v="57.745647058797495"/>
    <x v="634"/>
    <n v="0"/>
  </r>
  <r>
    <x v="635"/>
    <n v="31.722909119367227"/>
    <x v="635"/>
    <n v="1"/>
  </r>
  <r>
    <x v="636"/>
    <n v="13.142442284080389"/>
    <x v="636"/>
    <n v="1"/>
  </r>
  <r>
    <x v="637"/>
    <n v="78.141016090755031"/>
    <x v="637"/>
    <n v="0"/>
  </r>
  <r>
    <x v="638"/>
    <n v="80.274924347150403"/>
    <x v="638"/>
    <n v="0"/>
  </r>
  <r>
    <x v="639"/>
    <n v="12.765229260340613"/>
    <x v="639"/>
    <n v="1"/>
  </r>
  <r>
    <x v="640"/>
    <n v="11.736331608058016"/>
    <x v="640"/>
    <n v="1"/>
  </r>
  <r>
    <x v="641"/>
    <n v="22.023853450063331"/>
    <x v="641"/>
    <n v="1"/>
  </r>
  <r>
    <x v="642"/>
    <n v="47.228781494176857"/>
    <x v="642"/>
    <n v="0"/>
  </r>
  <r>
    <x v="643"/>
    <n v="8.2019462090132826"/>
    <x v="643"/>
    <n v="1"/>
  </r>
  <r>
    <x v="644"/>
    <n v="61.850914950583068"/>
    <x v="644"/>
    <n v="0"/>
  </r>
  <r>
    <x v="645"/>
    <n v="70.801477129119974"/>
    <x v="645"/>
    <n v="0"/>
  </r>
  <r>
    <x v="646"/>
    <n v="16.343731444990514"/>
    <x v="646"/>
    <n v="1"/>
  </r>
  <r>
    <x v="647"/>
    <n v="20.556469234226103"/>
    <x v="647"/>
    <n v="1"/>
  </r>
  <r>
    <x v="648"/>
    <n v="28.962044960197012"/>
    <x v="648"/>
    <n v="1"/>
  </r>
  <r>
    <x v="649"/>
    <n v="53.598500918464516"/>
    <x v="649"/>
    <n v="0"/>
  </r>
  <r>
    <x v="650"/>
    <n v="66.351087301657472"/>
    <x v="650"/>
    <n v="0"/>
  </r>
  <r>
    <x v="651"/>
    <n v="38.84474554962312"/>
    <x v="651"/>
    <n v="0"/>
  </r>
  <r>
    <x v="652"/>
    <n v="10.684538251366128"/>
    <x v="652"/>
    <n v="1"/>
  </r>
  <r>
    <x v="653"/>
    <n v="14.120675224645522"/>
    <x v="653"/>
    <n v="1"/>
  </r>
  <r>
    <x v="654"/>
    <n v="57.299604510804777"/>
    <x v="654"/>
    <n v="0"/>
  </r>
  <r>
    <x v="655"/>
    <n v="73.235223439160663"/>
    <x v="655"/>
    <n v="0"/>
  </r>
  <r>
    <x v="656"/>
    <n v="28.545108690587362"/>
    <x v="656"/>
    <n v="1"/>
  </r>
  <r>
    <x v="657"/>
    <n v="10.783551670562355"/>
    <x v="657"/>
    <n v="1"/>
  </r>
  <r>
    <x v="658"/>
    <n v="11.486686053112427"/>
    <x v="658"/>
    <n v="1"/>
  </r>
  <r>
    <x v="659"/>
    <n v="22.356641513445698"/>
    <x v="659"/>
    <n v="1"/>
  </r>
  <r>
    <x v="660"/>
    <n v="22.819427223847676"/>
    <x v="660"/>
    <n v="1"/>
  </r>
  <r>
    <x v="661"/>
    <n v="22.165171779157966"/>
    <x v="661"/>
    <n v="1"/>
  </r>
  <r>
    <x v="662"/>
    <n v="39.72735481298735"/>
    <x v="662"/>
    <n v="0"/>
  </r>
  <r>
    <x v="663"/>
    <n v="35.278627984399634"/>
    <x v="663"/>
    <n v="1"/>
  </r>
  <r>
    <x v="664"/>
    <n v="100.70936184754358"/>
    <x v="664"/>
    <n v="0"/>
  </r>
  <r>
    <x v="665"/>
    <n v="67.671326559218102"/>
    <x v="665"/>
    <n v="0"/>
  </r>
  <r>
    <x v="666"/>
    <n v="30.578182147266837"/>
    <x v="666"/>
    <n v="1"/>
  </r>
  <r>
    <x v="667"/>
    <n v="25.959247484473202"/>
    <x v="667"/>
    <n v="1"/>
  </r>
  <r>
    <x v="668"/>
    <n v="40.100601490674066"/>
    <x v="668"/>
    <n v="0"/>
  </r>
  <r>
    <x v="669"/>
    <n v="42.589092137928404"/>
    <x v="669"/>
    <n v="0"/>
  </r>
  <r>
    <x v="670"/>
    <n v="18.868831024948499"/>
    <x v="670"/>
    <n v="1"/>
  </r>
  <r>
    <x v="671"/>
    <n v="18.490647819151569"/>
    <x v="671"/>
    <n v="1"/>
  </r>
  <r>
    <x v="672"/>
    <n v="33.729780086656866"/>
    <x v="672"/>
    <n v="1"/>
  </r>
  <r>
    <x v="673"/>
    <n v="26.028191496971136"/>
    <x v="673"/>
    <n v="1"/>
  </r>
  <r>
    <x v="674"/>
    <n v="9.2750318696365017"/>
    <x v="674"/>
    <n v="1"/>
  </r>
  <r>
    <x v="675"/>
    <n v="59.401101759083971"/>
    <x v="675"/>
    <n v="0"/>
  </r>
  <r>
    <x v="676"/>
    <n v="10.611108563301441"/>
    <x v="676"/>
    <n v="1"/>
  </r>
  <r>
    <x v="677"/>
    <n v="71.474950792194235"/>
    <x v="677"/>
    <n v="0"/>
  </r>
  <r>
    <x v="678"/>
    <n v="25.596367625870499"/>
    <x v="678"/>
    <n v="1"/>
  </r>
  <r>
    <x v="679"/>
    <n v="41.207860565387939"/>
    <x v="679"/>
    <n v="0"/>
  </r>
  <r>
    <x v="680"/>
    <n v="10.714011567556376"/>
    <x v="680"/>
    <n v="1"/>
  </r>
  <r>
    <x v="681"/>
    <n v="66.894856596033705"/>
    <x v="681"/>
    <n v="0"/>
  </r>
  <r>
    <x v="682"/>
    <n v="52.109235101573631"/>
    <x v="682"/>
    <n v="0"/>
  </r>
  <r>
    <x v="683"/>
    <n v="40.21074834517912"/>
    <x v="683"/>
    <n v="0"/>
  </r>
  <r>
    <x v="684"/>
    <n v="20.147201112716104"/>
    <x v="684"/>
    <n v="1"/>
  </r>
  <r>
    <x v="685"/>
    <n v="36.151588574671337"/>
    <x v="685"/>
    <n v="1"/>
  </r>
  <r>
    <x v="686"/>
    <n v="45.452325247413356"/>
    <x v="686"/>
    <n v="0"/>
  </r>
  <r>
    <x v="687"/>
    <n v="55.687945421896551"/>
    <x v="687"/>
    <n v="0"/>
  </r>
  <r>
    <x v="688"/>
    <n v="23.47887804695382"/>
    <x v="688"/>
    <n v="1"/>
  </r>
  <r>
    <x v="689"/>
    <n v="21.341259891485635"/>
    <x v="689"/>
    <n v="1"/>
  </r>
  <r>
    <x v="690"/>
    <n v="26.029427886980972"/>
    <x v="690"/>
    <n v="1"/>
  </r>
  <r>
    <x v="691"/>
    <n v="37.670435185610636"/>
    <x v="691"/>
    <n v="0"/>
  </r>
  <r>
    <x v="692"/>
    <n v="50.82997072649087"/>
    <x v="692"/>
    <n v="0"/>
  </r>
  <r>
    <x v="693"/>
    <n v="48.249136297871324"/>
    <x v="693"/>
    <n v="0"/>
  </r>
  <r>
    <x v="694"/>
    <n v="79.876435183086315"/>
    <x v="694"/>
    <n v="0"/>
  </r>
  <r>
    <x v="695"/>
    <n v="18.034310689290258"/>
    <x v="695"/>
    <n v="1"/>
  </r>
  <r>
    <x v="696"/>
    <n v="142.97128448674198"/>
    <x v="696"/>
    <n v="0"/>
  </r>
  <r>
    <x v="697"/>
    <n v="32.577446884366879"/>
    <x v="697"/>
    <n v="1"/>
  </r>
  <r>
    <x v="698"/>
    <n v="44.320510372812997"/>
    <x v="698"/>
    <n v="0"/>
  </r>
  <r>
    <x v="699"/>
    <n v="26.363969414572644"/>
    <x v="699"/>
    <n v="1"/>
  </r>
  <r>
    <x v="700"/>
    <n v="194.27621140343209"/>
    <x v="700"/>
    <n v="0"/>
  </r>
  <r>
    <x v="701"/>
    <n v="64.077465276299208"/>
    <x v="701"/>
    <n v="0"/>
  </r>
  <r>
    <x v="702"/>
    <n v="17.415012616051669"/>
    <x v="702"/>
    <n v="1"/>
  </r>
  <r>
    <x v="703"/>
    <n v="100.77222692650628"/>
    <x v="703"/>
    <n v="0"/>
  </r>
  <r>
    <x v="704"/>
    <n v="32.895708897269472"/>
    <x v="704"/>
    <n v="1"/>
  </r>
  <r>
    <x v="705"/>
    <n v="25.11865072896709"/>
    <x v="705"/>
    <n v="1"/>
  </r>
  <r>
    <x v="706"/>
    <n v="116.65974963344911"/>
    <x v="706"/>
    <n v="0"/>
  </r>
  <r>
    <x v="707"/>
    <n v="38.187266454073132"/>
    <x v="707"/>
    <n v="0"/>
  </r>
  <r>
    <x v="708"/>
    <n v="10.366262850907686"/>
    <x v="708"/>
    <n v="1"/>
  </r>
  <r>
    <x v="709"/>
    <n v="56.649746087232138"/>
    <x v="709"/>
    <n v="0"/>
  </r>
  <r>
    <x v="710"/>
    <n v="33.391999255764574"/>
    <x v="710"/>
    <n v="1"/>
  </r>
  <r>
    <x v="711"/>
    <n v="17.661764126940376"/>
    <x v="711"/>
    <n v="1"/>
  </r>
  <r>
    <x v="712"/>
    <n v="12.085488232172132"/>
    <x v="712"/>
    <n v="1"/>
  </r>
  <r>
    <x v="713"/>
    <n v="26.733158672381112"/>
    <x v="713"/>
    <n v="1"/>
  </r>
  <r>
    <x v="714"/>
    <n v="20.282728024702745"/>
    <x v="714"/>
    <n v="1"/>
  </r>
  <r>
    <x v="715"/>
    <n v="23.978539282662055"/>
    <x v="715"/>
    <n v="1"/>
  </r>
  <r>
    <x v="716"/>
    <n v="37.627594161667275"/>
    <x v="716"/>
    <n v="0"/>
  </r>
  <r>
    <x v="717"/>
    <n v="32.930189844864657"/>
    <x v="717"/>
    <n v="1"/>
  </r>
  <r>
    <x v="718"/>
    <n v="66.972668973744831"/>
    <x v="718"/>
    <n v="0"/>
  </r>
  <r>
    <x v="719"/>
    <n v="44.019374823293489"/>
    <x v="719"/>
    <n v="0"/>
  </r>
  <r>
    <x v="720"/>
    <n v="132.56825718322284"/>
    <x v="720"/>
    <n v="0"/>
  </r>
  <r>
    <x v="721"/>
    <n v="35.29171617907177"/>
    <x v="721"/>
    <n v="1"/>
  </r>
  <r>
    <x v="722"/>
    <n v="39.578764133563681"/>
    <x v="722"/>
    <n v="0"/>
  </r>
  <r>
    <x v="723"/>
    <n v="25.36985867814462"/>
    <x v="723"/>
    <n v="1"/>
  </r>
  <r>
    <x v="724"/>
    <n v="24.330985362629153"/>
    <x v="724"/>
    <n v="1"/>
  </r>
  <r>
    <x v="725"/>
    <n v="61.480076929566223"/>
    <x v="725"/>
    <n v="0"/>
  </r>
  <r>
    <x v="726"/>
    <n v="21.88308769486968"/>
    <x v="726"/>
    <n v="1"/>
  </r>
  <r>
    <x v="727"/>
    <n v="32.635429207733722"/>
    <x v="727"/>
    <n v="1"/>
  </r>
  <r>
    <x v="728"/>
    <n v="37.068785345760709"/>
    <x v="728"/>
    <n v="1"/>
  </r>
  <r>
    <x v="729"/>
    <n v="80.623346527638333"/>
    <x v="729"/>
    <n v="0"/>
  </r>
  <r>
    <x v="730"/>
    <n v="37.804313670787046"/>
    <x v="730"/>
    <n v="0"/>
  </r>
  <r>
    <x v="731"/>
    <n v="11.020239386864136"/>
    <x v="731"/>
    <n v="1"/>
  </r>
  <r>
    <x v="732"/>
    <n v="42.299744872953205"/>
    <x v="732"/>
    <n v="0"/>
  </r>
  <r>
    <x v="733"/>
    <n v="86.683328377846181"/>
    <x v="733"/>
    <n v="0"/>
  </r>
  <r>
    <x v="734"/>
    <n v="13.860089685777353"/>
    <x v="734"/>
    <n v="1"/>
  </r>
  <r>
    <x v="735"/>
    <n v="9.2648702268694478"/>
    <x v="735"/>
    <n v="1"/>
  </r>
  <r>
    <x v="736"/>
    <n v="32.053176530858757"/>
    <x v="736"/>
    <n v="1"/>
  </r>
  <r>
    <x v="737"/>
    <n v="12.131522779930901"/>
    <x v="737"/>
    <n v="1"/>
  </r>
  <r>
    <x v="738"/>
    <n v="23.62483621349341"/>
    <x v="738"/>
    <n v="1"/>
  </r>
  <r>
    <x v="739"/>
    <n v="40.773481694876587"/>
    <x v="739"/>
    <n v="0"/>
  </r>
  <r>
    <x v="740"/>
    <n v="34.209248728219734"/>
    <x v="740"/>
    <n v="1"/>
  </r>
  <r>
    <x v="741"/>
    <n v="24.859068965665184"/>
    <x v="741"/>
    <n v="1"/>
  </r>
  <r>
    <x v="742"/>
    <n v="11.997372095596775"/>
    <x v="742"/>
    <n v="1"/>
  </r>
  <r>
    <x v="743"/>
    <n v="102.29260845550834"/>
    <x v="743"/>
    <n v="0"/>
  </r>
  <r>
    <x v="744"/>
    <n v="52.295989342753515"/>
    <x v="744"/>
    <n v="0"/>
  </r>
  <r>
    <x v="745"/>
    <n v="72.653583929158316"/>
    <x v="745"/>
    <n v="0"/>
  </r>
  <r>
    <x v="746"/>
    <n v="36.325862135681206"/>
    <x v="746"/>
    <n v="1"/>
  </r>
  <r>
    <x v="747"/>
    <n v="13.88818786420326"/>
    <x v="747"/>
    <n v="1"/>
  </r>
  <r>
    <x v="748"/>
    <n v="31.654979276059503"/>
    <x v="748"/>
    <n v="1"/>
  </r>
  <r>
    <x v="749"/>
    <n v="68.880602110918971"/>
    <x v="749"/>
    <n v="0"/>
  </r>
  <r>
    <x v="750"/>
    <n v="26.831880333277031"/>
    <x v="750"/>
    <n v="1"/>
  </r>
  <r>
    <x v="751"/>
    <n v="27.517785510456356"/>
    <x v="751"/>
    <n v="1"/>
  </r>
  <r>
    <x v="752"/>
    <n v="32.049012376553385"/>
    <x v="752"/>
    <n v="1"/>
  </r>
  <r>
    <x v="753"/>
    <n v="22.062644147898656"/>
    <x v="753"/>
    <n v="1"/>
  </r>
  <r>
    <x v="754"/>
    <n v="21.450327804960104"/>
    <x v="754"/>
    <n v="1"/>
  </r>
  <r>
    <x v="755"/>
    <n v="34.411505789655699"/>
    <x v="755"/>
    <n v="1"/>
  </r>
  <r>
    <x v="756"/>
    <n v="24.714248309677867"/>
    <x v="756"/>
    <n v="1"/>
  </r>
  <r>
    <x v="757"/>
    <n v="24.875439926760915"/>
    <x v="757"/>
    <n v="1"/>
  </r>
  <r>
    <x v="758"/>
    <n v="18.381344803269847"/>
    <x v="758"/>
    <n v="1"/>
  </r>
  <r>
    <x v="759"/>
    <n v="37.436322745447285"/>
    <x v="759"/>
    <n v="0"/>
  </r>
  <r>
    <x v="760"/>
    <n v="29.954401912635259"/>
    <x v="760"/>
    <n v="1"/>
  </r>
  <r>
    <x v="761"/>
    <n v="42.036034363297034"/>
    <x v="761"/>
    <n v="0"/>
  </r>
  <r>
    <x v="762"/>
    <n v="211.06203533372573"/>
    <x v="762"/>
    <n v="0"/>
  </r>
  <r>
    <x v="763"/>
    <n v="34.84723440625153"/>
    <x v="763"/>
    <n v="1"/>
  </r>
  <r>
    <x v="764"/>
    <n v="62.744323845599041"/>
    <x v="764"/>
    <n v="0"/>
  </r>
  <r>
    <x v="765"/>
    <n v="24.652556209800025"/>
    <x v="765"/>
    <n v="1"/>
  </r>
  <r>
    <x v="766"/>
    <n v="83.992528511801282"/>
    <x v="766"/>
    <n v="0"/>
  </r>
  <r>
    <x v="767"/>
    <n v="47.238171686456198"/>
    <x v="767"/>
    <n v="0"/>
  </r>
  <r>
    <x v="768"/>
    <n v="35.723181846276646"/>
    <x v="768"/>
    <n v="1"/>
  </r>
  <r>
    <x v="769"/>
    <n v="23.421675016258462"/>
    <x v="769"/>
    <n v="1"/>
  </r>
  <r>
    <x v="770"/>
    <n v="58.835777733790238"/>
    <x v="770"/>
    <n v="0"/>
  </r>
  <r>
    <x v="771"/>
    <n v="21.66510900045812"/>
    <x v="771"/>
    <n v="1"/>
  </r>
  <r>
    <x v="772"/>
    <n v="34.796994918512354"/>
    <x v="772"/>
    <n v="1"/>
  </r>
  <r>
    <x v="773"/>
    <n v="16.691299854732133"/>
    <x v="773"/>
    <n v="1"/>
  </r>
  <r>
    <x v="774"/>
    <n v="43.069725671352749"/>
    <x v="774"/>
    <n v="0"/>
  </r>
  <r>
    <x v="775"/>
    <n v="22.334007116470385"/>
    <x v="775"/>
    <n v="1"/>
  </r>
  <r>
    <x v="776"/>
    <n v="41.889150448277107"/>
    <x v="776"/>
    <n v="0"/>
  </r>
  <r>
    <x v="777"/>
    <n v="27.676038116418361"/>
    <x v="777"/>
    <n v="1"/>
  </r>
  <r>
    <x v="778"/>
    <n v="37.305403896176244"/>
    <x v="778"/>
    <n v="0"/>
  </r>
  <r>
    <x v="779"/>
    <n v="14.806575973338054"/>
    <x v="779"/>
    <n v="1"/>
  </r>
  <r>
    <x v="780"/>
    <n v="40.106813523120138"/>
    <x v="780"/>
    <n v="0"/>
  </r>
  <r>
    <x v="781"/>
    <n v="89.264515620741662"/>
    <x v="781"/>
    <n v="0"/>
  </r>
  <r>
    <x v="782"/>
    <n v="18.099453415330075"/>
    <x v="782"/>
    <n v="1"/>
  </r>
  <r>
    <x v="783"/>
    <n v="78.907281341733182"/>
    <x v="783"/>
    <n v="0"/>
  </r>
  <r>
    <x v="784"/>
    <n v="72.907285091428605"/>
    <x v="784"/>
    <n v="0"/>
  </r>
  <r>
    <x v="785"/>
    <n v="63.884911862644991"/>
    <x v="785"/>
    <n v="0"/>
  </r>
  <r>
    <x v="786"/>
    <n v="57.21834731756261"/>
    <x v="786"/>
    <n v="0"/>
  </r>
  <r>
    <x v="787"/>
    <n v="25.804401079768343"/>
    <x v="787"/>
    <n v="1"/>
  </r>
  <r>
    <x v="788"/>
    <n v="36.673231144653606"/>
    <x v="788"/>
    <n v="1"/>
  </r>
  <r>
    <x v="789"/>
    <n v="15.202193720982612"/>
    <x v="789"/>
    <n v="1"/>
  </r>
  <r>
    <x v="790"/>
    <n v="17.9875947140101"/>
    <x v="790"/>
    <n v="1"/>
  </r>
  <r>
    <x v="791"/>
    <n v="37.618953612693794"/>
    <x v="791"/>
    <n v="0"/>
  </r>
  <r>
    <x v="792"/>
    <n v="38.185976205777557"/>
    <x v="792"/>
    <n v="0"/>
  </r>
  <r>
    <x v="793"/>
    <n v="26.260287724913102"/>
    <x v="793"/>
    <n v="1"/>
  </r>
  <r>
    <x v="794"/>
    <n v="8.8750644759758828"/>
    <x v="794"/>
    <n v="1"/>
  </r>
  <r>
    <x v="795"/>
    <n v="70.504584378928072"/>
    <x v="795"/>
    <n v="0"/>
  </r>
  <r>
    <x v="796"/>
    <n v="23.849871722154333"/>
    <x v="796"/>
    <n v="1"/>
  </r>
  <r>
    <x v="797"/>
    <n v="14.582464206995997"/>
    <x v="797"/>
    <n v="1"/>
  </r>
  <r>
    <x v="798"/>
    <n v="56.78911466561059"/>
    <x v="798"/>
    <n v="0"/>
  </r>
  <r>
    <x v="799"/>
    <n v="25.089338105666339"/>
    <x v="799"/>
    <n v="1"/>
  </r>
  <r>
    <x v="800"/>
    <n v="26.453222710875703"/>
    <x v="800"/>
    <n v="1"/>
  </r>
  <r>
    <x v="801"/>
    <n v="35.688729958531802"/>
    <x v="801"/>
    <n v="1"/>
  </r>
  <r>
    <x v="802"/>
    <n v="82.359765576646268"/>
    <x v="802"/>
    <n v="0"/>
  </r>
  <r>
    <x v="803"/>
    <n v="83.946404744466534"/>
    <x v="803"/>
    <n v="0"/>
  </r>
  <r>
    <x v="804"/>
    <n v="15.928160512181993"/>
    <x v="804"/>
    <n v="1"/>
  </r>
  <r>
    <x v="805"/>
    <n v="27.880608825727499"/>
    <x v="805"/>
    <n v="1"/>
  </r>
  <r>
    <x v="806"/>
    <n v="87.90948203134127"/>
    <x v="806"/>
    <n v="0"/>
  </r>
  <r>
    <x v="807"/>
    <n v="20.927466256334903"/>
    <x v="807"/>
    <n v="1"/>
  </r>
  <r>
    <x v="808"/>
    <n v="92.168032644487099"/>
    <x v="808"/>
    <n v="0"/>
  </r>
  <r>
    <x v="809"/>
    <n v="16.896970524044949"/>
    <x v="809"/>
    <n v="1"/>
  </r>
  <r>
    <x v="810"/>
    <n v="42.372590994173635"/>
    <x v="810"/>
    <n v="0"/>
  </r>
  <r>
    <x v="811"/>
    <n v="23.349447739111287"/>
    <x v="811"/>
    <n v="1"/>
  </r>
  <r>
    <x v="812"/>
    <n v="16.625100952697043"/>
    <x v="812"/>
    <n v="1"/>
  </r>
  <r>
    <x v="813"/>
    <n v="19.026625252274819"/>
    <x v="813"/>
    <n v="1"/>
  </r>
  <r>
    <x v="814"/>
    <n v="40.107214228677471"/>
    <x v="814"/>
    <n v="0"/>
  </r>
  <r>
    <x v="815"/>
    <n v="30.63566760766864"/>
    <x v="815"/>
    <n v="1"/>
  </r>
  <r>
    <x v="816"/>
    <n v="59.316185244358195"/>
    <x v="816"/>
    <n v="0"/>
  </r>
  <r>
    <x v="817"/>
    <n v="26.840535315620496"/>
    <x v="817"/>
    <n v="1"/>
  </r>
  <r>
    <x v="818"/>
    <n v="44.828810819482904"/>
    <x v="818"/>
    <n v="0"/>
  </r>
  <r>
    <x v="819"/>
    <n v="28.08421031771762"/>
    <x v="819"/>
    <n v="1"/>
  </r>
  <r>
    <x v="820"/>
    <n v="23.249004233380017"/>
    <x v="820"/>
    <n v="1"/>
  </r>
  <r>
    <x v="821"/>
    <n v="105.78392459219955"/>
    <x v="821"/>
    <n v="0"/>
  </r>
  <r>
    <x v="822"/>
    <n v="30.547088879466692"/>
    <x v="822"/>
    <n v="1"/>
  </r>
  <r>
    <x v="823"/>
    <n v="25.576182449896521"/>
    <x v="823"/>
    <n v="1"/>
  </r>
  <r>
    <x v="824"/>
    <n v="77.281603243334033"/>
    <x v="824"/>
    <n v="0"/>
  </r>
  <r>
    <x v="825"/>
    <n v="41.985063809504751"/>
    <x v="825"/>
    <n v="0"/>
  </r>
  <r>
    <x v="826"/>
    <n v="26.913219818374202"/>
    <x v="826"/>
    <n v="1"/>
  </r>
  <r>
    <x v="827"/>
    <n v="22.5821197197908"/>
    <x v="827"/>
    <n v="1"/>
  </r>
  <r>
    <x v="828"/>
    <n v="64.143192936012298"/>
    <x v="828"/>
    <n v="0"/>
  </r>
  <r>
    <x v="829"/>
    <n v="8.9990939035405635"/>
    <x v="829"/>
    <n v="1"/>
  </r>
  <r>
    <x v="830"/>
    <n v="53.138636458382543"/>
    <x v="830"/>
    <n v="0"/>
  </r>
  <r>
    <x v="831"/>
    <n v="36.332407467088764"/>
    <x v="831"/>
    <n v="1"/>
  </r>
  <r>
    <x v="832"/>
    <n v="16.755054788611126"/>
    <x v="832"/>
    <n v="1"/>
  </r>
  <r>
    <x v="833"/>
    <n v="36.433249683441773"/>
    <x v="833"/>
    <n v="1"/>
  </r>
  <r>
    <x v="834"/>
    <n v="88.466011261882272"/>
    <x v="834"/>
    <n v="0"/>
  </r>
  <r>
    <x v="835"/>
    <n v="18.761347157145387"/>
    <x v="835"/>
    <n v="1"/>
  </r>
  <r>
    <x v="836"/>
    <n v="49.738179466156446"/>
    <x v="836"/>
    <n v="0"/>
  </r>
  <r>
    <x v="837"/>
    <n v="23.711526103346753"/>
    <x v="837"/>
    <n v="1"/>
  </r>
  <r>
    <x v="838"/>
    <n v="44.991216037441554"/>
    <x v="838"/>
    <n v="0"/>
  </r>
  <r>
    <x v="839"/>
    <n v="91.936769445771716"/>
    <x v="839"/>
    <n v="0"/>
  </r>
  <r>
    <x v="840"/>
    <n v="8.8089466052155085"/>
    <x v="840"/>
    <n v="1"/>
  </r>
  <r>
    <x v="841"/>
    <n v="12.403757285935242"/>
    <x v="841"/>
    <n v="1"/>
  </r>
  <r>
    <x v="842"/>
    <n v="43.987689163101081"/>
    <x v="842"/>
    <n v="0"/>
  </r>
  <r>
    <x v="843"/>
    <n v="19.049549172374054"/>
    <x v="843"/>
    <n v="1"/>
  </r>
  <r>
    <x v="844"/>
    <n v="59.205265807938048"/>
    <x v="844"/>
    <n v="0"/>
  </r>
  <r>
    <x v="845"/>
    <n v="18.459290899029206"/>
    <x v="845"/>
    <n v="1"/>
  </r>
  <r>
    <x v="846"/>
    <n v="25.456203930406339"/>
    <x v="846"/>
    <n v="1"/>
  </r>
  <r>
    <x v="847"/>
    <n v="23.112655196870186"/>
    <x v="847"/>
    <n v="1"/>
  </r>
  <r>
    <x v="848"/>
    <n v="123.55271015519428"/>
    <x v="848"/>
    <n v="0"/>
  </r>
  <r>
    <x v="849"/>
    <n v="43.501852757325473"/>
    <x v="849"/>
    <n v="0"/>
  </r>
  <r>
    <x v="850"/>
    <n v="17.602214431059146"/>
    <x v="850"/>
    <n v="1"/>
  </r>
  <r>
    <x v="851"/>
    <n v="25.636740363484272"/>
    <x v="851"/>
    <n v="1"/>
  </r>
  <r>
    <x v="852"/>
    <n v="21.763124812637344"/>
    <x v="852"/>
    <n v="1"/>
  </r>
  <r>
    <x v="853"/>
    <n v="30.942548849494166"/>
    <x v="853"/>
    <n v="1"/>
  </r>
  <r>
    <x v="854"/>
    <n v="34.556069677099885"/>
    <x v="854"/>
    <n v="1"/>
  </r>
  <r>
    <x v="855"/>
    <n v="36.546801721078026"/>
    <x v="855"/>
    <n v="1"/>
  </r>
  <r>
    <x v="856"/>
    <n v="32.154842877216673"/>
    <x v="856"/>
    <n v="1"/>
  </r>
  <r>
    <x v="857"/>
    <n v="21.407686772065869"/>
    <x v="857"/>
    <n v="1"/>
  </r>
  <r>
    <x v="858"/>
    <n v="95.995759684989281"/>
    <x v="858"/>
    <n v="0"/>
  </r>
  <r>
    <x v="859"/>
    <n v="44.274911452315095"/>
    <x v="859"/>
    <n v="0"/>
  </r>
  <r>
    <x v="860"/>
    <n v="46.395764607076963"/>
    <x v="860"/>
    <n v="0"/>
  </r>
  <r>
    <x v="861"/>
    <n v="40.473196991680702"/>
    <x v="861"/>
    <n v="0"/>
  </r>
  <r>
    <x v="862"/>
    <n v="42.395762289232863"/>
    <x v="862"/>
    <n v="0"/>
  </r>
  <r>
    <x v="863"/>
    <n v="12.926414668654051"/>
    <x v="863"/>
    <n v="1"/>
  </r>
  <r>
    <x v="864"/>
    <n v="6.6529203516264666"/>
    <x v="864"/>
    <n v="1"/>
  </r>
  <r>
    <x v="865"/>
    <n v="31.194660568483219"/>
    <x v="865"/>
    <n v="1"/>
  </r>
  <r>
    <x v="866"/>
    <n v="18.452738431588411"/>
    <x v="866"/>
    <n v="1"/>
  </r>
  <r>
    <x v="867"/>
    <n v="30.229819893733662"/>
    <x v="867"/>
    <n v="1"/>
  </r>
  <r>
    <x v="868"/>
    <n v="51.009375254236154"/>
    <x v="868"/>
    <n v="0"/>
  </r>
  <r>
    <x v="869"/>
    <n v="21.880884920715328"/>
    <x v="869"/>
    <n v="1"/>
  </r>
  <r>
    <x v="870"/>
    <n v="29.554660860993053"/>
    <x v="870"/>
    <n v="1"/>
  </r>
  <r>
    <x v="871"/>
    <n v="28.475938997748806"/>
    <x v="871"/>
    <n v="1"/>
  </r>
  <r>
    <x v="872"/>
    <n v="69.410221119828535"/>
    <x v="872"/>
    <n v="0"/>
  </r>
  <r>
    <x v="873"/>
    <n v="56.851112826079515"/>
    <x v="873"/>
    <n v="0"/>
  </r>
  <r>
    <x v="874"/>
    <n v="25.306574412740844"/>
    <x v="874"/>
    <n v="1"/>
  </r>
  <r>
    <x v="875"/>
    <n v="29.155027991412528"/>
    <x v="875"/>
    <n v="1"/>
  </r>
  <r>
    <x v="876"/>
    <n v="59.130331088390051"/>
    <x v="876"/>
    <n v="0"/>
  </r>
  <r>
    <x v="877"/>
    <n v="36.281392523454358"/>
    <x v="877"/>
    <n v="1"/>
  </r>
  <r>
    <x v="878"/>
    <n v="50.388488024764015"/>
    <x v="878"/>
    <n v="0"/>
  </r>
  <r>
    <x v="879"/>
    <n v="27.990665970158435"/>
    <x v="879"/>
    <n v="1"/>
  </r>
  <r>
    <x v="880"/>
    <n v="25.529976074645663"/>
    <x v="880"/>
    <n v="1"/>
  </r>
  <r>
    <x v="881"/>
    <n v="35.697784374224838"/>
    <x v="881"/>
    <n v="1"/>
  </r>
  <r>
    <x v="882"/>
    <n v="16.024276822773238"/>
    <x v="882"/>
    <n v="1"/>
  </r>
  <r>
    <x v="883"/>
    <n v="66.382178307216392"/>
    <x v="883"/>
    <n v="0"/>
  </r>
  <r>
    <x v="884"/>
    <n v="11.994699313816271"/>
    <x v="884"/>
    <n v="1"/>
  </r>
  <r>
    <x v="885"/>
    <n v="8.8673259022659163"/>
    <x v="885"/>
    <n v="1"/>
  </r>
  <r>
    <x v="886"/>
    <n v="31.7222469706529"/>
    <x v="886"/>
    <n v="1"/>
  </r>
  <r>
    <x v="887"/>
    <n v="5.8273840624553719"/>
    <x v="887"/>
    <n v="1"/>
  </r>
  <r>
    <x v="888"/>
    <n v="25.362071295753132"/>
    <x v="888"/>
    <n v="1"/>
  </r>
  <r>
    <x v="889"/>
    <n v="33.095419545084745"/>
    <x v="889"/>
    <n v="1"/>
  </r>
  <r>
    <x v="890"/>
    <n v="10.182551097523344"/>
    <x v="890"/>
    <n v="1"/>
  </r>
  <r>
    <x v="891"/>
    <n v="35.985557765863867"/>
    <x v="891"/>
    <n v="1"/>
  </r>
  <r>
    <x v="892"/>
    <n v="14.717847222026036"/>
    <x v="892"/>
    <n v="1"/>
  </r>
  <r>
    <x v="893"/>
    <n v="30.59486442432155"/>
    <x v="893"/>
    <n v="1"/>
  </r>
  <r>
    <x v="894"/>
    <n v="22.50713306248856"/>
    <x v="894"/>
    <n v="1"/>
  </r>
  <r>
    <x v="895"/>
    <n v="20.792280875726142"/>
    <x v="895"/>
    <n v="1"/>
  </r>
  <r>
    <x v="896"/>
    <n v="24.877851204784871"/>
    <x v="896"/>
    <n v="1"/>
  </r>
  <r>
    <x v="897"/>
    <n v="54.2262957767405"/>
    <x v="897"/>
    <n v="0"/>
  </r>
  <r>
    <x v="898"/>
    <n v="20.217515043197505"/>
    <x v="898"/>
    <n v="1"/>
  </r>
  <r>
    <x v="899"/>
    <n v="75.534099763668635"/>
    <x v="899"/>
    <n v="0"/>
  </r>
  <r>
    <x v="900"/>
    <n v="39.323556459768859"/>
    <x v="900"/>
    <n v="0"/>
  </r>
  <r>
    <x v="901"/>
    <n v="36.219908587502637"/>
    <x v="901"/>
    <n v="1"/>
  </r>
  <r>
    <x v="902"/>
    <n v="4.8690676445463472"/>
    <x v="902"/>
    <n v="1"/>
  </r>
  <r>
    <x v="903"/>
    <n v="44.127901526662569"/>
    <x v="903"/>
    <n v="0"/>
  </r>
  <r>
    <x v="904"/>
    <n v="37.944427028547601"/>
    <x v="904"/>
    <n v="0"/>
  </r>
  <r>
    <x v="905"/>
    <n v="55.400115195151869"/>
    <x v="905"/>
    <n v="0"/>
  </r>
  <r>
    <x v="906"/>
    <n v="24.255076783191392"/>
    <x v="906"/>
    <n v="1"/>
  </r>
  <r>
    <x v="907"/>
    <n v="35.193972173185735"/>
    <x v="907"/>
    <n v="1"/>
  </r>
  <r>
    <x v="908"/>
    <n v="8.2327681811323679"/>
    <x v="908"/>
    <n v="1"/>
  </r>
  <r>
    <x v="909"/>
    <n v="21.197249377933389"/>
    <x v="909"/>
    <n v="1"/>
  </r>
  <r>
    <x v="910"/>
    <n v="20.704738588961749"/>
    <x v="910"/>
    <n v="1"/>
  </r>
  <r>
    <x v="911"/>
    <n v="22.317074003969658"/>
    <x v="911"/>
    <n v="1"/>
  </r>
  <r>
    <x v="912"/>
    <n v="96.96777057521183"/>
    <x v="912"/>
    <n v="0"/>
  </r>
  <r>
    <x v="913"/>
    <n v="18.66840065134835"/>
    <x v="913"/>
    <n v="1"/>
  </r>
  <r>
    <x v="914"/>
    <n v="38.334832966717251"/>
    <x v="914"/>
    <n v="0"/>
  </r>
  <r>
    <x v="915"/>
    <n v="14.81140568685432"/>
    <x v="915"/>
    <n v="1"/>
  </r>
  <r>
    <x v="916"/>
    <n v="11.739735088555394"/>
    <x v="916"/>
    <n v="1"/>
  </r>
  <r>
    <x v="917"/>
    <n v="20.359571433481776"/>
    <x v="917"/>
    <n v="1"/>
  </r>
  <r>
    <x v="918"/>
    <n v="123.50262541655317"/>
    <x v="918"/>
    <n v="0"/>
  </r>
  <r>
    <x v="919"/>
    <n v="39.104134697905018"/>
    <x v="919"/>
    <n v="0"/>
  </r>
  <r>
    <x v="920"/>
    <n v="11.104574389035548"/>
    <x v="920"/>
    <n v="1"/>
  </r>
  <r>
    <x v="921"/>
    <n v="56.88167814167457"/>
    <x v="921"/>
    <n v="0"/>
  </r>
  <r>
    <x v="922"/>
    <n v="18.560629704883905"/>
    <x v="922"/>
    <n v="1"/>
  </r>
  <r>
    <x v="923"/>
    <n v="12.43971339725999"/>
    <x v="923"/>
    <n v="1"/>
  </r>
  <r>
    <x v="924"/>
    <n v="23.919813558685433"/>
    <x v="924"/>
    <n v="1"/>
  </r>
  <r>
    <x v="925"/>
    <n v="5.5006817687731546"/>
    <x v="925"/>
    <n v="1"/>
  </r>
  <r>
    <x v="926"/>
    <n v="75.9849626597358"/>
    <x v="926"/>
    <n v="0"/>
  </r>
  <r>
    <x v="927"/>
    <n v="29.984351892963915"/>
    <x v="927"/>
    <n v="1"/>
  </r>
  <r>
    <x v="928"/>
    <n v="40.007437809344466"/>
    <x v="928"/>
    <n v="0"/>
  </r>
  <r>
    <x v="929"/>
    <n v="25.830446286344529"/>
    <x v="929"/>
    <n v="1"/>
  </r>
  <r>
    <x v="930"/>
    <n v="31.025439968354949"/>
    <x v="930"/>
    <n v="1"/>
  </r>
  <r>
    <x v="931"/>
    <n v="13.9819186950721"/>
    <x v="931"/>
    <n v="1"/>
  </r>
  <r>
    <x v="932"/>
    <n v="35.997960638061109"/>
    <x v="932"/>
    <n v="1"/>
  </r>
  <r>
    <x v="933"/>
    <n v="24.741789696593621"/>
    <x v="933"/>
    <n v="1"/>
  </r>
  <r>
    <x v="934"/>
    <n v="55.341479163283687"/>
    <x v="934"/>
    <n v="0"/>
  </r>
  <r>
    <x v="935"/>
    <n v="22.865256154043688"/>
    <x v="935"/>
    <n v="1"/>
  </r>
  <r>
    <x v="936"/>
    <n v="31.395246265716594"/>
    <x v="936"/>
    <n v="1"/>
  </r>
  <r>
    <x v="937"/>
    <n v="23.621435856590157"/>
    <x v="937"/>
    <n v="1"/>
  </r>
  <r>
    <x v="938"/>
    <n v="19.674441671990206"/>
    <x v="938"/>
    <n v="1"/>
  </r>
  <r>
    <x v="939"/>
    <n v="26.515492424879294"/>
    <x v="939"/>
    <n v="1"/>
  </r>
  <r>
    <x v="940"/>
    <n v="15.658821385834543"/>
    <x v="940"/>
    <n v="1"/>
  </r>
  <r>
    <x v="941"/>
    <n v="43.035503014817728"/>
    <x v="941"/>
    <n v="0"/>
  </r>
  <r>
    <x v="942"/>
    <n v="144.67581927350042"/>
    <x v="942"/>
    <n v="0"/>
  </r>
  <r>
    <x v="943"/>
    <n v="12.600720064949423"/>
    <x v="943"/>
    <n v="1"/>
  </r>
  <r>
    <x v="944"/>
    <n v="20.903854748172567"/>
    <x v="944"/>
    <n v="1"/>
  </r>
  <r>
    <x v="945"/>
    <n v="50.551747710369519"/>
    <x v="945"/>
    <n v="0"/>
  </r>
  <r>
    <x v="946"/>
    <n v="17.148402156543881"/>
    <x v="946"/>
    <n v="1"/>
  </r>
  <r>
    <x v="947"/>
    <n v="51.281979319434633"/>
    <x v="947"/>
    <n v="0"/>
  </r>
  <r>
    <x v="948"/>
    <n v="48.257938059665044"/>
    <x v="948"/>
    <n v="0"/>
  </r>
  <r>
    <x v="949"/>
    <n v="27.927339420282209"/>
    <x v="949"/>
    <n v="1"/>
  </r>
  <r>
    <x v="950"/>
    <n v="25.472491963947714"/>
    <x v="950"/>
    <n v="1"/>
  </r>
  <r>
    <x v="951"/>
    <n v="29.555321892611708"/>
    <x v="951"/>
    <n v="1"/>
  </r>
  <r>
    <x v="952"/>
    <n v="44.110034004839406"/>
    <x v="952"/>
    <n v="0"/>
  </r>
  <r>
    <x v="953"/>
    <n v="27.019031754750305"/>
    <x v="953"/>
    <n v="1"/>
  </r>
  <r>
    <x v="954"/>
    <n v="13.142979113666311"/>
    <x v="954"/>
    <n v="1"/>
  </r>
  <r>
    <x v="955"/>
    <n v="44.290067594956888"/>
    <x v="955"/>
    <n v="0"/>
  </r>
  <r>
    <x v="956"/>
    <n v="28.794814417632477"/>
    <x v="956"/>
    <n v="1"/>
  </r>
  <r>
    <x v="957"/>
    <n v="21.492314894610963"/>
    <x v="957"/>
    <n v="1"/>
  </r>
  <r>
    <x v="958"/>
    <n v="30.397825991787826"/>
    <x v="958"/>
    <n v="1"/>
  </r>
  <r>
    <x v="959"/>
    <n v="69.130037765188419"/>
    <x v="959"/>
    <n v="0"/>
  </r>
  <r>
    <x v="960"/>
    <n v="26.180122934216548"/>
    <x v="960"/>
    <n v="1"/>
  </r>
  <r>
    <x v="961"/>
    <n v="34.362992488684661"/>
    <x v="961"/>
    <n v="1"/>
  </r>
  <r>
    <x v="962"/>
    <n v="30.729150609287075"/>
    <x v="962"/>
    <n v="1"/>
  </r>
  <r>
    <x v="963"/>
    <n v="30.264615183008996"/>
    <x v="963"/>
    <n v="1"/>
  </r>
  <r>
    <x v="964"/>
    <n v="14.764975262835438"/>
    <x v="964"/>
    <n v="1"/>
  </r>
  <r>
    <x v="965"/>
    <n v="33.166843339138509"/>
    <x v="965"/>
    <n v="1"/>
  </r>
  <r>
    <x v="966"/>
    <n v="140.52899827469855"/>
    <x v="966"/>
    <n v="0"/>
  </r>
  <r>
    <x v="967"/>
    <n v="29.438673783496796"/>
    <x v="967"/>
    <n v="1"/>
  </r>
  <r>
    <x v="968"/>
    <n v="46.726756308026324"/>
    <x v="968"/>
    <n v="0"/>
  </r>
  <r>
    <x v="969"/>
    <n v="26.216866449110849"/>
    <x v="969"/>
    <n v="1"/>
  </r>
  <r>
    <x v="970"/>
    <n v="69.761431434465791"/>
    <x v="970"/>
    <n v="0"/>
  </r>
  <r>
    <x v="971"/>
    <n v="67.290588528598278"/>
    <x v="971"/>
    <n v="0"/>
  </r>
  <r>
    <x v="972"/>
    <n v="30.885685104490495"/>
    <x v="972"/>
    <n v="1"/>
  </r>
  <r>
    <x v="973"/>
    <n v="32.769585083714233"/>
    <x v="973"/>
    <n v="1"/>
  </r>
  <r>
    <x v="974"/>
    <n v="60.348494032522865"/>
    <x v="974"/>
    <n v="0"/>
  </r>
  <r>
    <x v="975"/>
    <n v="88.095617855314927"/>
    <x v="975"/>
    <n v="0"/>
  </r>
  <r>
    <x v="976"/>
    <n v="28.152773799583684"/>
    <x v="976"/>
    <n v="1"/>
  </r>
  <r>
    <x v="977"/>
    <n v="10.94190679625652"/>
    <x v="977"/>
    <n v="1"/>
  </r>
  <r>
    <x v="978"/>
    <n v="14.462105671019982"/>
    <x v="978"/>
    <n v="1"/>
  </r>
  <r>
    <x v="979"/>
    <n v="39.849558546084573"/>
    <x v="979"/>
    <n v="0"/>
  </r>
  <r>
    <x v="980"/>
    <n v="43.574440120611591"/>
    <x v="980"/>
    <n v="0"/>
  </r>
  <r>
    <x v="981"/>
    <n v="44.728127485471234"/>
    <x v="981"/>
    <n v="0"/>
  </r>
  <r>
    <x v="982"/>
    <n v="5.1280852014113938"/>
    <x v="982"/>
    <n v="1"/>
  </r>
  <r>
    <x v="983"/>
    <n v="25.055128342596312"/>
    <x v="983"/>
    <n v="1"/>
  </r>
  <r>
    <x v="984"/>
    <n v="123.98378642206151"/>
    <x v="984"/>
    <n v="0"/>
  </r>
  <r>
    <x v="985"/>
    <n v="45.439527828101447"/>
    <x v="985"/>
    <n v="0"/>
  </r>
  <r>
    <x v="986"/>
    <n v="19.320802937615863"/>
    <x v="986"/>
    <n v="1"/>
  </r>
  <r>
    <x v="987"/>
    <n v="138.80959121896132"/>
    <x v="987"/>
    <n v="0"/>
  </r>
  <r>
    <x v="988"/>
    <n v="30.5901249039341"/>
    <x v="988"/>
    <n v="1"/>
  </r>
  <r>
    <x v="989"/>
    <n v="13.858390886880596"/>
    <x v="989"/>
    <n v="1"/>
  </r>
  <r>
    <x v="990"/>
    <n v="12.084365196959322"/>
    <x v="990"/>
    <n v="1"/>
  </r>
  <r>
    <x v="991"/>
    <n v="19.617240653890565"/>
    <x v="991"/>
    <n v="1"/>
  </r>
  <r>
    <x v="992"/>
    <n v="43.935523097898823"/>
    <x v="992"/>
    <n v="0"/>
  </r>
  <r>
    <x v="993"/>
    <n v="12.291340219341137"/>
    <x v="993"/>
    <n v="1"/>
  </r>
  <r>
    <x v="994"/>
    <n v="57.081931968810835"/>
    <x v="994"/>
    <n v="0"/>
  </r>
  <r>
    <x v="995"/>
    <n v="7.0919850747804949"/>
    <x v="995"/>
    <n v="1"/>
  </r>
  <r>
    <x v="996"/>
    <n v="27.757220464980001"/>
    <x v="996"/>
    <n v="1"/>
  </r>
  <r>
    <x v="997"/>
    <n v="13.786317465353154"/>
    <x v="997"/>
    <n v="1"/>
  </r>
  <r>
    <x v="998"/>
    <n v="34.342491288463457"/>
    <x v="998"/>
    <n v="1"/>
  </r>
  <r>
    <x v="999"/>
    <n v="33.966673090505637"/>
    <x v="999"/>
    <n v="1"/>
  </r>
  <r>
    <x v="1000"/>
    <n v="44.149209328308743"/>
    <x v="1000"/>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x v="0"/>
    <x v="0"/>
    <n v="-7.7672880721367434"/>
    <n v="1"/>
  </r>
  <r>
    <x v="1"/>
    <x v="1"/>
    <n v="4922.9021120167172"/>
    <n v="0"/>
  </r>
  <r>
    <x v="2"/>
    <x v="2"/>
    <n v="6372.0535757773778"/>
    <n v="0"/>
  </r>
  <r>
    <x v="3"/>
    <x v="3"/>
    <n v="1933.4695046108322"/>
    <n v="0"/>
  </r>
  <r>
    <x v="4"/>
    <x v="4"/>
    <n v="-1228.4120273665849"/>
    <n v="1"/>
  </r>
  <r>
    <x v="5"/>
    <x v="5"/>
    <n v="6911.4645162114894"/>
    <n v="0"/>
  </r>
  <r>
    <x v="6"/>
    <x v="6"/>
    <n v="6543.5572525112411"/>
    <n v="0"/>
  </r>
  <r>
    <x v="7"/>
    <x v="7"/>
    <n v="356.03334539577128"/>
    <n v="0"/>
  </r>
  <r>
    <x v="8"/>
    <x v="8"/>
    <n v="-55.960389753272374"/>
    <n v="1"/>
  </r>
  <r>
    <x v="9"/>
    <x v="9"/>
    <n v="-1316.6209157175833"/>
    <n v="1"/>
  </r>
  <r>
    <x v="10"/>
    <x v="10"/>
    <n v="1276.591252796246"/>
    <n v="0"/>
  </r>
  <r>
    <x v="11"/>
    <x v="11"/>
    <n v="-1142.0544400479323"/>
    <n v="1"/>
  </r>
  <r>
    <x v="12"/>
    <x v="12"/>
    <n v="4993.706672745705"/>
    <n v="0"/>
  </r>
  <r>
    <x v="13"/>
    <x v="13"/>
    <n v="1201.1645357546013"/>
    <n v="0"/>
  </r>
  <r>
    <x v="14"/>
    <x v="14"/>
    <n v="5976.360869540109"/>
    <n v="0"/>
  </r>
  <r>
    <x v="15"/>
    <x v="15"/>
    <n v="4560.6300093574546"/>
    <n v="0"/>
  </r>
  <r>
    <x v="16"/>
    <x v="16"/>
    <n v="7651.6962990752354"/>
    <n v="0"/>
  </r>
  <r>
    <x v="17"/>
    <x v="17"/>
    <n v="6566.1535662699971"/>
    <n v="0"/>
  </r>
  <r>
    <x v="18"/>
    <x v="18"/>
    <n v="6563.5597847331856"/>
    <n v="0"/>
  </r>
  <r>
    <x v="19"/>
    <x v="19"/>
    <n v="6251.8960907765904"/>
    <n v="0"/>
  </r>
  <r>
    <x v="20"/>
    <x v="20"/>
    <n v="598.61540580661267"/>
    <n v="0"/>
  </r>
  <r>
    <x v="21"/>
    <x v="21"/>
    <n v="-809.82891220149486"/>
    <n v="1"/>
  </r>
  <r>
    <x v="22"/>
    <x v="22"/>
    <n v="-2214.8843392561707"/>
    <n v="1"/>
  </r>
  <r>
    <x v="23"/>
    <x v="23"/>
    <n v="564.2049643160733"/>
    <n v="0"/>
  </r>
  <r>
    <x v="24"/>
    <x v="24"/>
    <n v="3074.8587795666949"/>
    <n v="0"/>
  </r>
  <r>
    <x v="25"/>
    <x v="25"/>
    <n v="7008.6701296978426"/>
    <n v="0"/>
  </r>
  <r>
    <x v="26"/>
    <x v="26"/>
    <n v="-1045.6848229269774"/>
    <n v="1"/>
  </r>
  <r>
    <x v="27"/>
    <x v="27"/>
    <n v="2522.4842910036955"/>
    <n v="0"/>
  </r>
  <r>
    <x v="28"/>
    <x v="28"/>
    <n v="-1505.4121027789131"/>
    <n v="1"/>
  </r>
  <r>
    <x v="29"/>
    <x v="29"/>
    <n v="1353.3855603550439"/>
    <n v="0"/>
  </r>
  <r>
    <x v="30"/>
    <x v="30"/>
    <n v="3321.9766474297694"/>
    <n v="0"/>
  </r>
  <r>
    <x v="31"/>
    <x v="31"/>
    <n v="1730.2529755822225"/>
    <n v="0"/>
  </r>
  <r>
    <x v="32"/>
    <x v="32"/>
    <n v="5068.9751170980544"/>
    <n v="0"/>
  </r>
  <r>
    <x v="33"/>
    <x v="33"/>
    <n v="4911.5151806588074"/>
    <n v="0"/>
  </r>
  <r>
    <x v="34"/>
    <x v="34"/>
    <n v="1002.0064191564957"/>
    <n v="0"/>
  </r>
  <r>
    <x v="35"/>
    <x v="35"/>
    <n v="593.35395741319701"/>
    <n v="0"/>
  </r>
  <r>
    <x v="36"/>
    <x v="36"/>
    <n v="6290.4322911903573"/>
    <n v="0"/>
  </r>
  <r>
    <x v="37"/>
    <x v="37"/>
    <n v="4450.8870262304354"/>
    <n v="0"/>
  </r>
  <r>
    <x v="38"/>
    <x v="38"/>
    <n v="5372.9901833572985"/>
    <n v="0"/>
  </r>
  <r>
    <x v="39"/>
    <x v="39"/>
    <n v="-2139.7129873354943"/>
    <n v="1"/>
  </r>
  <r>
    <x v="40"/>
    <x v="40"/>
    <n v="4883.7555480027822"/>
    <n v="0"/>
  </r>
  <r>
    <x v="41"/>
    <x v="41"/>
    <n v="6987.5519377935716"/>
    <n v="0"/>
  </r>
  <r>
    <x v="42"/>
    <x v="42"/>
    <n v="510.03198979701716"/>
    <n v="0"/>
  </r>
  <r>
    <x v="43"/>
    <x v="43"/>
    <n v="4891.4701169269783"/>
    <n v="0"/>
  </r>
  <r>
    <x v="44"/>
    <x v="44"/>
    <n v="5008.3627909572451"/>
    <n v="0"/>
  </r>
  <r>
    <x v="45"/>
    <x v="45"/>
    <n v="82.879140744059427"/>
    <n v="0"/>
  </r>
  <r>
    <x v="46"/>
    <x v="46"/>
    <n v="2940.6027798840578"/>
    <n v="0"/>
  </r>
  <r>
    <x v="47"/>
    <x v="47"/>
    <n v="7724.7342445270733"/>
    <n v="0"/>
  </r>
  <r>
    <x v="48"/>
    <x v="48"/>
    <n v="2460.1104926164139"/>
    <n v="0"/>
  </r>
  <r>
    <x v="49"/>
    <x v="49"/>
    <n v="2026.6315398242118"/>
    <n v="0"/>
  </r>
  <r>
    <x v="50"/>
    <x v="50"/>
    <n v="1218.6738412486386"/>
    <n v="0"/>
  </r>
  <r>
    <x v="51"/>
    <x v="51"/>
    <n v="5192.8140335611497"/>
    <n v="0"/>
  </r>
  <r>
    <x v="52"/>
    <x v="52"/>
    <n v="7685.9187688427901"/>
    <n v="0"/>
  </r>
  <r>
    <x v="53"/>
    <x v="53"/>
    <n v="4799.4130965861586"/>
    <n v="0"/>
  </r>
  <r>
    <x v="54"/>
    <x v="54"/>
    <n v="-2399.1519912373587"/>
    <n v="1"/>
  </r>
  <r>
    <x v="55"/>
    <x v="55"/>
    <n v="6447.7678620042116"/>
    <n v="0"/>
  </r>
  <r>
    <x v="56"/>
    <x v="56"/>
    <n v="5052.1602065876386"/>
    <n v="0"/>
  </r>
  <r>
    <x v="57"/>
    <x v="57"/>
    <n v="6488.5959754206078"/>
    <n v="0"/>
  </r>
  <r>
    <x v="58"/>
    <x v="58"/>
    <n v="6284.3984419169656"/>
    <n v="0"/>
  </r>
  <r>
    <x v="59"/>
    <x v="59"/>
    <n v="-140.21100285167688"/>
    <n v="1"/>
  </r>
  <r>
    <x v="60"/>
    <x v="60"/>
    <n v="431.02503377733598"/>
    <n v="0"/>
  </r>
  <r>
    <x v="61"/>
    <x v="61"/>
    <n v="-2240.9465377568072"/>
    <n v="1"/>
  </r>
  <r>
    <x v="62"/>
    <x v="62"/>
    <n v="2126.0040388999259"/>
    <n v="0"/>
  </r>
  <r>
    <x v="63"/>
    <x v="63"/>
    <n v="1545.1188663886303"/>
    <n v="0"/>
  </r>
  <r>
    <x v="64"/>
    <x v="64"/>
    <n v="-1640.2249850243925"/>
    <n v="1"/>
  </r>
  <r>
    <x v="65"/>
    <x v="65"/>
    <n v="-1038.6518691750211"/>
    <n v="1"/>
  </r>
  <r>
    <x v="66"/>
    <x v="66"/>
    <n v="2539.2048344951108"/>
    <n v="0"/>
  </r>
  <r>
    <x v="67"/>
    <x v="67"/>
    <n v="-119.13956957269751"/>
    <n v="1"/>
  </r>
  <r>
    <x v="68"/>
    <x v="68"/>
    <n v="-193.37073545544968"/>
    <n v="1"/>
  </r>
  <r>
    <x v="69"/>
    <x v="69"/>
    <n v="2938.5253581621973"/>
    <n v="0"/>
  </r>
  <r>
    <x v="70"/>
    <x v="70"/>
    <n v="6950.5927074738656"/>
    <n v="0"/>
  </r>
  <r>
    <x v="71"/>
    <x v="71"/>
    <n v="5749.5620553648241"/>
    <n v="0"/>
  </r>
  <r>
    <x v="72"/>
    <x v="72"/>
    <n v="3228.3400896266826"/>
    <n v="0"/>
  </r>
  <r>
    <x v="73"/>
    <x v="73"/>
    <n v="4132.6573484133614"/>
    <n v="0"/>
  </r>
  <r>
    <x v="74"/>
    <x v="74"/>
    <n v="7351.9246306251162"/>
    <n v="0"/>
  </r>
  <r>
    <x v="75"/>
    <x v="75"/>
    <n v="2928.8103189566141"/>
    <n v="0"/>
  </r>
  <r>
    <x v="76"/>
    <x v="76"/>
    <n v="-2240.6146645329127"/>
    <n v="1"/>
  </r>
  <r>
    <x v="77"/>
    <x v="77"/>
    <n v="-1486.3252580699284"/>
    <n v="1"/>
  </r>
  <r>
    <x v="78"/>
    <x v="78"/>
    <n v="7506.9722329915339"/>
    <n v="0"/>
  </r>
  <r>
    <x v="79"/>
    <x v="79"/>
    <n v="7049.6217882411847"/>
    <n v="0"/>
  </r>
  <r>
    <x v="80"/>
    <x v="80"/>
    <n v="6373.1770133353584"/>
    <n v="0"/>
  </r>
  <r>
    <x v="81"/>
    <x v="81"/>
    <n v="1803.1512404041168"/>
    <n v="0"/>
  </r>
  <r>
    <x v="82"/>
    <x v="82"/>
    <n v="6527.75807852054"/>
    <n v="0"/>
  </r>
  <r>
    <x v="83"/>
    <x v="83"/>
    <n v="6321.8392748244778"/>
    <n v="0"/>
  </r>
  <r>
    <x v="84"/>
    <x v="84"/>
    <n v="321.63033218179027"/>
    <n v="0"/>
  </r>
  <r>
    <x v="85"/>
    <x v="85"/>
    <n v="3722.5717048825995"/>
    <n v="0"/>
  </r>
  <r>
    <x v="86"/>
    <x v="86"/>
    <n v="3093.0528587805779"/>
    <n v="0"/>
  </r>
  <r>
    <x v="87"/>
    <x v="87"/>
    <n v="2032.4499874027301"/>
    <n v="0"/>
  </r>
  <r>
    <x v="88"/>
    <x v="88"/>
    <n v="5403.6669430265738"/>
    <n v="0"/>
  </r>
  <r>
    <x v="89"/>
    <x v="89"/>
    <n v="1835.7685162861599"/>
    <n v="0"/>
  </r>
  <r>
    <x v="90"/>
    <x v="90"/>
    <n v="-383.66301845861534"/>
    <n v="1"/>
  </r>
  <r>
    <x v="91"/>
    <x v="91"/>
    <n v="2883.9648902458894"/>
    <n v="0"/>
  </r>
  <r>
    <x v="92"/>
    <x v="92"/>
    <n v="1122.4915390629674"/>
    <n v="0"/>
  </r>
  <r>
    <x v="93"/>
    <x v="93"/>
    <n v="4305.9342811739489"/>
    <n v="0"/>
  </r>
  <r>
    <x v="94"/>
    <x v="94"/>
    <n v="4906.75206045508"/>
    <n v="0"/>
  </r>
  <r>
    <x v="95"/>
    <x v="95"/>
    <n v="6709.3549026998289"/>
    <n v="0"/>
  </r>
  <r>
    <x v="96"/>
    <x v="96"/>
    <n v="2242.6262472157327"/>
    <n v="0"/>
  </r>
  <r>
    <x v="97"/>
    <x v="97"/>
    <n v="-322.33232340442561"/>
    <n v="1"/>
  </r>
  <r>
    <x v="98"/>
    <x v="98"/>
    <n v="5819.5969185632093"/>
    <n v="0"/>
  </r>
  <r>
    <x v="99"/>
    <x v="99"/>
    <n v="4846.5352216249239"/>
    <n v="0"/>
  </r>
  <r>
    <x v="100"/>
    <x v="100"/>
    <n v="7462.3260411819292"/>
    <n v="0"/>
  </r>
  <r>
    <x v="101"/>
    <x v="101"/>
    <n v="2782.3271105141152"/>
    <n v="0"/>
  </r>
  <r>
    <x v="102"/>
    <x v="102"/>
    <n v="4860.6172671361546"/>
    <n v="0"/>
  </r>
  <r>
    <x v="103"/>
    <x v="103"/>
    <n v="5584.5204855579514"/>
    <n v="0"/>
  </r>
  <r>
    <x v="104"/>
    <x v="104"/>
    <n v="1871.0440586510244"/>
    <n v="0"/>
  </r>
  <r>
    <x v="105"/>
    <x v="105"/>
    <n v="4479.3065079905236"/>
    <n v="0"/>
  </r>
  <r>
    <x v="106"/>
    <x v="106"/>
    <n v="4092.5971247153716"/>
    <n v="0"/>
  </r>
  <r>
    <x v="107"/>
    <x v="107"/>
    <n v="5734.7047863993603"/>
    <n v="0"/>
  </r>
  <r>
    <x v="108"/>
    <x v="108"/>
    <n v="4569.2017789852353"/>
    <n v="0"/>
  </r>
  <r>
    <x v="109"/>
    <x v="109"/>
    <n v="-1941.1866899941544"/>
    <n v="1"/>
  </r>
  <r>
    <x v="110"/>
    <x v="110"/>
    <n v="-2101.1038007836946"/>
    <n v="1"/>
  </r>
  <r>
    <x v="111"/>
    <x v="111"/>
    <n v="869.38415842191375"/>
    <n v="0"/>
  </r>
  <r>
    <x v="112"/>
    <x v="112"/>
    <n v="5677.2926977601601"/>
    <n v="0"/>
  </r>
  <r>
    <x v="113"/>
    <x v="113"/>
    <n v="1187.4714449562903"/>
    <n v="0"/>
  </r>
  <r>
    <x v="114"/>
    <x v="114"/>
    <n v="7091.7000222347933"/>
    <n v="0"/>
  </r>
  <r>
    <x v="115"/>
    <x v="115"/>
    <n v="5232.3776973340309"/>
    <n v="0"/>
  </r>
  <r>
    <x v="116"/>
    <x v="116"/>
    <n v="7716.3599037640006"/>
    <n v="0"/>
  </r>
  <r>
    <x v="117"/>
    <x v="117"/>
    <n v="-801.08034745415148"/>
    <n v="1"/>
  </r>
  <r>
    <x v="118"/>
    <x v="118"/>
    <n v="7138.2175082847561"/>
    <n v="0"/>
  </r>
  <r>
    <x v="119"/>
    <x v="119"/>
    <n v="6709.2807938317601"/>
    <n v="0"/>
  </r>
  <r>
    <x v="120"/>
    <x v="120"/>
    <n v="-135.84926244474701"/>
    <n v="1"/>
  </r>
  <r>
    <x v="121"/>
    <x v="121"/>
    <n v="4233.1942508124512"/>
    <n v="0"/>
  </r>
  <r>
    <x v="122"/>
    <x v="122"/>
    <n v="4489.6388556131833"/>
    <n v="0"/>
  </r>
  <r>
    <x v="123"/>
    <x v="123"/>
    <n v="6335.4253632923565"/>
    <n v="0"/>
  </r>
  <r>
    <x v="124"/>
    <x v="124"/>
    <n v="-2158.609975572137"/>
    <n v="1"/>
  </r>
  <r>
    <x v="125"/>
    <x v="125"/>
    <n v="2815.8741577126975"/>
    <n v="0"/>
  </r>
  <r>
    <x v="126"/>
    <x v="126"/>
    <n v="4226.7186023544109"/>
    <n v="0"/>
  </r>
  <r>
    <x v="127"/>
    <x v="127"/>
    <n v="537.41678344288914"/>
    <n v="0"/>
  </r>
  <r>
    <x v="128"/>
    <x v="128"/>
    <n v="-521.09488801198609"/>
    <n v="1"/>
  </r>
  <r>
    <x v="129"/>
    <x v="129"/>
    <n v="2547.7380125731029"/>
    <n v="0"/>
  </r>
  <r>
    <x v="130"/>
    <x v="130"/>
    <n v="6120.6226557331174"/>
    <n v="0"/>
  </r>
  <r>
    <x v="131"/>
    <x v="131"/>
    <n v="5714.6902475363295"/>
    <n v="0"/>
  </r>
  <r>
    <x v="132"/>
    <x v="132"/>
    <n v="2245.4471559871677"/>
    <n v="0"/>
  </r>
  <r>
    <x v="133"/>
    <x v="133"/>
    <n v="1825.5532972472638"/>
    <n v="0"/>
  </r>
  <r>
    <x v="134"/>
    <x v="134"/>
    <n v="500.6127364562613"/>
    <n v="0"/>
  </r>
  <r>
    <x v="135"/>
    <x v="135"/>
    <n v="1603.4213989849434"/>
    <n v="0"/>
  </r>
  <r>
    <x v="136"/>
    <x v="136"/>
    <n v="4601.7471931592609"/>
    <n v="0"/>
  </r>
  <r>
    <x v="137"/>
    <x v="137"/>
    <n v="-2409.3076670839323"/>
    <n v="1"/>
  </r>
  <r>
    <x v="138"/>
    <x v="138"/>
    <n v="5729.7192698122935"/>
    <n v="0"/>
  </r>
  <r>
    <x v="139"/>
    <x v="139"/>
    <n v="2749.3545811891349"/>
    <n v="0"/>
  </r>
  <r>
    <x v="140"/>
    <x v="140"/>
    <n v="6555.0969070174688"/>
    <n v="0"/>
  </r>
  <r>
    <x v="141"/>
    <x v="141"/>
    <n v="-1311.4252212118408"/>
    <n v="1"/>
  </r>
  <r>
    <x v="142"/>
    <x v="142"/>
    <n v="7726.2616481750383"/>
    <n v="0"/>
  </r>
  <r>
    <x v="143"/>
    <x v="143"/>
    <n v="151.15411049880782"/>
    <n v="0"/>
  </r>
  <r>
    <x v="144"/>
    <x v="144"/>
    <n v="4030.3312639437286"/>
    <n v="0"/>
  </r>
  <r>
    <x v="145"/>
    <x v="145"/>
    <n v="1967.0314132143947"/>
    <n v="0"/>
  </r>
  <r>
    <x v="146"/>
    <x v="146"/>
    <n v="6529.3260025679338"/>
    <n v="0"/>
  </r>
  <r>
    <x v="147"/>
    <x v="147"/>
    <n v="2716.6637534581182"/>
    <n v="0"/>
  </r>
  <r>
    <x v="148"/>
    <x v="148"/>
    <n v="3312.4003847840922"/>
    <n v="0"/>
  </r>
  <r>
    <x v="149"/>
    <x v="149"/>
    <n v="5909.1333793920921"/>
    <n v="0"/>
  </r>
  <r>
    <x v="150"/>
    <x v="150"/>
    <n v="-1251.9078835166499"/>
    <n v="1"/>
  </r>
  <r>
    <x v="151"/>
    <x v="151"/>
    <n v="1948.1772194537455"/>
    <n v="0"/>
  </r>
  <r>
    <x v="152"/>
    <x v="152"/>
    <n v="7498.0943356799917"/>
    <n v="0"/>
  </r>
  <r>
    <x v="153"/>
    <x v="153"/>
    <n v="5704.641304562283"/>
    <n v="0"/>
  </r>
  <r>
    <x v="154"/>
    <x v="154"/>
    <n v="6731.0002361022198"/>
    <n v="0"/>
  </r>
  <r>
    <x v="155"/>
    <x v="155"/>
    <n v="-1664.5369422142451"/>
    <n v="1"/>
  </r>
  <r>
    <x v="156"/>
    <x v="156"/>
    <n v="7164.7122420801679"/>
    <n v="0"/>
  </r>
  <r>
    <x v="157"/>
    <x v="157"/>
    <n v="1724.3350032730648"/>
    <n v="0"/>
  </r>
  <r>
    <x v="158"/>
    <x v="158"/>
    <n v="1546.9184693939328"/>
    <n v="0"/>
  </r>
  <r>
    <x v="159"/>
    <x v="159"/>
    <n v="5265.3767682862108"/>
    <n v="0"/>
  </r>
  <r>
    <x v="160"/>
    <x v="160"/>
    <n v="5326.9443098491693"/>
    <n v="0"/>
  </r>
  <r>
    <x v="161"/>
    <x v="161"/>
    <n v="1761.711521318739"/>
    <n v="0"/>
  </r>
  <r>
    <x v="162"/>
    <x v="162"/>
    <n v="6171.7794813821019"/>
    <n v="0"/>
  </r>
  <r>
    <x v="163"/>
    <x v="163"/>
    <n v="1788.5914626931997"/>
    <n v="0"/>
  </r>
  <r>
    <x v="164"/>
    <x v="164"/>
    <n v="1802.2335945538405"/>
    <n v="0"/>
  </r>
  <r>
    <x v="165"/>
    <x v="165"/>
    <n v="736.60985478354905"/>
    <n v="0"/>
  </r>
  <r>
    <x v="166"/>
    <x v="166"/>
    <n v="-1093.3890691314543"/>
    <n v="1"/>
  </r>
  <r>
    <x v="167"/>
    <x v="167"/>
    <n v="6485.4756234612942"/>
    <n v="0"/>
  </r>
  <r>
    <x v="168"/>
    <x v="168"/>
    <n v="-1545.2573733702989"/>
    <n v="1"/>
  </r>
  <r>
    <x v="169"/>
    <x v="169"/>
    <n v="4024.7592025334848"/>
    <n v="0"/>
  </r>
  <r>
    <x v="170"/>
    <x v="170"/>
    <n v="690.74380310259471"/>
    <n v="0"/>
  </r>
  <r>
    <x v="171"/>
    <x v="171"/>
    <n v="1810.4471614440899"/>
    <n v="0"/>
  </r>
  <r>
    <x v="172"/>
    <x v="172"/>
    <n v="457.43882812326507"/>
    <n v="0"/>
  </r>
  <r>
    <x v="173"/>
    <x v="173"/>
    <n v="-1392.1570088895917"/>
    <n v="1"/>
  </r>
  <r>
    <x v="174"/>
    <x v="174"/>
    <n v="7354.1867871465556"/>
    <n v="0"/>
  </r>
  <r>
    <x v="175"/>
    <x v="175"/>
    <n v="3952.8071034694835"/>
    <n v="0"/>
  </r>
  <r>
    <x v="176"/>
    <x v="176"/>
    <n v="4314.3816522654588"/>
    <n v="0"/>
  </r>
  <r>
    <x v="177"/>
    <x v="177"/>
    <n v="3838.8758397888273"/>
    <n v="0"/>
  </r>
  <r>
    <x v="178"/>
    <x v="178"/>
    <n v="1109.4911945308857"/>
    <n v="0"/>
  </r>
  <r>
    <x v="179"/>
    <x v="179"/>
    <n v="5910.2049046702159"/>
    <n v="0"/>
  </r>
  <r>
    <x v="180"/>
    <x v="180"/>
    <n v="-2116.4994029065979"/>
    <n v="1"/>
  </r>
  <r>
    <x v="181"/>
    <x v="181"/>
    <n v="6299.6514412333336"/>
    <n v="0"/>
  </r>
  <r>
    <x v="182"/>
    <x v="182"/>
    <n v="7354.9262760442862"/>
    <n v="0"/>
  </r>
  <r>
    <x v="183"/>
    <x v="183"/>
    <n v="965.03421063404198"/>
    <n v="0"/>
  </r>
  <r>
    <x v="184"/>
    <x v="184"/>
    <n v="-1642.2518673290674"/>
    <n v="1"/>
  </r>
  <r>
    <x v="185"/>
    <x v="185"/>
    <n v="3283.6114996932624"/>
    <n v="0"/>
  </r>
  <r>
    <x v="186"/>
    <x v="186"/>
    <n v="2529.1361502743007"/>
    <n v="0"/>
  </r>
  <r>
    <x v="187"/>
    <x v="187"/>
    <n v="608.21073674332001"/>
    <n v="0"/>
  </r>
  <r>
    <x v="188"/>
    <x v="188"/>
    <n v="2837.4739628421885"/>
    <n v="0"/>
  </r>
  <r>
    <x v="189"/>
    <x v="189"/>
    <n v="6592.8941493977818"/>
    <n v="0"/>
  </r>
  <r>
    <x v="190"/>
    <x v="190"/>
    <n v="-1137.4979192695851"/>
    <n v="1"/>
  </r>
  <r>
    <x v="191"/>
    <x v="191"/>
    <n v="-1931.9014732262742"/>
    <n v="1"/>
  </r>
  <r>
    <x v="192"/>
    <x v="192"/>
    <n v="760.82153099298068"/>
    <n v="0"/>
  </r>
  <r>
    <x v="193"/>
    <x v="193"/>
    <n v="3338.3387695033439"/>
    <n v="0"/>
  </r>
  <r>
    <x v="194"/>
    <x v="194"/>
    <n v="6520.1664779001094"/>
    <n v="0"/>
  </r>
  <r>
    <x v="195"/>
    <x v="195"/>
    <n v="3286.138183534254"/>
    <n v="0"/>
  </r>
  <r>
    <x v="196"/>
    <x v="196"/>
    <n v="2854.3998021707266"/>
    <n v="0"/>
  </r>
  <r>
    <x v="197"/>
    <x v="197"/>
    <n v="171.93153607552244"/>
    <n v="0"/>
  </r>
  <r>
    <x v="198"/>
    <x v="198"/>
    <n v="6171.3268204892593"/>
    <n v="0"/>
  </r>
  <r>
    <x v="199"/>
    <x v="199"/>
    <n v="-1088.5885061392717"/>
    <n v="1"/>
  </r>
  <r>
    <x v="200"/>
    <x v="200"/>
    <n v="-850.34809416474309"/>
    <n v="1"/>
  </r>
  <r>
    <x v="201"/>
    <x v="201"/>
    <n v="2402.5494132821236"/>
    <n v="0"/>
  </r>
  <r>
    <x v="202"/>
    <x v="202"/>
    <n v="6305.5271873670745"/>
    <n v="0"/>
  </r>
  <r>
    <x v="203"/>
    <x v="203"/>
    <n v="3873.6296153593139"/>
    <n v="0"/>
  </r>
  <r>
    <x v="204"/>
    <x v="204"/>
    <n v="7537.1095720250578"/>
    <n v="0"/>
  </r>
  <r>
    <x v="205"/>
    <x v="205"/>
    <n v="2842.9549460280887"/>
    <n v="0"/>
  </r>
  <r>
    <x v="206"/>
    <x v="206"/>
    <n v="409.04370534747881"/>
    <n v="0"/>
  </r>
  <r>
    <x v="207"/>
    <x v="207"/>
    <n v="-2370.590664183158"/>
    <n v="1"/>
  </r>
  <r>
    <x v="208"/>
    <x v="208"/>
    <n v="4874.1036767334763"/>
    <n v="0"/>
  </r>
  <r>
    <x v="209"/>
    <x v="209"/>
    <n v="2538.5124513674073"/>
    <n v="0"/>
  </r>
  <r>
    <x v="210"/>
    <x v="210"/>
    <n v="6366.9344398194708"/>
    <n v="0"/>
  </r>
  <r>
    <x v="211"/>
    <x v="211"/>
    <n v="2825.2220602383964"/>
    <n v="0"/>
  </r>
  <r>
    <x v="212"/>
    <x v="212"/>
    <n v="1442.5078285586746"/>
    <n v="0"/>
  </r>
  <r>
    <x v="213"/>
    <x v="213"/>
    <n v="1644.5682772806924"/>
    <n v="0"/>
  </r>
  <r>
    <x v="214"/>
    <x v="214"/>
    <n v="3105.5716903629195"/>
    <n v="0"/>
  </r>
  <r>
    <x v="215"/>
    <x v="215"/>
    <n v="-960.15610580666328"/>
    <n v="1"/>
  </r>
  <r>
    <x v="216"/>
    <x v="216"/>
    <n v="-1769.4641382073521"/>
    <n v="1"/>
  </r>
  <r>
    <x v="217"/>
    <x v="217"/>
    <n v="-1931.150709048625"/>
    <n v="1"/>
  </r>
  <r>
    <x v="218"/>
    <x v="218"/>
    <n v="2875.5830351158866"/>
    <n v="0"/>
  </r>
  <r>
    <x v="219"/>
    <x v="219"/>
    <n v="5328.6385342465201"/>
    <n v="0"/>
  </r>
  <r>
    <x v="220"/>
    <x v="220"/>
    <n v="2862.4330217304037"/>
    <n v="0"/>
  </r>
  <r>
    <x v="221"/>
    <x v="221"/>
    <n v="-672.97978903680439"/>
    <n v="1"/>
  </r>
  <r>
    <x v="222"/>
    <x v="222"/>
    <n v="5684.0142143583716"/>
    <n v="0"/>
  </r>
  <r>
    <x v="223"/>
    <x v="223"/>
    <n v="-2071.9318210156389"/>
    <n v="1"/>
  </r>
  <r>
    <x v="224"/>
    <x v="224"/>
    <n v="-295.60637588388039"/>
    <n v="1"/>
  </r>
  <r>
    <x v="225"/>
    <x v="225"/>
    <n v="258.72475413394278"/>
    <n v="0"/>
  </r>
  <r>
    <x v="226"/>
    <x v="226"/>
    <n v="3963.4403742570944"/>
    <n v="0"/>
  </r>
  <r>
    <x v="227"/>
    <x v="227"/>
    <n v="988.41055268134937"/>
    <n v="0"/>
  </r>
  <r>
    <x v="228"/>
    <x v="228"/>
    <n v="5183.1367579818161"/>
    <n v="0"/>
  </r>
  <r>
    <x v="229"/>
    <x v="229"/>
    <n v="-795.33886489607971"/>
    <n v="1"/>
  </r>
  <r>
    <x v="230"/>
    <x v="230"/>
    <n v="-1195.6346896376883"/>
    <n v="1"/>
  </r>
  <r>
    <x v="231"/>
    <x v="231"/>
    <n v="6342.0494452152225"/>
    <n v="0"/>
  </r>
  <r>
    <x v="232"/>
    <x v="232"/>
    <n v="1134.3853990731891"/>
    <n v="0"/>
  </r>
  <r>
    <x v="233"/>
    <x v="233"/>
    <n v="4571.5315214563961"/>
    <n v="0"/>
  </r>
  <r>
    <x v="234"/>
    <x v="234"/>
    <n v="725.69145367564386"/>
    <n v="0"/>
  </r>
  <r>
    <x v="235"/>
    <x v="235"/>
    <n v="6882.935015040086"/>
    <n v="0"/>
  </r>
  <r>
    <x v="236"/>
    <x v="236"/>
    <n v="1377.9074908474227"/>
    <n v="0"/>
  </r>
  <r>
    <x v="237"/>
    <x v="237"/>
    <n v="4499.3835914551855"/>
    <n v="0"/>
  </r>
  <r>
    <x v="238"/>
    <x v="238"/>
    <n v="7756.4391131716129"/>
    <n v="0"/>
  </r>
  <r>
    <x v="239"/>
    <x v="239"/>
    <n v="752.77147923958773"/>
    <n v="0"/>
  </r>
  <r>
    <x v="240"/>
    <x v="240"/>
    <n v="4264.9029988145385"/>
    <n v="0"/>
  </r>
  <r>
    <x v="241"/>
    <x v="241"/>
    <n v="4927.3961507474705"/>
    <n v="0"/>
  </r>
  <r>
    <x v="242"/>
    <x v="242"/>
    <n v="6530.0684748522017"/>
    <n v="0"/>
  </r>
  <r>
    <x v="243"/>
    <x v="243"/>
    <n v="3240.4927571691637"/>
    <n v="0"/>
  </r>
  <r>
    <x v="244"/>
    <x v="244"/>
    <n v="3016.3382965424753"/>
    <n v="0"/>
  </r>
  <r>
    <x v="245"/>
    <x v="245"/>
    <n v="7243.6239154439072"/>
    <n v="0"/>
  </r>
  <r>
    <x v="246"/>
    <x v="246"/>
    <n v="2319.5084084261425"/>
    <n v="0"/>
  </r>
  <r>
    <x v="247"/>
    <x v="247"/>
    <n v="3967.0816220825996"/>
    <n v="0"/>
  </r>
  <r>
    <x v="248"/>
    <x v="248"/>
    <n v="7506.0173250533853"/>
    <n v="0"/>
  </r>
  <r>
    <x v="249"/>
    <x v="249"/>
    <n v="2610.3582065976839"/>
    <n v="0"/>
  </r>
  <r>
    <x v="250"/>
    <x v="250"/>
    <n v="5390.8628288943992"/>
    <n v="0"/>
  </r>
  <r>
    <x v="251"/>
    <x v="251"/>
    <n v="5890.1585279479932"/>
    <n v="0"/>
  </r>
  <r>
    <x v="252"/>
    <x v="252"/>
    <n v="-550.89862429222694"/>
    <n v="1"/>
  </r>
  <r>
    <x v="253"/>
    <x v="253"/>
    <n v="4709.1518798888219"/>
    <n v="0"/>
  </r>
  <r>
    <x v="254"/>
    <x v="254"/>
    <n v="5989.9143598288101"/>
    <n v="0"/>
  </r>
  <r>
    <x v="255"/>
    <x v="255"/>
    <n v="-1694.7497550331314"/>
    <n v="1"/>
  </r>
  <r>
    <x v="256"/>
    <x v="256"/>
    <n v="1108.2205310128243"/>
    <n v="0"/>
  </r>
  <r>
    <x v="257"/>
    <x v="257"/>
    <n v="7211.9277026132522"/>
    <n v="0"/>
  </r>
  <r>
    <x v="258"/>
    <x v="258"/>
    <n v="415.72226278130501"/>
    <n v="0"/>
  </r>
  <r>
    <x v="259"/>
    <x v="259"/>
    <n v="5012.7034874246337"/>
    <n v="0"/>
  </r>
  <r>
    <x v="260"/>
    <x v="260"/>
    <n v="-627.23444425317439"/>
    <n v="1"/>
  </r>
  <r>
    <x v="261"/>
    <x v="261"/>
    <n v="-2005.8987518624706"/>
    <n v="1"/>
  </r>
  <r>
    <x v="262"/>
    <x v="262"/>
    <n v="4196.6273650689827"/>
    <n v="0"/>
  </r>
  <r>
    <x v="263"/>
    <x v="263"/>
    <n v="7572.2189127312868"/>
    <n v="0"/>
  </r>
  <r>
    <x v="264"/>
    <x v="264"/>
    <n v="2673.5249357894199"/>
    <n v="0"/>
  </r>
  <r>
    <x v="265"/>
    <x v="265"/>
    <n v="153.79198856724696"/>
    <n v="0"/>
  </r>
  <r>
    <x v="266"/>
    <x v="266"/>
    <n v="6512.91836150981"/>
    <n v="0"/>
  </r>
  <r>
    <x v="267"/>
    <x v="267"/>
    <n v="5639.2145334994193"/>
    <n v="0"/>
  </r>
  <r>
    <x v="268"/>
    <x v="268"/>
    <n v="2398.9323384247468"/>
    <n v="0"/>
  </r>
  <r>
    <x v="269"/>
    <x v="269"/>
    <n v="3452.5804584949319"/>
    <n v="0"/>
  </r>
  <r>
    <x v="270"/>
    <x v="270"/>
    <n v="4244.5273423822518"/>
    <n v="0"/>
  </r>
  <r>
    <x v="271"/>
    <x v="271"/>
    <n v="7153.5402867928151"/>
    <n v="0"/>
  </r>
  <r>
    <x v="272"/>
    <x v="272"/>
    <n v="-801.95804921069998"/>
    <n v="1"/>
  </r>
  <r>
    <x v="273"/>
    <x v="273"/>
    <n v="6642.0880019486876"/>
    <n v="0"/>
  </r>
  <r>
    <x v="274"/>
    <x v="274"/>
    <n v="-1627.4944419236735"/>
    <n v="1"/>
  </r>
  <r>
    <x v="275"/>
    <x v="275"/>
    <n v="7216.5855255025672"/>
    <n v="0"/>
  </r>
  <r>
    <x v="276"/>
    <x v="276"/>
    <n v="5843.0558074030578"/>
    <n v="0"/>
  </r>
  <r>
    <x v="277"/>
    <x v="277"/>
    <n v="-724.12176839552615"/>
    <n v="1"/>
  </r>
  <r>
    <x v="278"/>
    <x v="278"/>
    <n v="3714.5574295437605"/>
    <n v="0"/>
  </r>
  <r>
    <x v="279"/>
    <x v="279"/>
    <n v="5073.3496586161855"/>
    <n v="0"/>
  </r>
  <r>
    <x v="280"/>
    <x v="280"/>
    <n v="3941.2957384135539"/>
    <n v="0"/>
  </r>
  <r>
    <x v="281"/>
    <x v="281"/>
    <n v="1814.3039329461142"/>
    <n v="0"/>
  </r>
  <r>
    <x v="282"/>
    <x v="282"/>
    <n v="-1126.7374021464643"/>
    <n v="1"/>
  </r>
  <r>
    <x v="283"/>
    <x v="283"/>
    <n v="-130.14882961667297"/>
    <n v="1"/>
  </r>
  <r>
    <x v="284"/>
    <x v="284"/>
    <n v="760.15911556637684"/>
    <n v="0"/>
  </r>
  <r>
    <x v="285"/>
    <x v="285"/>
    <n v="6487.772465677881"/>
    <n v="0"/>
  </r>
  <r>
    <x v="286"/>
    <x v="286"/>
    <n v="-2340.4029203200012"/>
    <n v="1"/>
  </r>
  <r>
    <x v="287"/>
    <x v="287"/>
    <n v="-1372.7081716113769"/>
    <n v="1"/>
  </r>
  <r>
    <x v="288"/>
    <x v="288"/>
    <n v="-622.6638251107313"/>
    <n v="1"/>
  </r>
  <r>
    <x v="289"/>
    <x v="289"/>
    <n v="7506.6449871140858"/>
    <n v="0"/>
  </r>
  <r>
    <x v="290"/>
    <x v="290"/>
    <n v="7007.8213426056445"/>
    <n v="0"/>
  </r>
  <r>
    <x v="291"/>
    <x v="291"/>
    <n v="5335.0820789840691"/>
    <n v="0"/>
  </r>
  <r>
    <x v="292"/>
    <x v="292"/>
    <n v="4727.9435310499357"/>
    <n v="0"/>
  </r>
  <r>
    <x v="293"/>
    <x v="293"/>
    <n v="-573.90417377143888"/>
    <n v="1"/>
  </r>
  <r>
    <x v="294"/>
    <x v="294"/>
    <n v="-2317.9570932803658"/>
    <n v="1"/>
  </r>
  <r>
    <x v="295"/>
    <x v="295"/>
    <n v="280.8465508374382"/>
    <n v="0"/>
  </r>
  <r>
    <x v="296"/>
    <x v="296"/>
    <n v="155.57994757138101"/>
    <n v="0"/>
  </r>
  <r>
    <x v="297"/>
    <x v="297"/>
    <n v="-876.54644646980046"/>
    <n v="1"/>
  </r>
  <r>
    <x v="298"/>
    <x v="298"/>
    <n v="4649.957492636172"/>
    <n v="0"/>
  </r>
  <r>
    <x v="299"/>
    <x v="299"/>
    <n v="6072.9541789947752"/>
    <n v="0"/>
  </r>
  <r>
    <x v="300"/>
    <x v="300"/>
    <n v="1973.4170660759989"/>
    <n v="0"/>
  </r>
  <r>
    <x v="301"/>
    <x v="301"/>
    <n v="-502.22950298862844"/>
    <n v="1"/>
  </r>
  <r>
    <x v="302"/>
    <x v="302"/>
    <n v="4487.6783049689329"/>
    <n v="0"/>
  </r>
  <r>
    <x v="303"/>
    <x v="303"/>
    <n v="-2121.1466323110303"/>
    <n v="1"/>
  </r>
  <r>
    <x v="304"/>
    <x v="304"/>
    <n v="3424.3392939333762"/>
    <n v="0"/>
  </r>
  <r>
    <x v="305"/>
    <x v="305"/>
    <n v="3635.80801176764"/>
    <n v="0"/>
  </r>
  <r>
    <x v="306"/>
    <x v="306"/>
    <n v="-2270.3396741961774"/>
    <n v="1"/>
  </r>
  <r>
    <x v="307"/>
    <x v="307"/>
    <n v="824.07063025813227"/>
    <n v="0"/>
  </r>
  <r>
    <x v="308"/>
    <x v="308"/>
    <n v="-90.91109168557756"/>
    <n v="1"/>
  </r>
  <r>
    <x v="309"/>
    <x v="309"/>
    <n v="1867.846511258522"/>
    <n v="0"/>
  </r>
  <r>
    <x v="310"/>
    <x v="310"/>
    <n v="3293.5314955471058"/>
    <n v="0"/>
  </r>
  <r>
    <x v="311"/>
    <x v="311"/>
    <n v="7044.5583087034365"/>
    <n v="0"/>
  </r>
  <r>
    <x v="312"/>
    <x v="312"/>
    <n v="688.2018657800287"/>
    <n v="0"/>
  </r>
  <r>
    <x v="313"/>
    <x v="313"/>
    <n v="-210.08019202077588"/>
    <n v="1"/>
  </r>
  <r>
    <x v="314"/>
    <x v="314"/>
    <n v="7351.2856560454156"/>
    <n v="0"/>
  </r>
  <r>
    <x v="315"/>
    <x v="315"/>
    <n v="5079.8482625986453"/>
    <n v="0"/>
  </r>
  <r>
    <x v="316"/>
    <x v="316"/>
    <n v="3131.4540599819638"/>
    <n v="0"/>
  </r>
  <r>
    <x v="317"/>
    <x v="317"/>
    <n v="-1086.8256976716475"/>
    <n v="1"/>
  </r>
  <r>
    <x v="318"/>
    <x v="318"/>
    <n v="7441.2763828927273"/>
    <n v="0"/>
  </r>
  <r>
    <x v="319"/>
    <x v="319"/>
    <n v="4237.1753189182173"/>
    <n v="0"/>
  </r>
  <r>
    <x v="320"/>
    <x v="320"/>
    <n v="3635.7809318164573"/>
    <n v="0"/>
  </r>
  <r>
    <x v="321"/>
    <x v="321"/>
    <n v="-840.597647909839"/>
    <n v="1"/>
  </r>
  <r>
    <x v="322"/>
    <x v="322"/>
    <n v="1115.0630993099924"/>
    <n v="0"/>
  </r>
  <r>
    <x v="323"/>
    <x v="323"/>
    <n v="3471.7072624676302"/>
    <n v="0"/>
  </r>
  <r>
    <x v="324"/>
    <x v="324"/>
    <n v="7336.2246100359625"/>
    <n v="0"/>
  </r>
  <r>
    <x v="325"/>
    <x v="325"/>
    <n v="6940.7858052092351"/>
    <n v="0"/>
  </r>
  <r>
    <x v="326"/>
    <x v="326"/>
    <n v="3430.8654079151447"/>
    <n v="0"/>
  </r>
  <r>
    <x v="327"/>
    <x v="327"/>
    <n v="-357.88730768245728"/>
    <n v="1"/>
  </r>
  <r>
    <x v="328"/>
    <x v="328"/>
    <n v="2714.2909473455834"/>
    <n v="0"/>
  </r>
  <r>
    <x v="329"/>
    <x v="329"/>
    <n v="425.15339793367292"/>
    <n v="0"/>
  </r>
  <r>
    <x v="330"/>
    <x v="330"/>
    <n v="3553.2925216962508"/>
    <n v="0"/>
  </r>
  <r>
    <x v="331"/>
    <x v="331"/>
    <n v="7600.7228647530073"/>
    <n v="0"/>
  </r>
  <r>
    <x v="332"/>
    <x v="332"/>
    <n v="2501.5811027332225"/>
    <n v="0"/>
  </r>
  <r>
    <x v="333"/>
    <x v="333"/>
    <n v="5318.8281659129461"/>
    <n v="0"/>
  </r>
  <r>
    <x v="334"/>
    <x v="334"/>
    <n v="806.19669029403235"/>
    <n v="0"/>
  </r>
  <r>
    <x v="335"/>
    <x v="335"/>
    <n v="2957.5516998918797"/>
    <n v="0"/>
  </r>
  <r>
    <x v="336"/>
    <x v="336"/>
    <n v="760.63793699411963"/>
    <n v="0"/>
  </r>
  <r>
    <x v="337"/>
    <x v="337"/>
    <n v="6580.152747197023"/>
    <n v="0"/>
  </r>
  <r>
    <x v="338"/>
    <x v="338"/>
    <n v="6641.1475215880819"/>
    <n v="0"/>
  </r>
  <r>
    <x v="339"/>
    <x v="339"/>
    <n v="5194.6148610568962"/>
    <n v="0"/>
  </r>
  <r>
    <x v="340"/>
    <x v="340"/>
    <n v="5129.8685571336728"/>
    <n v="0"/>
  </r>
  <r>
    <x v="341"/>
    <x v="341"/>
    <n v="2263.8874512074117"/>
    <n v="0"/>
  </r>
  <r>
    <x v="342"/>
    <x v="342"/>
    <n v="5811.8669276317469"/>
    <n v="0"/>
  </r>
  <r>
    <x v="343"/>
    <x v="343"/>
    <n v="6026.1270106789289"/>
    <n v="0"/>
  </r>
  <r>
    <x v="344"/>
    <x v="344"/>
    <n v="2933.8880517517796"/>
    <n v="0"/>
  </r>
  <r>
    <x v="345"/>
    <x v="345"/>
    <n v="2107.8178081405613"/>
    <n v="0"/>
  </r>
  <r>
    <x v="346"/>
    <x v="346"/>
    <n v="4320.1114763334326"/>
    <n v="0"/>
  </r>
  <r>
    <x v="347"/>
    <x v="347"/>
    <n v="239.47401163848377"/>
    <n v="0"/>
  </r>
  <r>
    <x v="348"/>
    <x v="348"/>
    <n v="-647.93828121136426"/>
    <n v="1"/>
  </r>
  <r>
    <x v="349"/>
    <x v="349"/>
    <n v="-2249.3669729518306"/>
    <n v="1"/>
  </r>
  <r>
    <x v="350"/>
    <x v="350"/>
    <n v="451.24542946017772"/>
    <n v="0"/>
  </r>
  <r>
    <x v="351"/>
    <x v="351"/>
    <n v="-409.6235768230228"/>
    <n v="1"/>
  </r>
  <r>
    <x v="352"/>
    <x v="352"/>
    <n v="268.96380581886825"/>
    <n v="0"/>
  </r>
  <r>
    <x v="353"/>
    <x v="353"/>
    <n v="6066.4894256573352"/>
    <n v="0"/>
  </r>
  <r>
    <x v="354"/>
    <x v="354"/>
    <n v="6138.709515906764"/>
    <n v="0"/>
  </r>
  <r>
    <x v="355"/>
    <x v="355"/>
    <n v="2266.4352439831341"/>
    <n v="0"/>
  </r>
  <r>
    <x v="356"/>
    <x v="356"/>
    <n v="-1518.3272366983997"/>
    <n v="1"/>
  </r>
  <r>
    <x v="357"/>
    <x v="357"/>
    <n v="-2234.1056556180333"/>
    <n v="1"/>
  </r>
  <r>
    <x v="358"/>
    <x v="358"/>
    <n v="2741.6534760288691"/>
    <n v="0"/>
  </r>
  <r>
    <x v="359"/>
    <x v="359"/>
    <n v="7352.3123094230314"/>
    <n v="0"/>
  </r>
  <r>
    <x v="360"/>
    <x v="360"/>
    <n v="6881.3248122630912"/>
    <n v="0"/>
  </r>
  <r>
    <x v="361"/>
    <x v="361"/>
    <n v="3921.2991472451436"/>
    <n v="0"/>
  </r>
  <r>
    <x v="362"/>
    <x v="362"/>
    <n v="-1323.9440312923903"/>
    <n v="1"/>
  </r>
  <r>
    <x v="363"/>
    <x v="363"/>
    <n v="-156.45416559394971"/>
    <n v="1"/>
  </r>
  <r>
    <x v="364"/>
    <x v="364"/>
    <n v="2970.1358470092705"/>
    <n v="0"/>
  </r>
  <r>
    <x v="365"/>
    <x v="365"/>
    <n v="-282.27155771447457"/>
    <n v="1"/>
  </r>
  <r>
    <x v="366"/>
    <x v="366"/>
    <n v="-2335.1399390993611"/>
    <n v="1"/>
  </r>
  <r>
    <x v="367"/>
    <x v="367"/>
    <n v="-1856.5937535893015"/>
    <n v="1"/>
  </r>
  <r>
    <x v="368"/>
    <x v="368"/>
    <n v="2550.6462452491151"/>
    <n v="0"/>
  </r>
  <r>
    <x v="369"/>
    <x v="369"/>
    <n v="7074.4036180380372"/>
    <n v="0"/>
  </r>
  <r>
    <x v="370"/>
    <x v="370"/>
    <n v="4134.0656882583571"/>
    <n v="0"/>
  </r>
  <r>
    <x v="371"/>
    <x v="371"/>
    <n v="-2200.5854477977118"/>
    <n v="1"/>
  </r>
  <r>
    <x v="372"/>
    <x v="372"/>
    <n v="3530.5315162164079"/>
    <n v="0"/>
  </r>
  <r>
    <x v="373"/>
    <x v="373"/>
    <n v="6156.0063990271865"/>
    <n v="0"/>
  </r>
  <r>
    <x v="374"/>
    <x v="374"/>
    <n v="6835.5081853291504"/>
    <n v="0"/>
  </r>
  <r>
    <x v="375"/>
    <x v="375"/>
    <n v="6351.9025411359935"/>
    <n v="0"/>
  </r>
  <r>
    <x v="376"/>
    <x v="376"/>
    <n v="3796.593066265747"/>
    <n v="0"/>
  </r>
  <r>
    <x v="377"/>
    <x v="377"/>
    <n v="-867.40049916128123"/>
    <n v="1"/>
  </r>
  <r>
    <x v="378"/>
    <x v="378"/>
    <n v="3314.3440850231332"/>
    <n v="0"/>
  </r>
  <r>
    <x v="379"/>
    <x v="379"/>
    <n v="2861.9782214412721"/>
    <n v="0"/>
  </r>
  <r>
    <x v="380"/>
    <x v="380"/>
    <n v="6573.5149302573491"/>
    <n v="0"/>
  </r>
  <r>
    <x v="381"/>
    <x v="381"/>
    <n v="589.19839745135107"/>
    <n v="0"/>
  </r>
  <r>
    <x v="382"/>
    <x v="382"/>
    <n v="4247.5070955298734"/>
    <n v="0"/>
  </r>
  <r>
    <x v="383"/>
    <x v="383"/>
    <n v="2654.6425719351068"/>
    <n v="0"/>
  </r>
  <r>
    <x v="384"/>
    <x v="384"/>
    <n v="5286.7716566619847"/>
    <n v="0"/>
  </r>
  <r>
    <x v="385"/>
    <x v="385"/>
    <n v="6257.8997750704475"/>
    <n v="0"/>
  </r>
  <r>
    <x v="386"/>
    <x v="386"/>
    <n v="2966.654125213925"/>
    <n v="0"/>
  </r>
  <r>
    <x v="387"/>
    <x v="387"/>
    <n v="1478.2463550971534"/>
    <n v="0"/>
  </r>
  <r>
    <x v="388"/>
    <x v="388"/>
    <n v="-72.108769235143825"/>
    <n v="1"/>
  </r>
  <r>
    <x v="389"/>
    <x v="389"/>
    <n v="4039.5155997981306"/>
    <n v="0"/>
  </r>
  <r>
    <x v="390"/>
    <x v="390"/>
    <n v="4358.1803851594323"/>
    <n v="0"/>
  </r>
  <r>
    <x v="391"/>
    <x v="391"/>
    <n v="4171.0561908462823"/>
    <n v="0"/>
  </r>
  <r>
    <x v="392"/>
    <x v="392"/>
    <n v="4976.3661604894151"/>
    <n v="0"/>
  </r>
  <r>
    <x v="393"/>
    <x v="393"/>
    <n v="-791.27953163637153"/>
    <n v="1"/>
  </r>
  <r>
    <x v="394"/>
    <x v="394"/>
    <n v="3068.5370275236291"/>
    <n v="0"/>
  </r>
  <r>
    <x v="395"/>
    <x v="395"/>
    <n v="-305.19370512983392"/>
    <n v="1"/>
  </r>
  <r>
    <x v="396"/>
    <x v="396"/>
    <n v="-1406.1374281092242"/>
    <n v="1"/>
  </r>
  <r>
    <x v="397"/>
    <x v="397"/>
    <n v="-1266.8374552112957"/>
    <n v="1"/>
  </r>
  <r>
    <x v="398"/>
    <x v="398"/>
    <n v="6614.2394634747498"/>
    <n v="0"/>
  </r>
  <r>
    <x v="399"/>
    <x v="399"/>
    <n v="-2316.5724491481869"/>
    <n v="1"/>
  </r>
  <r>
    <x v="400"/>
    <x v="400"/>
    <n v="4349.9164489047935"/>
    <n v="0"/>
  </r>
  <r>
    <x v="401"/>
    <x v="401"/>
    <n v="2608.8505572548111"/>
    <n v="0"/>
  </r>
  <r>
    <x v="402"/>
    <x v="402"/>
    <n v="-357.57259811201658"/>
    <n v="1"/>
  </r>
  <r>
    <x v="403"/>
    <x v="403"/>
    <n v="-1501.1724905909493"/>
    <n v="1"/>
  </r>
  <r>
    <x v="404"/>
    <x v="404"/>
    <n v="3723.6343935729797"/>
    <n v="0"/>
  </r>
  <r>
    <x v="405"/>
    <x v="405"/>
    <n v="-309.27671416641311"/>
    <n v="1"/>
  </r>
  <r>
    <x v="406"/>
    <x v="406"/>
    <n v="420.09145963745237"/>
    <n v="0"/>
  </r>
  <r>
    <x v="407"/>
    <x v="407"/>
    <n v="-968.17045535622333"/>
    <n v="1"/>
  </r>
  <r>
    <x v="408"/>
    <x v="408"/>
    <n v="-1674.4775000183242"/>
    <n v="1"/>
  </r>
  <r>
    <x v="409"/>
    <x v="409"/>
    <n v="1862.8602323484008"/>
    <n v="0"/>
  </r>
  <r>
    <x v="410"/>
    <x v="410"/>
    <n v="4395.6097508985704"/>
    <n v="0"/>
  </r>
  <r>
    <x v="411"/>
    <x v="411"/>
    <n v="6600.2546521138447"/>
    <n v="0"/>
  </r>
  <r>
    <x v="412"/>
    <x v="412"/>
    <n v="6790.8611585822537"/>
    <n v="0"/>
  </r>
  <r>
    <x v="413"/>
    <x v="413"/>
    <n v="5180.3533295593452"/>
    <n v="0"/>
  </r>
  <r>
    <x v="414"/>
    <x v="414"/>
    <n v="-1564.4290993519935"/>
    <n v="1"/>
  </r>
  <r>
    <x v="415"/>
    <x v="415"/>
    <n v="3626.4328263344755"/>
    <n v="0"/>
  </r>
  <r>
    <x v="416"/>
    <x v="416"/>
    <n v="259.30253824318555"/>
    <n v="0"/>
  </r>
  <r>
    <x v="417"/>
    <x v="417"/>
    <n v="6719.9325140700657"/>
    <n v="0"/>
  </r>
  <r>
    <x v="418"/>
    <x v="418"/>
    <n v="4219.77180853341"/>
    <n v="0"/>
  </r>
  <r>
    <x v="419"/>
    <x v="419"/>
    <n v="4031.8953845617675"/>
    <n v="0"/>
  </r>
  <r>
    <x v="420"/>
    <x v="420"/>
    <n v="920.9753710555583"/>
    <n v="0"/>
  </r>
  <r>
    <x v="421"/>
    <x v="421"/>
    <n v="2920.7218250305773"/>
    <n v="0"/>
  </r>
  <r>
    <x v="422"/>
    <x v="422"/>
    <n v="-985.5463653237623"/>
    <n v="1"/>
  </r>
  <r>
    <x v="423"/>
    <x v="423"/>
    <n v="4785.6665824610545"/>
    <n v="0"/>
  </r>
  <r>
    <x v="424"/>
    <x v="424"/>
    <n v="4343.2425193439722"/>
    <n v="0"/>
  </r>
  <r>
    <x v="425"/>
    <x v="425"/>
    <n v="-302.48382645939785"/>
    <n v="1"/>
  </r>
  <r>
    <x v="426"/>
    <x v="426"/>
    <n v="3289.3729919200323"/>
    <n v="0"/>
  </r>
  <r>
    <x v="427"/>
    <x v="427"/>
    <n v="679.64469499628115"/>
    <n v="0"/>
  </r>
  <r>
    <x v="428"/>
    <x v="428"/>
    <n v="4652.2521704428473"/>
    <n v="0"/>
  </r>
  <r>
    <x v="429"/>
    <x v="429"/>
    <n v="-1077.5004676631852"/>
    <n v="1"/>
  </r>
  <r>
    <x v="430"/>
    <x v="430"/>
    <n v="1798.2835973995043"/>
    <n v="0"/>
  </r>
  <r>
    <x v="431"/>
    <x v="431"/>
    <n v="-1193.854262810293"/>
    <n v="1"/>
  </r>
  <r>
    <x v="432"/>
    <x v="432"/>
    <n v="2932.4242663927475"/>
    <n v="0"/>
  </r>
  <r>
    <x v="433"/>
    <x v="433"/>
    <n v="4315.4809817099749"/>
    <n v="0"/>
  </r>
  <r>
    <x v="434"/>
    <x v="434"/>
    <n v="6357.1309518061908"/>
    <n v="0"/>
  </r>
  <r>
    <x v="435"/>
    <x v="435"/>
    <n v="7641.1451635637477"/>
    <n v="0"/>
  </r>
  <r>
    <x v="436"/>
    <x v="436"/>
    <n v="-482.77105824583072"/>
    <n v="1"/>
  </r>
  <r>
    <x v="437"/>
    <x v="437"/>
    <n v="7453.29301349664"/>
    <n v="0"/>
  </r>
  <r>
    <x v="438"/>
    <x v="438"/>
    <n v="881.75032946480655"/>
    <n v="0"/>
  </r>
  <r>
    <x v="439"/>
    <x v="439"/>
    <n v="5772.1830999472022"/>
    <n v="0"/>
  </r>
  <r>
    <x v="440"/>
    <x v="440"/>
    <n v="850.25349100825144"/>
    <n v="0"/>
  </r>
  <r>
    <x v="441"/>
    <x v="441"/>
    <n v="5258.231688635733"/>
    <n v="0"/>
  </r>
  <r>
    <x v="442"/>
    <x v="442"/>
    <n v="-1472.8689982172809"/>
    <n v="1"/>
  </r>
  <r>
    <x v="443"/>
    <x v="443"/>
    <n v="6228.223625950217"/>
    <n v="0"/>
  </r>
  <r>
    <x v="444"/>
    <x v="444"/>
    <n v="-846.93778676635884"/>
    <n v="1"/>
  </r>
  <r>
    <x v="445"/>
    <x v="445"/>
    <n v="-137.64437401259204"/>
    <n v="1"/>
  </r>
  <r>
    <x v="446"/>
    <x v="446"/>
    <n v="6676.8125503185074"/>
    <n v="0"/>
  </r>
  <r>
    <x v="447"/>
    <x v="447"/>
    <n v="693.82790291726246"/>
    <n v="0"/>
  </r>
  <r>
    <x v="448"/>
    <x v="448"/>
    <n v="1984.0833804125043"/>
    <n v="0"/>
  </r>
  <r>
    <x v="449"/>
    <x v="449"/>
    <n v="5939.2901156014423"/>
    <n v="0"/>
  </r>
  <r>
    <x v="450"/>
    <x v="450"/>
    <n v="2067.2622254508838"/>
    <n v="0"/>
  </r>
  <r>
    <x v="451"/>
    <x v="451"/>
    <n v="154.58828656051145"/>
    <n v="0"/>
  </r>
  <r>
    <x v="452"/>
    <x v="452"/>
    <n v="1623.2821101320069"/>
    <n v="0"/>
  </r>
  <r>
    <x v="453"/>
    <x v="453"/>
    <n v="6666.2280677634972"/>
    <n v="0"/>
  </r>
  <r>
    <x v="454"/>
    <x v="454"/>
    <n v="-1137.592861054372"/>
    <n v="1"/>
  </r>
  <r>
    <x v="455"/>
    <x v="455"/>
    <n v="-1958.9134574287248"/>
    <n v="1"/>
  </r>
  <r>
    <x v="456"/>
    <x v="456"/>
    <n v="1688.6042294723736"/>
    <n v="0"/>
  </r>
  <r>
    <x v="457"/>
    <x v="457"/>
    <n v="5798.7672470129428"/>
    <n v="0"/>
  </r>
  <r>
    <x v="458"/>
    <x v="458"/>
    <n v="3015.8878341356703"/>
    <n v="0"/>
  </r>
  <r>
    <x v="459"/>
    <x v="459"/>
    <n v="-36.477401374639946"/>
    <n v="1"/>
  </r>
  <r>
    <x v="460"/>
    <x v="460"/>
    <n v="259.16028773270597"/>
    <n v="0"/>
  </r>
  <r>
    <x v="461"/>
    <x v="461"/>
    <n v="6260.7951638829627"/>
    <n v="0"/>
  </r>
  <r>
    <x v="462"/>
    <x v="462"/>
    <n v="-699.25202461945889"/>
    <n v="1"/>
  </r>
  <r>
    <x v="463"/>
    <x v="463"/>
    <n v="3969.2658968537266"/>
    <n v="0"/>
  </r>
  <r>
    <x v="464"/>
    <x v="464"/>
    <n v="4587.2212170546773"/>
    <n v="0"/>
  </r>
  <r>
    <x v="465"/>
    <x v="465"/>
    <n v="2020.9664452516577"/>
    <n v="0"/>
  </r>
  <r>
    <x v="466"/>
    <x v="466"/>
    <n v="688.07507702944974"/>
    <n v="0"/>
  </r>
  <r>
    <x v="467"/>
    <x v="467"/>
    <n v="7063.4695208992662"/>
    <n v="0"/>
  </r>
  <r>
    <x v="468"/>
    <x v="468"/>
    <n v="4958.7190214034408"/>
    <n v="0"/>
  </r>
  <r>
    <x v="469"/>
    <x v="469"/>
    <n v="1907.5337090885043"/>
    <n v="0"/>
  </r>
  <r>
    <x v="470"/>
    <x v="470"/>
    <n v="6994.8837803714259"/>
    <n v="0"/>
  </r>
  <r>
    <x v="471"/>
    <x v="471"/>
    <n v="4460.2237926846392"/>
    <n v="0"/>
  </r>
  <r>
    <x v="472"/>
    <x v="472"/>
    <n v="-2401.5299604373085"/>
    <n v="1"/>
  </r>
  <r>
    <x v="473"/>
    <x v="473"/>
    <n v="1248.3175748155261"/>
    <n v="0"/>
  </r>
  <r>
    <x v="474"/>
    <x v="474"/>
    <n v="4269.2352043184364"/>
    <n v="0"/>
  </r>
  <r>
    <x v="475"/>
    <x v="475"/>
    <n v="6921.4168634497237"/>
    <n v="0"/>
  </r>
  <r>
    <x v="476"/>
    <x v="476"/>
    <n v="3365.0400584134168"/>
    <n v="0"/>
  </r>
  <r>
    <x v="477"/>
    <x v="477"/>
    <n v="1744.5014152564634"/>
    <n v="0"/>
  </r>
  <r>
    <x v="478"/>
    <x v="478"/>
    <n v="7358.8517229010722"/>
    <n v="0"/>
  </r>
  <r>
    <x v="479"/>
    <x v="479"/>
    <n v="6333.8470037690977"/>
    <n v="0"/>
  </r>
  <r>
    <x v="480"/>
    <x v="480"/>
    <n v="348.36043092891435"/>
    <n v="0"/>
  </r>
  <r>
    <x v="481"/>
    <x v="481"/>
    <n v="4148.8876990165272"/>
    <n v="0"/>
  </r>
  <r>
    <x v="482"/>
    <x v="482"/>
    <n v="-1529.3909016690454"/>
    <n v="1"/>
  </r>
  <r>
    <x v="483"/>
    <x v="483"/>
    <n v="5296.3166282891771"/>
    <n v="0"/>
  </r>
  <r>
    <x v="484"/>
    <x v="484"/>
    <n v="6178.6664670508626"/>
    <n v="0"/>
  </r>
  <r>
    <x v="485"/>
    <x v="485"/>
    <n v="5542.2166225375786"/>
    <n v="0"/>
  </r>
  <r>
    <x v="486"/>
    <x v="486"/>
    <n v="3972.6437601348221"/>
    <n v="0"/>
  </r>
  <r>
    <x v="487"/>
    <x v="487"/>
    <n v="3525.3054487139493"/>
    <n v="0"/>
  </r>
  <r>
    <x v="488"/>
    <x v="488"/>
    <n v="6548.4684642555267"/>
    <n v="0"/>
  </r>
  <r>
    <x v="489"/>
    <x v="489"/>
    <n v="-2020.7926985248832"/>
    <n v="1"/>
  </r>
  <r>
    <x v="490"/>
    <x v="490"/>
    <n v="5909.8816398550616"/>
    <n v="0"/>
  </r>
  <r>
    <x v="491"/>
    <x v="491"/>
    <n v="-823.08593896649006"/>
    <n v="1"/>
  </r>
  <r>
    <x v="492"/>
    <x v="492"/>
    <n v="-302.9949532787416"/>
    <n v="1"/>
  </r>
  <r>
    <x v="493"/>
    <x v="493"/>
    <n v="6587.1051832702087"/>
    <n v="0"/>
  </r>
  <r>
    <x v="494"/>
    <x v="494"/>
    <n v="1354.2089132541178"/>
    <n v="0"/>
  </r>
  <r>
    <x v="495"/>
    <x v="495"/>
    <n v="4938.6434738427724"/>
    <n v="0"/>
  </r>
  <r>
    <x v="496"/>
    <x v="496"/>
    <n v="5010.7796107109007"/>
    <n v="0"/>
  </r>
  <r>
    <x v="497"/>
    <x v="497"/>
    <n v="-151.66771500921897"/>
    <n v="1"/>
  </r>
  <r>
    <x v="498"/>
    <x v="498"/>
    <n v="-51.847567999813997"/>
    <n v="1"/>
  </r>
  <r>
    <x v="499"/>
    <x v="499"/>
    <n v="-36.990783672667838"/>
    <n v="1"/>
  </r>
  <r>
    <x v="500"/>
    <x v="500"/>
    <n v="6094.6109570826529"/>
    <n v="0"/>
  </r>
  <r>
    <x v="501"/>
    <x v="501"/>
    <n v="-306.44909294093367"/>
    <n v="1"/>
  </r>
  <r>
    <x v="502"/>
    <x v="502"/>
    <n v="539.31052883355835"/>
    <n v="0"/>
  </r>
  <r>
    <x v="503"/>
    <x v="503"/>
    <n v="4787.4062397378393"/>
    <n v="0"/>
  </r>
  <r>
    <x v="504"/>
    <x v="504"/>
    <n v="5113.1725023533581"/>
    <n v="0"/>
  </r>
  <r>
    <x v="505"/>
    <x v="505"/>
    <n v="6065.2511775187777"/>
    <n v="0"/>
  </r>
  <r>
    <x v="506"/>
    <x v="506"/>
    <n v="4951.0666163307178"/>
    <n v="0"/>
  </r>
  <r>
    <x v="507"/>
    <x v="507"/>
    <n v="7750.1906018135933"/>
    <n v="0"/>
  </r>
  <r>
    <x v="508"/>
    <x v="508"/>
    <n v="-801.47658870782016"/>
    <n v="1"/>
  </r>
  <r>
    <x v="509"/>
    <x v="509"/>
    <n v="3141.7422161309819"/>
    <n v="0"/>
  </r>
  <r>
    <x v="510"/>
    <x v="510"/>
    <n v="4398.8135302097162"/>
    <n v="0"/>
  </r>
  <r>
    <x v="511"/>
    <x v="511"/>
    <n v="7640.6407779872043"/>
    <n v="0"/>
  </r>
  <r>
    <x v="512"/>
    <x v="512"/>
    <n v="3196.6005529778122"/>
    <n v="0"/>
  </r>
  <r>
    <x v="513"/>
    <x v="513"/>
    <n v="5863.3883419314825"/>
    <n v="0"/>
  </r>
  <r>
    <x v="514"/>
    <x v="514"/>
    <n v="2509.1366536607138"/>
    <n v="0"/>
  </r>
  <r>
    <x v="515"/>
    <x v="515"/>
    <n v="2599.5217881663639"/>
    <n v="0"/>
  </r>
  <r>
    <x v="516"/>
    <x v="516"/>
    <n v="-1471.6728376101221"/>
    <n v="1"/>
  </r>
  <r>
    <x v="517"/>
    <x v="517"/>
    <n v="456.56371273617555"/>
    <n v="0"/>
  </r>
  <r>
    <x v="518"/>
    <x v="518"/>
    <n v="-237.52853990896227"/>
    <n v="1"/>
  </r>
  <r>
    <x v="519"/>
    <x v="519"/>
    <n v="1683.0711342253494"/>
    <n v="0"/>
  </r>
  <r>
    <x v="520"/>
    <x v="520"/>
    <n v="6820.7563363057598"/>
    <n v="0"/>
  </r>
  <r>
    <x v="521"/>
    <x v="521"/>
    <n v="783.20753802066235"/>
    <n v="0"/>
  </r>
  <r>
    <x v="522"/>
    <x v="522"/>
    <n v="3301.1244760415689"/>
    <n v="0"/>
  </r>
  <r>
    <x v="523"/>
    <x v="523"/>
    <n v="4336.76970156677"/>
    <n v="0"/>
  </r>
  <r>
    <x v="524"/>
    <x v="524"/>
    <n v="7653.6185501630234"/>
    <n v="0"/>
  </r>
  <r>
    <x v="525"/>
    <x v="525"/>
    <n v="-1273.6639427743473"/>
    <n v="1"/>
  </r>
  <r>
    <x v="526"/>
    <x v="526"/>
    <n v="5636.9884835214625"/>
    <n v="0"/>
  </r>
  <r>
    <x v="527"/>
    <x v="527"/>
    <n v="5081.9110408077431"/>
    <n v="0"/>
  </r>
  <r>
    <x v="528"/>
    <x v="528"/>
    <n v="2237.4737509240763"/>
    <n v="0"/>
  </r>
  <r>
    <x v="529"/>
    <x v="529"/>
    <n v="1323.0232330850795"/>
    <n v="0"/>
  </r>
  <r>
    <x v="530"/>
    <x v="530"/>
    <n v="3023.5993193040968"/>
    <n v="0"/>
  </r>
  <r>
    <x v="531"/>
    <x v="531"/>
    <n v="5924.8066385893917"/>
    <n v="0"/>
  </r>
  <r>
    <x v="532"/>
    <x v="532"/>
    <n v="4170.9944946013702"/>
    <n v="0"/>
  </r>
  <r>
    <x v="533"/>
    <x v="533"/>
    <n v="5591.4938956931373"/>
    <n v="0"/>
  </r>
  <r>
    <x v="534"/>
    <x v="534"/>
    <n v="2934.547942730313"/>
    <n v="0"/>
  </r>
  <r>
    <x v="535"/>
    <x v="535"/>
    <n v="946.82132988064791"/>
    <n v="0"/>
  </r>
  <r>
    <x v="536"/>
    <x v="536"/>
    <n v="4695.9783227787411"/>
    <n v="0"/>
  </r>
  <r>
    <x v="537"/>
    <x v="537"/>
    <n v="-2184.8801294645073"/>
    <n v="1"/>
  </r>
  <r>
    <x v="538"/>
    <x v="538"/>
    <n v="4120.7848432223618"/>
    <n v="0"/>
  </r>
  <r>
    <x v="539"/>
    <x v="539"/>
    <n v="4794.2512957080571"/>
    <n v="0"/>
  </r>
  <r>
    <x v="540"/>
    <x v="540"/>
    <n v="-15.23031894600873"/>
    <n v="1"/>
  </r>
  <r>
    <x v="541"/>
    <x v="541"/>
    <n v="2382.9370549016608"/>
    <n v="0"/>
  </r>
  <r>
    <x v="542"/>
    <x v="542"/>
    <n v="3414.5583153014049"/>
    <n v="0"/>
  </r>
  <r>
    <x v="543"/>
    <x v="543"/>
    <n v="6020.8328631971908"/>
    <n v="0"/>
  </r>
  <r>
    <x v="544"/>
    <x v="544"/>
    <n v="6038.2941011001512"/>
    <n v="0"/>
  </r>
  <r>
    <x v="545"/>
    <x v="545"/>
    <n v="7377.1391485607564"/>
    <n v="0"/>
  </r>
  <r>
    <x v="546"/>
    <x v="546"/>
    <n v="-1495.5869952019382"/>
    <n v="1"/>
  </r>
  <r>
    <x v="547"/>
    <x v="547"/>
    <n v="6016.9242530475522"/>
    <n v="0"/>
  </r>
  <r>
    <x v="548"/>
    <x v="548"/>
    <n v="232.83964185011916"/>
    <n v="0"/>
  </r>
  <r>
    <x v="549"/>
    <x v="549"/>
    <n v="7581.813576828572"/>
    <n v="0"/>
  </r>
  <r>
    <x v="550"/>
    <x v="550"/>
    <n v="567.48464155573379"/>
    <n v="0"/>
  </r>
  <r>
    <x v="551"/>
    <x v="551"/>
    <n v="2882.4744478221196"/>
    <n v="0"/>
  </r>
  <r>
    <x v="552"/>
    <x v="552"/>
    <n v="479.80279759722811"/>
    <n v="0"/>
  </r>
  <r>
    <x v="553"/>
    <x v="553"/>
    <n v="639.92648517540806"/>
    <n v="0"/>
  </r>
  <r>
    <x v="554"/>
    <x v="554"/>
    <n v="1325.0371209215009"/>
    <n v="0"/>
  </r>
  <r>
    <x v="555"/>
    <x v="555"/>
    <n v="2847.5100799027559"/>
    <n v="0"/>
  </r>
  <r>
    <x v="556"/>
    <x v="556"/>
    <n v="7662.2953229592877"/>
    <n v="0"/>
  </r>
  <r>
    <x v="557"/>
    <x v="557"/>
    <n v="2996.3952438580495"/>
    <n v="0"/>
  </r>
  <r>
    <x v="558"/>
    <x v="558"/>
    <n v="6407.1935553513194"/>
    <n v="0"/>
  </r>
  <r>
    <x v="559"/>
    <x v="559"/>
    <n v="3491.6930239274716"/>
    <n v="0"/>
  </r>
  <r>
    <x v="560"/>
    <x v="560"/>
    <n v="-509.45717624760829"/>
    <n v="1"/>
  </r>
  <r>
    <x v="561"/>
    <x v="561"/>
    <n v="469.76376122516371"/>
    <n v="0"/>
  </r>
  <r>
    <x v="562"/>
    <x v="562"/>
    <n v="397.03921836237686"/>
    <n v="0"/>
  </r>
  <r>
    <x v="563"/>
    <x v="563"/>
    <n v="1418.7360043491419"/>
    <n v="0"/>
  </r>
  <r>
    <x v="564"/>
    <x v="564"/>
    <n v="4838.9446145290131"/>
    <n v="0"/>
  </r>
  <r>
    <x v="565"/>
    <x v="565"/>
    <n v="3981.2059412335666"/>
    <n v="0"/>
  </r>
  <r>
    <x v="566"/>
    <x v="566"/>
    <n v="4935.4914751514152"/>
    <n v="0"/>
  </r>
  <r>
    <x v="567"/>
    <x v="567"/>
    <n v="4556.7894981923509"/>
    <n v="0"/>
  </r>
  <r>
    <x v="568"/>
    <x v="568"/>
    <n v="166.89544451883847"/>
    <n v="0"/>
  </r>
  <r>
    <x v="569"/>
    <x v="569"/>
    <n v="2484.4419203543143"/>
    <n v="0"/>
  </r>
  <r>
    <x v="570"/>
    <x v="570"/>
    <n v="254.22988030316486"/>
    <n v="0"/>
  </r>
  <r>
    <x v="571"/>
    <x v="571"/>
    <n v="878.01949724935889"/>
    <n v="0"/>
  </r>
  <r>
    <x v="572"/>
    <x v="572"/>
    <n v="3375.4931551330947"/>
    <n v="0"/>
  </r>
  <r>
    <x v="573"/>
    <x v="573"/>
    <n v="2451.0459779576286"/>
    <n v="0"/>
  </r>
  <r>
    <x v="574"/>
    <x v="574"/>
    <n v="2284.2595946006127"/>
    <n v="0"/>
  </r>
  <r>
    <x v="575"/>
    <x v="575"/>
    <n v="6370.3248546665445"/>
    <n v="0"/>
  </r>
  <r>
    <x v="576"/>
    <x v="576"/>
    <n v="6751.5141434413126"/>
    <n v="0"/>
  </r>
  <r>
    <x v="577"/>
    <x v="577"/>
    <n v="4557.6485768041493"/>
    <n v="0"/>
  </r>
  <r>
    <x v="578"/>
    <x v="578"/>
    <n v="6244.7149267259847"/>
    <n v="0"/>
  </r>
  <r>
    <x v="579"/>
    <x v="579"/>
    <n v="903.74909609832014"/>
    <n v="0"/>
  </r>
  <r>
    <x v="580"/>
    <x v="580"/>
    <n v="-1377.9423733009476"/>
    <n v="1"/>
  </r>
  <r>
    <x v="581"/>
    <x v="581"/>
    <n v="-1634.3812849918243"/>
    <n v="1"/>
  </r>
  <r>
    <x v="582"/>
    <x v="582"/>
    <n v="819.21321665938763"/>
    <n v="0"/>
  </r>
  <r>
    <x v="583"/>
    <x v="583"/>
    <n v="6659.5482545006471"/>
    <n v="0"/>
  </r>
  <r>
    <x v="584"/>
    <x v="584"/>
    <n v="-847.11483838681079"/>
    <n v="1"/>
  </r>
  <r>
    <x v="585"/>
    <x v="585"/>
    <n v="6211.8727634355291"/>
    <n v="0"/>
  </r>
  <r>
    <x v="586"/>
    <x v="586"/>
    <n v="527.84644155070453"/>
    <n v="0"/>
  </r>
  <r>
    <x v="587"/>
    <x v="587"/>
    <n v="225.77664513164876"/>
    <n v="0"/>
  </r>
  <r>
    <x v="588"/>
    <x v="588"/>
    <n v="246.36816482505964"/>
    <n v="0"/>
  </r>
  <r>
    <x v="589"/>
    <x v="589"/>
    <n v="7451.6345306515832"/>
    <n v="0"/>
  </r>
  <r>
    <x v="590"/>
    <x v="590"/>
    <n v="1807.882360007465"/>
    <n v="0"/>
  </r>
  <r>
    <x v="591"/>
    <x v="591"/>
    <n v="2602.0790950195919"/>
    <n v="0"/>
  </r>
  <r>
    <x v="592"/>
    <x v="592"/>
    <n v="-721.14510157403811"/>
    <n v="1"/>
  </r>
  <r>
    <x v="593"/>
    <x v="593"/>
    <n v="6142.2983965492995"/>
    <n v="0"/>
  </r>
  <r>
    <x v="594"/>
    <x v="594"/>
    <n v="4344.6407158959073"/>
    <n v="0"/>
  </r>
  <r>
    <x v="595"/>
    <x v="595"/>
    <n v="5203.8670961172184"/>
    <n v="0"/>
  </r>
  <r>
    <x v="596"/>
    <x v="596"/>
    <n v="6100.9654943508385"/>
    <n v="0"/>
  </r>
  <r>
    <x v="597"/>
    <x v="597"/>
    <n v="6893.8681101811735"/>
    <n v="0"/>
  </r>
  <r>
    <x v="598"/>
    <x v="598"/>
    <n v="1659.9276805700204"/>
    <n v="0"/>
  </r>
  <r>
    <x v="599"/>
    <x v="599"/>
    <n v="3819.6420032513183"/>
    <n v="0"/>
  </r>
  <r>
    <x v="600"/>
    <x v="600"/>
    <n v="4980.6567557506933"/>
    <n v="0"/>
  </r>
  <r>
    <x v="601"/>
    <x v="601"/>
    <n v="129.47939992601061"/>
    <n v="0"/>
  </r>
  <r>
    <x v="602"/>
    <x v="602"/>
    <n v="4650.8969902185672"/>
    <n v="0"/>
  </r>
  <r>
    <x v="603"/>
    <x v="603"/>
    <n v="5238.0116316787116"/>
    <n v="0"/>
  </r>
  <r>
    <x v="604"/>
    <x v="604"/>
    <n v="2050.5342804293587"/>
    <n v="0"/>
  </r>
  <r>
    <x v="605"/>
    <x v="605"/>
    <n v="4213.1263598387959"/>
    <n v="0"/>
  </r>
  <r>
    <x v="606"/>
    <x v="606"/>
    <n v="-219.92150998927406"/>
    <n v="1"/>
  </r>
  <r>
    <x v="607"/>
    <x v="607"/>
    <n v="4207.8219490817028"/>
    <n v="0"/>
  </r>
  <r>
    <x v="608"/>
    <x v="608"/>
    <n v="-1027.9557077365691"/>
    <n v="1"/>
  </r>
  <r>
    <x v="609"/>
    <x v="609"/>
    <n v="1698.2158049194079"/>
    <n v="0"/>
  </r>
  <r>
    <x v="610"/>
    <x v="610"/>
    <n v="6923.3605865656873"/>
    <n v="0"/>
  </r>
  <r>
    <x v="611"/>
    <x v="611"/>
    <n v="2945.6741454376474"/>
    <n v="0"/>
  </r>
  <r>
    <x v="612"/>
    <x v="612"/>
    <n v="7633.9063808651845"/>
    <n v="0"/>
  </r>
  <r>
    <x v="613"/>
    <x v="613"/>
    <n v="3259.1736014622234"/>
    <n v="0"/>
  </r>
  <r>
    <x v="614"/>
    <x v="614"/>
    <n v="-288.02157378498902"/>
    <n v="1"/>
  </r>
  <r>
    <x v="615"/>
    <x v="615"/>
    <n v="2752.6593415097436"/>
    <n v="0"/>
  </r>
  <r>
    <x v="616"/>
    <x v="616"/>
    <n v="5600.9465996293111"/>
    <n v="0"/>
  </r>
  <r>
    <x v="617"/>
    <x v="617"/>
    <n v="-115.3966570272091"/>
    <n v="1"/>
  </r>
  <r>
    <x v="618"/>
    <x v="618"/>
    <n v="-2490.4146644903353"/>
    <n v="1"/>
  </r>
  <r>
    <x v="619"/>
    <x v="619"/>
    <n v="2073.0994141215251"/>
    <n v="0"/>
  </r>
  <r>
    <x v="620"/>
    <x v="620"/>
    <n v="-1416.1707337882349"/>
    <n v="1"/>
  </r>
  <r>
    <x v="621"/>
    <x v="621"/>
    <n v="-871.570212849673"/>
    <n v="1"/>
  </r>
  <r>
    <x v="622"/>
    <x v="622"/>
    <n v="1357.9727475794132"/>
    <n v="0"/>
  </r>
  <r>
    <x v="623"/>
    <x v="623"/>
    <n v="3771.8012805027515"/>
    <n v="0"/>
  </r>
  <r>
    <x v="624"/>
    <x v="624"/>
    <n v="1887.9530851823315"/>
    <n v="0"/>
  </r>
  <r>
    <x v="625"/>
    <x v="625"/>
    <n v="2034.8404439453343"/>
    <n v="0"/>
  </r>
  <r>
    <x v="626"/>
    <x v="626"/>
    <n v="-847.41061696840245"/>
    <n v="1"/>
  </r>
  <r>
    <x v="627"/>
    <x v="627"/>
    <n v="1776.6549674403063"/>
    <n v="0"/>
  </r>
  <r>
    <x v="628"/>
    <x v="628"/>
    <n v="4546.9449977505683"/>
    <n v="0"/>
  </r>
  <r>
    <x v="629"/>
    <x v="629"/>
    <n v="2400.3247905063895"/>
    <n v="0"/>
  </r>
  <r>
    <x v="630"/>
    <x v="630"/>
    <n v="5950.7383243052582"/>
    <n v="0"/>
  </r>
  <r>
    <x v="631"/>
    <x v="631"/>
    <n v="3452.591205793969"/>
    <n v="0"/>
  </r>
  <r>
    <x v="632"/>
    <x v="632"/>
    <n v="-1651.3590034297133"/>
    <n v="1"/>
  </r>
  <r>
    <x v="633"/>
    <x v="633"/>
    <n v="4580.2107752230268"/>
    <n v="0"/>
  </r>
  <r>
    <x v="634"/>
    <x v="634"/>
    <n v="962.00159317326893"/>
    <n v="0"/>
  </r>
  <r>
    <x v="635"/>
    <x v="635"/>
    <n v="3627.6489557409923"/>
    <n v="0"/>
  </r>
  <r>
    <x v="636"/>
    <x v="636"/>
    <n v="4699.053277336473"/>
    <n v="0"/>
  </r>
  <r>
    <x v="637"/>
    <x v="637"/>
    <n v="6911.8657953944958"/>
    <n v="0"/>
  </r>
  <r>
    <x v="638"/>
    <x v="638"/>
    <n v="-867.98722114839597"/>
    <n v="1"/>
  </r>
  <r>
    <x v="639"/>
    <x v="639"/>
    <n v="6854.545567399613"/>
    <n v="0"/>
  </r>
  <r>
    <x v="640"/>
    <x v="640"/>
    <n v="6872.2436900612374"/>
    <n v="0"/>
  </r>
  <r>
    <x v="641"/>
    <x v="641"/>
    <n v="663.99173456142194"/>
    <n v="0"/>
  </r>
  <r>
    <x v="642"/>
    <x v="642"/>
    <n v="5895.8522746498593"/>
    <n v="0"/>
  </r>
  <r>
    <x v="643"/>
    <x v="643"/>
    <n v="1475.2148800988223"/>
    <n v="0"/>
  </r>
  <r>
    <x v="644"/>
    <x v="644"/>
    <n v="-1984.6294126241585"/>
    <n v="1"/>
  </r>
  <r>
    <x v="645"/>
    <x v="645"/>
    <n v="-902.76224883228065"/>
    <n v="1"/>
  </r>
  <r>
    <x v="646"/>
    <x v="646"/>
    <n v="1904.8521700829147"/>
    <n v="0"/>
  </r>
  <r>
    <x v="647"/>
    <x v="647"/>
    <n v="-233.64553745230916"/>
    <n v="1"/>
  </r>
  <r>
    <x v="648"/>
    <x v="648"/>
    <n v="-242.04312692279581"/>
    <n v="1"/>
  </r>
  <r>
    <x v="649"/>
    <x v="649"/>
    <n v="3779.5184637487419"/>
    <n v="0"/>
  </r>
  <r>
    <x v="650"/>
    <x v="650"/>
    <n v="-1165.5974642602494"/>
    <n v="1"/>
  </r>
  <r>
    <x v="651"/>
    <x v="651"/>
    <n v="2959.5922597274052"/>
    <n v="0"/>
  </r>
  <r>
    <x v="652"/>
    <x v="652"/>
    <n v="2056.8633840971679"/>
    <n v="0"/>
  </r>
  <r>
    <x v="653"/>
    <x v="653"/>
    <n v="-1241.6840090835221"/>
    <n v="1"/>
  </r>
  <r>
    <x v="654"/>
    <x v="654"/>
    <n v="1838.3078852498527"/>
    <n v="0"/>
  </r>
  <r>
    <x v="655"/>
    <x v="655"/>
    <n v="3053.4883932873408"/>
    <n v="0"/>
  </r>
  <r>
    <x v="656"/>
    <x v="656"/>
    <n v="34.607347120407368"/>
    <n v="0"/>
  </r>
  <r>
    <x v="657"/>
    <x v="657"/>
    <n v="197.17251432385245"/>
    <n v="0"/>
  </r>
  <r>
    <x v="658"/>
    <x v="658"/>
    <n v="-1831.015031778596"/>
    <n v="1"/>
  </r>
  <r>
    <x v="659"/>
    <x v="659"/>
    <n v="3546.2056732195902"/>
    <n v="0"/>
  </r>
  <r>
    <x v="660"/>
    <x v="660"/>
    <n v="5577.8204322374795"/>
    <n v="0"/>
  </r>
  <r>
    <x v="661"/>
    <x v="661"/>
    <n v="2909.2381757800226"/>
    <n v="0"/>
  </r>
  <r>
    <x v="662"/>
    <x v="662"/>
    <n v="1681.4587186969766"/>
    <n v="0"/>
  </r>
  <r>
    <x v="663"/>
    <x v="663"/>
    <n v="-293.25702495895115"/>
    <n v="1"/>
  </r>
  <r>
    <x v="664"/>
    <x v="664"/>
    <n v="3522.2245378895423"/>
    <n v="0"/>
  </r>
  <r>
    <x v="665"/>
    <x v="665"/>
    <n v="1151.1772669119507"/>
    <n v="0"/>
  </r>
  <r>
    <x v="666"/>
    <x v="666"/>
    <n v="4865.2645061438461"/>
    <n v="0"/>
  </r>
  <r>
    <x v="667"/>
    <x v="667"/>
    <n v="2186.0699267382906"/>
    <n v="0"/>
  </r>
  <r>
    <x v="668"/>
    <x v="668"/>
    <n v="-1640.3248501298258"/>
    <n v="1"/>
  </r>
  <r>
    <x v="669"/>
    <x v="669"/>
    <n v="1735.0372855222715"/>
    <n v="0"/>
  </r>
  <r>
    <x v="670"/>
    <x v="670"/>
    <n v="7295.9641304284305"/>
    <n v="0"/>
  </r>
  <r>
    <x v="671"/>
    <x v="671"/>
    <n v="-1025.9398102367234"/>
    <n v="1"/>
  </r>
  <r>
    <x v="672"/>
    <x v="672"/>
    <n v="4396.745090791148"/>
    <n v="0"/>
  </r>
  <r>
    <x v="673"/>
    <x v="673"/>
    <n v="5513.181889796786"/>
    <n v="0"/>
  </r>
  <r>
    <x v="674"/>
    <x v="674"/>
    <n v="-1473.046952696616"/>
    <n v="1"/>
  </r>
  <r>
    <x v="675"/>
    <x v="675"/>
    <n v="846.97295058960174"/>
    <n v="0"/>
  </r>
  <r>
    <x v="676"/>
    <x v="676"/>
    <n v="6109.5008836105053"/>
    <n v="0"/>
  </r>
  <r>
    <x v="677"/>
    <x v="677"/>
    <n v="2263.547127094967"/>
    <n v="0"/>
  </r>
  <r>
    <x v="678"/>
    <x v="678"/>
    <n v="5568.7515578070052"/>
    <n v="0"/>
  </r>
  <r>
    <x v="679"/>
    <x v="679"/>
    <n v="3863.3985242903882"/>
    <n v="0"/>
  </r>
  <r>
    <x v="680"/>
    <x v="680"/>
    <n v="-2393.1400983043081"/>
    <n v="1"/>
  </r>
  <r>
    <x v="681"/>
    <x v="681"/>
    <n v="4588.7577190785742"/>
    <n v="0"/>
  </r>
  <r>
    <x v="682"/>
    <x v="682"/>
    <n v="1813.6058421984735"/>
    <n v="0"/>
  </r>
  <r>
    <x v="683"/>
    <x v="683"/>
    <n v="3622.2076855290916"/>
    <n v="0"/>
  </r>
  <r>
    <x v="684"/>
    <x v="684"/>
    <n v="7248.224226904641"/>
    <n v="0"/>
  </r>
  <r>
    <x v="685"/>
    <x v="685"/>
    <n v="5258.0959476836269"/>
    <n v="0"/>
  </r>
  <r>
    <x v="686"/>
    <x v="686"/>
    <n v="7058.9320415570292"/>
    <n v="0"/>
  </r>
  <r>
    <x v="687"/>
    <x v="687"/>
    <n v="2395.394192321427"/>
    <n v="0"/>
  </r>
  <r>
    <x v="688"/>
    <x v="688"/>
    <n v="4719.1121670336934"/>
    <n v="0"/>
  </r>
  <r>
    <x v="689"/>
    <x v="689"/>
    <n v="7720.7226416987878"/>
    <n v="0"/>
  </r>
  <r>
    <x v="690"/>
    <x v="690"/>
    <n v="3813.8596995744479"/>
    <n v="0"/>
  </r>
  <r>
    <x v="691"/>
    <x v="691"/>
    <n v="6697.5428534856628"/>
    <n v="0"/>
  </r>
  <r>
    <x v="692"/>
    <x v="692"/>
    <n v="396.56773491068867"/>
    <n v="0"/>
  </r>
  <r>
    <x v="693"/>
    <x v="693"/>
    <n v="6037.9757196770452"/>
    <n v="0"/>
  </r>
  <r>
    <x v="694"/>
    <x v="694"/>
    <n v="-399.80910463480302"/>
    <n v="1"/>
  </r>
  <r>
    <x v="695"/>
    <x v="695"/>
    <n v="3790.6460595915732"/>
    <n v="0"/>
  </r>
  <r>
    <x v="696"/>
    <x v="696"/>
    <n v="-1098.3697780060897"/>
    <n v="1"/>
  </r>
  <r>
    <x v="697"/>
    <x v="697"/>
    <n v="7143.1533033445266"/>
    <n v="0"/>
  </r>
  <r>
    <x v="698"/>
    <x v="698"/>
    <n v="2226.2068346600263"/>
    <n v="0"/>
  </r>
  <r>
    <x v="699"/>
    <x v="699"/>
    <n v="3232.9683446038098"/>
    <n v="0"/>
  </r>
  <r>
    <x v="700"/>
    <x v="700"/>
    <n v="7671.9379886428942"/>
    <n v="0"/>
  </r>
  <r>
    <x v="701"/>
    <x v="701"/>
    <n v="5968.7367900029649"/>
    <n v="0"/>
  </r>
  <r>
    <x v="702"/>
    <x v="702"/>
    <n v="2189.2110541817137"/>
    <n v="0"/>
  </r>
  <r>
    <x v="703"/>
    <x v="703"/>
    <n v="7471.6972329693717"/>
    <n v="0"/>
  </r>
  <r>
    <x v="704"/>
    <x v="704"/>
    <n v="281.47041616183526"/>
    <n v="0"/>
  </r>
  <r>
    <x v="705"/>
    <x v="705"/>
    <n v="-634.08182043939462"/>
    <n v="1"/>
  </r>
  <r>
    <x v="706"/>
    <x v="706"/>
    <n v="6875.445709306443"/>
    <n v="0"/>
  </r>
  <r>
    <x v="707"/>
    <x v="707"/>
    <n v="4910.4938736174809"/>
    <n v="0"/>
  </r>
  <r>
    <x v="708"/>
    <x v="708"/>
    <n v="5242.8863680490458"/>
    <n v="0"/>
  </r>
  <r>
    <x v="709"/>
    <x v="709"/>
    <n v="6975.3925237582089"/>
    <n v="0"/>
  </r>
  <r>
    <x v="710"/>
    <x v="710"/>
    <n v="-840.9653480948964"/>
    <n v="1"/>
  </r>
  <r>
    <x v="711"/>
    <x v="711"/>
    <n v="3845.6161047745582"/>
    <n v="0"/>
  </r>
  <r>
    <x v="712"/>
    <x v="712"/>
    <n v="1605.2086164736165"/>
    <n v="0"/>
  </r>
  <r>
    <x v="713"/>
    <x v="713"/>
    <n v="2127.5364166519744"/>
    <n v="0"/>
  </r>
  <r>
    <x v="714"/>
    <x v="714"/>
    <n v="3147.6715034120275"/>
    <n v="0"/>
  </r>
  <r>
    <x v="715"/>
    <x v="715"/>
    <n v="2959.8439183632136"/>
    <n v="0"/>
  </r>
  <r>
    <x v="716"/>
    <x v="716"/>
    <n v="768.75771009107439"/>
    <n v="0"/>
  </r>
  <r>
    <x v="717"/>
    <x v="717"/>
    <n v="2731.2098969794779"/>
    <n v="0"/>
  </r>
  <r>
    <x v="718"/>
    <x v="718"/>
    <n v="-1232.8437396001132"/>
    <n v="1"/>
  </r>
  <r>
    <x v="719"/>
    <x v="719"/>
    <n v="7296.3194790262596"/>
    <n v="0"/>
  </r>
  <r>
    <x v="720"/>
    <x v="720"/>
    <n v="952.6118652353457"/>
    <n v="0"/>
  </r>
  <r>
    <x v="721"/>
    <x v="721"/>
    <n v="7719.4056343091179"/>
    <n v="0"/>
  </r>
  <r>
    <x v="722"/>
    <x v="722"/>
    <n v="3539.756207193233"/>
    <n v="0"/>
  </r>
  <r>
    <x v="723"/>
    <x v="723"/>
    <n v="4442.6473731515989"/>
    <n v="0"/>
  </r>
  <r>
    <x v="724"/>
    <x v="724"/>
    <n v="4638.864939049583"/>
    <n v="0"/>
  </r>
  <r>
    <x v="725"/>
    <x v="725"/>
    <n v="7522.1706726592656"/>
    <n v="0"/>
  </r>
  <r>
    <x v="726"/>
    <x v="726"/>
    <n v="6219.5081459593512"/>
    <n v="0"/>
  </r>
  <r>
    <x v="727"/>
    <x v="727"/>
    <n v="4865.1713842633371"/>
    <n v="0"/>
  </r>
  <r>
    <x v="728"/>
    <x v="728"/>
    <n v="3128.354087030837"/>
    <n v="0"/>
  </r>
  <r>
    <x v="729"/>
    <x v="729"/>
    <n v="5262.5757616409064"/>
    <n v="0"/>
  </r>
  <r>
    <x v="730"/>
    <x v="730"/>
    <n v="-1359.5650690704456"/>
    <n v="1"/>
  </r>
  <r>
    <x v="731"/>
    <x v="731"/>
    <n v="-989.78317524868396"/>
    <n v="1"/>
  </r>
  <r>
    <x v="732"/>
    <x v="732"/>
    <n v="2522.0671735755682"/>
    <n v="0"/>
  </r>
  <r>
    <x v="733"/>
    <x v="733"/>
    <n v="6152.5996818491985"/>
    <n v="0"/>
  </r>
  <r>
    <x v="734"/>
    <x v="734"/>
    <n v="5269.8100083470026"/>
    <n v="0"/>
  </r>
  <r>
    <x v="735"/>
    <x v="735"/>
    <n v="-2090.3120019140742"/>
    <n v="1"/>
  </r>
  <r>
    <x v="736"/>
    <x v="736"/>
    <n v="-478.76621115060078"/>
    <n v="1"/>
  </r>
  <r>
    <x v="737"/>
    <x v="737"/>
    <n v="7291.2824564749835"/>
    <n v="0"/>
  </r>
  <r>
    <x v="738"/>
    <x v="738"/>
    <n v="4615.0826067517592"/>
    <n v="0"/>
  </r>
  <r>
    <x v="739"/>
    <x v="739"/>
    <n v="940.14265883071789"/>
    <n v="0"/>
  </r>
  <r>
    <x v="740"/>
    <x v="740"/>
    <n v="427.56897257967631"/>
    <n v="0"/>
  </r>
  <r>
    <x v="741"/>
    <x v="741"/>
    <n v="1386.1848525356588"/>
    <n v="0"/>
  </r>
  <r>
    <x v="742"/>
    <x v="742"/>
    <n v="4306.4330084514113"/>
    <n v="0"/>
  </r>
  <r>
    <x v="743"/>
    <x v="743"/>
    <n v="7152.7913958269428"/>
    <n v="0"/>
  </r>
  <r>
    <x v="744"/>
    <x v="744"/>
    <n v="-619.49492766198784"/>
    <n v="1"/>
  </r>
  <r>
    <x v="745"/>
    <x v="745"/>
    <n v="1380.2852239953511"/>
    <n v="0"/>
  </r>
  <r>
    <x v="746"/>
    <x v="746"/>
    <n v="4211.0737570005604"/>
    <n v="0"/>
  </r>
  <r>
    <x v="747"/>
    <x v="747"/>
    <n v="6237.2477585690576"/>
    <n v="0"/>
  </r>
  <r>
    <x v="748"/>
    <x v="748"/>
    <n v="3748.776887074564"/>
    <n v="0"/>
  </r>
  <r>
    <x v="749"/>
    <x v="749"/>
    <n v="2521.9269502110938"/>
    <n v="0"/>
  </r>
  <r>
    <x v="750"/>
    <x v="750"/>
    <n v="3695.6300978764211"/>
    <n v="0"/>
  </r>
  <r>
    <x v="751"/>
    <x v="751"/>
    <n v="714.25165241080799"/>
    <n v="0"/>
  </r>
  <r>
    <x v="752"/>
    <x v="752"/>
    <n v="1743.8661688881025"/>
    <n v="0"/>
  </r>
  <r>
    <x v="753"/>
    <x v="753"/>
    <n v="6970.6909823462129"/>
    <n v="0"/>
  </r>
  <r>
    <x v="754"/>
    <x v="754"/>
    <n v="5507.6719217270156"/>
    <n v="0"/>
  </r>
  <r>
    <x v="755"/>
    <x v="755"/>
    <n v="851.5464591528978"/>
    <n v="0"/>
  </r>
  <r>
    <x v="756"/>
    <x v="756"/>
    <n v="4911.2705642204455"/>
    <n v="0"/>
  </r>
  <r>
    <x v="757"/>
    <x v="757"/>
    <n v="-496.93753471257406"/>
    <n v="1"/>
  </r>
  <r>
    <x v="758"/>
    <x v="758"/>
    <n v="1448.9323618848489"/>
    <n v="0"/>
  </r>
  <r>
    <x v="759"/>
    <x v="759"/>
    <n v="2349.7827724202989"/>
    <n v="0"/>
  </r>
  <r>
    <x v="760"/>
    <x v="760"/>
    <n v="694.46131737816995"/>
    <n v="0"/>
  </r>
  <r>
    <x v="761"/>
    <x v="761"/>
    <n v="3175.3640748835969"/>
    <n v="0"/>
  </r>
  <r>
    <x v="762"/>
    <x v="762"/>
    <n v="7484.2546642434936"/>
    <n v="0"/>
  </r>
  <r>
    <x v="763"/>
    <x v="763"/>
    <n v="5569.9192958530812"/>
    <n v="0"/>
  </r>
  <r>
    <x v="764"/>
    <x v="764"/>
    <n v="4048.3215966271387"/>
    <n v="0"/>
  </r>
  <r>
    <x v="765"/>
    <x v="765"/>
    <n v="4101.1195080632597"/>
    <n v="0"/>
  </r>
  <r>
    <x v="766"/>
    <x v="766"/>
    <n v="1326.2558442609836"/>
    <n v="0"/>
  </r>
  <r>
    <x v="767"/>
    <x v="767"/>
    <n v="3552.9211442969763"/>
    <n v="0"/>
  </r>
  <r>
    <x v="768"/>
    <x v="768"/>
    <n v="1742.1926465797219"/>
    <n v="0"/>
  </r>
  <r>
    <x v="769"/>
    <x v="769"/>
    <n v="629.92328586525832"/>
    <n v="0"/>
  </r>
  <r>
    <x v="770"/>
    <x v="770"/>
    <n v="7284.9317769250392"/>
    <n v="0"/>
  </r>
  <r>
    <x v="771"/>
    <x v="771"/>
    <n v="4916.1159994094533"/>
    <n v="0"/>
  </r>
  <r>
    <x v="772"/>
    <x v="772"/>
    <n v="-623.69812932248885"/>
    <n v="1"/>
  </r>
  <r>
    <x v="773"/>
    <x v="773"/>
    <n v="5803.7921164792515"/>
    <n v="0"/>
  </r>
  <r>
    <x v="774"/>
    <x v="774"/>
    <n v="81.535688917938032"/>
    <n v="0"/>
  </r>
  <r>
    <x v="775"/>
    <x v="775"/>
    <n v="4287.9747528488124"/>
    <n v="0"/>
  </r>
  <r>
    <x v="776"/>
    <x v="776"/>
    <n v="-147.44797406993439"/>
    <n v="1"/>
  </r>
  <r>
    <x v="777"/>
    <x v="777"/>
    <n v="4719.7641903593749"/>
    <n v="0"/>
  </r>
  <r>
    <x v="778"/>
    <x v="778"/>
    <n v="5419.7551318764281"/>
    <n v="0"/>
  </r>
  <r>
    <x v="779"/>
    <x v="779"/>
    <n v="2800.4563385637648"/>
    <n v="0"/>
  </r>
  <r>
    <x v="780"/>
    <x v="780"/>
    <n v="7306.7513160285798"/>
    <n v="0"/>
  </r>
  <r>
    <x v="781"/>
    <x v="781"/>
    <n v="-675.08012325131369"/>
    <n v="1"/>
  </r>
  <r>
    <x v="782"/>
    <x v="782"/>
    <n v="1662.2722786421859"/>
    <n v="0"/>
  </r>
  <r>
    <x v="783"/>
    <x v="783"/>
    <n v="-1956.0524774505891"/>
    <n v="1"/>
  </r>
  <r>
    <x v="784"/>
    <x v="784"/>
    <n v="6372.5289245559798"/>
    <n v="0"/>
  </r>
  <r>
    <x v="785"/>
    <x v="785"/>
    <n v="7458.1911408535561"/>
    <n v="0"/>
  </r>
  <r>
    <x v="786"/>
    <x v="786"/>
    <n v="3049.751586725577"/>
    <n v="0"/>
  </r>
  <r>
    <x v="787"/>
    <x v="787"/>
    <n v="6690.3424019002205"/>
    <n v="0"/>
  </r>
  <r>
    <x v="788"/>
    <x v="788"/>
    <n v="347.15636250713561"/>
    <n v="0"/>
  </r>
  <r>
    <x v="789"/>
    <x v="789"/>
    <n v="5360.0628572375826"/>
    <n v="0"/>
  </r>
  <r>
    <x v="790"/>
    <x v="790"/>
    <n v="-1081.1001359152781"/>
    <n v="1"/>
  </r>
  <r>
    <x v="791"/>
    <x v="791"/>
    <n v="1839.1715339470966"/>
    <n v="0"/>
  </r>
  <r>
    <x v="792"/>
    <x v="792"/>
    <n v="3665.3511804695622"/>
    <n v="0"/>
  </r>
  <r>
    <x v="793"/>
    <x v="793"/>
    <n v="2136.6312702667178"/>
    <n v="0"/>
  </r>
  <r>
    <x v="794"/>
    <x v="794"/>
    <n v="-821.2054176908332"/>
    <n v="1"/>
  </r>
  <r>
    <x v="795"/>
    <x v="795"/>
    <n v="4343.5493115351628"/>
    <n v="0"/>
  </r>
  <r>
    <x v="796"/>
    <x v="796"/>
    <n v="3278.5387045736998"/>
    <n v="0"/>
  </r>
  <r>
    <x v="797"/>
    <x v="797"/>
    <n v="5775.3529949294816"/>
    <n v="0"/>
  </r>
  <r>
    <x v="798"/>
    <x v="798"/>
    <n v="365.24010935327033"/>
    <n v="0"/>
  </r>
  <r>
    <x v="799"/>
    <x v="799"/>
    <n v="-650.83861289464448"/>
    <n v="1"/>
  </r>
  <r>
    <x v="800"/>
    <x v="800"/>
    <n v="1224.7599075788655"/>
    <n v="0"/>
  </r>
  <r>
    <x v="801"/>
    <x v="801"/>
    <n v="-2416.7183603494841"/>
    <n v="1"/>
  </r>
  <r>
    <x v="802"/>
    <x v="802"/>
    <n v="1840.7764425193673"/>
    <n v="0"/>
  </r>
  <r>
    <x v="803"/>
    <x v="803"/>
    <n v="5210.4660041590814"/>
    <n v="0"/>
  </r>
  <r>
    <x v="804"/>
    <x v="804"/>
    <n v="4927.8647410985723"/>
    <n v="0"/>
  </r>
  <r>
    <x v="805"/>
    <x v="805"/>
    <n v="-90.510638562445763"/>
    <n v="1"/>
  </r>
  <r>
    <x v="806"/>
    <x v="806"/>
    <n v="1351.2597324921176"/>
    <n v="0"/>
  </r>
  <r>
    <x v="807"/>
    <x v="807"/>
    <n v="4177.1768474547425"/>
    <n v="0"/>
  </r>
  <r>
    <x v="808"/>
    <x v="808"/>
    <n v="6233.8581577795048"/>
    <n v="0"/>
  </r>
  <r>
    <x v="809"/>
    <x v="809"/>
    <n v="3635.4443662452991"/>
    <n v="0"/>
  </r>
  <r>
    <x v="810"/>
    <x v="810"/>
    <n v="5187.0266643890918"/>
    <n v="0"/>
  </r>
  <r>
    <x v="811"/>
    <x v="811"/>
    <n v="1213.0836198578652"/>
    <n v="0"/>
  </r>
  <r>
    <x v="812"/>
    <x v="812"/>
    <n v="6697.7220128605268"/>
    <n v="0"/>
  </r>
  <r>
    <x v="813"/>
    <x v="813"/>
    <n v="2930.7391509061431"/>
    <n v="0"/>
  </r>
  <r>
    <x v="814"/>
    <x v="814"/>
    <n v="-103.58269871439796"/>
    <n v="1"/>
  </r>
  <r>
    <x v="815"/>
    <x v="815"/>
    <n v="6445.5258299211991"/>
    <n v="0"/>
  </r>
  <r>
    <x v="816"/>
    <x v="816"/>
    <n v="-1727.5229463962257"/>
    <n v="1"/>
  </r>
  <r>
    <x v="817"/>
    <x v="817"/>
    <n v="-1717.1064077982082"/>
    <n v="1"/>
  </r>
  <r>
    <x v="818"/>
    <x v="818"/>
    <n v="-1978.8992769563347"/>
    <n v="1"/>
  </r>
  <r>
    <x v="819"/>
    <x v="819"/>
    <n v="-188.51269506837076"/>
    <n v="1"/>
  </r>
  <r>
    <x v="820"/>
    <x v="820"/>
    <n v="2084.545245814274"/>
    <n v="0"/>
  </r>
  <r>
    <x v="821"/>
    <x v="821"/>
    <n v="-1772.8942171999599"/>
    <n v="1"/>
  </r>
  <r>
    <x v="822"/>
    <x v="822"/>
    <n v="-943.45144162229326"/>
    <n v="1"/>
  </r>
  <r>
    <x v="823"/>
    <x v="823"/>
    <n v="5972.098993381107"/>
    <n v="0"/>
  </r>
  <r>
    <x v="824"/>
    <x v="824"/>
    <n v="2814.3846150847917"/>
    <n v="0"/>
  </r>
  <r>
    <x v="825"/>
    <x v="825"/>
    <n v="4740.7725067961292"/>
    <n v="0"/>
  </r>
  <r>
    <x v="826"/>
    <x v="826"/>
    <n v="595.9575031608822"/>
    <n v="0"/>
  </r>
  <r>
    <x v="827"/>
    <x v="827"/>
    <n v="1368.008553879459"/>
    <n v="0"/>
  </r>
  <r>
    <x v="828"/>
    <x v="828"/>
    <n v="3185.0285412157218"/>
    <n v="0"/>
  </r>
  <r>
    <x v="829"/>
    <x v="829"/>
    <n v="7075.9715421366145"/>
    <n v="0"/>
  </r>
  <r>
    <x v="830"/>
    <x v="830"/>
    <n v="3104.8130562995902"/>
    <n v="0"/>
  </r>
  <r>
    <x v="831"/>
    <x v="831"/>
    <n v="2830.3777847360657"/>
    <n v="0"/>
  </r>
  <r>
    <x v="832"/>
    <x v="832"/>
    <n v="-2007.5641814153264"/>
    <n v="1"/>
  </r>
  <r>
    <x v="833"/>
    <x v="833"/>
    <n v="3414.785202204283"/>
    <n v="0"/>
  </r>
  <r>
    <x v="834"/>
    <x v="834"/>
    <n v="-880.01903394036151"/>
    <n v="1"/>
  </r>
  <r>
    <x v="835"/>
    <x v="835"/>
    <n v="-1099.7706247338983"/>
    <n v="1"/>
  </r>
  <r>
    <x v="836"/>
    <x v="836"/>
    <n v="-1765.9856884882861"/>
    <n v="1"/>
  </r>
  <r>
    <x v="837"/>
    <x v="837"/>
    <n v="4247.3135377133622"/>
    <n v="0"/>
  </r>
  <r>
    <x v="838"/>
    <x v="838"/>
    <n v="3220.4710367904113"/>
    <n v="0"/>
  </r>
  <r>
    <x v="839"/>
    <x v="839"/>
    <n v="2958.6325016500364"/>
    <n v="0"/>
  </r>
  <r>
    <x v="840"/>
    <x v="840"/>
    <n v="1547.9662607712901"/>
    <n v="0"/>
  </r>
  <r>
    <x v="841"/>
    <x v="841"/>
    <n v="6027.6921024236408"/>
    <n v="0"/>
  </r>
  <r>
    <x v="842"/>
    <x v="842"/>
    <n v="835.29840886633781"/>
    <n v="0"/>
  </r>
  <r>
    <x v="843"/>
    <x v="843"/>
    <n v="-1590.0816137624852"/>
    <n v="1"/>
  </r>
  <r>
    <x v="844"/>
    <x v="844"/>
    <n v="818.59006120855042"/>
    <n v="0"/>
  </r>
  <r>
    <x v="845"/>
    <x v="845"/>
    <n v="5107.8890681456023"/>
    <n v="0"/>
  </r>
  <r>
    <x v="846"/>
    <x v="846"/>
    <n v="4683.7099963478631"/>
    <n v="0"/>
  </r>
  <r>
    <x v="847"/>
    <x v="847"/>
    <n v="4097.0333657849724"/>
    <n v="0"/>
  </r>
  <r>
    <x v="848"/>
    <x v="848"/>
    <n v="-879.13677642442087"/>
    <n v="1"/>
  </r>
  <r>
    <x v="849"/>
    <x v="849"/>
    <n v="-2050.4759685956014"/>
    <n v="1"/>
  </r>
  <r>
    <x v="850"/>
    <x v="850"/>
    <n v="1952.1648362417261"/>
    <n v="0"/>
  </r>
  <r>
    <x v="851"/>
    <x v="851"/>
    <n v="3652.7937983051042"/>
    <n v="0"/>
  </r>
  <r>
    <x v="852"/>
    <x v="852"/>
    <n v="3077.9185072124878"/>
    <n v="0"/>
  </r>
  <r>
    <x v="853"/>
    <x v="853"/>
    <n v="7726.3542754390774"/>
    <n v="0"/>
  </r>
  <r>
    <x v="854"/>
    <x v="854"/>
    <n v="7431.5686371789816"/>
    <n v="0"/>
  </r>
  <r>
    <x v="855"/>
    <x v="855"/>
    <n v="7624.843352699334"/>
    <n v="0"/>
  </r>
  <r>
    <x v="856"/>
    <x v="856"/>
    <n v="7656.5700523824171"/>
    <n v="0"/>
  </r>
  <r>
    <x v="857"/>
    <x v="857"/>
    <n v="3221.8460092537885"/>
    <n v="0"/>
  </r>
  <r>
    <x v="858"/>
    <x v="858"/>
    <n v="2139.574600735898"/>
    <n v="0"/>
  </r>
  <r>
    <x v="859"/>
    <x v="859"/>
    <n v="-1274.1854183846883"/>
    <n v="1"/>
  </r>
  <r>
    <x v="860"/>
    <x v="860"/>
    <n v="-333.09528723796927"/>
    <n v="1"/>
  </r>
  <r>
    <x v="861"/>
    <x v="861"/>
    <n v="7023.8133987989495"/>
    <n v="0"/>
  </r>
  <r>
    <x v="862"/>
    <x v="862"/>
    <n v="4610.3923732294843"/>
    <n v="0"/>
  </r>
  <r>
    <x v="863"/>
    <x v="863"/>
    <n v="3158.2043377153018"/>
    <n v="0"/>
  </r>
  <r>
    <x v="864"/>
    <x v="864"/>
    <n v="3626.2868869977988"/>
    <n v="0"/>
  </r>
  <r>
    <x v="865"/>
    <x v="865"/>
    <n v="804.54961850328868"/>
    <n v="0"/>
  </r>
  <r>
    <x v="866"/>
    <x v="866"/>
    <n v="610.71820102853997"/>
    <n v="0"/>
  </r>
  <r>
    <x v="867"/>
    <x v="867"/>
    <n v="-76.367711514703757"/>
    <n v="1"/>
  </r>
  <r>
    <x v="868"/>
    <x v="868"/>
    <n v="6824.1175081469664"/>
    <n v="0"/>
  </r>
  <r>
    <x v="869"/>
    <x v="869"/>
    <n v="6563.4537746522392"/>
    <n v="0"/>
  </r>
  <r>
    <x v="870"/>
    <x v="870"/>
    <n v="-1923.4822268523856"/>
    <n v="1"/>
  </r>
  <r>
    <x v="871"/>
    <x v="871"/>
    <n v="-1404.8226954346981"/>
    <n v="1"/>
  </r>
  <r>
    <x v="872"/>
    <x v="872"/>
    <n v="5457.6901571739763"/>
    <n v="0"/>
  </r>
  <r>
    <x v="873"/>
    <x v="873"/>
    <n v="-121.0096571100048"/>
    <n v="1"/>
  </r>
  <r>
    <x v="874"/>
    <x v="874"/>
    <n v="-1251.9280937683347"/>
    <n v="1"/>
  </r>
  <r>
    <x v="875"/>
    <x v="875"/>
    <n v="4410.5833128048562"/>
    <n v="0"/>
  </r>
  <r>
    <x v="876"/>
    <x v="876"/>
    <n v="1716.2168372597623"/>
    <n v="0"/>
  </r>
  <r>
    <x v="877"/>
    <x v="877"/>
    <n v="6100.4526407594094"/>
    <n v="0"/>
  </r>
  <r>
    <x v="878"/>
    <x v="878"/>
    <n v="-1513.6285791593323"/>
    <n v="1"/>
  </r>
  <r>
    <x v="879"/>
    <x v="879"/>
    <n v="240.32674944399724"/>
    <n v="0"/>
  </r>
  <r>
    <x v="880"/>
    <x v="880"/>
    <n v="3411.0394209684346"/>
    <n v="0"/>
  </r>
  <r>
    <x v="881"/>
    <x v="881"/>
    <n v="4312.7502480305557"/>
    <n v="0"/>
  </r>
  <r>
    <x v="882"/>
    <x v="882"/>
    <n v="5675.2733378117673"/>
    <n v="0"/>
  </r>
  <r>
    <x v="883"/>
    <x v="883"/>
    <n v="7125.0346777891109"/>
    <n v="0"/>
  </r>
  <r>
    <x v="884"/>
    <x v="884"/>
    <n v="7064.4661323039063"/>
    <n v="0"/>
  </r>
  <r>
    <x v="885"/>
    <x v="885"/>
    <n v="6029.7751841061745"/>
    <n v="0"/>
  </r>
  <r>
    <x v="886"/>
    <x v="886"/>
    <n v="7589.4182260672487"/>
    <n v="0"/>
  </r>
  <r>
    <x v="887"/>
    <x v="887"/>
    <n v="422.75807475338814"/>
    <n v="0"/>
  </r>
  <r>
    <x v="888"/>
    <x v="888"/>
    <n v="3993.0139661898443"/>
    <n v="0"/>
  </r>
  <r>
    <x v="889"/>
    <x v="889"/>
    <n v="5483.0193764895339"/>
    <n v="0"/>
  </r>
  <r>
    <x v="890"/>
    <x v="890"/>
    <n v="1242.8278102545223"/>
    <n v="0"/>
  </r>
  <r>
    <x v="891"/>
    <x v="891"/>
    <n v="-214.56185065010351"/>
    <n v="1"/>
  </r>
  <r>
    <x v="892"/>
    <x v="892"/>
    <n v="1257.3986753983793"/>
    <n v="0"/>
  </r>
  <r>
    <x v="893"/>
    <x v="893"/>
    <n v="6411.9854504263685"/>
    <n v="0"/>
  </r>
  <r>
    <x v="894"/>
    <x v="894"/>
    <n v="3005.8376055206968"/>
    <n v="0"/>
  </r>
  <r>
    <x v="895"/>
    <x v="895"/>
    <n v="4483.4501161855751"/>
    <n v="0"/>
  </r>
  <r>
    <x v="896"/>
    <x v="896"/>
    <n v="3798.4843289658102"/>
    <n v="0"/>
  </r>
  <r>
    <x v="897"/>
    <x v="897"/>
    <n v="7301.9799828149216"/>
    <n v="0"/>
  </r>
  <r>
    <x v="898"/>
    <x v="898"/>
    <n v="7750.4322391192391"/>
    <n v="0"/>
  </r>
  <r>
    <x v="899"/>
    <x v="899"/>
    <n v="-838.40221173145869"/>
    <n v="1"/>
  </r>
  <r>
    <x v="900"/>
    <x v="900"/>
    <n v="9.693141221156516"/>
    <n v="0"/>
  </r>
  <r>
    <x v="901"/>
    <x v="901"/>
    <n v="4114.87748778901"/>
    <n v="0"/>
  </r>
  <r>
    <x v="902"/>
    <x v="902"/>
    <n v="3409.9734037172398"/>
    <n v="0"/>
  </r>
  <r>
    <x v="903"/>
    <x v="903"/>
    <n v="591.90443736952511"/>
    <n v="0"/>
  </r>
  <r>
    <x v="904"/>
    <x v="904"/>
    <n v="6729.3865993204172"/>
    <n v="0"/>
  </r>
  <r>
    <x v="905"/>
    <x v="905"/>
    <n v="6683.9286010511778"/>
    <n v="0"/>
  </r>
  <r>
    <x v="906"/>
    <x v="906"/>
    <n v="-1707.2815999076688"/>
    <n v="1"/>
  </r>
  <r>
    <x v="907"/>
    <x v="907"/>
    <n v="3565.7266529624826"/>
    <n v="0"/>
  </r>
  <r>
    <x v="908"/>
    <x v="908"/>
    <n v="7224.2123202803832"/>
    <n v="0"/>
  </r>
  <r>
    <x v="909"/>
    <x v="909"/>
    <n v="-1541.9976525019219"/>
    <n v="1"/>
  </r>
  <r>
    <x v="910"/>
    <x v="910"/>
    <n v="-469.0150799515049"/>
    <n v="1"/>
  </r>
  <r>
    <x v="911"/>
    <x v="911"/>
    <n v="26.313704850289966"/>
    <n v="0"/>
  </r>
  <r>
    <x v="912"/>
    <x v="912"/>
    <n v="-2310.7197170465711"/>
    <n v="1"/>
  </r>
  <r>
    <x v="913"/>
    <x v="913"/>
    <n v="3110.6928265253728"/>
    <n v="0"/>
  </r>
  <r>
    <x v="914"/>
    <x v="914"/>
    <n v="1168.584488427349"/>
    <n v="0"/>
  </r>
  <r>
    <x v="915"/>
    <x v="915"/>
    <n v="-2183.2954870453773"/>
    <n v="1"/>
  </r>
  <r>
    <x v="916"/>
    <x v="916"/>
    <n v="3964.4550766108778"/>
    <n v="0"/>
  </r>
  <r>
    <x v="917"/>
    <x v="917"/>
    <n v="-1868.4597652445902"/>
    <n v="1"/>
  </r>
  <r>
    <x v="918"/>
    <x v="918"/>
    <n v="1362.2767825296812"/>
    <n v="0"/>
  </r>
  <r>
    <x v="919"/>
    <x v="919"/>
    <n v="5134.4365319356484"/>
    <n v="0"/>
  </r>
  <r>
    <x v="920"/>
    <x v="920"/>
    <n v="-1759.1104948260906"/>
    <n v="1"/>
  </r>
  <r>
    <x v="921"/>
    <x v="921"/>
    <n v="6807.8459115178875"/>
    <n v="0"/>
  </r>
  <r>
    <x v="922"/>
    <x v="922"/>
    <n v="6829.7744372042744"/>
    <n v="0"/>
  </r>
  <r>
    <x v="923"/>
    <x v="923"/>
    <n v="1121.9082198497542"/>
    <n v="0"/>
  </r>
  <r>
    <x v="924"/>
    <x v="924"/>
    <n v="7586.1518153058851"/>
    <n v="0"/>
  </r>
  <r>
    <x v="925"/>
    <x v="925"/>
    <n v="3870.5205977226551"/>
    <n v="0"/>
  </r>
  <r>
    <x v="926"/>
    <x v="926"/>
    <n v="6048.4263360629375"/>
    <n v="0"/>
  </r>
  <r>
    <x v="927"/>
    <x v="927"/>
    <n v="662.30379164421015"/>
    <n v="0"/>
  </r>
  <r>
    <x v="928"/>
    <x v="928"/>
    <n v="915.91472060263641"/>
    <n v="0"/>
  </r>
  <r>
    <x v="929"/>
    <x v="929"/>
    <n v="-1599.124996223542"/>
    <n v="1"/>
  </r>
  <r>
    <x v="930"/>
    <x v="930"/>
    <n v="2988.9274988984121"/>
    <n v="0"/>
  </r>
  <r>
    <x v="931"/>
    <x v="931"/>
    <n v="-354.21751934944439"/>
    <n v="1"/>
  </r>
  <r>
    <x v="932"/>
    <x v="932"/>
    <n v="7400.4493059443312"/>
    <n v="0"/>
  </r>
  <r>
    <x v="933"/>
    <x v="933"/>
    <n v="-2001.3929635467891"/>
    <n v="1"/>
  </r>
  <r>
    <x v="934"/>
    <x v="934"/>
    <n v="7367.6469855188498"/>
    <n v="0"/>
  </r>
  <r>
    <x v="935"/>
    <x v="935"/>
    <n v="-402.24118374175896"/>
    <n v="1"/>
  </r>
  <r>
    <x v="936"/>
    <x v="936"/>
    <n v="7345.9024776530687"/>
    <n v="0"/>
  </r>
  <r>
    <x v="937"/>
    <x v="937"/>
    <n v="-70.730086560339629"/>
    <n v="1"/>
  </r>
  <r>
    <x v="938"/>
    <x v="938"/>
    <n v="6960.6995024540856"/>
    <n v="0"/>
  </r>
  <r>
    <x v="939"/>
    <x v="939"/>
    <n v="-1807.7917210908142"/>
    <n v="1"/>
  </r>
  <r>
    <x v="940"/>
    <x v="940"/>
    <n v="-1011.5816702494549"/>
    <n v="1"/>
  </r>
  <r>
    <x v="941"/>
    <x v="941"/>
    <n v="7321.2531161393053"/>
    <n v="0"/>
  </r>
  <r>
    <x v="942"/>
    <x v="942"/>
    <n v="1683.853354041167"/>
    <n v="0"/>
  </r>
  <r>
    <x v="943"/>
    <x v="943"/>
    <n v="-523.95352123398834"/>
    <n v="1"/>
  </r>
  <r>
    <x v="944"/>
    <x v="944"/>
    <n v="6825.0296103913479"/>
    <n v="0"/>
  </r>
  <r>
    <x v="945"/>
    <x v="945"/>
    <n v="3970.1490615796201"/>
    <n v="0"/>
  </r>
  <r>
    <x v="946"/>
    <x v="946"/>
    <n v="5187.7913009582708"/>
    <n v="0"/>
  </r>
  <r>
    <x v="947"/>
    <x v="947"/>
    <n v="2205.97964845361"/>
    <n v="0"/>
  </r>
  <r>
    <x v="948"/>
    <x v="948"/>
    <n v="7138.5344013160011"/>
    <n v="0"/>
  </r>
  <r>
    <x v="949"/>
    <x v="949"/>
    <n v="-925.89944390779942"/>
    <n v="1"/>
  </r>
  <r>
    <x v="950"/>
    <x v="950"/>
    <n v="1215.2576879105802"/>
    <n v="0"/>
  </r>
  <r>
    <x v="951"/>
    <x v="951"/>
    <n v="4668.4438626801721"/>
    <n v="0"/>
  </r>
  <r>
    <x v="952"/>
    <x v="952"/>
    <n v="4645.5560403484333"/>
    <n v="0"/>
  </r>
  <r>
    <x v="953"/>
    <x v="953"/>
    <n v="1189.3399653740826"/>
    <n v="0"/>
  </r>
  <r>
    <x v="954"/>
    <x v="954"/>
    <n v="5685.060895851947"/>
    <n v="0"/>
  </r>
  <r>
    <x v="955"/>
    <x v="955"/>
    <n v="-382.2778125772839"/>
    <n v="1"/>
  </r>
  <r>
    <x v="956"/>
    <x v="956"/>
    <n v="2309.7335774520716"/>
    <n v="0"/>
  </r>
  <r>
    <x v="957"/>
    <x v="957"/>
    <n v="-1213.300946413219"/>
    <n v="1"/>
  </r>
  <r>
    <x v="958"/>
    <x v="958"/>
    <n v="-703.53567612712573"/>
    <n v="1"/>
  </r>
  <r>
    <x v="959"/>
    <x v="959"/>
    <n v="4101.5763243936453"/>
    <n v="0"/>
  </r>
  <r>
    <x v="960"/>
    <x v="960"/>
    <n v="4158.0155762913264"/>
    <n v="0"/>
  </r>
  <r>
    <x v="961"/>
    <x v="961"/>
    <n v="5681.2839072968991"/>
    <n v="0"/>
  </r>
  <r>
    <x v="962"/>
    <x v="962"/>
    <n v="-1652.2907159571739"/>
    <n v="1"/>
  </r>
  <r>
    <x v="963"/>
    <x v="963"/>
    <n v="7109.6767434313642"/>
    <n v="0"/>
  </r>
  <r>
    <x v="964"/>
    <x v="964"/>
    <n v="2551.2111313156788"/>
    <n v="0"/>
  </r>
  <r>
    <x v="965"/>
    <x v="965"/>
    <n v="7641.989044062655"/>
    <n v="0"/>
  </r>
  <r>
    <x v="966"/>
    <x v="966"/>
    <n v="5197.5499768115487"/>
    <n v="0"/>
  </r>
  <r>
    <x v="967"/>
    <x v="967"/>
    <n v="1156.2243503915277"/>
    <n v="0"/>
  </r>
  <r>
    <x v="968"/>
    <x v="968"/>
    <n v="466.28085900603406"/>
    <n v="0"/>
  </r>
  <r>
    <x v="969"/>
    <x v="969"/>
    <n v="7171.564771241292"/>
    <n v="0"/>
  </r>
  <r>
    <x v="970"/>
    <x v="970"/>
    <n v="670.49075381113812"/>
    <n v="0"/>
  </r>
  <r>
    <x v="971"/>
    <x v="971"/>
    <n v="-387.81006892309091"/>
    <n v="1"/>
  </r>
  <r>
    <x v="972"/>
    <x v="972"/>
    <n v="6730.6783912488218"/>
    <n v="0"/>
  </r>
  <r>
    <x v="973"/>
    <x v="973"/>
    <n v="4818.8534946023137"/>
    <n v="0"/>
  </r>
  <r>
    <x v="974"/>
    <x v="974"/>
    <n v="6496.8647062958635"/>
    <n v="0"/>
  </r>
  <r>
    <x v="975"/>
    <x v="975"/>
    <n v="-2335.1504888774939"/>
    <n v="1"/>
  </r>
  <r>
    <x v="976"/>
    <x v="976"/>
    <n v="2981.302948522075"/>
    <n v="0"/>
  </r>
  <r>
    <x v="977"/>
    <x v="977"/>
    <n v="-896.71538679319121"/>
    <n v="1"/>
  </r>
  <r>
    <x v="978"/>
    <x v="978"/>
    <n v="5768.7222360918804"/>
    <n v="0"/>
  </r>
  <r>
    <x v="979"/>
    <x v="979"/>
    <n v="2272.7421593956005"/>
    <n v="0"/>
  </r>
  <r>
    <x v="980"/>
    <x v="980"/>
    <n v="-2119.6421838661854"/>
    <n v="1"/>
  </r>
  <r>
    <x v="981"/>
    <x v="981"/>
    <n v="2103.4540655043656"/>
    <n v="0"/>
  </r>
  <r>
    <x v="982"/>
    <x v="982"/>
    <n v="1180.2227483192455"/>
    <n v="0"/>
  </r>
  <r>
    <x v="983"/>
    <x v="983"/>
    <n v="2618.9364218001933"/>
    <n v="0"/>
  </r>
  <r>
    <x v="984"/>
    <x v="984"/>
    <n v="5438.8382766430032"/>
    <n v="0"/>
  </r>
  <r>
    <x v="985"/>
    <x v="985"/>
    <n v="7383.3049458816295"/>
    <n v="0"/>
  </r>
  <r>
    <x v="986"/>
    <x v="986"/>
    <n v="7234.6079784078138"/>
    <n v="0"/>
  </r>
  <r>
    <x v="987"/>
    <x v="987"/>
    <n v="5652.3701958769916"/>
    <n v="0"/>
  </r>
  <r>
    <x v="988"/>
    <x v="988"/>
    <n v="390.87763826609967"/>
    <n v="0"/>
  </r>
  <r>
    <x v="989"/>
    <x v="989"/>
    <n v="2225.6145559781266"/>
    <n v="0"/>
  </r>
  <r>
    <x v="990"/>
    <x v="990"/>
    <n v="5138.0529960654676"/>
    <n v="0"/>
  </r>
  <r>
    <x v="991"/>
    <x v="991"/>
    <n v="297.94103693027586"/>
    <n v="0"/>
  </r>
  <r>
    <x v="992"/>
    <x v="992"/>
    <n v="7731.805893451281"/>
    <n v="0"/>
  </r>
  <r>
    <x v="993"/>
    <x v="993"/>
    <n v="1134.2511455687845"/>
    <n v="0"/>
  </r>
  <r>
    <x v="994"/>
    <x v="994"/>
    <n v="6023.3388341386126"/>
    <n v="0"/>
  </r>
  <r>
    <x v="995"/>
    <x v="995"/>
    <n v="-1241.3453972096324"/>
    <n v="1"/>
  </r>
  <r>
    <x v="996"/>
    <x v="996"/>
    <n v="-2002.3466508619906"/>
    <n v="1"/>
  </r>
  <r>
    <x v="997"/>
    <x v="997"/>
    <n v="2055.3869357348999"/>
    <n v="0"/>
  </r>
  <r>
    <x v="998"/>
    <x v="998"/>
    <n v="5654.574217313906"/>
    <n v="0"/>
  </r>
  <r>
    <x v="999"/>
    <x v="999"/>
    <n v="-2057.8170530176812"/>
    <n v="1"/>
  </r>
  <r>
    <x v="1000"/>
    <x v="1000"/>
    <n v="7141.8998589097228"/>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m/>
    <n v="75.800123632536398"/>
    <x v="0"/>
    <n v="0"/>
  </r>
  <r>
    <n v="1"/>
    <n v="60.260803029009438"/>
    <x v="1"/>
    <n v="0"/>
  </r>
  <r>
    <n v="2"/>
    <n v="57.690475331840609"/>
    <x v="2"/>
    <n v="0"/>
  </r>
  <r>
    <n v="3"/>
    <n v="75.276298228789543"/>
    <x v="3"/>
    <n v="0"/>
  </r>
  <r>
    <n v="4"/>
    <n v="36.971599324617848"/>
    <x v="4"/>
    <n v="1"/>
  </r>
  <r>
    <n v="5"/>
    <n v="65.088867582925602"/>
    <x v="5"/>
    <n v="0"/>
  </r>
  <r>
    <n v="6"/>
    <n v="61.980500139887567"/>
    <x v="6"/>
    <n v="0"/>
  </r>
  <r>
    <n v="7"/>
    <n v="60.604975198717462"/>
    <x v="7"/>
    <n v="0"/>
  </r>
  <r>
    <n v="8"/>
    <n v="108.39622069919132"/>
    <x v="8"/>
    <n v="0"/>
  </r>
  <r>
    <n v="9"/>
    <n v="115.10119320025193"/>
    <x v="9"/>
    <n v="0"/>
  </r>
  <r>
    <n v="10"/>
    <n v="78.243616405531384"/>
    <x v="10"/>
    <n v="0"/>
  </r>
  <r>
    <n v="11"/>
    <n v="66.78038920445718"/>
    <x v="11"/>
    <n v="0"/>
  </r>
  <r>
    <n v="12"/>
    <n v="81.65692324579328"/>
    <x v="12"/>
    <n v="0"/>
  </r>
  <r>
    <n v="13"/>
    <n v="122.56342626077438"/>
    <x v="13"/>
    <n v="0"/>
  </r>
  <r>
    <n v="14"/>
    <n v="84.237574354611255"/>
    <x v="14"/>
    <n v="0"/>
  </r>
  <r>
    <n v="15"/>
    <n v="52.49248993474199"/>
    <x v="15"/>
    <n v="0"/>
  </r>
  <r>
    <n v="16"/>
    <n v="101.28214891813434"/>
    <x v="16"/>
    <n v="0"/>
  </r>
  <r>
    <n v="17"/>
    <n v="55.589710030975908"/>
    <x v="17"/>
    <n v="0"/>
  </r>
  <r>
    <n v="18"/>
    <n v="89.559219973447711"/>
    <x v="18"/>
    <n v="0"/>
  </r>
  <r>
    <n v="19"/>
    <n v="45.709987038842435"/>
    <x v="19"/>
    <n v="0"/>
  </r>
  <r>
    <n v="20"/>
    <n v="39.42544547859616"/>
    <x v="20"/>
    <n v="0"/>
  </r>
  <r>
    <n v="21"/>
    <n v="83.254290946622405"/>
    <x v="21"/>
    <n v="0"/>
  </r>
  <r>
    <n v="22"/>
    <n v="63.156986183618798"/>
    <x v="22"/>
    <n v="0"/>
  </r>
  <r>
    <n v="23"/>
    <n v="49.291578324744862"/>
    <x v="23"/>
    <n v="0"/>
  </r>
  <r>
    <n v="24"/>
    <n v="64.43912224089182"/>
    <x v="24"/>
    <n v="0"/>
  </r>
  <r>
    <n v="25"/>
    <n v="85.392031593152964"/>
    <x v="25"/>
    <n v="0"/>
  </r>
  <r>
    <n v="26"/>
    <n v="34.228992301352143"/>
    <x v="26"/>
    <n v="1"/>
  </r>
  <r>
    <n v="27"/>
    <n v="91.537542918860098"/>
    <x v="27"/>
    <n v="0"/>
  </r>
  <r>
    <n v="28"/>
    <n v="67.140488667296623"/>
    <x v="28"/>
    <n v="0"/>
  </r>
  <r>
    <n v="29"/>
    <n v="20.747678606951528"/>
    <x v="29"/>
    <n v="1"/>
  </r>
  <r>
    <n v="30"/>
    <n v="60.902601374421103"/>
    <x v="30"/>
    <n v="0"/>
  </r>
  <r>
    <n v="31"/>
    <n v="51.587276142780659"/>
    <x v="31"/>
    <n v="0"/>
  </r>
  <r>
    <n v="32"/>
    <n v="38.348854126507476"/>
    <x v="32"/>
    <n v="0"/>
  </r>
  <r>
    <n v="33"/>
    <n v="70.446368310229332"/>
    <x v="33"/>
    <n v="0"/>
  </r>
  <r>
    <n v="34"/>
    <n v="43.555953393668943"/>
    <x v="34"/>
    <n v="0"/>
  </r>
  <r>
    <n v="35"/>
    <n v="49.85255059053388"/>
    <x v="35"/>
    <n v="0"/>
  </r>
  <r>
    <n v="36"/>
    <n v="66.89806848657139"/>
    <x v="36"/>
    <n v="0"/>
  </r>
  <r>
    <n v="37"/>
    <n v="85.843937098013654"/>
    <x v="37"/>
    <n v="0"/>
  </r>
  <r>
    <n v="38"/>
    <n v="38.267702454222054"/>
    <x v="38"/>
    <n v="0"/>
  </r>
  <r>
    <n v="39"/>
    <n v="74.748285523414651"/>
    <x v="39"/>
    <n v="0"/>
  </r>
  <r>
    <n v="40"/>
    <n v="33.412915392552677"/>
    <x v="40"/>
    <n v="1"/>
  </r>
  <r>
    <n v="41"/>
    <n v="73.965823861981264"/>
    <x v="41"/>
    <n v="0"/>
  </r>
  <r>
    <n v="42"/>
    <n v="41.697590238734158"/>
    <x v="42"/>
    <n v="0"/>
  </r>
  <r>
    <n v="43"/>
    <n v="132.21514364371643"/>
    <x v="43"/>
    <n v="0"/>
  </r>
  <r>
    <n v="44"/>
    <n v="78.468853588629855"/>
    <x v="44"/>
    <n v="0"/>
  </r>
  <r>
    <n v="45"/>
    <n v="71.921546524508315"/>
    <x v="45"/>
    <n v="0"/>
  </r>
  <r>
    <n v="46"/>
    <n v="39.605421358396043"/>
    <x v="46"/>
    <n v="0"/>
  </r>
  <r>
    <n v="47"/>
    <n v="123.75861965323108"/>
    <x v="47"/>
    <n v="0"/>
  </r>
  <r>
    <n v="48"/>
    <n v="49.180404085646451"/>
    <x v="48"/>
    <n v="0"/>
  </r>
  <r>
    <n v="49"/>
    <n v="68.643112520832204"/>
    <x v="49"/>
    <n v="0"/>
  </r>
  <r>
    <n v="50"/>
    <n v="47.557814295775032"/>
    <x v="50"/>
    <n v="0"/>
  </r>
  <r>
    <n v="51"/>
    <n v="73.951069395350032"/>
    <x v="51"/>
    <n v="0"/>
  </r>
  <r>
    <n v="52"/>
    <n v="18.851153291618427"/>
    <x v="52"/>
    <n v="1"/>
  </r>
  <r>
    <n v="53"/>
    <n v="33.202804174207849"/>
    <x v="53"/>
    <n v="1"/>
  </r>
  <r>
    <n v="54"/>
    <n v="68.964282030601638"/>
    <x v="54"/>
    <n v="0"/>
  </r>
  <r>
    <n v="55"/>
    <n v="49.976305210799609"/>
    <x v="55"/>
    <n v="0"/>
  </r>
  <r>
    <n v="56"/>
    <n v="26.941967449312521"/>
    <x v="56"/>
    <n v="1"/>
  </r>
  <r>
    <n v="57"/>
    <n v="208.86351606857656"/>
    <x v="57"/>
    <n v="0"/>
  </r>
  <r>
    <n v="58"/>
    <n v="55.526443944769255"/>
    <x v="58"/>
    <n v="0"/>
  </r>
  <r>
    <n v="59"/>
    <n v="74.667504265132166"/>
    <x v="59"/>
    <n v="0"/>
  </r>
  <r>
    <n v="60"/>
    <n v="95.775300787705817"/>
    <x v="60"/>
    <n v="0"/>
  </r>
  <r>
    <n v="61"/>
    <n v="107.81882237812431"/>
    <x v="61"/>
    <n v="0"/>
  </r>
  <r>
    <n v="62"/>
    <n v="27.238188756651507"/>
    <x v="62"/>
    <n v="1"/>
  </r>
  <r>
    <n v="63"/>
    <n v="98.632956812562867"/>
    <x v="63"/>
    <n v="0"/>
  </r>
  <r>
    <n v="64"/>
    <n v="43.724568322590144"/>
    <x v="64"/>
    <n v="0"/>
  </r>
  <r>
    <n v="65"/>
    <n v="105.22120299306573"/>
    <x v="65"/>
    <n v="0"/>
  </r>
  <r>
    <n v="66"/>
    <n v="71.036970667413328"/>
    <x v="66"/>
    <n v="0"/>
  </r>
  <r>
    <n v="67"/>
    <n v="28.287808589994913"/>
    <x v="67"/>
    <n v="1"/>
  </r>
  <r>
    <n v="68"/>
    <n v="38.542525205083003"/>
    <x v="68"/>
    <n v="0"/>
  </r>
  <r>
    <n v="69"/>
    <n v="116.56390183961337"/>
    <x v="69"/>
    <n v="0"/>
  </r>
  <r>
    <n v="70"/>
    <n v="219.9763126089218"/>
    <x v="70"/>
    <n v="0"/>
  </r>
  <r>
    <n v="71"/>
    <n v="40.055681450449207"/>
    <x v="71"/>
    <n v="0"/>
  </r>
  <r>
    <n v="72"/>
    <n v="64.957997568627817"/>
    <x v="72"/>
    <n v="0"/>
  </r>
  <r>
    <n v="73"/>
    <n v="41.833101805906949"/>
    <x v="73"/>
    <n v="0"/>
  </r>
  <r>
    <n v="74"/>
    <n v="30.948874948504798"/>
    <x v="74"/>
    <n v="1"/>
  </r>
  <r>
    <n v="75"/>
    <n v="59.940587992910629"/>
    <x v="75"/>
    <n v="0"/>
  </r>
  <r>
    <n v="76"/>
    <n v="96.776055680224886"/>
    <x v="76"/>
    <n v="0"/>
  </r>
  <r>
    <n v="77"/>
    <n v="30.140864772954131"/>
    <x v="77"/>
    <n v="1"/>
  </r>
  <r>
    <n v="78"/>
    <n v="33.937297624978683"/>
    <x v="78"/>
    <n v="1"/>
  </r>
  <r>
    <n v="79"/>
    <n v="32.557677148360035"/>
    <x v="79"/>
    <n v="1"/>
  </r>
  <r>
    <n v="80"/>
    <n v="42.619482174206418"/>
    <x v="80"/>
    <n v="0"/>
  </r>
  <r>
    <n v="81"/>
    <n v="59.024883394882082"/>
    <x v="81"/>
    <n v="0"/>
  </r>
  <r>
    <n v="82"/>
    <n v="48.564971523022074"/>
    <x v="82"/>
    <n v="0"/>
  </r>
  <r>
    <n v="83"/>
    <n v="137.83404136085986"/>
    <x v="83"/>
    <n v="0"/>
  </r>
  <r>
    <n v="84"/>
    <n v="53.081640156428868"/>
    <x v="84"/>
    <n v="0"/>
  </r>
  <r>
    <n v="85"/>
    <n v="147.11338088402331"/>
    <x v="85"/>
    <n v="0"/>
  </r>
  <r>
    <n v="86"/>
    <n v="31.927938341896645"/>
    <x v="86"/>
    <n v="1"/>
  </r>
  <r>
    <n v="87"/>
    <n v="48.713407191558858"/>
    <x v="87"/>
    <n v="0"/>
  </r>
  <r>
    <n v="88"/>
    <n v="86.519112913011298"/>
    <x v="88"/>
    <n v="0"/>
  </r>
  <r>
    <n v="89"/>
    <n v="56.209443771365116"/>
    <x v="89"/>
    <n v="0"/>
  </r>
  <r>
    <n v="90"/>
    <n v="111.43757536169191"/>
    <x v="90"/>
    <n v="0"/>
  </r>
  <r>
    <n v="91"/>
    <n v="85.034180090834937"/>
    <x v="91"/>
    <n v="0"/>
  </r>
  <r>
    <n v="92"/>
    <n v="35.681033310790781"/>
    <x v="92"/>
    <n v="1"/>
  </r>
  <r>
    <n v="93"/>
    <n v="93.97894026668429"/>
    <x v="93"/>
    <n v="0"/>
  </r>
  <r>
    <n v="94"/>
    <n v="85.500786947137271"/>
    <x v="94"/>
    <n v="0"/>
  </r>
  <r>
    <n v="95"/>
    <n v="19.918318975292056"/>
    <x v="95"/>
    <n v="1"/>
  </r>
  <r>
    <n v="96"/>
    <n v="34.156991631470994"/>
    <x v="96"/>
    <n v="1"/>
  </r>
  <r>
    <n v="97"/>
    <n v="92.222096132659544"/>
    <x v="97"/>
    <n v="0"/>
  </r>
  <r>
    <n v="98"/>
    <n v="61.89371410485505"/>
    <x v="98"/>
    <n v="0"/>
  </r>
  <r>
    <n v="99"/>
    <n v="94.767483241964726"/>
    <x v="99"/>
    <n v="0"/>
  </r>
  <r>
    <n v="100"/>
    <n v="113.00724653302485"/>
    <x v="100"/>
    <n v="0"/>
  </r>
  <r>
    <n v="101"/>
    <n v="35.817509108637289"/>
    <x v="101"/>
    <n v="1"/>
  </r>
  <r>
    <n v="102"/>
    <n v="46.800745074932145"/>
    <x v="102"/>
    <n v="0"/>
  </r>
  <r>
    <n v="103"/>
    <n v="57.412080208405307"/>
    <x v="103"/>
    <n v="0"/>
  </r>
  <r>
    <n v="104"/>
    <n v="43.588028887839585"/>
    <x v="104"/>
    <n v="0"/>
  </r>
  <r>
    <n v="105"/>
    <n v="34.520711977127817"/>
    <x v="105"/>
    <n v="1"/>
  </r>
  <r>
    <n v="106"/>
    <n v="49.845381901041598"/>
    <x v="106"/>
    <n v="0"/>
  </r>
  <r>
    <n v="107"/>
    <n v="28.314953067411114"/>
    <x v="107"/>
    <n v="1"/>
  </r>
  <r>
    <n v="108"/>
    <n v="82.957963405271357"/>
    <x v="108"/>
    <n v="0"/>
  </r>
  <r>
    <n v="109"/>
    <n v="103.70427790297583"/>
    <x v="109"/>
    <n v="0"/>
  </r>
  <r>
    <n v="110"/>
    <n v="105.99076416663952"/>
    <x v="110"/>
    <n v="0"/>
  </r>
  <r>
    <n v="111"/>
    <n v="24.389006063979"/>
    <x v="111"/>
    <n v="1"/>
  </r>
  <r>
    <n v="112"/>
    <n v="52.765349741281511"/>
    <x v="112"/>
    <n v="0"/>
  </r>
  <r>
    <n v="113"/>
    <n v="95.380472497711537"/>
    <x v="113"/>
    <n v="0"/>
  </r>
  <r>
    <n v="114"/>
    <n v="34.252564313911726"/>
    <x v="114"/>
    <n v="1"/>
  </r>
  <r>
    <n v="115"/>
    <n v="113.44538345337526"/>
    <x v="115"/>
    <n v="0"/>
  </r>
  <r>
    <n v="116"/>
    <n v="131.12444864349158"/>
    <x v="116"/>
    <n v="0"/>
  </r>
  <r>
    <n v="117"/>
    <n v="130.49329823294721"/>
    <x v="117"/>
    <n v="0"/>
  </r>
  <r>
    <n v="118"/>
    <n v="85.681871507461068"/>
    <x v="118"/>
    <n v="0"/>
  </r>
  <r>
    <n v="119"/>
    <n v="37.454756834237365"/>
    <x v="119"/>
    <n v="0"/>
  </r>
  <r>
    <n v="120"/>
    <n v="67.645234569078625"/>
    <x v="120"/>
    <n v="0"/>
  </r>
  <r>
    <n v="121"/>
    <n v="211.12742441649169"/>
    <x v="121"/>
    <n v="0"/>
  </r>
  <r>
    <n v="122"/>
    <n v="98.763638492016796"/>
    <x v="122"/>
    <n v="0"/>
  </r>
  <r>
    <n v="123"/>
    <n v="88.938268610116921"/>
    <x v="123"/>
    <n v="0"/>
  </r>
  <r>
    <n v="124"/>
    <n v="88.634647409473587"/>
    <x v="124"/>
    <n v="0"/>
  </r>
  <r>
    <n v="125"/>
    <n v="37.437133701976997"/>
    <x v="125"/>
    <n v="0"/>
  </r>
  <r>
    <n v="126"/>
    <n v="79.442490491757496"/>
    <x v="126"/>
    <n v="0"/>
  </r>
  <r>
    <n v="127"/>
    <n v="56.361755361365844"/>
    <x v="127"/>
    <n v="0"/>
  </r>
  <r>
    <n v="128"/>
    <n v="108.78286929509839"/>
    <x v="128"/>
    <n v="0"/>
  </r>
  <r>
    <n v="129"/>
    <n v="156.50333119650583"/>
    <x v="129"/>
    <n v="0"/>
  </r>
  <r>
    <n v="130"/>
    <n v="91.605585693604709"/>
    <x v="130"/>
    <n v="0"/>
  </r>
  <r>
    <n v="131"/>
    <n v="121.21286899763095"/>
    <x v="131"/>
    <n v="0"/>
  </r>
  <r>
    <n v="132"/>
    <n v="60.010478575780432"/>
    <x v="132"/>
    <n v="0"/>
  </r>
  <r>
    <n v="133"/>
    <n v="56.686280804103873"/>
    <x v="133"/>
    <n v="0"/>
  </r>
  <r>
    <n v="134"/>
    <n v="28.743346578776737"/>
    <x v="134"/>
    <n v="1"/>
  </r>
  <r>
    <n v="135"/>
    <n v="40.635985285335927"/>
    <x v="135"/>
    <n v="0"/>
  </r>
  <r>
    <n v="136"/>
    <n v="40.871358439891395"/>
    <x v="136"/>
    <n v="0"/>
  </r>
  <r>
    <n v="137"/>
    <n v="51.354143486973236"/>
    <x v="137"/>
    <n v="0"/>
  </r>
  <r>
    <n v="138"/>
    <n v="32.796305612137097"/>
    <x v="138"/>
    <n v="1"/>
  </r>
  <r>
    <n v="139"/>
    <n v="86.504802925034681"/>
    <x v="139"/>
    <n v="0"/>
  </r>
  <r>
    <n v="140"/>
    <n v="164.12971255424625"/>
    <x v="140"/>
    <n v="0"/>
  </r>
  <r>
    <n v="141"/>
    <n v="79.999921098205618"/>
    <x v="141"/>
    <n v="0"/>
  </r>
  <r>
    <n v="142"/>
    <n v="124.01886772145332"/>
    <x v="142"/>
    <n v="0"/>
  </r>
  <r>
    <n v="143"/>
    <n v="48.759729126142823"/>
    <x v="143"/>
    <n v="0"/>
  </r>
  <r>
    <n v="144"/>
    <n v="67.273635358674213"/>
    <x v="144"/>
    <n v="0"/>
  </r>
  <r>
    <n v="145"/>
    <n v="59.402554745618147"/>
    <x v="145"/>
    <n v="0"/>
  </r>
  <r>
    <n v="146"/>
    <n v="44.889707640999035"/>
    <x v="146"/>
    <n v="0"/>
  </r>
  <r>
    <n v="147"/>
    <n v="122.06220106698962"/>
    <x v="147"/>
    <n v="0"/>
  </r>
  <r>
    <n v="148"/>
    <n v="81.541055235419861"/>
    <x v="148"/>
    <n v="0"/>
  </r>
  <r>
    <n v="149"/>
    <n v="69.154595393426447"/>
    <x v="149"/>
    <n v="0"/>
  </r>
  <r>
    <n v="150"/>
    <n v="28.839729605555835"/>
    <x v="150"/>
    <n v="1"/>
  </r>
  <r>
    <n v="151"/>
    <n v="75.154986106709615"/>
    <x v="151"/>
    <n v="0"/>
  </r>
  <r>
    <n v="152"/>
    <n v="33.410993129452358"/>
    <x v="152"/>
    <n v="1"/>
  </r>
  <r>
    <n v="153"/>
    <n v="174.48793645779799"/>
    <x v="153"/>
    <n v="0"/>
  </r>
  <r>
    <n v="154"/>
    <n v="44.104864334873071"/>
    <x v="154"/>
    <n v="0"/>
  </r>
  <r>
    <n v="155"/>
    <n v="41.456478690129124"/>
    <x v="155"/>
    <n v="0"/>
  </r>
  <r>
    <n v="156"/>
    <n v="61.396105740803755"/>
    <x v="156"/>
    <n v="0"/>
  </r>
  <r>
    <n v="157"/>
    <n v="56.144165687028199"/>
    <x v="157"/>
    <n v="0"/>
  </r>
  <r>
    <n v="158"/>
    <n v="55.177792276032839"/>
    <x v="158"/>
    <n v="0"/>
  </r>
  <r>
    <n v="159"/>
    <n v="65.239230605304172"/>
    <x v="159"/>
    <n v="0"/>
  </r>
  <r>
    <n v="160"/>
    <n v="57.889130286472806"/>
    <x v="160"/>
    <n v="0"/>
  </r>
  <r>
    <n v="161"/>
    <n v="25.344129869131677"/>
    <x v="161"/>
    <n v="1"/>
  </r>
  <r>
    <n v="162"/>
    <n v="119.01124649068386"/>
    <x v="162"/>
    <n v="0"/>
  </r>
  <r>
    <n v="163"/>
    <n v="69.924388332897692"/>
    <x v="163"/>
    <n v="0"/>
  </r>
  <r>
    <n v="164"/>
    <n v="91.014122559722168"/>
    <x v="164"/>
    <n v="0"/>
  </r>
  <r>
    <n v="165"/>
    <n v="96.738339465542921"/>
    <x v="165"/>
    <n v="0"/>
  </r>
  <r>
    <n v="166"/>
    <n v="55.549662532774157"/>
    <x v="166"/>
    <n v="0"/>
  </r>
  <r>
    <n v="167"/>
    <n v="56.651387821936652"/>
    <x v="167"/>
    <n v="0"/>
  </r>
  <r>
    <n v="168"/>
    <n v="57.152301488147835"/>
    <x v="168"/>
    <n v="0"/>
  </r>
  <r>
    <n v="169"/>
    <n v="14.167168553853953"/>
    <x v="169"/>
    <n v="1"/>
  </r>
  <r>
    <n v="170"/>
    <n v="162.79319555834891"/>
    <x v="170"/>
    <n v="0"/>
  </r>
  <r>
    <n v="171"/>
    <n v="89.917440974342696"/>
    <x v="171"/>
    <n v="0"/>
  </r>
  <r>
    <n v="172"/>
    <n v="45.156157519037691"/>
    <x v="172"/>
    <n v="0"/>
  </r>
  <r>
    <n v="173"/>
    <n v="71.302453239026462"/>
    <x v="173"/>
    <n v="0"/>
  </r>
  <r>
    <n v="174"/>
    <n v="68.12151179172821"/>
    <x v="174"/>
    <n v="0"/>
  </r>
  <r>
    <n v="175"/>
    <n v="106.88791392558539"/>
    <x v="175"/>
    <n v="0"/>
  </r>
  <r>
    <n v="176"/>
    <n v="34.406062663290385"/>
    <x v="176"/>
    <n v="1"/>
  </r>
  <r>
    <n v="177"/>
    <n v="39.783155232788602"/>
    <x v="177"/>
    <n v="0"/>
  </r>
  <r>
    <n v="178"/>
    <n v="62.688460732730533"/>
    <x v="178"/>
    <n v="0"/>
  </r>
  <r>
    <n v="179"/>
    <n v="60.550462174375319"/>
    <x v="179"/>
    <n v="0"/>
  </r>
  <r>
    <n v="180"/>
    <n v="56.026422546205417"/>
    <x v="180"/>
    <n v="0"/>
  </r>
  <r>
    <n v="181"/>
    <n v="39.310259746063586"/>
    <x v="181"/>
    <n v="0"/>
  </r>
  <r>
    <n v="182"/>
    <n v="78.941863918057365"/>
    <x v="182"/>
    <n v="0"/>
  </r>
  <r>
    <n v="183"/>
    <n v="74.920373562339904"/>
    <x v="183"/>
    <n v="0"/>
  </r>
  <r>
    <n v="184"/>
    <n v="49.289539435944107"/>
    <x v="184"/>
    <n v="0"/>
  </r>
  <r>
    <n v="185"/>
    <n v="135.17897778281443"/>
    <x v="185"/>
    <n v="0"/>
  </r>
  <r>
    <n v="186"/>
    <n v="99.984964639481007"/>
    <x v="186"/>
    <n v="0"/>
  </r>
  <r>
    <n v="187"/>
    <n v="38.587228875631503"/>
    <x v="187"/>
    <n v="0"/>
  </r>
  <r>
    <n v="188"/>
    <n v="41.829316674487664"/>
    <x v="188"/>
    <n v="0"/>
  </r>
  <r>
    <n v="189"/>
    <n v="25.099974471872791"/>
    <x v="189"/>
    <n v="1"/>
  </r>
  <r>
    <n v="190"/>
    <n v="34.647963998827414"/>
    <x v="190"/>
    <n v="1"/>
  </r>
  <r>
    <n v="191"/>
    <n v="62.695479563706797"/>
    <x v="191"/>
    <n v="0"/>
  </r>
  <r>
    <n v="192"/>
    <n v="37.715874592361722"/>
    <x v="192"/>
    <n v="0"/>
  </r>
  <r>
    <n v="193"/>
    <n v="90.068974319276748"/>
    <x v="193"/>
    <n v="0"/>
  </r>
  <r>
    <n v="194"/>
    <n v="49.099628541876122"/>
    <x v="194"/>
    <n v="0"/>
  </r>
  <r>
    <n v="195"/>
    <n v="150.30347129768768"/>
    <x v="195"/>
    <n v="0"/>
  </r>
  <r>
    <n v="196"/>
    <n v="53.616070094718388"/>
    <x v="196"/>
    <n v="0"/>
  </r>
  <r>
    <n v="197"/>
    <n v="72.274178270594618"/>
    <x v="197"/>
    <n v="0"/>
  </r>
  <r>
    <n v="198"/>
    <n v="50.978226121824392"/>
    <x v="198"/>
    <n v="0"/>
  </r>
  <r>
    <n v="199"/>
    <n v="79.179772084547906"/>
    <x v="199"/>
    <n v="0"/>
  </r>
  <r>
    <n v="200"/>
    <n v="67.545093948627482"/>
    <x v="200"/>
    <n v="0"/>
  </r>
  <r>
    <n v="201"/>
    <n v="54.369449575981733"/>
    <x v="201"/>
    <n v="0"/>
  </r>
  <r>
    <n v="202"/>
    <n v="63.007604256567888"/>
    <x v="202"/>
    <n v="0"/>
  </r>
  <r>
    <n v="203"/>
    <n v="91.072953468734894"/>
    <x v="203"/>
    <n v="0"/>
  </r>
  <r>
    <n v="204"/>
    <n v="122.71589964062333"/>
    <x v="204"/>
    <n v="0"/>
  </r>
  <r>
    <n v="205"/>
    <n v="54.812544553766955"/>
    <x v="205"/>
    <n v="0"/>
  </r>
  <r>
    <n v="206"/>
    <n v="90.170552607689913"/>
    <x v="206"/>
    <n v="0"/>
  </r>
  <r>
    <n v="207"/>
    <n v="55.00486014097968"/>
    <x v="207"/>
    <n v="0"/>
  </r>
  <r>
    <n v="208"/>
    <n v="117.91601362076686"/>
    <x v="208"/>
    <n v="0"/>
  </r>
  <r>
    <n v="209"/>
    <n v="36.019110745179539"/>
    <x v="209"/>
    <n v="1"/>
  </r>
  <r>
    <n v="210"/>
    <n v="122.87433744839491"/>
    <x v="210"/>
    <n v="0"/>
  </r>
  <r>
    <n v="211"/>
    <n v="96.771173431392597"/>
    <x v="211"/>
    <n v="0"/>
  </r>
  <r>
    <n v="212"/>
    <n v="86.240584292314949"/>
    <x v="212"/>
    <n v="0"/>
  </r>
  <r>
    <n v="213"/>
    <n v="114.40829416418799"/>
    <x v="213"/>
    <n v="0"/>
  </r>
  <r>
    <n v="214"/>
    <n v="63.565634253359924"/>
    <x v="214"/>
    <n v="0"/>
  </r>
  <r>
    <n v="215"/>
    <n v="111.54257598375071"/>
    <x v="215"/>
    <n v="0"/>
  </r>
  <r>
    <n v="216"/>
    <n v="33.290795996889564"/>
    <x v="216"/>
    <n v="1"/>
  </r>
  <r>
    <n v="217"/>
    <n v="91.249697879442678"/>
    <x v="217"/>
    <n v="0"/>
  </r>
  <r>
    <n v="218"/>
    <n v="141.86522753753164"/>
    <x v="218"/>
    <n v="0"/>
  </r>
  <r>
    <n v="219"/>
    <n v="53.999540716564674"/>
    <x v="219"/>
    <n v="0"/>
  </r>
  <r>
    <n v="220"/>
    <n v="75.600677042036025"/>
    <x v="220"/>
    <n v="0"/>
  </r>
  <r>
    <n v="221"/>
    <n v="126.81584183458791"/>
    <x v="221"/>
    <n v="0"/>
  </r>
  <r>
    <n v="222"/>
    <n v="109.52504856837223"/>
    <x v="222"/>
    <n v="0"/>
  </r>
  <r>
    <n v="223"/>
    <n v="46.081858404804436"/>
    <x v="223"/>
    <n v="0"/>
  </r>
  <r>
    <n v="224"/>
    <n v="117.44431619464932"/>
    <x v="224"/>
    <n v="0"/>
  </r>
  <r>
    <n v="225"/>
    <n v="39.931641648186499"/>
    <x v="225"/>
    <n v="0"/>
  </r>
  <r>
    <n v="226"/>
    <n v="26.130495900617053"/>
    <x v="226"/>
    <n v="1"/>
  </r>
  <r>
    <n v="227"/>
    <n v="48.904948321979951"/>
    <x v="227"/>
    <n v="0"/>
  </r>
  <r>
    <n v="228"/>
    <n v="75.197796970886813"/>
    <x v="228"/>
    <n v="0"/>
  </r>
  <r>
    <n v="229"/>
    <n v="91.080464722238588"/>
    <x v="229"/>
    <n v="0"/>
  </r>
  <r>
    <n v="230"/>
    <n v="74.200842270539226"/>
    <x v="230"/>
    <n v="0"/>
  </r>
  <r>
    <n v="231"/>
    <n v="120.15284215316549"/>
    <x v="231"/>
    <n v="0"/>
  </r>
  <r>
    <n v="232"/>
    <n v="93.898522557246949"/>
    <x v="232"/>
    <n v="0"/>
  </r>
  <r>
    <n v="233"/>
    <n v="63.726288345177842"/>
    <x v="233"/>
    <n v="0"/>
  </r>
  <r>
    <n v="234"/>
    <n v="62.547753555788191"/>
    <x v="234"/>
    <n v="0"/>
  </r>
  <r>
    <n v="235"/>
    <n v="50.41864532289415"/>
    <x v="235"/>
    <n v="0"/>
  </r>
  <r>
    <n v="236"/>
    <n v="64.578630943992621"/>
    <x v="236"/>
    <n v="0"/>
  </r>
  <r>
    <n v="237"/>
    <n v="64.059840891224738"/>
    <x v="237"/>
    <n v="0"/>
  </r>
  <r>
    <n v="238"/>
    <n v="47.143194556268682"/>
    <x v="238"/>
    <n v="0"/>
  </r>
  <r>
    <n v="239"/>
    <n v="77.84666442463751"/>
    <x v="239"/>
    <n v="0"/>
  </r>
  <r>
    <n v="240"/>
    <n v="27.829690038582584"/>
    <x v="240"/>
    <n v="1"/>
  </r>
  <r>
    <n v="241"/>
    <n v="67.13867199143823"/>
    <x v="241"/>
    <n v="0"/>
  </r>
  <r>
    <n v="242"/>
    <n v="40.017626703413931"/>
    <x v="242"/>
    <n v="0"/>
  </r>
  <r>
    <n v="243"/>
    <n v="39.712752499379086"/>
    <x v="243"/>
    <n v="0"/>
  </r>
  <r>
    <n v="244"/>
    <n v="40.892654195622534"/>
    <x v="244"/>
    <n v="0"/>
  </r>
  <r>
    <n v="245"/>
    <n v="100.77628168473294"/>
    <x v="245"/>
    <n v="0"/>
  </r>
  <r>
    <n v="246"/>
    <n v="103.44414990776438"/>
    <x v="246"/>
    <n v="0"/>
  </r>
  <r>
    <n v="247"/>
    <n v="96.412259499896635"/>
    <x v="247"/>
    <n v="0"/>
  </r>
  <r>
    <n v="248"/>
    <n v="72.190402620656485"/>
    <x v="248"/>
    <n v="0"/>
  </r>
  <r>
    <n v="249"/>
    <n v="127.55835099403899"/>
    <x v="249"/>
    <n v="0"/>
  </r>
  <r>
    <n v="250"/>
    <n v="92.309872791273037"/>
    <x v="250"/>
    <n v="0"/>
  </r>
  <r>
    <n v="251"/>
    <n v="178.13960979916271"/>
    <x v="251"/>
    <n v="0"/>
  </r>
  <r>
    <n v="252"/>
    <n v="44.932864413644481"/>
    <x v="252"/>
    <n v="0"/>
  </r>
  <r>
    <n v="253"/>
    <n v="37.255645694662078"/>
    <x v="253"/>
    <n v="0"/>
  </r>
  <r>
    <n v="254"/>
    <n v="38.790424040724183"/>
    <x v="254"/>
    <n v="0"/>
  </r>
  <r>
    <n v="255"/>
    <n v="31.096514364252887"/>
    <x v="255"/>
    <n v="1"/>
  </r>
  <r>
    <n v="256"/>
    <n v="56.615730859945003"/>
    <x v="256"/>
    <n v="0"/>
  </r>
  <r>
    <n v="257"/>
    <n v="86.223960158930652"/>
    <x v="257"/>
    <n v="0"/>
  </r>
  <r>
    <n v="258"/>
    <n v="82.33302687534318"/>
    <x v="258"/>
    <n v="0"/>
  </r>
  <r>
    <n v="259"/>
    <n v="76.718315455570973"/>
    <x v="259"/>
    <n v="0"/>
  </r>
  <r>
    <n v="260"/>
    <n v="86.709023865655439"/>
    <x v="260"/>
    <n v="0"/>
  </r>
  <r>
    <n v="261"/>
    <n v="50.047011950754865"/>
    <x v="261"/>
    <n v="0"/>
  </r>
  <r>
    <n v="262"/>
    <n v="22.014547166705292"/>
    <x v="262"/>
    <n v="1"/>
  </r>
  <r>
    <n v="263"/>
    <n v="62.3160232986937"/>
    <x v="263"/>
    <n v="0"/>
  </r>
  <r>
    <n v="264"/>
    <n v="117.7536052744634"/>
    <x v="264"/>
    <n v="0"/>
  </r>
  <r>
    <n v="265"/>
    <n v="52.621333504449183"/>
    <x v="265"/>
    <n v="0"/>
  </r>
  <r>
    <n v="266"/>
    <n v="85.732838695805611"/>
    <x v="266"/>
    <n v="0"/>
  </r>
  <r>
    <n v="267"/>
    <n v="51.202205651780694"/>
    <x v="267"/>
    <n v="0"/>
  </r>
  <r>
    <n v="268"/>
    <n v="62.227112417216084"/>
    <x v="268"/>
    <n v="0"/>
  </r>
  <r>
    <n v="269"/>
    <n v="67.262294737926638"/>
    <x v="269"/>
    <n v="0"/>
  </r>
  <r>
    <n v="270"/>
    <n v="39.14660565847273"/>
    <x v="270"/>
    <n v="0"/>
  </r>
  <r>
    <n v="271"/>
    <n v="99.325360976474016"/>
    <x v="271"/>
    <n v="0"/>
  </r>
  <r>
    <n v="272"/>
    <n v="97.930960034675905"/>
    <x v="272"/>
    <n v="0"/>
  </r>
  <r>
    <n v="273"/>
    <n v="78.795051965852409"/>
    <x v="273"/>
    <n v="0"/>
  </r>
  <r>
    <n v="274"/>
    <n v="112.85482876040997"/>
    <x v="274"/>
    <n v="0"/>
  </r>
  <r>
    <n v="275"/>
    <n v="116.0614313133685"/>
    <x v="275"/>
    <n v="0"/>
  </r>
  <r>
    <n v="276"/>
    <n v="42.851257053423566"/>
    <x v="276"/>
    <n v="0"/>
  </r>
  <r>
    <n v="277"/>
    <n v="51.340483294919828"/>
    <x v="277"/>
    <n v="0"/>
  </r>
  <r>
    <n v="278"/>
    <n v="87.583059257206187"/>
    <x v="278"/>
    <n v="0"/>
  </r>
  <r>
    <n v="279"/>
    <n v="68.437270771124801"/>
    <x v="279"/>
    <n v="0"/>
  </r>
  <r>
    <n v="280"/>
    <n v="58.826572666930097"/>
    <x v="280"/>
    <n v="0"/>
  </r>
  <r>
    <n v="281"/>
    <n v="74.459680198707105"/>
    <x v="281"/>
    <n v="0"/>
  </r>
  <r>
    <n v="282"/>
    <n v="58.108983479771737"/>
    <x v="282"/>
    <n v="0"/>
  </r>
  <r>
    <n v="283"/>
    <n v="58.938631067419806"/>
    <x v="283"/>
    <n v="0"/>
  </r>
  <r>
    <n v="284"/>
    <n v="117.20945309318486"/>
    <x v="284"/>
    <n v="0"/>
  </r>
  <r>
    <n v="285"/>
    <n v="28.652093827445306"/>
    <x v="285"/>
    <n v="1"/>
  </r>
  <r>
    <n v="286"/>
    <n v="101.02650766555962"/>
    <x v="286"/>
    <n v="0"/>
  </r>
  <r>
    <n v="287"/>
    <n v="47.062041505343856"/>
    <x v="287"/>
    <n v="0"/>
  </r>
  <r>
    <n v="288"/>
    <n v="79.899835610685997"/>
    <x v="288"/>
    <n v="0"/>
  </r>
  <r>
    <n v="289"/>
    <n v="74.61426489438189"/>
    <x v="289"/>
    <n v="0"/>
  </r>
  <r>
    <n v="290"/>
    <n v="86.356828006606548"/>
    <x v="290"/>
    <n v="0"/>
  </r>
  <r>
    <n v="291"/>
    <n v="98.730234230321472"/>
    <x v="291"/>
    <n v="0"/>
  </r>
  <r>
    <n v="292"/>
    <n v="37.940108464623094"/>
    <x v="292"/>
    <n v="0"/>
  </r>
  <r>
    <n v="293"/>
    <n v="70.807868733067764"/>
    <x v="293"/>
    <n v="0"/>
  </r>
  <r>
    <n v="294"/>
    <n v="134.28995289926991"/>
    <x v="294"/>
    <n v="0"/>
  </r>
  <r>
    <n v="295"/>
    <n v="83.474364471613214"/>
    <x v="295"/>
    <n v="0"/>
  </r>
  <r>
    <n v="296"/>
    <n v="83.450148366023768"/>
    <x v="296"/>
    <n v="0"/>
  </r>
  <r>
    <n v="297"/>
    <n v="109.07877633695205"/>
    <x v="297"/>
    <n v="0"/>
  </r>
  <r>
    <n v="298"/>
    <n v="122.56608118269543"/>
    <x v="298"/>
    <n v="0"/>
  </r>
  <r>
    <n v="299"/>
    <n v="150.83695115061525"/>
    <x v="299"/>
    <n v="0"/>
  </r>
  <r>
    <n v="300"/>
    <n v="123.79725441013724"/>
    <x v="300"/>
    <n v="0"/>
  </r>
  <r>
    <n v="301"/>
    <n v="39.198740387854954"/>
    <x v="301"/>
    <n v="0"/>
  </r>
  <r>
    <n v="302"/>
    <n v="93.93375200975953"/>
    <x v="302"/>
    <n v="0"/>
  </r>
  <r>
    <n v="303"/>
    <n v="38.518111234399107"/>
    <x v="303"/>
    <n v="0"/>
  </r>
  <r>
    <n v="304"/>
    <n v="103.53483727775772"/>
    <x v="304"/>
    <n v="0"/>
  </r>
  <r>
    <n v="305"/>
    <n v="39.80461868265882"/>
    <x v="305"/>
    <n v="0"/>
  </r>
  <r>
    <n v="306"/>
    <n v="74.118131552418518"/>
    <x v="306"/>
    <n v="0"/>
  </r>
  <r>
    <n v="307"/>
    <n v="30.918631397798585"/>
    <x v="307"/>
    <n v="1"/>
  </r>
  <r>
    <n v="308"/>
    <n v="100.51079229865542"/>
    <x v="308"/>
    <n v="0"/>
  </r>
  <r>
    <n v="309"/>
    <n v="87.078430302229236"/>
    <x v="309"/>
    <n v="0"/>
  </r>
  <r>
    <n v="310"/>
    <n v="87.154236745295378"/>
    <x v="310"/>
    <n v="0"/>
  </r>
  <r>
    <n v="311"/>
    <n v="112.41284839782784"/>
    <x v="311"/>
    <n v="0"/>
  </r>
  <r>
    <n v="312"/>
    <n v="60.175875365209258"/>
    <x v="312"/>
    <n v="0"/>
  </r>
  <r>
    <n v="313"/>
    <n v="61.511833399897156"/>
    <x v="313"/>
    <n v="0"/>
  </r>
  <r>
    <n v="314"/>
    <n v="31.80571671356735"/>
    <x v="314"/>
    <n v="1"/>
  </r>
  <r>
    <n v="315"/>
    <n v="24.637527997331325"/>
    <x v="315"/>
    <n v="1"/>
  </r>
  <r>
    <n v="316"/>
    <n v="125.28670146073473"/>
    <x v="316"/>
    <n v="0"/>
  </r>
  <r>
    <n v="317"/>
    <n v="62.272612605030496"/>
    <x v="317"/>
    <n v="0"/>
  </r>
  <r>
    <n v="318"/>
    <n v="132.86835462367307"/>
    <x v="318"/>
    <n v="0"/>
  </r>
  <r>
    <n v="319"/>
    <n v="81.862708129046311"/>
    <x v="319"/>
    <n v="0"/>
  </r>
  <r>
    <n v="320"/>
    <n v="22.510388459314438"/>
    <x v="320"/>
    <n v="1"/>
  </r>
  <r>
    <n v="321"/>
    <n v="46.51598242482293"/>
    <x v="321"/>
    <n v="0"/>
  </r>
  <r>
    <n v="322"/>
    <n v="70.017137909709334"/>
    <x v="322"/>
    <n v="0"/>
  </r>
  <r>
    <n v="323"/>
    <n v="49.738732097181895"/>
    <x v="323"/>
    <n v="0"/>
  </r>
  <r>
    <n v="324"/>
    <n v="40.862873885286056"/>
    <x v="324"/>
    <n v="0"/>
  </r>
  <r>
    <n v="325"/>
    <n v="41.771136595623936"/>
    <x v="325"/>
    <n v="0"/>
  </r>
  <r>
    <n v="326"/>
    <n v="49.487756083882068"/>
    <x v="326"/>
    <n v="0"/>
  </r>
  <r>
    <n v="327"/>
    <n v="90.752563585531632"/>
    <x v="327"/>
    <n v="0"/>
  </r>
  <r>
    <n v="328"/>
    <n v="112.03197323531209"/>
    <x v="328"/>
    <n v="0"/>
  </r>
  <r>
    <n v="329"/>
    <n v="77.109108886751329"/>
    <x v="329"/>
    <n v="0"/>
  </r>
  <r>
    <n v="330"/>
    <n v="45.290722287781101"/>
    <x v="330"/>
    <n v="0"/>
  </r>
  <r>
    <n v="331"/>
    <n v="162.51941911485585"/>
    <x v="331"/>
    <n v="0"/>
  </r>
  <r>
    <n v="332"/>
    <n v="128.59753187172822"/>
    <x v="332"/>
    <n v="0"/>
  </r>
  <r>
    <n v="333"/>
    <n v="76.191478502249112"/>
    <x v="333"/>
    <n v="0"/>
  </r>
  <r>
    <n v="334"/>
    <n v="27.69326885539471"/>
    <x v="334"/>
    <n v="1"/>
  </r>
  <r>
    <n v="335"/>
    <n v="74.182504955579361"/>
    <x v="335"/>
    <n v="0"/>
  </r>
  <r>
    <n v="336"/>
    <n v="54.646599386355753"/>
    <x v="336"/>
    <n v="0"/>
  </r>
  <r>
    <n v="337"/>
    <n v="63.255567043370654"/>
    <x v="337"/>
    <n v="0"/>
  </r>
  <r>
    <n v="338"/>
    <n v="77.32476828061688"/>
    <x v="338"/>
    <n v="0"/>
  </r>
  <r>
    <n v="339"/>
    <n v="132.38452028693226"/>
    <x v="339"/>
    <n v="0"/>
  </r>
  <r>
    <n v="340"/>
    <n v="67.670179527284006"/>
    <x v="340"/>
    <n v="0"/>
  </r>
  <r>
    <n v="341"/>
    <n v="84.923419419682375"/>
    <x v="341"/>
    <n v="0"/>
  </r>
  <r>
    <n v="342"/>
    <n v="112.17316612257665"/>
    <x v="342"/>
    <n v="0"/>
  </r>
  <r>
    <n v="343"/>
    <n v="24.980591595805812"/>
    <x v="343"/>
    <n v="1"/>
  </r>
  <r>
    <n v="344"/>
    <n v="65.859587499788532"/>
    <x v="344"/>
    <n v="0"/>
  </r>
  <r>
    <n v="345"/>
    <n v="43.795522057471821"/>
    <x v="345"/>
    <n v="0"/>
  </r>
  <r>
    <n v="346"/>
    <n v="81.457636656861013"/>
    <x v="346"/>
    <n v="0"/>
  </r>
  <r>
    <n v="347"/>
    <n v="28.354205874877131"/>
    <x v="347"/>
    <n v="1"/>
  </r>
  <r>
    <n v="348"/>
    <n v="41.916696704725076"/>
    <x v="348"/>
    <n v="0"/>
  </r>
  <r>
    <n v="349"/>
    <n v="50.248378301923189"/>
    <x v="349"/>
    <n v="0"/>
  </r>
  <r>
    <n v="350"/>
    <n v="86.059539505208832"/>
    <x v="350"/>
    <n v="0"/>
  </r>
  <r>
    <n v="351"/>
    <n v="48.758637949077659"/>
    <x v="351"/>
    <n v="0"/>
  </r>
  <r>
    <n v="352"/>
    <n v="112.03143461813796"/>
    <x v="352"/>
    <n v="0"/>
  </r>
  <r>
    <n v="353"/>
    <n v="74.384068500022764"/>
    <x v="353"/>
    <n v="0"/>
  </r>
  <r>
    <n v="354"/>
    <n v="72.957531815304478"/>
    <x v="354"/>
    <n v="0"/>
  </r>
  <r>
    <n v="355"/>
    <n v="30.70327008141631"/>
    <x v="355"/>
    <n v="1"/>
  </r>
  <r>
    <n v="356"/>
    <n v="67.255670134110517"/>
    <x v="356"/>
    <n v="0"/>
  </r>
  <r>
    <n v="357"/>
    <n v="75.701953001789803"/>
    <x v="357"/>
    <n v="0"/>
  </r>
  <r>
    <n v="358"/>
    <n v="72.160064686332532"/>
    <x v="358"/>
    <n v="0"/>
  </r>
  <r>
    <n v="359"/>
    <n v="70.754089336940609"/>
    <x v="359"/>
    <n v="0"/>
  </r>
  <r>
    <n v="360"/>
    <n v="59.370947757051695"/>
    <x v="360"/>
    <n v="0"/>
  </r>
  <r>
    <n v="361"/>
    <n v="45.536192797963388"/>
    <x v="361"/>
    <n v="0"/>
  </r>
  <r>
    <n v="362"/>
    <n v="64.746325094820705"/>
    <x v="362"/>
    <n v="0"/>
  </r>
  <r>
    <n v="363"/>
    <n v="51.758025910458812"/>
    <x v="363"/>
    <n v="0"/>
  </r>
  <r>
    <n v="364"/>
    <n v="73.149974443855356"/>
    <x v="364"/>
    <n v="0"/>
  </r>
  <r>
    <n v="365"/>
    <n v="178.69077022933345"/>
    <x v="365"/>
    <n v="0"/>
  </r>
  <r>
    <n v="366"/>
    <n v="83.978103712473995"/>
    <x v="366"/>
    <n v="0"/>
  </r>
  <r>
    <n v="367"/>
    <n v="152.31481350570468"/>
    <x v="367"/>
    <n v="0"/>
  </r>
  <r>
    <n v="368"/>
    <n v="44.264545412219356"/>
    <x v="368"/>
    <n v="0"/>
  </r>
  <r>
    <n v="369"/>
    <n v="72.399638612425264"/>
    <x v="369"/>
    <n v="0"/>
  </r>
  <r>
    <n v="370"/>
    <n v="92.301372075861281"/>
    <x v="370"/>
    <n v="0"/>
  </r>
  <r>
    <n v="371"/>
    <n v="44.825746592124368"/>
    <x v="371"/>
    <n v="0"/>
  </r>
  <r>
    <n v="372"/>
    <n v="36.418122588254491"/>
    <x v="372"/>
    <n v="1"/>
  </r>
  <r>
    <n v="373"/>
    <n v="80.671999292157679"/>
    <x v="373"/>
    <n v="0"/>
  </r>
  <r>
    <n v="374"/>
    <n v="49.16475334934853"/>
    <x v="374"/>
    <n v="0"/>
  </r>
  <r>
    <n v="375"/>
    <n v="100.18186157077473"/>
    <x v="375"/>
    <n v="0"/>
  </r>
  <r>
    <n v="376"/>
    <n v="71.560722550327412"/>
    <x v="376"/>
    <n v="0"/>
  </r>
  <r>
    <n v="377"/>
    <n v="101.31478186623499"/>
    <x v="377"/>
    <n v="0"/>
  </r>
  <r>
    <n v="378"/>
    <n v="82.765609684972119"/>
    <x v="378"/>
    <n v="0"/>
  </r>
  <r>
    <n v="379"/>
    <n v="167.04174688604584"/>
    <x v="379"/>
    <n v="0"/>
  </r>
  <r>
    <n v="380"/>
    <n v="24.718591763548762"/>
    <x v="380"/>
    <n v="1"/>
  </r>
  <r>
    <n v="381"/>
    <n v="66.651049627173037"/>
    <x v="381"/>
    <n v="0"/>
  </r>
  <r>
    <n v="382"/>
    <n v="58.218551698788623"/>
    <x v="382"/>
    <n v="0"/>
  </r>
  <r>
    <n v="383"/>
    <n v="63.2970488754599"/>
    <x v="383"/>
    <n v="0"/>
  </r>
  <r>
    <n v="384"/>
    <n v="59.617654579288534"/>
    <x v="384"/>
    <n v="0"/>
  </r>
  <r>
    <n v="385"/>
    <n v="83.072934061140771"/>
    <x v="385"/>
    <n v="0"/>
  </r>
  <r>
    <n v="386"/>
    <n v="50.384612106430559"/>
    <x v="386"/>
    <n v="0"/>
  </r>
  <r>
    <n v="387"/>
    <n v="84.18309032164666"/>
    <x v="387"/>
    <n v="0"/>
  </r>
  <r>
    <n v="388"/>
    <n v="49.851093824422051"/>
    <x v="388"/>
    <n v="0"/>
  </r>
  <r>
    <n v="389"/>
    <n v="120.16456956314417"/>
    <x v="389"/>
    <n v="0"/>
  </r>
  <r>
    <n v="390"/>
    <n v="41.820114611196217"/>
    <x v="390"/>
    <n v="0"/>
  </r>
  <r>
    <n v="391"/>
    <n v="36.002226710049797"/>
    <x v="391"/>
    <n v="1"/>
  </r>
  <r>
    <n v="392"/>
    <n v="54.415697145598941"/>
    <x v="392"/>
    <n v="0"/>
  </r>
  <r>
    <n v="393"/>
    <n v="96.480795051119074"/>
    <x v="393"/>
    <n v="0"/>
  </r>
  <r>
    <n v="394"/>
    <n v="40.241785181031567"/>
    <x v="394"/>
    <n v="0"/>
  </r>
  <r>
    <n v="395"/>
    <n v="20.560515738071143"/>
    <x v="395"/>
    <n v="1"/>
  </r>
  <r>
    <n v="396"/>
    <n v="32.303557238091287"/>
    <x v="396"/>
    <n v="1"/>
  </r>
  <r>
    <n v="397"/>
    <n v="66.672861241988457"/>
    <x v="397"/>
    <n v="0"/>
  </r>
  <r>
    <n v="398"/>
    <n v="70.615230231883899"/>
    <x v="398"/>
    <n v="0"/>
  </r>
  <r>
    <n v="399"/>
    <n v="63.978606845869642"/>
    <x v="399"/>
    <n v="0"/>
  </r>
  <r>
    <n v="400"/>
    <n v="25.879817190871321"/>
    <x v="400"/>
    <n v="1"/>
  </r>
  <r>
    <n v="401"/>
    <n v="76.711086015278568"/>
    <x v="401"/>
    <n v="0"/>
  </r>
  <r>
    <n v="402"/>
    <n v="55.058384111590726"/>
    <x v="402"/>
    <n v="0"/>
  </r>
  <r>
    <n v="403"/>
    <n v="64.767949596998008"/>
    <x v="403"/>
    <n v="0"/>
  </r>
  <r>
    <n v="404"/>
    <n v="37.299700394725107"/>
    <x v="404"/>
    <n v="0"/>
  </r>
  <r>
    <n v="405"/>
    <n v="40.878857437475901"/>
    <x v="405"/>
    <n v="0"/>
  </r>
  <r>
    <n v="406"/>
    <n v="21.975180204008023"/>
    <x v="406"/>
    <n v="1"/>
  </r>
  <r>
    <n v="407"/>
    <n v="39.210582584415896"/>
    <x v="407"/>
    <n v="0"/>
  </r>
  <r>
    <n v="408"/>
    <n v="110.17210817207155"/>
    <x v="408"/>
    <n v="0"/>
  </r>
  <r>
    <n v="409"/>
    <n v="78.562806933211533"/>
    <x v="409"/>
    <n v="0"/>
  </r>
  <r>
    <n v="410"/>
    <n v="43.375539821589356"/>
    <x v="410"/>
    <n v="0"/>
  </r>
  <r>
    <n v="411"/>
    <n v="33.451067637169935"/>
    <x v="411"/>
    <n v="1"/>
  </r>
  <r>
    <n v="412"/>
    <n v="67.147128159094677"/>
    <x v="412"/>
    <n v="0"/>
  </r>
  <r>
    <n v="413"/>
    <n v="66.139989270470792"/>
    <x v="413"/>
    <n v="0"/>
  </r>
  <r>
    <n v="414"/>
    <n v="49.392287340881566"/>
    <x v="414"/>
    <n v="0"/>
  </r>
  <r>
    <n v="415"/>
    <n v="49.024447111737651"/>
    <x v="415"/>
    <n v="0"/>
  </r>
  <r>
    <n v="416"/>
    <n v="46.206433672600909"/>
    <x v="416"/>
    <n v="0"/>
  </r>
  <r>
    <n v="417"/>
    <n v="47.89155099624022"/>
    <x v="417"/>
    <n v="0"/>
  </r>
  <r>
    <n v="418"/>
    <n v="57.995912960094302"/>
    <x v="418"/>
    <n v="0"/>
  </r>
  <r>
    <n v="419"/>
    <n v="51.948628104321138"/>
    <x v="419"/>
    <n v="0"/>
  </r>
  <r>
    <n v="420"/>
    <n v="36.310481856383824"/>
    <x v="420"/>
    <n v="1"/>
  </r>
  <r>
    <n v="421"/>
    <n v="77.285377879049804"/>
    <x v="421"/>
    <n v="0"/>
  </r>
  <r>
    <n v="422"/>
    <n v="84.173549205159617"/>
    <x v="422"/>
    <n v="0"/>
  </r>
  <r>
    <n v="423"/>
    <n v="59.782711978129029"/>
    <x v="423"/>
    <n v="0"/>
  </r>
  <r>
    <n v="424"/>
    <n v="50.647223987249639"/>
    <x v="424"/>
    <n v="0"/>
  </r>
  <r>
    <n v="425"/>
    <n v="65.020384294968068"/>
    <x v="425"/>
    <n v="0"/>
  </r>
  <r>
    <n v="426"/>
    <n v="57.45292464252195"/>
    <x v="426"/>
    <n v="0"/>
  </r>
  <r>
    <n v="427"/>
    <n v="106.3393203302317"/>
    <x v="427"/>
    <n v="0"/>
  </r>
  <r>
    <n v="428"/>
    <n v="131.28089571192447"/>
    <x v="428"/>
    <n v="0"/>
  </r>
  <r>
    <n v="429"/>
    <n v="44.832610867617205"/>
    <x v="429"/>
    <n v="0"/>
  </r>
  <r>
    <n v="430"/>
    <n v="58.639405521862052"/>
    <x v="430"/>
    <n v="0"/>
  </r>
  <r>
    <n v="431"/>
    <n v="60.791590714178518"/>
    <x v="431"/>
    <n v="0"/>
  </r>
  <r>
    <n v="432"/>
    <n v="81.493877691848439"/>
    <x v="432"/>
    <n v="0"/>
  </r>
  <r>
    <n v="433"/>
    <n v="47.546150228377186"/>
    <x v="433"/>
    <n v="0"/>
  </r>
  <r>
    <n v="434"/>
    <n v="44.088910593752601"/>
    <x v="434"/>
    <n v="0"/>
  </r>
  <r>
    <n v="435"/>
    <n v="94.118109269628278"/>
    <x v="435"/>
    <n v="0"/>
  </r>
  <r>
    <n v="436"/>
    <n v="44.98949412162802"/>
    <x v="436"/>
    <n v="0"/>
  </r>
  <r>
    <n v="437"/>
    <n v="101.64479223820632"/>
    <x v="437"/>
    <n v="0"/>
  </r>
  <r>
    <n v="438"/>
    <n v="192.41450003319977"/>
    <x v="438"/>
    <n v="0"/>
  </r>
  <r>
    <n v="439"/>
    <n v="43.207930588558426"/>
    <x v="439"/>
    <n v="0"/>
  </r>
  <r>
    <n v="440"/>
    <n v="122.58051583675874"/>
    <x v="440"/>
    <n v="0"/>
  </r>
  <r>
    <n v="441"/>
    <n v="93.902647522288632"/>
    <x v="441"/>
    <n v="0"/>
  </r>
  <r>
    <n v="442"/>
    <n v="84.187376025386541"/>
    <x v="442"/>
    <n v="0"/>
  </r>
  <r>
    <n v="443"/>
    <n v="56.346216401619223"/>
    <x v="443"/>
    <n v="0"/>
  </r>
  <r>
    <n v="444"/>
    <n v="103.32881244934273"/>
    <x v="444"/>
    <n v="0"/>
  </r>
  <r>
    <n v="445"/>
    <n v="60.289027180559756"/>
    <x v="445"/>
    <n v="0"/>
  </r>
  <r>
    <n v="446"/>
    <n v="45.684665714349755"/>
    <x v="446"/>
    <n v="0"/>
  </r>
  <r>
    <n v="447"/>
    <n v="78.040701669025694"/>
    <x v="447"/>
    <n v="0"/>
  </r>
  <r>
    <n v="448"/>
    <n v="30.473342148228976"/>
    <x v="448"/>
    <n v="1"/>
  </r>
  <r>
    <n v="449"/>
    <n v="102.6828946085738"/>
    <x v="449"/>
    <n v="0"/>
  </r>
  <r>
    <n v="450"/>
    <n v="64.160173753636414"/>
    <x v="450"/>
    <n v="0"/>
  </r>
  <r>
    <n v="451"/>
    <n v="72.64738425592212"/>
    <x v="451"/>
    <n v="0"/>
  </r>
  <r>
    <n v="452"/>
    <n v="83.238398816737444"/>
    <x v="452"/>
    <n v="0"/>
  </r>
  <r>
    <n v="453"/>
    <n v="67.33383357587212"/>
    <x v="453"/>
    <n v="0"/>
  </r>
  <r>
    <n v="454"/>
    <n v="68.082560919786246"/>
    <x v="454"/>
    <n v="0"/>
  </r>
  <r>
    <n v="455"/>
    <n v="46.361928844850972"/>
    <x v="455"/>
    <n v="0"/>
  </r>
  <r>
    <n v="456"/>
    <n v="22.628861441531324"/>
    <x v="456"/>
    <n v="1"/>
  </r>
  <r>
    <n v="457"/>
    <n v="64.348903886274584"/>
    <x v="457"/>
    <n v="0"/>
  </r>
  <r>
    <n v="458"/>
    <n v="57.283411993967064"/>
    <x v="458"/>
    <n v="0"/>
  </r>
  <r>
    <n v="459"/>
    <n v="49.817382869971127"/>
    <x v="459"/>
    <n v="0"/>
  </r>
  <r>
    <n v="460"/>
    <n v="41.447161018646419"/>
    <x v="460"/>
    <n v="0"/>
  </r>
  <r>
    <n v="461"/>
    <n v="74.664392834745996"/>
    <x v="461"/>
    <n v="0"/>
  </r>
  <r>
    <n v="462"/>
    <n v="105.16117233050595"/>
    <x v="462"/>
    <n v="0"/>
  </r>
  <r>
    <n v="463"/>
    <n v="80.132622371296094"/>
    <x v="463"/>
    <n v="0"/>
  </r>
  <r>
    <n v="464"/>
    <n v="17.760056060270163"/>
    <x v="464"/>
    <n v="1"/>
  </r>
  <r>
    <n v="465"/>
    <n v="45.088409773062111"/>
    <x v="465"/>
    <n v="0"/>
  </r>
  <r>
    <n v="466"/>
    <n v="61.856318169984171"/>
    <x v="466"/>
    <n v="0"/>
  </r>
  <r>
    <n v="467"/>
    <n v="38.884255286739055"/>
    <x v="467"/>
    <n v="0"/>
  </r>
  <r>
    <n v="468"/>
    <n v="84.220358091232299"/>
    <x v="468"/>
    <n v="0"/>
  </r>
  <r>
    <n v="469"/>
    <n v="71.234134940340468"/>
    <x v="469"/>
    <n v="0"/>
  </r>
  <r>
    <n v="470"/>
    <n v="51.278678024926641"/>
    <x v="470"/>
    <n v="0"/>
  </r>
  <r>
    <n v="471"/>
    <n v="81.144466308132522"/>
    <x v="471"/>
    <n v="0"/>
  </r>
  <r>
    <n v="472"/>
    <n v="86.493889428854686"/>
    <x v="472"/>
    <n v="0"/>
  </r>
  <r>
    <n v="473"/>
    <n v="117.57142261168738"/>
    <x v="473"/>
    <n v="0"/>
  </r>
  <r>
    <n v="474"/>
    <n v="98.028220637855071"/>
    <x v="474"/>
    <n v="0"/>
  </r>
  <r>
    <n v="475"/>
    <n v="48.124840107125998"/>
    <x v="475"/>
    <n v="0"/>
  </r>
  <r>
    <n v="476"/>
    <n v="89.959618142929472"/>
    <x v="476"/>
    <n v="0"/>
  </r>
  <r>
    <n v="477"/>
    <n v="40.102075326607086"/>
    <x v="477"/>
    <n v="0"/>
  </r>
  <r>
    <n v="478"/>
    <n v="97.10621403060081"/>
    <x v="478"/>
    <n v="0"/>
  </r>
  <r>
    <n v="479"/>
    <n v="63.479036692735292"/>
    <x v="479"/>
    <n v="0"/>
  </r>
  <r>
    <n v="480"/>
    <n v="78.731909897407249"/>
    <x v="480"/>
    <n v="0"/>
  </r>
  <r>
    <n v="481"/>
    <n v="36.24343323308117"/>
    <x v="481"/>
    <n v="1"/>
  </r>
  <r>
    <n v="482"/>
    <n v="83.249219323621958"/>
    <x v="482"/>
    <n v="0"/>
  </r>
  <r>
    <n v="483"/>
    <n v="35.44739682905378"/>
    <x v="483"/>
    <n v="1"/>
  </r>
  <r>
    <n v="484"/>
    <n v="54.91893282139177"/>
    <x v="484"/>
    <n v="0"/>
  </r>
  <r>
    <n v="485"/>
    <n v="58.522917741085251"/>
    <x v="485"/>
    <n v="0"/>
  </r>
  <r>
    <n v="486"/>
    <n v="26.04474883061371"/>
    <x v="486"/>
    <n v="1"/>
  </r>
  <r>
    <n v="487"/>
    <n v="157.14222414126058"/>
    <x v="487"/>
    <n v="0"/>
  </r>
  <r>
    <n v="488"/>
    <n v="31.502858200740441"/>
    <x v="488"/>
    <n v="1"/>
  </r>
  <r>
    <n v="489"/>
    <n v="35.709057420775082"/>
    <x v="489"/>
    <n v="1"/>
  </r>
  <r>
    <n v="490"/>
    <n v="53.254364989082902"/>
    <x v="490"/>
    <n v="0"/>
  </r>
  <r>
    <n v="491"/>
    <n v="27.848477934647821"/>
    <x v="491"/>
    <n v="1"/>
  </r>
  <r>
    <n v="492"/>
    <n v="42.000359549631206"/>
    <x v="492"/>
    <n v="0"/>
  </r>
  <r>
    <n v="493"/>
    <n v="52.515215507732648"/>
    <x v="493"/>
    <n v="0"/>
  </r>
  <r>
    <n v="494"/>
    <n v="84.430524912103436"/>
    <x v="494"/>
    <n v="0"/>
  </r>
  <r>
    <n v="495"/>
    <n v="66.595361583272009"/>
    <x v="495"/>
    <n v="0"/>
  </r>
  <r>
    <n v="496"/>
    <n v="45.548298388483495"/>
    <x v="496"/>
    <n v="0"/>
  </r>
  <r>
    <n v="497"/>
    <n v="70.47387620428519"/>
    <x v="497"/>
    <n v="0"/>
  </r>
  <r>
    <n v="498"/>
    <n v="75.287239206905213"/>
    <x v="498"/>
    <n v="0"/>
  </r>
  <r>
    <n v="499"/>
    <n v="45.623667598027076"/>
    <x v="499"/>
    <n v="0"/>
  </r>
  <r>
    <n v="500"/>
    <n v="73.953636101254446"/>
    <x v="500"/>
    <n v="0"/>
  </r>
  <r>
    <n v="501"/>
    <n v="61.111107415613247"/>
    <x v="501"/>
    <n v="0"/>
  </r>
  <r>
    <n v="502"/>
    <n v="84.119975882125644"/>
    <x v="502"/>
    <n v="0"/>
  </r>
  <r>
    <n v="503"/>
    <n v="113.98314635841052"/>
    <x v="503"/>
    <n v="0"/>
  </r>
  <r>
    <n v="504"/>
    <n v="87.982932937945051"/>
    <x v="504"/>
    <n v="0"/>
  </r>
  <r>
    <n v="505"/>
    <n v="131.20495972010676"/>
    <x v="505"/>
    <n v="0"/>
  </r>
  <r>
    <n v="506"/>
    <n v="24.942759238729202"/>
    <x v="506"/>
    <n v="1"/>
  </r>
  <r>
    <n v="507"/>
    <n v="53.644749839926149"/>
    <x v="507"/>
    <n v="0"/>
  </r>
  <r>
    <n v="508"/>
    <n v="98.2737818601843"/>
    <x v="508"/>
    <n v="0"/>
  </r>
  <r>
    <n v="509"/>
    <n v="70.155673986871349"/>
    <x v="509"/>
    <n v="0"/>
  </r>
  <r>
    <n v="510"/>
    <n v="48.740203735780007"/>
    <x v="510"/>
    <n v="0"/>
  </r>
  <r>
    <n v="511"/>
    <n v="71.384297196473341"/>
    <x v="511"/>
    <n v="0"/>
  </r>
  <r>
    <n v="512"/>
    <n v="52.03218770714696"/>
    <x v="512"/>
    <n v="0"/>
  </r>
  <r>
    <n v="513"/>
    <n v="100.34833343584422"/>
    <x v="513"/>
    <n v="0"/>
  </r>
  <r>
    <n v="514"/>
    <n v="84.882914660369792"/>
    <x v="514"/>
    <n v="0"/>
  </r>
  <r>
    <n v="515"/>
    <n v="42.602241937112915"/>
    <x v="515"/>
    <n v="0"/>
  </r>
  <r>
    <n v="516"/>
    <n v="133.99591088232734"/>
    <x v="516"/>
    <n v="0"/>
  </r>
  <r>
    <n v="517"/>
    <n v="133.1967339220293"/>
    <x v="517"/>
    <n v="0"/>
  </r>
  <r>
    <n v="518"/>
    <n v="54.064642172050952"/>
    <x v="518"/>
    <n v="0"/>
  </r>
  <r>
    <n v="519"/>
    <n v="45.757321468156057"/>
    <x v="519"/>
    <n v="0"/>
  </r>
  <r>
    <n v="520"/>
    <n v="99.587460492820355"/>
    <x v="520"/>
    <n v="0"/>
  </r>
  <r>
    <n v="521"/>
    <n v="55.39745191827555"/>
    <x v="521"/>
    <n v="0"/>
  </r>
  <r>
    <n v="522"/>
    <n v="47.940350422301847"/>
    <x v="522"/>
    <n v="0"/>
  </r>
  <r>
    <n v="523"/>
    <n v="54.273764711414699"/>
    <x v="523"/>
    <n v="0"/>
  </r>
  <r>
    <n v="524"/>
    <n v="108.9289493138983"/>
    <x v="524"/>
    <n v="0"/>
  </r>
  <r>
    <n v="525"/>
    <n v="27.998629377135124"/>
    <x v="525"/>
    <n v="1"/>
  </r>
  <r>
    <n v="526"/>
    <n v="79.996641606798519"/>
    <x v="526"/>
    <n v="0"/>
  </r>
  <r>
    <n v="527"/>
    <n v="61.374975454287707"/>
    <x v="527"/>
    <n v="0"/>
  </r>
  <r>
    <n v="528"/>
    <n v="84.559775641838954"/>
    <x v="528"/>
    <n v="0"/>
  </r>
  <r>
    <n v="529"/>
    <n v="52.041269112015549"/>
    <x v="529"/>
    <n v="0"/>
  </r>
  <r>
    <n v="530"/>
    <n v="80.13652378401909"/>
    <x v="530"/>
    <n v="0"/>
  </r>
  <r>
    <n v="531"/>
    <n v="80.378060442858938"/>
    <x v="531"/>
    <n v="0"/>
  </r>
  <r>
    <n v="532"/>
    <n v="188.87646744291993"/>
    <x v="532"/>
    <n v="0"/>
  </r>
  <r>
    <n v="533"/>
    <n v="227.16683515270728"/>
    <x v="533"/>
    <n v="0"/>
  </r>
  <r>
    <n v="534"/>
    <n v="64.850546776609917"/>
    <x v="534"/>
    <n v="0"/>
  </r>
  <r>
    <n v="535"/>
    <n v="65.893800273682615"/>
    <x v="535"/>
    <n v="0"/>
  </r>
  <r>
    <n v="536"/>
    <n v="76.156988096062747"/>
    <x v="536"/>
    <n v="0"/>
  </r>
  <r>
    <n v="537"/>
    <n v="122.38844103712015"/>
    <x v="537"/>
    <n v="0"/>
  </r>
  <r>
    <n v="538"/>
    <n v="54.045554915266827"/>
    <x v="538"/>
    <n v="0"/>
  </r>
  <r>
    <n v="539"/>
    <n v="52.525509941468982"/>
    <x v="539"/>
    <n v="0"/>
  </r>
  <r>
    <n v="540"/>
    <n v="59.321976973508221"/>
    <x v="540"/>
    <n v="0"/>
  </r>
  <r>
    <n v="541"/>
    <n v="53.356501149867363"/>
    <x v="541"/>
    <n v="0"/>
  </r>
  <r>
    <n v="542"/>
    <n v="56.080355188102367"/>
    <x v="542"/>
    <n v="0"/>
  </r>
  <r>
    <n v="543"/>
    <n v="42.810532379541463"/>
    <x v="543"/>
    <n v="0"/>
  </r>
  <r>
    <n v="544"/>
    <n v="101.26603552838128"/>
    <x v="544"/>
    <n v="0"/>
  </r>
  <r>
    <n v="545"/>
    <n v="72.543185620848035"/>
    <x v="545"/>
    <n v="0"/>
  </r>
  <r>
    <n v="546"/>
    <n v="92.46381327881079"/>
    <x v="546"/>
    <n v="0"/>
  </r>
  <r>
    <n v="547"/>
    <n v="82.340983255570279"/>
    <x v="547"/>
    <n v="0"/>
  </r>
  <r>
    <n v="548"/>
    <n v="118.16432655431331"/>
    <x v="548"/>
    <n v="0"/>
  </r>
  <r>
    <n v="549"/>
    <n v="101.60846133750783"/>
    <x v="549"/>
    <n v="0"/>
  </r>
  <r>
    <n v="550"/>
    <n v="93.52271107206802"/>
    <x v="550"/>
    <n v="0"/>
  </r>
  <r>
    <n v="551"/>
    <n v="62.521961054183372"/>
    <x v="551"/>
    <n v="0"/>
  </r>
  <r>
    <n v="552"/>
    <n v="74.14371610735374"/>
    <x v="552"/>
    <n v="0"/>
  </r>
  <r>
    <n v="553"/>
    <n v="104.15665659121866"/>
    <x v="553"/>
    <n v="0"/>
  </r>
  <r>
    <n v="554"/>
    <n v="49.112275351409764"/>
    <x v="554"/>
    <n v="0"/>
  </r>
  <r>
    <n v="555"/>
    <n v="50.277682025513052"/>
    <x v="555"/>
    <n v="0"/>
  </r>
  <r>
    <n v="556"/>
    <n v="51.543620443388576"/>
    <x v="556"/>
    <n v="0"/>
  </r>
  <r>
    <n v="557"/>
    <n v="37.395669904730688"/>
    <x v="557"/>
    <n v="0"/>
  </r>
  <r>
    <n v="558"/>
    <n v="27.772980473665921"/>
    <x v="558"/>
    <n v="1"/>
  </r>
  <r>
    <n v="559"/>
    <n v="29.663970698495209"/>
    <x v="559"/>
    <n v="1"/>
  </r>
  <r>
    <n v="560"/>
    <n v="61.526309586168615"/>
    <x v="560"/>
    <n v="0"/>
  </r>
  <r>
    <n v="561"/>
    <n v="127.70999276413546"/>
    <x v="561"/>
    <n v="0"/>
  </r>
  <r>
    <n v="562"/>
    <n v="42.808568548172012"/>
    <x v="562"/>
    <n v="0"/>
  </r>
  <r>
    <n v="563"/>
    <n v="55.100145804870976"/>
    <x v="563"/>
    <n v="0"/>
  </r>
  <r>
    <n v="564"/>
    <n v="43.581481473464379"/>
    <x v="564"/>
    <n v="0"/>
  </r>
  <r>
    <n v="565"/>
    <n v="29.58402430391299"/>
    <x v="565"/>
    <n v="1"/>
  </r>
  <r>
    <n v="566"/>
    <n v="48.298905968863053"/>
    <x v="566"/>
    <n v="0"/>
  </r>
  <r>
    <n v="567"/>
    <n v="150.13468117604458"/>
    <x v="567"/>
    <n v="0"/>
  </r>
  <r>
    <n v="568"/>
    <n v="50.173967740526805"/>
    <x v="568"/>
    <n v="0"/>
  </r>
  <r>
    <n v="569"/>
    <n v="65.717423062699481"/>
    <x v="569"/>
    <n v="0"/>
  </r>
  <r>
    <n v="570"/>
    <n v="31.173377923888896"/>
    <x v="570"/>
    <n v="1"/>
  </r>
  <r>
    <n v="571"/>
    <n v="82.436366362478509"/>
    <x v="571"/>
    <n v="0"/>
  </r>
  <r>
    <n v="572"/>
    <n v="121.72415417361628"/>
    <x v="572"/>
    <n v="0"/>
  </r>
  <r>
    <n v="573"/>
    <n v="123.94457774087773"/>
    <x v="573"/>
    <n v="0"/>
  </r>
  <r>
    <n v="574"/>
    <n v="100.85940196442529"/>
    <x v="574"/>
    <n v="0"/>
  </r>
  <r>
    <n v="575"/>
    <n v="95.017090092459355"/>
    <x v="575"/>
    <n v="0"/>
  </r>
  <r>
    <n v="576"/>
    <n v="120.53561251174929"/>
    <x v="576"/>
    <n v="0"/>
  </r>
  <r>
    <n v="577"/>
    <n v="25.319370969216347"/>
    <x v="577"/>
    <n v="1"/>
  </r>
  <r>
    <n v="578"/>
    <n v="19.737677052011026"/>
    <x v="578"/>
    <n v="1"/>
  </r>
  <r>
    <n v="579"/>
    <n v="41.964962435033684"/>
    <x v="579"/>
    <n v="0"/>
  </r>
  <r>
    <n v="580"/>
    <n v="61.995642374963779"/>
    <x v="580"/>
    <n v="0"/>
  </r>
  <r>
    <n v="581"/>
    <n v="38.830031944093314"/>
    <x v="581"/>
    <n v="0"/>
  </r>
  <r>
    <n v="582"/>
    <n v="108.36665644764962"/>
    <x v="582"/>
    <n v="0"/>
  </r>
  <r>
    <n v="583"/>
    <n v="44.604777222675139"/>
    <x v="583"/>
    <n v="0"/>
  </r>
  <r>
    <n v="584"/>
    <n v="59.936766395305263"/>
    <x v="584"/>
    <n v="0"/>
  </r>
  <r>
    <n v="585"/>
    <n v="28.041686821911579"/>
    <x v="585"/>
    <n v="1"/>
  </r>
  <r>
    <n v="586"/>
    <n v="58.259107858809564"/>
    <x v="586"/>
    <n v="0"/>
  </r>
  <r>
    <n v="587"/>
    <n v="71.58448477535859"/>
    <x v="587"/>
    <n v="0"/>
  </r>
  <r>
    <n v="588"/>
    <n v="64.857591978449634"/>
    <x v="588"/>
    <n v="0"/>
  </r>
  <r>
    <n v="589"/>
    <n v="44.79091428869711"/>
    <x v="589"/>
    <n v="0"/>
  </r>
  <r>
    <n v="590"/>
    <n v="45.966238633090413"/>
    <x v="590"/>
    <n v="0"/>
  </r>
  <r>
    <n v="591"/>
    <n v="61.777406885391322"/>
    <x v="591"/>
    <n v="0"/>
  </r>
  <r>
    <n v="592"/>
    <n v="43.647114806957354"/>
    <x v="592"/>
    <n v="0"/>
  </r>
  <r>
    <n v="593"/>
    <n v="48.217748688288623"/>
    <x v="593"/>
    <n v="0"/>
  </r>
  <r>
    <n v="594"/>
    <n v="82.978899873469857"/>
    <x v="594"/>
    <n v="0"/>
  </r>
  <r>
    <n v="595"/>
    <n v="57.581042292256825"/>
    <x v="595"/>
    <n v="0"/>
  </r>
  <r>
    <n v="596"/>
    <n v="50.58978175686704"/>
    <x v="596"/>
    <n v="0"/>
  </r>
  <r>
    <n v="597"/>
    <n v="39.272614525812585"/>
    <x v="597"/>
    <n v="0"/>
  </r>
  <r>
    <n v="598"/>
    <n v="139.66030141215219"/>
    <x v="598"/>
    <n v="0"/>
  </r>
  <r>
    <n v="599"/>
    <n v="55.963859222896019"/>
    <x v="599"/>
    <n v="0"/>
  </r>
  <r>
    <n v="600"/>
    <n v="84.068119919294944"/>
    <x v="600"/>
    <n v="0"/>
  </r>
  <r>
    <n v="601"/>
    <n v="175.06661586127444"/>
    <x v="601"/>
    <n v="0"/>
  </r>
  <r>
    <n v="602"/>
    <n v="104.90789694887796"/>
    <x v="602"/>
    <n v="0"/>
  </r>
  <r>
    <n v="603"/>
    <n v="96.166163193518415"/>
    <x v="603"/>
    <n v="0"/>
  </r>
  <r>
    <n v="604"/>
    <n v="136.71377829883045"/>
    <x v="604"/>
    <n v="0"/>
  </r>
  <r>
    <n v="605"/>
    <n v="112.67642140774971"/>
    <x v="605"/>
    <n v="0"/>
  </r>
  <r>
    <n v="606"/>
    <n v="81.972681270668957"/>
    <x v="606"/>
    <n v="0"/>
  </r>
  <r>
    <n v="607"/>
    <n v="36.52948256791143"/>
    <x v="607"/>
    <n v="1"/>
  </r>
  <r>
    <n v="608"/>
    <n v="45.949303882500686"/>
    <x v="608"/>
    <n v="0"/>
  </r>
  <r>
    <n v="609"/>
    <n v="56.7557627590568"/>
    <x v="609"/>
    <n v="0"/>
  </r>
  <r>
    <n v="610"/>
    <n v="140.17873905826704"/>
    <x v="610"/>
    <n v="0"/>
  </r>
  <r>
    <n v="611"/>
    <n v="50.773815406642981"/>
    <x v="611"/>
    <n v="0"/>
  </r>
  <r>
    <n v="612"/>
    <n v="79.519395692214474"/>
    <x v="612"/>
    <n v="0"/>
  </r>
  <r>
    <n v="613"/>
    <n v="40.753069557117072"/>
    <x v="613"/>
    <n v="0"/>
  </r>
  <r>
    <n v="614"/>
    <n v="28.439430636399891"/>
    <x v="614"/>
    <n v="1"/>
  </r>
  <r>
    <n v="615"/>
    <n v="104.17392832752725"/>
    <x v="615"/>
    <n v="0"/>
  </r>
  <r>
    <n v="616"/>
    <n v="73.654298653869944"/>
    <x v="616"/>
    <n v="0"/>
  </r>
  <r>
    <n v="617"/>
    <n v="23.183076775854634"/>
    <x v="617"/>
    <n v="1"/>
  </r>
  <r>
    <n v="618"/>
    <n v="49.296635284330584"/>
    <x v="618"/>
    <n v="0"/>
  </r>
  <r>
    <n v="619"/>
    <n v="63.941810358320339"/>
    <x v="619"/>
    <n v="0"/>
  </r>
  <r>
    <n v="620"/>
    <n v="109.92944769601048"/>
    <x v="620"/>
    <n v="0"/>
  </r>
  <r>
    <n v="621"/>
    <n v="70.528533067356406"/>
    <x v="621"/>
    <n v="0"/>
  </r>
  <r>
    <n v="622"/>
    <n v="42.838245707267895"/>
    <x v="622"/>
    <n v="0"/>
  </r>
  <r>
    <n v="623"/>
    <n v="92.731148697530884"/>
    <x v="623"/>
    <n v="0"/>
  </r>
  <r>
    <n v="624"/>
    <n v="64.784010530375838"/>
    <x v="624"/>
    <n v="0"/>
  </r>
  <r>
    <n v="625"/>
    <n v="123.80809145588417"/>
    <x v="625"/>
    <n v="0"/>
  </r>
  <r>
    <n v="626"/>
    <n v="105.0430147007216"/>
    <x v="626"/>
    <n v="0"/>
  </r>
  <r>
    <n v="627"/>
    <n v="63.329465372586284"/>
    <x v="627"/>
    <n v="0"/>
  </r>
  <r>
    <n v="628"/>
    <n v="61.905206369223528"/>
    <x v="628"/>
    <n v="0"/>
  </r>
  <r>
    <n v="629"/>
    <n v="107.34050135009157"/>
    <x v="629"/>
    <n v="0"/>
  </r>
  <r>
    <n v="630"/>
    <n v="72.626053428768344"/>
    <x v="630"/>
    <n v="0"/>
  </r>
  <r>
    <n v="631"/>
    <n v="93.144570326169287"/>
    <x v="631"/>
    <n v="0"/>
  </r>
  <r>
    <n v="632"/>
    <n v="119.2186577603063"/>
    <x v="632"/>
    <n v="0"/>
  </r>
  <r>
    <n v="633"/>
    <n v="66.774945593033038"/>
    <x v="633"/>
    <n v="0"/>
  </r>
  <r>
    <n v="634"/>
    <n v="98.033238773309492"/>
    <x v="634"/>
    <n v="0"/>
  </r>
  <r>
    <n v="635"/>
    <n v="131.12196097863688"/>
    <x v="635"/>
    <n v="0"/>
  </r>
  <r>
    <n v="636"/>
    <n v="53.801606473015781"/>
    <x v="636"/>
    <n v="0"/>
  </r>
  <r>
    <n v="637"/>
    <n v="52.240974577889659"/>
    <x v="637"/>
    <n v="0"/>
  </r>
  <r>
    <n v="638"/>
    <n v="79.885498905791664"/>
    <x v="638"/>
    <n v="0"/>
  </r>
  <r>
    <n v="639"/>
    <n v="26.062191658497262"/>
    <x v="639"/>
    <n v="1"/>
  </r>
  <r>
    <n v="640"/>
    <n v="142.95077075029334"/>
    <x v="640"/>
    <n v="0"/>
  </r>
  <r>
    <n v="641"/>
    <n v="127.6768700810984"/>
    <x v="641"/>
    <n v="0"/>
  </r>
  <r>
    <n v="642"/>
    <n v="17.44126498355158"/>
    <x v="642"/>
    <n v="1"/>
  </r>
  <r>
    <n v="643"/>
    <n v="115.47046398916771"/>
    <x v="643"/>
    <n v="0"/>
  </r>
  <r>
    <n v="644"/>
    <n v="31.598669157549452"/>
    <x v="644"/>
    <n v="1"/>
  </r>
  <r>
    <n v="645"/>
    <n v="41.903723405526776"/>
    <x v="645"/>
    <n v="0"/>
  </r>
  <r>
    <n v="646"/>
    <n v="73.262989608710896"/>
    <x v="646"/>
    <n v="0"/>
  </r>
  <r>
    <n v="647"/>
    <n v="102.65063037406154"/>
    <x v="647"/>
    <n v="0"/>
  </r>
  <r>
    <n v="648"/>
    <n v="59.882702572172981"/>
    <x v="648"/>
    <n v="0"/>
  </r>
  <r>
    <n v="649"/>
    <n v="102.42423382143008"/>
    <x v="649"/>
    <n v="0"/>
  </r>
  <r>
    <n v="650"/>
    <n v="49.814908388592393"/>
    <x v="650"/>
    <n v="0"/>
  </r>
  <r>
    <n v="651"/>
    <n v="96.967193124659602"/>
    <x v="651"/>
    <n v="0"/>
  </r>
  <r>
    <n v="652"/>
    <n v="37.150938705830491"/>
    <x v="652"/>
    <n v="0"/>
  </r>
  <r>
    <n v="653"/>
    <n v="100.70829748110637"/>
    <x v="653"/>
    <n v="0"/>
  </r>
  <r>
    <n v="654"/>
    <n v="64.750124342879275"/>
    <x v="654"/>
    <n v="0"/>
  </r>
  <r>
    <n v="655"/>
    <n v="117.60063425865671"/>
    <x v="655"/>
    <n v="0"/>
  </r>
  <r>
    <n v="656"/>
    <n v="87.963684601814634"/>
    <x v="656"/>
    <n v="0"/>
  </r>
  <r>
    <n v="657"/>
    <n v="36.010056366111506"/>
    <x v="657"/>
    <n v="1"/>
  </r>
  <r>
    <n v="658"/>
    <n v="80.150798694096039"/>
    <x v="658"/>
    <n v="0"/>
  </r>
  <r>
    <n v="659"/>
    <n v="82.760632578753089"/>
    <x v="659"/>
    <n v="0"/>
  </r>
  <r>
    <n v="660"/>
    <n v="79.593012842212431"/>
    <x v="660"/>
    <n v="0"/>
  </r>
  <r>
    <n v="661"/>
    <n v="81.515401129799685"/>
    <x v="661"/>
    <n v="0"/>
  </r>
  <r>
    <n v="662"/>
    <n v="49.060422930025595"/>
    <x v="662"/>
    <n v="0"/>
  </r>
  <r>
    <n v="663"/>
    <n v="71.446631510698438"/>
    <x v="663"/>
    <n v="0"/>
  </r>
  <r>
    <n v="664"/>
    <n v="163.33637635956532"/>
    <x v="664"/>
    <n v="0"/>
  </r>
  <r>
    <n v="665"/>
    <n v="32.615801347267869"/>
    <x v="665"/>
    <n v="1"/>
  </r>
  <r>
    <n v="666"/>
    <n v="75.575411017376339"/>
    <x v="666"/>
    <n v="0"/>
  </r>
  <r>
    <n v="667"/>
    <n v="100.66613463035969"/>
    <x v="667"/>
    <n v="0"/>
  </r>
  <r>
    <n v="668"/>
    <n v="78.673181260907256"/>
    <x v="668"/>
    <n v="0"/>
  </r>
  <r>
    <n v="669"/>
    <n v="29.42386211616596"/>
    <x v="669"/>
    <n v="1"/>
  </r>
  <r>
    <n v="670"/>
    <n v="80.8100943910068"/>
    <x v="670"/>
    <n v="0"/>
  </r>
  <r>
    <n v="671"/>
    <n v="130.06452078829273"/>
    <x v="671"/>
    <n v="0"/>
  </r>
  <r>
    <n v="672"/>
    <n v="58.729874869811525"/>
    <x v="672"/>
    <n v="0"/>
  </r>
  <r>
    <n v="673"/>
    <n v="58.113471763746645"/>
    <x v="673"/>
    <n v="0"/>
  </r>
  <r>
    <n v="674"/>
    <n v="48.424184392927579"/>
    <x v="674"/>
    <n v="0"/>
  </r>
  <r>
    <n v="675"/>
    <n v="39.038091012036467"/>
    <x v="675"/>
    <n v="0"/>
  </r>
  <r>
    <n v="676"/>
    <n v="31.809488758582344"/>
    <x v="676"/>
    <n v="1"/>
  </r>
  <r>
    <n v="677"/>
    <n v="95.279697001582178"/>
    <x v="677"/>
    <n v="0"/>
  </r>
  <r>
    <n v="678"/>
    <n v="48.87494924657058"/>
    <x v="678"/>
    <n v="0"/>
  </r>
  <r>
    <n v="679"/>
    <n v="48.517533765619255"/>
    <x v="679"/>
    <n v="0"/>
  </r>
  <r>
    <n v="680"/>
    <n v="51.45712165548187"/>
    <x v="680"/>
    <n v="0"/>
  </r>
  <r>
    <n v="681"/>
    <n v="91.267525541093335"/>
    <x v="681"/>
    <n v="0"/>
  </r>
  <r>
    <n v="682"/>
    <n v="42.527699699738442"/>
    <x v="682"/>
    <n v="0"/>
  </r>
  <r>
    <n v="683"/>
    <n v="27.31617155454822"/>
    <x v="683"/>
    <n v="1"/>
  </r>
  <r>
    <n v="684"/>
    <n v="82.275591322578975"/>
    <x v="684"/>
    <n v="0"/>
  </r>
  <r>
    <n v="685"/>
    <n v="50.233530649730717"/>
    <x v="685"/>
    <n v="0"/>
  </r>
  <r>
    <n v="686"/>
    <n v="65.69567231572023"/>
    <x v="686"/>
    <n v="0"/>
  </r>
  <r>
    <n v="687"/>
    <n v="71.688673811032871"/>
    <x v="687"/>
    <n v="0"/>
  </r>
  <r>
    <n v="688"/>
    <n v="92.364757375510905"/>
    <x v="688"/>
    <n v="0"/>
  </r>
  <r>
    <n v="689"/>
    <n v="17.900186291113936"/>
    <x v="689"/>
    <n v="1"/>
  </r>
  <r>
    <n v="690"/>
    <n v="76.23144887722836"/>
    <x v="690"/>
    <n v="0"/>
  </r>
  <r>
    <n v="691"/>
    <n v="70.527029398943711"/>
    <x v="691"/>
    <n v="0"/>
  </r>
  <r>
    <n v="692"/>
    <n v="28.936723355221371"/>
    <x v="692"/>
    <n v="1"/>
  </r>
  <r>
    <n v="693"/>
    <n v="201.91613087991533"/>
    <x v="693"/>
    <n v="0"/>
  </r>
  <r>
    <n v="694"/>
    <n v="80.782207278283906"/>
    <x v="694"/>
    <n v="0"/>
  </r>
  <r>
    <n v="695"/>
    <n v="86.346956279695775"/>
    <x v="695"/>
    <n v="0"/>
  </r>
  <r>
    <n v="696"/>
    <n v="90.089140657962076"/>
    <x v="696"/>
    <n v="0"/>
  </r>
  <r>
    <n v="697"/>
    <n v="39.480531962658368"/>
    <x v="697"/>
    <n v="0"/>
  </r>
  <r>
    <n v="698"/>
    <n v="80.237997637655354"/>
    <x v="698"/>
    <n v="0"/>
  </r>
  <r>
    <n v="699"/>
    <n v="48.184029323194139"/>
    <x v="699"/>
    <n v="0"/>
  </r>
  <r>
    <n v="700"/>
    <n v="42.144522202540486"/>
    <x v="700"/>
    <n v="0"/>
  </r>
  <r>
    <n v="701"/>
    <n v="52.067596683673344"/>
    <x v="701"/>
    <n v="0"/>
  </r>
  <r>
    <n v="702"/>
    <n v="66.616413387165082"/>
    <x v="702"/>
    <n v="0"/>
  </r>
  <r>
    <n v="703"/>
    <n v="122.48918249311185"/>
    <x v="703"/>
    <n v="0"/>
  </r>
  <r>
    <n v="704"/>
    <n v="55.948192223112905"/>
    <x v="704"/>
    <n v="0"/>
  </r>
  <r>
    <n v="705"/>
    <n v="220.09943586391825"/>
    <x v="705"/>
    <n v="0"/>
  </r>
  <r>
    <n v="706"/>
    <n v="118.21537796015502"/>
    <x v="706"/>
    <n v="0"/>
  </r>
  <r>
    <n v="707"/>
    <n v="50.361597031761903"/>
    <x v="707"/>
    <n v="0"/>
  </r>
  <r>
    <n v="708"/>
    <n v="27.90938454946318"/>
    <x v="708"/>
    <n v="1"/>
  </r>
  <r>
    <n v="709"/>
    <n v="76.829294023126991"/>
    <x v="709"/>
    <n v="0"/>
  </r>
  <r>
    <n v="710"/>
    <n v="52.24959486273481"/>
    <x v="710"/>
    <n v="0"/>
  </r>
  <r>
    <n v="711"/>
    <n v="28.784322223242647"/>
    <x v="711"/>
    <n v="1"/>
  </r>
  <r>
    <n v="712"/>
    <n v="37.259034841236982"/>
    <x v="712"/>
    <n v="0"/>
  </r>
  <r>
    <n v="713"/>
    <n v="142.94792391392804"/>
    <x v="713"/>
    <n v="0"/>
  </r>
  <r>
    <n v="714"/>
    <n v="91.361047560275594"/>
    <x v="714"/>
    <n v="0"/>
  </r>
  <r>
    <n v="715"/>
    <n v="41.195224459714588"/>
    <x v="715"/>
    <n v="0"/>
  </r>
  <r>
    <n v="716"/>
    <n v="74.504181842823726"/>
    <x v="716"/>
    <n v="0"/>
  </r>
  <r>
    <n v="717"/>
    <n v="83.905445924565186"/>
    <x v="717"/>
    <n v="0"/>
  </r>
  <r>
    <n v="718"/>
    <n v="40.823167271906271"/>
    <x v="718"/>
    <n v="0"/>
  </r>
  <r>
    <n v="719"/>
    <n v="44.912789750880094"/>
    <x v="719"/>
    <n v="0"/>
  </r>
  <r>
    <n v="720"/>
    <n v="38.718249776869555"/>
    <x v="720"/>
    <n v="0"/>
  </r>
  <r>
    <n v="721"/>
    <n v="29.525607385796082"/>
    <x v="721"/>
    <n v="1"/>
  </r>
  <r>
    <n v="722"/>
    <n v="66.381283849049822"/>
    <x v="722"/>
    <n v="0"/>
  </r>
  <r>
    <n v="723"/>
    <n v="58.874782534412681"/>
    <x v="723"/>
    <n v="0"/>
  </r>
  <r>
    <n v="724"/>
    <n v="131.81956112422029"/>
    <x v="724"/>
    <n v="0"/>
  </r>
  <r>
    <n v="725"/>
    <n v="55.291186550324305"/>
    <x v="725"/>
    <n v="0"/>
  </r>
  <r>
    <n v="726"/>
    <n v="93.766571241814603"/>
    <x v="726"/>
    <n v="0"/>
  </r>
  <r>
    <n v="727"/>
    <n v="138.15000973151672"/>
    <x v="727"/>
    <n v="0"/>
  </r>
  <r>
    <n v="728"/>
    <n v="70.200000702773721"/>
    <x v="728"/>
    <n v="0"/>
  </r>
  <r>
    <n v="729"/>
    <n v="43.808427637582554"/>
    <x v="729"/>
    <n v="0"/>
  </r>
  <r>
    <n v="730"/>
    <n v="59.952346002170053"/>
    <x v="730"/>
    <n v="0"/>
  </r>
  <r>
    <n v="731"/>
    <n v="56.545273569890043"/>
    <x v="731"/>
    <n v="0"/>
  </r>
  <r>
    <n v="732"/>
    <n v="124.0276228876595"/>
    <x v="732"/>
    <n v="0"/>
  </r>
  <r>
    <n v="733"/>
    <n v="78.663975725841965"/>
    <x v="733"/>
    <n v="0"/>
  </r>
  <r>
    <n v="734"/>
    <n v="51.712468937364761"/>
    <x v="734"/>
    <n v="0"/>
  </r>
  <r>
    <n v="735"/>
    <n v="47.252503829320034"/>
    <x v="735"/>
    <n v="0"/>
  </r>
  <r>
    <n v="736"/>
    <n v="124.87582562143528"/>
    <x v="736"/>
    <n v="0"/>
  </r>
  <r>
    <n v="737"/>
    <n v="41.847011624907957"/>
    <x v="737"/>
    <n v="0"/>
  </r>
  <r>
    <n v="738"/>
    <n v="38.449095928207512"/>
    <x v="738"/>
    <n v="0"/>
  </r>
  <r>
    <n v="739"/>
    <n v="38.319408300286916"/>
    <x v="739"/>
    <n v="0"/>
  </r>
  <r>
    <n v="740"/>
    <n v="50.340380281796968"/>
    <x v="740"/>
    <n v="0"/>
  </r>
  <r>
    <n v="741"/>
    <n v="87.620829366446429"/>
    <x v="741"/>
    <n v="0"/>
  </r>
  <r>
    <n v="742"/>
    <n v="41.567634659103476"/>
    <x v="742"/>
    <n v="0"/>
  </r>
  <r>
    <n v="743"/>
    <n v="94.453298468737913"/>
    <x v="743"/>
    <n v="0"/>
  </r>
  <r>
    <n v="744"/>
    <n v="39.708277955247524"/>
    <x v="744"/>
    <n v="0"/>
  </r>
  <r>
    <n v="745"/>
    <n v="140.63217488132551"/>
    <x v="745"/>
    <n v="0"/>
  </r>
  <r>
    <n v="746"/>
    <n v="105.31526549782379"/>
    <x v="746"/>
    <n v="0"/>
  </r>
  <r>
    <n v="747"/>
    <n v="55.412480085719338"/>
    <x v="747"/>
    <n v="0"/>
  </r>
  <r>
    <n v="748"/>
    <n v="111.08649803449717"/>
    <x v="748"/>
    <n v="0"/>
  </r>
  <r>
    <n v="749"/>
    <n v="47.048629001833966"/>
    <x v="749"/>
    <n v="0"/>
  </r>
  <r>
    <n v="750"/>
    <n v="52.461243111406077"/>
    <x v="750"/>
    <n v="0"/>
  </r>
  <r>
    <n v="751"/>
    <n v="60.995993000862541"/>
    <x v="751"/>
    <n v="0"/>
  </r>
  <r>
    <n v="752"/>
    <n v="36.555734459104599"/>
    <x v="752"/>
    <n v="1"/>
  </r>
  <r>
    <n v="753"/>
    <n v="63.238540456704349"/>
    <x v="753"/>
    <n v="0"/>
  </r>
  <r>
    <n v="754"/>
    <n v="50.958321022182957"/>
    <x v="754"/>
    <n v="0"/>
  </r>
  <r>
    <n v="755"/>
    <n v="85.642743006185285"/>
    <x v="755"/>
    <n v="0"/>
  </r>
  <r>
    <n v="756"/>
    <n v="52.468105164502582"/>
    <x v="756"/>
    <n v="0"/>
  </r>
  <r>
    <n v="757"/>
    <n v="42.838511837457141"/>
    <x v="757"/>
    <n v="0"/>
  </r>
  <r>
    <n v="758"/>
    <n v="66.660539437568545"/>
    <x v="758"/>
    <n v="0"/>
  </r>
  <r>
    <n v="759"/>
    <n v="92.942873456307396"/>
    <x v="759"/>
    <n v="0"/>
  </r>
  <r>
    <n v="760"/>
    <n v="35.064389166106601"/>
    <x v="760"/>
    <n v="1"/>
  </r>
  <r>
    <n v="761"/>
    <n v="90.70056755272185"/>
    <x v="761"/>
    <n v="0"/>
  </r>
  <r>
    <n v="762"/>
    <n v="54.075437108975855"/>
    <x v="762"/>
    <n v="0"/>
  </r>
  <r>
    <n v="763"/>
    <n v="106.42237231280424"/>
    <x v="763"/>
    <n v="0"/>
  </r>
  <r>
    <n v="764"/>
    <n v="106.06836339987794"/>
    <x v="764"/>
    <n v="0"/>
  </r>
  <r>
    <n v="765"/>
    <n v="43.390415144962269"/>
    <x v="765"/>
    <n v="0"/>
  </r>
  <r>
    <n v="766"/>
    <n v="62.050839659313837"/>
    <x v="766"/>
    <n v="0"/>
  </r>
  <r>
    <n v="767"/>
    <n v="56.096872464665033"/>
    <x v="767"/>
    <n v="0"/>
  </r>
  <r>
    <n v="768"/>
    <n v="86.861331136783392"/>
    <x v="768"/>
    <n v="0"/>
  </r>
  <r>
    <n v="769"/>
    <n v="41.429385471934488"/>
    <x v="769"/>
    <n v="0"/>
  </r>
  <r>
    <n v="770"/>
    <n v="55.37194378742101"/>
    <x v="770"/>
    <n v="0"/>
  </r>
  <r>
    <n v="771"/>
    <n v="97.989992298237027"/>
    <x v="771"/>
    <n v="0"/>
  </r>
  <r>
    <n v="772"/>
    <n v="44.54838331037778"/>
    <x v="772"/>
    <n v="0"/>
  </r>
  <r>
    <n v="773"/>
    <n v="84.947244378997766"/>
    <x v="773"/>
    <n v="0"/>
  </r>
  <r>
    <n v="774"/>
    <n v="35.385293422009021"/>
    <x v="774"/>
    <n v="1"/>
  </r>
  <r>
    <n v="775"/>
    <n v="66.098821006307418"/>
    <x v="775"/>
    <n v="0"/>
  </r>
  <r>
    <n v="776"/>
    <n v="100.54035512594182"/>
    <x v="776"/>
    <n v="0"/>
  </r>
  <r>
    <n v="777"/>
    <n v="31.630136193044184"/>
    <x v="777"/>
    <n v="1"/>
  </r>
  <r>
    <n v="778"/>
    <n v="108.48372511047846"/>
    <x v="778"/>
    <n v="0"/>
  </r>
  <r>
    <n v="779"/>
    <n v="64.371829753988109"/>
    <x v="779"/>
    <n v="0"/>
  </r>
  <r>
    <n v="780"/>
    <n v="110.85372320800916"/>
    <x v="780"/>
    <n v="0"/>
  </r>
  <r>
    <n v="781"/>
    <n v="76.626905763509882"/>
    <x v="781"/>
    <n v="0"/>
  </r>
  <r>
    <n v="782"/>
    <n v="88.736462605148333"/>
    <x v="782"/>
    <n v="0"/>
  </r>
  <r>
    <n v="783"/>
    <n v="32.726899776892459"/>
    <x v="783"/>
    <n v="1"/>
  </r>
  <r>
    <n v="784"/>
    <n v="32.992048790594538"/>
    <x v="784"/>
    <n v="1"/>
  </r>
  <r>
    <n v="785"/>
    <n v="34.773327749891415"/>
    <x v="785"/>
    <n v="1"/>
  </r>
  <r>
    <n v="786"/>
    <n v="34.958061352426547"/>
    <x v="786"/>
    <n v="1"/>
  </r>
  <r>
    <n v="787"/>
    <n v="43.922540323808221"/>
    <x v="787"/>
    <n v="0"/>
  </r>
  <r>
    <n v="788"/>
    <n v="83.647278935391356"/>
    <x v="788"/>
    <n v="0"/>
  </r>
  <r>
    <n v="789"/>
    <n v="69.497650981329599"/>
    <x v="789"/>
    <n v="0"/>
  </r>
  <r>
    <n v="790"/>
    <n v="60.470988907850909"/>
    <x v="790"/>
    <n v="0"/>
  </r>
  <r>
    <n v="791"/>
    <n v="26.921158588372201"/>
    <x v="791"/>
    <n v="1"/>
  </r>
  <r>
    <n v="792"/>
    <n v="186.10091122429154"/>
    <x v="792"/>
    <n v="0"/>
  </r>
  <r>
    <n v="793"/>
    <n v="65.5417793089821"/>
    <x v="793"/>
    <n v="0"/>
  </r>
  <r>
    <n v="794"/>
    <n v="52.163268973239795"/>
    <x v="794"/>
    <n v="0"/>
  </r>
  <r>
    <n v="795"/>
    <n v="46.659604137486859"/>
    <x v="795"/>
    <n v="0"/>
  </r>
  <r>
    <n v="796"/>
    <n v="47.283155471716512"/>
    <x v="796"/>
    <n v="0"/>
  </r>
  <r>
    <n v="797"/>
    <n v="55.505818770750167"/>
    <x v="797"/>
    <n v="0"/>
  </r>
  <r>
    <n v="798"/>
    <n v="63.936216235356788"/>
    <x v="798"/>
    <n v="0"/>
  </r>
  <r>
    <n v="799"/>
    <n v="32.659377240840705"/>
    <x v="799"/>
    <n v="1"/>
  </r>
  <r>
    <n v="800"/>
    <n v="76.668725593556658"/>
    <x v="800"/>
    <n v="0"/>
  </r>
  <r>
    <n v="801"/>
    <n v="69.725826901873049"/>
    <x v="801"/>
    <n v="0"/>
  </r>
  <r>
    <n v="802"/>
    <n v="24.841769920542745"/>
    <x v="802"/>
    <n v="1"/>
  </r>
  <r>
    <n v="803"/>
    <n v="92.338203525078114"/>
    <x v="803"/>
    <n v="0"/>
  </r>
  <r>
    <n v="804"/>
    <n v="93.514972485863851"/>
    <x v="804"/>
    <n v="0"/>
  </r>
  <r>
    <n v="805"/>
    <n v="24.160731482697901"/>
    <x v="805"/>
    <n v="1"/>
  </r>
  <r>
    <n v="806"/>
    <n v="30.744882027248018"/>
    <x v="806"/>
    <n v="1"/>
  </r>
  <r>
    <n v="807"/>
    <n v="74.579917636926055"/>
    <x v="807"/>
    <n v="0"/>
  </r>
  <r>
    <n v="808"/>
    <n v="52.962039114629178"/>
    <x v="808"/>
    <n v="0"/>
  </r>
  <r>
    <n v="809"/>
    <n v="70.979452379380788"/>
    <x v="809"/>
    <n v="0"/>
  </r>
  <r>
    <n v="810"/>
    <n v="64.348163690320519"/>
    <x v="810"/>
    <n v="0"/>
  </r>
  <r>
    <n v="811"/>
    <n v="96.760451864427253"/>
    <x v="811"/>
    <n v="0"/>
  </r>
  <r>
    <n v="812"/>
    <n v="72.885022902753391"/>
    <x v="812"/>
    <n v="0"/>
  </r>
  <r>
    <n v="813"/>
    <n v="43.699381602942502"/>
    <x v="813"/>
    <n v="0"/>
  </r>
  <r>
    <n v="814"/>
    <n v="32.366730357353624"/>
    <x v="814"/>
    <n v="1"/>
  </r>
  <r>
    <n v="815"/>
    <n v="24.891815773224057"/>
    <x v="815"/>
    <n v="1"/>
  </r>
  <r>
    <n v="816"/>
    <n v="41.9266060015417"/>
    <x v="816"/>
    <n v="0"/>
  </r>
  <r>
    <n v="817"/>
    <n v="58.361609105091922"/>
    <x v="817"/>
    <n v="0"/>
  </r>
  <r>
    <n v="818"/>
    <n v="40.510575888625546"/>
    <x v="818"/>
    <n v="0"/>
  </r>
  <r>
    <n v="819"/>
    <n v="36.579058151409271"/>
    <x v="819"/>
    <n v="1"/>
  </r>
  <r>
    <n v="820"/>
    <n v="58.282458142211283"/>
    <x v="820"/>
    <n v="0"/>
  </r>
  <r>
    <n v="821"/>
    <n v="77.642248249366446"/>
    <x v="821"/>
    <n v="0"/>
  </r>
  <r>
    <n v="822"/>
    <n v="152.62083196255239"/>
    <x v="822"/>
    <n v="0"/>
  </r>
  <r>
    <n v="823"/>
    <n v="42.346972744031724"/>
    <x v="823"/>
    <n v="0"/>
  </r>
  <r>
    <n v="824"/>
    <n v="81.52645118265599"/>
    <x v="824"/>
    <n v="0"/>
  </r>
  <r>
    <n v="825"/>
    <n v="93.988166201575382"/>
    <x v="825"/>
    <n v="0"/>
  </r>
  <r>
    <n v="826"/>
    <n v="203.31079189027113"/>
    <x v="826"/>
    <n v="0"/>
  </r>
  <r>
    <n v="827"/>
    <n v="36.869715376756446"/>
    <x v="827"/>
    <n v="1"/>
  </r>
  <r>
    <n v="828"/>
    <n v="76.037056803241754"/>
    <x v="828"/>
    <n v="0"/>
  </r>
  <r>
    <n v="829"/>
    <n v="58.117550278052306"/>
    <x v="829"/>
    <n v="0"/>
  </r>
  <r>
    <n v="830"/>
    <n v="109.11366553907374"/>
    <x v="830"/>
    <n v="0"/>
  </r>
  <r>
    <n v="831"/>
    <n v="63.381683369583932"/>
    <x v="831"/>
    <n v="0"/>
  </r>
  <r>
    <n v="832"/>
    <n v="43.689915759445171"/>
    <x v="832"/>
    <n v="0"/>
  </r>
  <r>
    <n v="833"/>
    <n v="35.748684465210168"/>
    <x v="833"/>
    <n v="1"/>
  </r>
  <r>
    <n v="834"/>
    <n v="123.4708848572715"/>
    <x v="834"/>
    <n v="0"/>
  </r>
  <r>
    <n v="835"/>
    <n v="70.976240275499578"/>
    <x v="835"/>
    <n v="0"/>
  </r>
  <r>
    <n v="836"/>
    <n v="73.871710880816295"/>
    <x v="836"/>
    <n v="0"/>
  </r>
  <r>
    <n v="837"/>
    <n v="80.772085888542975"/>
    <x v="837"/>
    <n v="0"/>
  </r>
  <r>
    <n v="838"/>
    <n v="124.03401915180471"/>
    <x v="838"/>
    <n v="0"/>
  </r>
  <r>
    <n v="839"/>
    <n v="57.94765375948537"/>
    <x v="839"/>
    <n v="0"/>
  </r>
  <r>
    <n v="840"/>
    <n v="49.759725860335934"/>
    <x v="840"/>
    <n v="0"/>
  </r>
  <r>
    <n v="841"/>
    <n v="43.12636361992255"/>
    <x v="841"/>
    <n v="0"/>
  </r>
  <r>
    <n v="842"/>
    <n v="36.795624996206406"/>
    <x v="842"/>
    <n v="1"/>
  </r>
  <r>
    <n v="843"/>
    <n v="65.923138240890324"/>
    <x v="843"/>
    <n v="0"/>
  </r>
  <r>
    <n v="844"/>
    <n v="52.893534225323947"/>
    <x v="844"/>
    <n v="0"/>
  </r>
  <r>
    <n v="845"/>
    <n v="229.46760770813344"/>
    <x v="845"/>
    <n v="0"/>
  </r>
  <r>
    <n v="846"/>
    <n v="13.456377928182674"/>
    <x v="846"/>
    <n v="1"/>
  </r>
  <r>
    <n v="847"/>
    <n v="45.086467771925037"/>
    <x v="847"/>
    <n v="0"/>
  </r>
  <r>
    <n v="848"/>
    <n v="42.930915287173576"/>
    <x v="848"/>
    <n v="0"/>
  </r>
  <r>
    <n v="849"/>
    <n v="141.87121964990715"/>
    <x v="849"/>
    <n v="0"/>
  </r>
  <r>
    <n v="850"/>
    <n v="70.863177723504208"/>
    <x v="850"/>
    <n v="0"/>
  </r>
  <r>
    <n v="851"/>
    <n v="120.92593076845652"/>
    <x v="851"/>
    <n v="0"/>
  </r>
  <r>
    <n v="852"/>
    <n v="127.43230098509446"/>
    <x v="852"/>
    <n v="0"/>
  </r>
  <r>
    <n v="853"/>
    <n v="59.098006954015275"/>
    <x v="853"/>
    <n v="0"/>
  </r>
  <r>
    <n v="854"/>
    <n v="75.027800438625064"/>
    <x v="854"/>
    <n v="0"/>
  </r>
  <r>
    <n v="855"/>
    <n v="38.986177156733447"/>
    <x v="855"/>
    <n v="0"/>
  </r>
  <r>
    <n v="856"/>
    <n v="74.419606365324867"/>
    <x v="856"/>
    <n v="0"/>
  </r>
  <r>
    <n v="857"/>
    <n v="74.497807582304105"/>
    <x v="857"/>
    <n v="0"/>
  </r>
  <r>
    <n v="858"/>
    <n v="57.228239198188646"/>
    <x v="858"/>
    <n v="0"/>
  </r>
  <r>
    <n v="859"/>
    <n v="138.19841714026211"/>
    <x v="859"/>
    <n v="0"/>
  </r>
  <r>
    <n v="860"/>
    <n v="55.534898721875365"/>
    <x v="860"/>
    <n v="0"/>
  </r>
  <r>
    <n v="861"/>
    <n v="40.324035649145515"/>
    <x v="861"/>
    <n v="0"/>
  </r>
  <r>
    <n v="862"/>
    <n v="153.50451737079425"/>
    <x v="862"/>
    <n v="0"/>
  </r>
  <r>
    <n v="863"/>
    <n v="35.885139236500571"/>
    <x v="863"/>
    <n v="1"/>
  </r>
  <r>
    <n v="864"/>
    <n v="34.970619151587158"/>
    <x v="864"/>
    <n v="1"/>
  </r>
  <r>
    <n v="865"/>
    <n v="175.02656231584004"/>
    <x v="865"/>
    <n v="0"/>
  </r>
  <r>
    <n v="866"/>
    <n v="67.363585955731509"/>
    <x v="866"/>
    <n v="0"/>
  </r>
  <r>
    <n v="867"/>
    <n v="59.526766784957466"/>
    <x v="867"/>
    <n v="0"/>
  </r>
  <r>
    <n v="868"/>
    <n v="79.522242754720466"/>
    <x v="868"/>
    <n v="0"/>
  </r>
  <r>
    <n v="869"/>
    <n v="87.23116323335897"/>
    <x v="869"/>
    <n v="0"/>
  </r>
  <r>
    <n v="870"/>
    <n v="88.623495419998079"/>
    <x v="870"/>
    <n v="0"/>
  </r>
  <r>
    <n v="871"/>
    <n v="34.4387642124534"/>
    <x v="871"/>
    <n v="1"/>
  </r>
  <r>
    <n v="872"/>
    <n v="63.812572261501522"/>
    <x v="872"/>
    <n v="0"/>
  </r>
  <r>
    <n v="873"/>
    <n v="60.473620918107251"/>
    <x v="873"/>
    <n v="0"/>
  </r>
  <r>
    <n v="874"/>
    <n v="36.924833047291067"/>
    <x v="874"/>
    <n v="1"/>
  </r>
  <r>
    <n v="875"/>
    <n v="63.105991345080319"/>
    <x v="875"/>
    <n v="0"/>
  </r>
  <r>
    <n v="876"/>
    <n v="100.84537671439332"/>
    <x v="876"/>
    <n v="0"/>
  </r>
  <r>
    <n v="877"/>
    <n v="84.263701916717082"/>
    <x v="877"/>
    <n v="0"/>
  </r>
  <r>
    <n v="878"/>
    <n v="63.426753191002994"/>
    <x v="878"/>
    <n v="0"/>
  </r>
  <r>
    <n v="879"/>
    <n v="111.06100014093502"/>
    <x v="879"/>
    <n v="0"/>
  </r>
  <r>
    <n v="880"/>
    <n v="84.113053525252838"/>
    <x v="880"/>
    <n v="0"/>
  </r>
  <r>
    <n v="881"/>
    <n v="39.383159007986521"/>
    <x v="881"/>
    <n v="0"/>
  </r>
  <r>
    <n v="882"/>
    <n v="74.508716204851709"/>
    <x v="882"/>
    <n v="0"/>
  </r>
  <r>
    <n v="883"/>
    <n v="129.63328583720184"/>
    <x v="883"/>
    <n v="0"/>
  </r>
  <r>
    <n v="884"/>
    <n v="31.392235068852496"/>
    <x v="884"/>
    <n v="1"/>
  </r>
  <r>
    <n v="885"/>
    <n v="163.65824468933624"/>
    <x v="885"/>
    <n v="0"/>
  </r>
  <r>
    <n v="886"/>
    <n v="99.440682756844069"/>
    <x v="886"/>
    <n v="0"/>
  </r>
  <r>
    <n v="887"/>
    <n v="49.719675732387991"/>
    <x v="887"/>
    <n v="0"/>
  </r>
  <r>
    <n v="888"/>
    <n v="61.774457288731348"/>
    <x v="888"/>
    <n v="0"/>
  </r>
  <r>
    <n v="889"/>
    <n v="38.746035685808614"/>
    <x v="889"/>
    <n v="0"/>
  </r>
  <r>
    <n v="890"/>
    <n v="43.980690515183369"/>
    <x v="890"/>
    <n v="0"/>
  </r>
  <r>
    <n v="891"/>
    <n v="192.8725602454754"/>
    <x v="891"/>
    <n v="0"/>
  </r>
  <r>
    <n v="892"/>
    <n v="73.389991083038581"/>
    <x v="892"/>
    <n v="0"/>
  </r>
  <r>
    <n v="893"/>
    <n v="72.683169281989862"/>
    <x v="893"/>
    <n v="0"/>
  </r>
  <r>
    <n v="894"/>
    <n v="116.48450406167802"/>
    <x v="894"/>
    <n v="0"/>
  </r>
  <r>
    <n v="895"/>
    <n v="70.633375256537704"/>
    <x v="895"/>
    <n v="0"/>
  </r>
  <r>
    <n v="896"/>
    <n v="66.153348211146465"/>
    <x v="896"/>
    <n v="0"/>
  </r>
  <r>
    <n v="897"/>
    <n v="39.780797929768667"/>
    <x v="897"/>
    <n v="0"/>
  </r>
  <r>
    <n v="898"/>
    <n v="53.933679718321699"/>
    <x v="898"/>
    <n v="0"/>
  </r>
  <r>
    <n v="899"/>
    <n v="55.389481934080877"/>
    <x v="899"/>
    <n v="0"/>
  </r>
  <r>
    <n v="900"/>
    <n v="33.910233389668043"/>
    <x v="900"/>
    <n v="1"/>
  </r>
  <r>
    <n v="901"/>
    <n v="55.881384938585413"/>
    <x v="901"/>
    <n v="0"/>
  </r>
  <r>
    <n v="902"/>
    <n v="94.517385552305313"/>
    <x v="902"/>
    <n v="0"/>
  </r>
  <r>
    <n v="903"/>
    <n v="44.81269888612119"/>
    <x v="903"/>
    <n v="0"/>
  </r>
  <r>
    <n v="904"/>
    <n v="42.968225230728649"/>
    <x v="904"/>
    <n v="0"/>
  </r>
  <r>
    <n v="905"/>
    <n v="99.425694730360377"/>
    <x v="905"/>
    <n v="0"/>
  </r>
  <r>
    <n v="906"/>
    <n v="22.193158804476461"/>
    <x v="906"/>
    <n v="1"/>
  </r>
  <r>
    <n v="907"/>
    <n v="56.548648211922128"/>
    <x v="907"/>
    <n v="0"/>
  </r>
  <r>
    <n v="908"/>
    <n v="49.473260796673451"/>
    <x v="908"/>
    <n v="0"/>
  </r>
  <r>
    <n v="909"/>
    <n v="83.872472190781977"/>
    <x v="909"/>
    <n v="0"/>
  </r>
  <r>
    <n v="910"/>
    <n v="59.958185981684146"/>
    <x v="910"/>
    <n v="0"/>
  </r>
  <r>
    <n v="911"/>
    <n v="34.152007411928224"/>
    <x v="911"/>
    <n v="1"/>
  </r>
  <r>
    <n v="912"/>
    <n v="44.51346984432179"/>
    <x v="912"/>
    <n v="0"/>
  </r>
  <r>
    <n v="913"/>
    <n v="114.44084004839502"/>
    <x v="913"/>
    <n v="0"/>
  </r>
  <r>
    <n v="914"/>
    <n v="80.779579354293006"/>
    <x v="914"/>
    <n v="0"/>
  </r>
  <r>
    <n v="915"/>
    <n v="80.213533447481439"/>
    <x v="915"/>
    <n v="0"/>
  </r>
  <r>
    <n v="916"/>
    <n v="34.130264800058931"/>
    <x v="916"/>
    <n v="1"/>
  </r>
  <r>
    <n v="917"/>
    <n v="24.233476584255254"/>
    <x v="917"/>
    <n v="1"/>
  </r>
  <r>
    <n v="918"/>
    <n v="69.887487030806767"/>
    <x v="918"/>
    <n v="0"/>
  </r>
  <r>
    <n v="919"/>
    <n v="43.14954502889276"/>
    <x v="919"/>
    <n v="0"/>
  </r>
  <r>
    <n v="920"/>
    <n v="41.639259048611329"/>
    <x v="920"/>
    <n v="0"/>
  </r>
  <r>
    <n v="921"/>
    <n v="245.28841756725049"/>
    <x v="921"/>
    <n v="0"/>
  </r>
  <r>
    <n v="922"/>
    <n v="54.406349432287051"/>
    <x v="922"/>
    <n v="0"/>
  </r>
  <r>
    <n v="923"/>
    <n v="131.85199195807286"/>
    <x v="923"/>
    <n v="0"/>
  </r>
  <r>
    <n v="924"/>
    <n v="25.059990062553606"/>
    <x v="924"/>
    <n v="1"/>
  </r>
  <r>
    <n v="925"/>
    <n v="26.362453544316359"/>
    <x v="925"/>
    <n v="1"/>
  </r>
  <r>
    <n v="926"/>
    <n v="66.885506600030453"/>
    <x v="926"/>
    <n v="0"/>
  </r>
  <r>
    <n v="927"/>
    <n v="68.735697375551212"/>
    <x v="927"/>
    <n v="0"/>
  </r>
  <r>
    <n v="928"/>
    <n v="77.306869546319533"/>
    <x v="928"/>
    <n v="0"/>
  </r>
  <r>
    <n v="929"/>
    <n v="64.544097710346676"/>
    <x v="929"/>
    <n v="0"/>
  </r>
  <r>
    <n v="930"/>
    <n v="73.42772365296122"/>
    <x v="930"/>
    <n v="0"/>
  </r>
  <r>
    <n v="931"/>
    <n v="79.755132452161803"/>
    <x v="931"/>
    <n v="0"/>
  </r>
  <r>
    <n v="932"/>
    <n v="33.070223484159271"/>
    <x v="932"/>
    <n v="1"/>
  </r>
  <r>
    <n v="933"/>
    <n v="62.200998158701985"/>
    <x v="933"/>
    <n v="0"/>
  </r>
  <r>
    <n v="934"/>
    <n v="50.438519990201144"/>
    <x v="934"/>
    <n v="0"/>
  </r>
  <r>
    <n v="935"/>
    <n v="71.558479522256022"/>
    <x v="935"/>
    <n v="0"/>
  </r>
  <r>
    <n v="936"/>
    <n v="64.501345456373784"/>
    <x v="936"/>
    <n v="0"/>
  </r>
  <r>
    <n v="937"/>
    <n v="73.485870886892144"/>
    <x v="937"/>
    <n v="0"/>
  </r>
  <r>
    <n v="938"/>
    <n v="95.91649306951885"/>
    <x v="938"/>
    <n v="0"/>
  </r>
  <r>
    <n v="939"/>
    <n v="81.83622428911336"/>
    <x v="939"/>
    <n v="0"/>
  </r>
  <r>
    <n v="940"/>
    <n v="68.402877308984358"/>
    <x v="940"/>
    <n v="0"/>
  </r>
  <r>
    <n v="941"/>
    <n v="69.982430698183464"/>
    <x v="941"/>
    <n v="0"/>
  </r>
  <r>
    <n v="942"/>
    <n v="72.883441292916984"/>
    <x v="942"/>
    <n v="0"/>
  </r>
  <r>
    <n v="943"/>
    <n v="59.061556634661343"/>
    <x v="943"/>
    <n v="0"/>
  </r>
  <r>
    <n v="944"/>
    <n v="69.813957410271868"/>
    <x v="944"/>
    <n v="0"/>
  </r>
  <r>
    <n v="945"/>
    <n v="48.988384617505105"/>
    <x v="945"/>
    <n v="0"/>
  </r>
  <r>
    <n v="946"/>
    <n v="59.667139878798402"/>
    <x v="946"/>
    <n v="0"/>
  </r>
  <r>
    <n v="947"/>
    <n v="40.06706653319754"/>
    <x v="947"/>
    <n v="0"/>
  </r>
  <r>
    <n v="948"/>
    <n v="118.3363750696541"/>
    <x v="948"/>
    <n v="0"/>
  </r>
  <r>
    <n v="949"/>
    <n v="51.766714153581681"/>
    <x v="949"/>
    <n v="0"/>
  </r>
  <r>
    <n v="950"/>
    <n v="151.44247028565462"/>
    <x v="950"/>
    <n v="0"/>
  </r>
  <r>
    <n v="951"/>
    <n v="55.071390408028982"/>
    <x v="951"/>
    <n v="0"/>
  </r>
  <r>
    <n v="952"/>
    <n v="68.625449990128573"/>
    <x v="952"/>
    <n v="0"/>
  </r>
  <r>
    <n v="953"/>
    <n v="45.664679204216014"/>
    <x v="953"/>
    <n v="0"/>
  </r>
  <r>
    <n v="954"/>
    <n v="50.976597853299396"/>
    <x v="954"/>
    <n v="0"/>
  </r>
  <r>
    <n v="955"/>
    <n v="128.34866979215735"/>
    <x v="955"/>
    <n v="0"/>
  </r>
  <r>
    <n v="956"/>
    <n v="42.979766792427583"/>
    <x v="956"/>
    <n v="0"/>
  </r>
  <r>
    <n v="957"/>
    <n v="189.0597460677036"/>
    <x v="957"/>
    <n v="0"/>
  </r>
  <r>
    <n v="958"/>
    <n v="101.91885879363761"/>
    <x v="958"/>
    <n v="0"/>
  </r>
  <r>
    <n v="959"/>
    <n v="75.642142969436463"/>
    <x v="959"/>
    <n v="0"/>
  </r>
  <r>
    <n v="960"/>
    <n v="82.038635012150849"/>
    <x v="960"/>
    <n v="0"/>
  </r>
  <r>
    <n v="961"/>
    <n v="36.035144018969689"/>
    <x v="961"/>
    <n v="1"/>
  </r>
  <r>
    <n v="962"/>
    <n v="53.801382177159809"/>
    <x v="962"/>
    <n v="0"/>
  </r>
  <r>
    <n v="963"/>
    <n v="67.321622230173148"/>
    <x v="963"/>
    <n v="0"/>
  </r>
  <r>
    <n v="964"/>
    <n v="114.80946013650784"/>
    <x v="964"/>
    <n v="0"/>
  </r>
  <r>
    <n v="965"/>
    <n v="58.922906343303019"/>
    <x v="965"/>
    <n v="0"/>
  </r>
  <r>
    <n v="966"/>
    <n v="52.417096609529509"/>
    <x v="966"/>
    <n v="0"/>
  </r>
  <r>
    <n v="967"/>
    <n v="69.026928645662224"/>
    <x v="967"/>
    <n v="0"/>
  </r>
  <r>
    <n v="968"/>
    <n v="82.702458192358208"/>
    <x v="968"/>
    <n v="0"/>
  </r>
  <r>
    <n v="969"/>
    <n v="64.84085247775549"/>
    <x v="969"/>
    <n v="0"/>
  </r>
  <r>
    <n v="970"/>
    <n v="73.388680866654283"/>
    <x v="970"/>
    <n v="0"/>
  </r>
  <r>
    <n v="971"/>
    <n v="118.38024063056015"/>
    <x v="971"/>
    <n v="0"/>
  </r>
  <r>
    <n v="972"/>
    <n v="39.663670643732196"/>
    <x v="972"/>
    <n v="0"/>
  </r>
  <r>
    <n v="973"/>
    <n v="50.398697524812121"/>
    <x v="973"/>
    <n v="0"/>
  </r>
  <r>
    <n v="974"/>
    <n v="66.954517208777801"/>
    <x v="974"/>
    <n v="0"/>
  </r>
  <r>
    <n v="975"/>
    <n v="54.101755155429665"/>
    <x v="975"/>
    <n v="0"/>
  </r>
  <r>
    <n v="976"/>
    <n v="53.109512363509026"/>
    <x v="976"/>
    <n v="0"/>
  </r>
  <r>
    <n v="977"/>
    <n v="67.836483846850996"/>
    <x v="977"/>
    <n v="0"/>
  </r>
  <r>
    <n v="978"/>
    <n v="63.816114879675418"/>
    <x v="978"/>
    <n v="0"/>
  </r>
  <r>
    <n v="979"/>
    <n v="71.882368437698076"/>
    <x v="979"/>
    <n v="0"/>
  </r>
  <r>
    <n v="980"/>
    <n v="110.62887513017215"/>
    <x v="980"/>
    <n v="0"/>
  </r>
  <r>
    <n v="981"/>
    <n v="57.277240188870671"/>
    <x v="981"/>
    <n v="0"/>
  </r>
  <r>
    <n v="982"/>
    <n v="37.066456807465521"/>
    <x v="982"/>
    <n v="1"/>
  </r>
  <r>
    <n v="983"/>
    <n v="42.220612270079052"/>
    <x v="983"/>
    <n v="0"/>
  </r>
  <r>
    <n v="984"/>
    <n v="60.966626546002956"/>
    <x v="984"/>
    <n v="0"/>
  </r>
  <r>
    <n v="985"/>
    <n v="92.794961466726122"/>
    <x v="985"/>
    <n v="0"/>
  </r>
  <r>
    <n v="986"/>
    <n v="113.40065793644483"/>
    <x v="986"/>
    <n v="0"/>
  </r>
  <r>
    <n v="987"/>
    <n v="96.843541921592347"/>
    <x v="987"/>
    <n v="0"/>
  </r>
  <r>
    <n v="988"/>
    <n v="101.6871252026273"/>
    <x v="988"/>
    <n v="0"/>
  </r>
  <r>
    <n v="989"/>
    <n v="81.920637737834539"/>
    <x v="989"/>
    <n v="0"/>
  </r>
  <r>
    <n v="990"/>
    <n v="95.179039934295375"/>
    <x v="990"/>
    <n v="0"/>
  </r>
  <r>
    <n v="991"/>
    <n v="157.84373870728078"/>
    <x v="991"/>
    <n v="0"/>
  </r>
  <r>
    <n v="992"/>
    <n v="47.633310549484875"/>
    <x v="992"/>
    <n v="0"/>
  </r>
  <r>
    <n v="993"/>
    <n v="64.843237998642635"/>
    <x v="993"/>
    <n v="0"/>
  </r>
  <r>
    <n v="994"/>
    <n v="105.33654326427505"/>
    <x v="994"/>
    <n v="0"/>
  </r>
  <r>
    <n v="995"/>
    <n v="76.785665718875265"/>
    <x v="995"/>
    <n v="0"/>
  </r>
  <r>
    <n v="996"/>
    <n v="34.835081556037174"/>
    <x v="996"/>
    <n v="1"/>
  </r>
  <r>
    <n v="997"/>
    <n v="64.085889680154935"/>
    <x v="997"/>
    <n v="0"/>
  </r>
  <r>
    <n v="998"/>
    <n v="42.936981299297734"/>
    <x v="998"/>
    <n v="0"/>
  </r>
  <r>
    <n v="999"/>
    <n v="63.879512701704591"/>
    <x v="999"/>
    <n v="0"/>
  </r>
  <r>
    <n v="1000"/>
    <n v="124.4208471549382"/>
    <x v="1000"/>
    <n v="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x v="0"/>
  </r>
  <r>
    <x v="1"/>
  </r>
  <r>
    <x v="2"/>
  </r>
  <r>
    <x v="3"/>
  </r>
  <r>
    <x v="4"/>
  </r>
  <r>
    <x v="5"/>
  </r>
  <r>
    <x v="6"/>
  </r>
  <r>
    <x v="7"/>
  </r>
  <r>
    <x v="8"/>
  </r>
  <r>
    <x v="9"/>
  </r>
  <r>
    <x v="10"/>
  </r>
  <r>
    <x v="11"/>
  </r>
  <r>
    <x v="12"/>
  </r>
  <r>
    <x v="13"/>
  </r>
  <r>
    <x v="14"/>
  </r>
  <r>
    <x v="15"/>
  </r>
  <r>
    <x v="16"/>
  </r>
  <r>
    <x v="17"/>
  </r>
  <r>
    <x v="18"/>
  </r>
  <r>
    <x v="19"/>
  </r>
  <r>
    <x v="20"/>
  </r>
  <r>
    <x v="21"/>
  </r>
  <r>
    <x v="22"/>
  </r>
  <r>
    <x v="23"/>
  </r>
  <r>
    <x v="24"/>
  </r>
  <r>
    <x v="25"/>
  </r>
  <r>
    <x v="26"/>
  </r>
  <r>
    <x v="27"/>
  </r>
  <r>
    <x v="28"/>
  </r>
  <r>
    <x v="29"/>
  </r>
  <r>
    <x v="30"/>
  </r>
  <r>
    <x v="31"/>
  </r>
  <r>
    <x v="32"/>
  </r>
  <r>
    <x v="33"/>
  </r>
  <r>
    <x v="34"/>
  </r>
  <r>
    <x v="35"/>
  </r>
  <r>
    <x v="36"/>
  </r>
  <r>
    <x v="37"/>
  </r>
  <r>
    <x v="38"/>
  </r>
  <r>
    <x v="39"/>
  </r>
  <r>
    <x v="40"/>
  </r>
  <r>
    <x v="41"/>
  </r>
  <r>
    <x v="42"/>
  </r>
  <r>
    <x v="43"/>
  </r>
  <r>
    <x v="44"/>
  </r>
  <r>
    <x v="45"/>
  </r>
  <r>
    <x v="46"/>
  </r>
  <r>
    <x v="47"/>
  </r>
  <r>
    <x v="48"/>
  </r>
  <r>
    <x v="49"/>
  </r>
  <r>
    <x v="50"/>
  </r>
  <r>
    <x v="51"/>
  </r>
  <r>
    <x v="52"/>
  </r>
  <r>
    <x v="53"/>
  </r>
  <r>
    <x v="54"/>
  </r>
  <r>
    <x v="55"/>
  </r>
  <r>
    <x v="56"/>
  </r>
  <r>
    <x v="57"/>
  </r>
  <r>
    <x v="58"/>
  </r>
  <r>
    <x v="59"/>
  </r>
  <r>
    <x v="60"/>
  </r>
  <r>
    <x v="61"/>
  </r>
  <r>
    <x v="62"/>
  </r>
  <r>
    <x v="63"/>
  </r>
  <r>
    <x v="64"/>
  </r>
  <r>
    <x v="65"/>
  </r>
  <r>
    <x v="66"/>
  </r>
  <r>
    <x v="67"/>
  </r>
  <r>
    <x v="68"/>
  </r>
  <r>
    <x v="69"/>
  </r>
  <r>
    <x v="70"/>
  </r>
  <r>
    <x v="71"/>
  </r>
  <r>
    <x v="72"/>
  </r>
  <r>
    <x v="73"/>
  </r>
  <r>
    <x v="74"/>
  </r>
  <r>
    <x v="75"/>
  </r>
  <r>
    <x v="76"/>
  </r>
  <r>
    <x v="77"/>
  </r>
  <r>
    <x v="78"/>
  </r>
  <r>
    <x v="79"/>
  </r>
  <r>
    <x v="80"/>
  </r>
  <r>
    <x v="81"/>
  </r>
  <r>
    <x v="82"/>
  </r>
  <r>
    <x v="83"/>
  </r>
  <r>
    <x v="84"/>
  </r>
  <r>
    <x v="85"/>
  </r>
  <r>
    <x v="86"/>
  </r>
  <r>
    <x v="87"/>
  </r>
  <r>
    <x v="88"/>
  </r>
  <r>
    <x v="89"/>
  </r>
  <r>
    <x v="90"/>
  </r>
  <r>
    <x v="91"/>
  </r>
  <r>
    <x v="92"/>
  </r>
  <r>
    <x v="93"/>
  </r>
  <r>
    <x v="94"/>
  </r>
  <r>
    <x v="95"/>
  </r>
  <r>
    <x v="96"/>
  </r>
  <r>
    <x v="97"/>
  </r>
  <r>
    <x v="98"/>
  </r>
  <r>
    <x v="99"/>
  </r>
  <r>
    <x v="100"/>
  </r>
  <r>
    <x v="101"/>
  </r>
  <r>
    <x v="102"/>
  </r>
  <r>
    <x v="103"/>
  </r>
  <r>
    <x v="104"/>
  </r>
  <r>
    <x v="105"/>
  </r>
  <r>
    <x v="106"/>
  </r>
  <r>
    <x v="107"/>
  </r>
  <r>
    <x v="108"/>
  </r>
  <r>
    <x v="109"/>
  </r>
  <r>
    <x v="110"/>
  </r>
  <r>
    <x v="111"/>
  </r>
  <r>
    <x v="112"/>
  </r>
  <r>
    <x v="113"/>
  </r>
  <r>
    <x v="114"/>
  </r>
  <r>
    <x v="115"/>
  </r>
  <r>
    <x v="116"/>
  </r>
  <r>
    <x v="117"/>
  </r>
  <r>
    <x v="118"/>
  </r>
  <r>
    <x v="119"/>
  </r>
  <r>
    <x v="120"/>
  </r>
  <r>
    <x v="121"/>
  </r>
  <r>
    <x v="122"/>
  </r>
  <r>
    <x v="123"/>
  </r>
  <r>
    <x v="124"/>
  </r>
  <r>
    <x v="125"/>
  </r>
  <r>
    <x v="126"/>
  </r>
  <r>
    <x v="127"/>
  </r>
  <r>
    <x v="128"/>
  </r>
  <r>
    <x v="129"/>
  </r>
  <r>
    <x v="130"/>
  </r>
  <r>
    <x v="131"/>
  </r>
  <r>
    <x v="132"/>
  </r>
  <r>
    <x v="133"/>
  </r>
  <r>
    <x v="134"/>
  </r>
  <r>
    <x v="135"/>
  </r>
  <r>
    <x v="136"/>
  </r>
  <r>
    <x v="137"/>
  </r>
  <r>
    <x v="138"/>
  </r>
  <r>
    <x v="139"/>
  </r>
  <r>
    <x v="140"/>
  </r>
  <r>
    <x v="141"/>
  </r>
  <r>
    <x v="142"/>
  </r>
  <r>
    <x v="143"/>
  </r>
  <r>
    <x v="144"/>
  </r>
  <r>
    <x v="145"/>
  </r>
  <r>
    <x v="146"/>
  </r>
  <r>
    <x v="147"/>
  </r>
  <r>
    <x v="148"/>
  </r>
  <r>
    <x v="149"/>
  </r>
  <r>
    <x v="150"/>
  </r>
  <r>
    <x v="151"/>
  </r>
  <r>
    <x v="152"/>
  </r>
  <r>
    <x v="153"/>
  </r>
  <r>
    <x v="154"/>
  </r>
  <r>
    <x v="155"/>
  </r>
  <r>
    <x v="156"/>
  </r>
  <r>
    <x v="157"/>
  </r>
  <r>
    <x v="158"/>
  </r>
  <r>
    <x v="159"/>
  </r>
  <r>
    <x v="160"/>
  </r>
  <r>
    <x v="161"/>
  </r>
  <r>
    <x v="162"/>
  </r>
  <r>
    <x v="163"/>
  </r>
  <r>
    <x v="164"/>
  </r>
  <r>
    <x v="165"/>
  </r>
  <r>
    <x v="166"/>
  </r>
  <r>
    <x v="167"/>
  </r>
  <r>
    <x v="168"/>
  </r>
  <r>
    <x v="169"/>
  </r>
  <r>
    <x v="170"/>
  </r>
  <r>
    <x v="171"/>
  </r>
  <r>
    <x v="172"/>
  </r>
  <r>
    <x v="173"/>
  </r>
  <r>
    <x v="174"/>
  </r>
  <r>
    <x v="175"/>
  </r>
  <r>
    <x v="176"/>
  </r>
  <r>
    <x v="177"/>
  </r>
  <r>
    <x v="178"/>
  </r>
  <r>
    <x v="179"/>
  </r>
  <r>
    <x v="180"/>
  </r>
  <r>
    <x v="181"/>
  </r>
  <r>
    <x v="182"/>
  </r>
  <r>
    <x v="183"/>
  </r>
  <r>
    <x v="184"/>
  </r>
  <r>
    <x v="185"/>
  </r>
  <r>
    <x v="186"/>
  </r>
  <r>
    <x v="187"/>
  </r>
  <r>
    <x v="188"/>
  </r>
  <r>
    <x v="189"/>
  </r>
  <r>
    <x v="190"/>
  </r>
  <r>
    <x v="191"/>
  </r>
  <r>
    <x v="192"/>
  </r>
  <r>
    <x v="193"/>
  </r>
  <r>
    <x v="194"/>
  </r>
  <r>
    <x v="195"/>
  </r>
  <r>
    <x v="196"/>
  </r>
  <r>
    <x v="197"/>
  </r>
  <r>
    <x v="198"/>
  </r>
  <r>
    <x v="199"/>
  </r>
  <r>
    <x v="200"/>
  </r>
  <r>
    <x v="201"/>
  </r>
  <r>
    <x v="202"/>
  </r>
  <r>
    <x v="203"/>
  </r>
  <r>
    <x v="204"/>
  </r>
  <r>
    <x v="205"/>
  </r>
  <r>
    <x v="206"/>
  </r>
  <r>
    <x v="207"/>
  </r>
  <r>
    <x v="208"/>
  </r>
  <r>
    <x v="209"/>
  </r>
  <r>
    <x v="210"/>
  </r>
  <r>
    <x v="211"/>
  </r>
  <r>
    <x v="212"/>
  </r>
  <r>
    <x v="213"/>
  </r>
  <r>
    <x v="214"/>
  </r>
  <r>
    <x v="215"/>
  </r>
  <r>
    <x v="216"/>
  </r>
  <r>
    <x v="217"/>
  </r>
  <r>
    <x v="218"/>
  </r>
  <r>
    <x v="219"/>
  </r>
  <r>
    <x v="220"/>
  </r>
  <r>
    <x v="221"/>
  </r>
  <r>
    <x v="222"/>
  </r>
  <r>
    <x v="223"/>
  </r>
  <r>
    <x v="224"/>
  </r>
  <r>
    <x v="225"/>
  </r>
  <r>
    <x v="226"/>
  </r>
  <r>
    <x v="227"/>
  </r>
  <r>
    <x v="228"/>
  </r>
  <r>
    <x v="229"/>
  </r>
  <r>
    <x v="230"/>
  </r>
  <r>
    <x v="231"/>
  </r>
  <r>
    <x v="232"/>
  </r>
  <r>
    <x v="233"/>
  </r>
  <r>
    <x v="234"/>
  </r>
  <r>
    <x v="235"/>
  </r>
  <r>
    <x v="236"/>
  </r>
  <r>
    <x v="237"/>
  </r>
  <r>
    <x v="238"/>
  </r>
  <r>
    <x v="239"/>
  </r>
  <r>
    <x v="240"/>
  </r>
  <r>
    <x v="241"/>
  </r>
  <r>
    <x v="242"/>
  </r>
  <r>
    <x v="243"/>
  </r>
  <r>
    <x v="244"/>
  </r>
  <r>
    <x v="245"/>
  </r>
  <r>
    <x v="246"/>
  </r>
  <r>
    <x v="247"/>
  </r>
  <r>
    <x v="248"/>
  </r>
  <r>
    <x v="249"/>
  </r>
  <r>
    <x v="250"/>
  </r>
  <r>
    <x v="251"/>
  </r>
  <r>
    <x v="252"/>
  </r>
  <r>
    <x v="253"/>
  </r>
  <r>
    <x v="254"/>
  </r>
  <r>
    <x v="255"/>
  </r>
  <r>
    <x v="256"/>
  </r>
  <r>
    <x v="257"/>
  </r>
  <r>
    <x v="258"/>
  </r>
  <r>
    <x v="259"/>
  </r>
  <r>
    <x v="260"/>
  </r>
  <r>
    <x v="261"/>
  </r>
  <r>
    <x v="262"/>
  </r>
  <r>
    <x v="263"/>
  </r>
  <r>
    <x v="264"/>
  </r>
  <r>
    <x v="265"/>
  </r>
  <r>
    <x v="266"/>
  </r>
  <r>
    <x v="267"/>
  </r>
  <r>
    <x v="268"/>
  </r>
  <r>
    <x v="269"/>
  </r>
  <r>
    <x v="270"/>
  </r>
  <r>
    <x v="271"/>
  </r>
  <r>
    <x v="272"/>
  </r>
  <r>
    <x v="273"/>
  </r>
  <r>
    <x v="274"/>
  </r>
  <r>
    <x v="275"/>
  </r>
  <r>
    <x v="276"/>
  </r>
  <r>
    <x v="277"/>
  </r>
  <r>
    <x v="278"/>
  </r>
  <r>
    <x v="279"/>
  </r>
  <r>
    <x v="280"/>
  </r>
  <r>
    <x v="281"/>
  </r>
  <r>
    <x v="282"/>
  </r>
  <r>
    <x v="283"/>
  </r>
  <r>
    <x v="284"/>
  </r>
  <r>
    <x v="285"/>
  </r>
  <r>
    <x v="286"/>
  </r>
  <r>
    <x v="287"/>
  </r>
  <r>
    <x v="288"/>
  </r>
  <r>
    <x v="289"/>
  </r>
  <r>
    <x v="290"/>
  </r>
  <r>
    <x v="291"/>
  </r>
  <r>
    <x v="292"/>
  </r>
  <r>
    <x v="293"/>
  </r>
  <r>
    <x v="294"/>
  </r>
  <r>
    <x v="295"/>
  </r>
  <r>
    <x v="296"/>
  </r>
  <r>
    <x v="297"/>
  </r>
  <r>
    <x v="298"/>
  </r>
  <r>
    <x v="299"/>
  </r>
  <r>
    <x v="300"/>
  </r>
  <r>
    <x v="301"/>
  </r>
  <r>
    <x v="302"/>
  </r>
  <r>
    <x v="303"/>
  </r>
  <r>
    <x v="304"/>
  </r>
  <r>
    <x v="305"/>
  </r>
  <r>
    <x v="306"/>
  </r>
  <r>
    <x v="307"/>
  </r>
  <r>
    <x v="308"/>
  </r>
  <r>
    <x v="309"/>
  </r>
  <r>
    <x v="310"/>
  </r>
  <r>
    <x v="311"/>
  </r>
  <r>
    <x v="312"/>
  </r>
  <r>
    <x v="313"/>
  </r>
  <r>
    <x v="314"/>
  </r>
  <r>
    <x v="315"/>
  </r>
  <r>
    <x v="316"/>
  </r>
  <r>
    <x v="317"/>
  </r>
  <r>
    <x v="318"/>
  </r>
  <r>
    <x v="319"/>
  </r>
  <r>
    <x v="320"/>
  </r>
  <r>
    <x v="321"/>
  </r>
  <r>
    <x v="322"/>
  </r>
  <r>
    <x v="323"/>
  </r>
  <r>
    <x v="324"/>
  </r>
  <r>
    <x v="325"/>
  </r>
  <r>
    <x v="326"/>
  </r>
  <r>
    <x v="327"/>
  </r>
  <r>
    <x v="328"/>
  </r>
  <r>
    <x v="329"/>
  </r>
  <r>
    <x v="330"/>
  </r>
  <r>
    <x v="331"/>
  </r>
  <r>
    <x v="332"/>
  </r>
  <r>
    <x v="333"/>
  </r>
  <r>
    <x v="334"/>
  </r>
  <r>
    <x v="335"/>
  </r>
  <r>
    <x v="336"/>
  </r>
  <r>
    <x v="337"/>
  </r>
  <r>
    <x v="338"/>
  </r>
  <r>
    <x v="339"/>
  </r>
  <r>
    <x v="340"/>
  </r>
  <r>
    <x v="341"/>
  </r>
  <r>
    <x v="342"/>
  </r>
  <r>
    <x v="343"/>
  </r>
  <r>
    <x v="344"/>
  </r>
  <r>
    <x v="345"/>
  </r>
  <r>
    <x v="346"/>
  </r>
  <r>
    <x v="347"/>
  </r>
  <r>
    <x v="348"/>
  </r>
  <r>
    <x v="349"/>
  </r>
  <r>
    <x v="350"/>
  </r>
  <r>
    <x v="351"/>
  </r>
  <r>
    <x v="352"/>
  </r>
  <r>
    <x v="353"/>
  </r>
  <r>
    <x v="354"/>
  </r>
  <r>
    <x v="355"/>
  </r>
  <r>
    <x v="356"/>
  </r>
  <r>
    <x v="357"/>
  </r>
  <r>
    <x v="358"/>
  </r>
  <r>
    <x v="359"/>
  </r>
  <r>
    <x v="360"/>
  </r>
  <r>
    <x v="361"/>
  </r>
  <r>
    <x v="362"/>
  </r>
  <r>
    <x v="363"/>
  </r>
  <r>
    <x v="364"/>
  </r>
  <r>
    <x v="365"/>
  </r>
  <r>
    <x v="366"/>
  </r>
  <r>
    <x v="367"/>
  </r>
  <r>
    <x v="368"/>
  </r>
  <r>
    <x v="369"/>
  </r>
  <r>
    <x v="370"/>
  </r>
  <r>
    <x v="371"/>
  </r>
  <r>
    <x v="372"/>
  </r>
  <r>
    <x v="373"/>
  </r>
  <r>
    <x v="374"/>
  </r>
  <r>
    <x v="375"/>
  </r>
  <r>
    <x v="376"/>
  </r>
  <r>
    <x v="377"/>
  </r>
  <r>
    <x v="378"/>
  </r>
  <r>
    <x v="379"/>
  </r>
  <r>
    <x v="380"/>
  </r>
  <r>
    <x v="381"/>
  </r>
  <r>
    <x v="382"/>
  </r>
  <r>
    <x v="383"/>
  </r>
  <r>
    <x v="384"/>
  </r>
  <r>
    <x v="385"/>
  </r>
  <r>
    <x v="386"/>
  </r>
  <r>
    <x v="387"/>
  </r>
  <r>
    <x v="388"/>
  </r>
  <r>
    <x v="389"/>
  </r>
  <r>
    <x v="390"/>
  </r>
  <r>
    <x v="391"/>
  </r>
  <r>
    <x v="392"/>
  </r>
  <r>
    <x v="393"/>
  </r>
  <r>
    <x v="394"/>
  </r>
  <r>
    <x v="395"/>
  </r>
  <r>
    <x v="396"/>
  </r>
  <r>
    <x v="397"/>
  </r>
  <r>
    <x v="398"/>
  </r>
  <r>
    <x v="399"/>
  </r>
  <r>
    <x v="400"/>
  </r>
  <r>
    <x v="401"/>
  </r>
  <r>
    <x v="402"/>
  </r>
  <r>
    <x v="403"/>
  </r>
  <r>
    <x v="404"/>
  </r>
  <r>
    <x v="405"/>
  </r>
  <r>
    <x v="406"/>
  </r>
  <r>
    <x v="407"/>
  </r>
  <r>
    <x v="408"/>
  </r>
  <r>
    <x v="409"/>
  </r>
  <r>
    <x v="410"/>
  </r>
  <r>
    <x v="411"/>
  </r>
  <r>
    <x v="412"/>
  </r>
  <r>
    <x v="413"/>
  </r>
  <r>
    <x v="414"/>
  </r>
  <r>
    <x v="415"/>
  </r>
  <r>
    <x v="416"/>
  </r>
  <r>
    <x v="417"/>
  </r>
  <r>
    <x v="418"/>
  </r>
  <r>
    <x v="419"/>
  </r>
  <r>
    <x v="420"/>
  </r>
  <r>
    <x v="421"/>
  </r>
  <r>
    <x v="422"/>
  </r>
  <r>
    <x v="423"/>
  </r>
  <r>
    <x v="424"/>
  </r>
  <r>
    <x v="425"/>
  </r>
  <r>
    <x v="426"/>
  </r>
  <r>
    <x v="427"/>
  </r>
  <r>
    <x v="428"/>
  </r>
  <r>
    <x v="429"/>
  </r>
  <r>
    <x v="430"/>
  </r>
  <r>
    <x v="431"/>
  </r>
  <r>
    <x v="432"/>
  </r>
  <r>
    <x v="433"/>
  </r>
  <r>
    <x v="434"/>
  </r>
  <r>
    <x v="435"/>
  </r>
  <r>
    <x v="436"/>
  </r>
  <r>
    <x v="437"/>
  </r>
  <r>
    <x v="438"/>
  </r>
  <r>
    <x v="439"/>
  </r>
  <r>
    <x v="440"/>
  </r>
  <r>
    <x v="441"/>
  </r>
  <r>
    <x v="442"/>
  </r>
  <r>
    <x v="443"/>
  </r>
  <r>
    <x v="444"/>
  </r>
  <r>
    <x v="445"/>
  </r>
  <r>
    <x v="446"/>
  </r>
  <r>
    <x v="447"/>
  </r>
  <r>
    <x v="448"/>
  </r>
  <r>
    <x v="449"/>
  </r>
  <r>
    <x v="450"/>
  </r>
  <r>
    <x v="451"/>
  </r>
  <r>
    <x v="452"/>
  </r>
  <r>
    <x v="453"/>
  </r>
  <r>
    <x v="454"/>
  </r>
  <r>
    <x v="455"/>
  </r>
  <r>
    <x v="456"/>
  </r>
  <r>
    <x v="457"/>
  </r>
  <r>
    <x v="458"/>
  </r>
  <r>
    <x v="459"/>
  </r>
  <r>
    <x v="460"/>
  </r>
  <r>
    <x v="461"/>
  </r>
  <r>
    <x v="462"/>
  </r>
  <r>
    <x v="463"/>
  </r>
  <r>
    <x v="464"/>
  </r>
  <r>
    <x v="465"/>
  </r>
  <r>
    <x v="466"/>
  </r>
  <r>
    <x v="467"/>
  </r>
  <r>
    <x v="468"/>
  </r>
  <r>
    <x v="469"/>
  </r>
  <r>
    <x v="470"/>
  </r>
  <r>
    <x v="471"/>
  </r>
  <r>
    <x v="472"/>
  </r>
  <r>
    <x v="473"/>
  </r>
  <r>
    <x v="474"/>
  </r>
  <r>
    <x v="475"/>
  </r>
  <r>
    <x v="476"/>
  </r>
  <r>
    <x v="477"/>
  </r>
  <r>
    <x v="478"/>
  </r>
  <r>
    <x v="479"/>
  </r>
  <r>
    <x v="480"/>
  </r>
  <r>
    <x v="481"/>
  </r>
  <r>
    <x v="482"/>
  </r>
  <r>
    <x v="483"/>
  </r>
  <r>
    <x v="484"/>
  </r>
  <r>
    <x v="485"/>
  </r>
  <r>
    <x v="486"/>
  </r>
  <r>
    <x v="487"/>
  </r>
  <r>
    <x v="488"/>
  </r>
  <r>
    <x v="489"/>
  </r>
  <r>
    <x v="490"/>
  </r>
  <r>
    <x v="491"/>
  </r>
  <r>
    <x v="492"/>
  </r>
  <r>
    <x v="493"/>
  </r>
  <r>
    <x v="494"/>
  </r>
  <r>
    <x v="495"/>
  </r>
  <r>
    <x v="496"/>
  </r>
  <r>
    <x v="497"/>
  </r>
  <r>
    <x v="498"/>
  </r>
  <r>
    <x v="499"/>
  </r>
  <r>
    <x v="500"/>
  </r>
  <r>
    <x v="501"/>
  </r>
  <r>
    <x v="502"/>
  </r>
  <r>
    <x v="503"/>
  </r>
  <r>
    <x v="504"/>
  </r>
  <r>
    <x v="505"/>
  </r>
  <r>
    <x v="506"/>
  </r>
  <r>
    <x v="507"/>
  </r>
  <r>
    <x v="508"/>
  </r>
  <r>
    <x v="509"/>
  </r>
  <r>
    <x v="510"/>
  </r>
  <r>
    <x v="511"/>
  </r>
  <r>
    <x v="512"/>
  </r>
  <r>
    <x v="513"/>
  </r>
  <r>
    <x v="514"/>
  </r>
  <r>
    <x v="515"/>
  </r>
  <r>
    <x v="516"/>
  </r>
  <r>
    <x v="517"/>
  </r>
  <r>
    <x v="518"/>
  </r>
  <r>
    <x v="519"/>
  </r>
  <r>
    <x v="520"/>
  </r>
  <r>
    <x v="521"/>
  </r>
  <r>
    <x v="522"/>
  </r>
  <r>
    <x v="523"/>
  </r>
  <r>
    <x v="524"/>
  </r>
  <r>
    <x v="525"/>
  </r>
  <r>
    <x v="526"/>
  </r>
  <r>
    <x v="527"/>
  </r>
  <r>
    <x v="528"/>
  </r>
  <r>
    <x v="529"/>
  </r>
  <r>
    <x v="530"/>
  </r>
  <r>
    <x v="531"/>
  </r>
  <r>
    <x v="532"/>
  </r>
  <r>
    <x v="533"/>
  </r>
  <r>
    <x v="534"/>
  </r>
  <r>
    <x v="535"/>
  </r>
  <r>
    <x v="536"/>
  </r>
  <r>
    <x v="537"/>
  </r>
  <r>
    <x v="538"/>
  </r>
  <r>
    <x v="539"/>
  </r>
  <r>
    <x v="540"/>
  </r>
  <r>
    <x v="541"/>
  </r>
  <r>
    <x v="542"/>
  </r>
  <r>
    <x v="543"/>
  </r>
  <r>
    <x v="544"/>
  </r>
  <r>
    <x v="545"/>
  </r>
  <r>
    <x v="546"/>
  </r>
  <r>
    <x v="547"/>
  </r>
  <r>
    <x v="548"/>
  </r>
  <r>
    <x v="549"/>
  </r>
  <r>
    <x v="550"/>
  </r>
  <r>
    <x v="551"/>
  </r>
  <r>
    <x v="552"/>
  </r>
  <r>
    <x v="553"/>
  </r>
  <r>
    <x v="554"/>
  </r>
  <r>
    <x v="555"/>
  </r>
  <r>
    <x v="556"/>
  </r>
  <r>
    <x v="557"/>
  </r>
  <r>
    <x v="558"/>
  </r>
  <r>
    <x v="559"/>
  </r>
  <r>
    <x v="560"/>
  </r>
  <r>
    <x v="561"/>
  </r>
  <r>
    <x v="562"/>
  </r>
  <r>
    <x v="563"/>
  </r>
  <r>
    <x v="564"/>
  </r>
  <r>
    <x v="565"/>
  </r>
  <r>
    <x v="566"/>
  </r>
  <r>
    <x v="567"/>
  </r>
  <r>
    <x v="568"/>
  </r>
  <r>
    <x v="569"/>
  </r>
  <r>
    <x v="570"/>
  </r>
  <r>
    <x v="571"/>
  </r>
  <r>
    <x v="572"/>
  </r>
  <r>
    <x v="573"/>
  </r>
  <r>
    <x v="574"/>
  </r>
  <r>
    <x v="575"/>
  </r>
  <r>
    <x v="576"/>
  </r>
  <r>
    <x v="577"/>
  </r>
  <r>
    <x v="578"/>
  </r>
  <r>
    <x v="579"/>
  </r>
  <r>
    <x v="580"/>
  </r>
  <r>
    <x v="581"/>
  </r>
  <r>
    <x v="582"/>
  </r>
  <r>
    <x v="583"/>
  </r>
  <r>
    <x v="584"/>
  </r>
  <r>
    <x v="585"/>
  </r>
  <r>
    <x v="586"/>
  </r>
  <r>
    <x v="587"/>
  </r>
  <r>
    <x v="588"/>
  </r>
  <r>
    <x v="589"/>
  </r>
  <r>
    <x v="590"/>
  </r>
  <r>
    <x v="591"/>
  </r>
  <r>
    <x v="592"/>
  </r>
  <r>
    <x v="593"/>
  </r>
  <r>
    <x v="594"/>
  </r>
  <r>
    <x v="595"/>
  </r>
  <r>
    <x v="596"/>
  </r>
  <r>
    <x v="597"/>
  </r>
  <r>
    <x v="598"/>
  </r>
  <r>
    <x v="599"/>
  </r>
  <r>
    <x v="600"/>
  </r>
  <r>
    <x v="601"/>
  </r>
  <r>
    <x v="602"/>
  </r>
  <r>
    <x v="603"/>
  </r>
  <r>
    <x v="604"/>
  </r>
  <r>
    <x v="605"/>
  </r>
  <r>
    <x v="606"/>
  </r>
  <r>
    <x v="607"/>
  </r>
  <r>
    <x v="608"/>
  </r>
  <r>
    <x v="609"/>
  </r>
  <r>
    <x v="610"/>
  </r>
  <r>
    <x v="611"/>
  </r>
  <r>
    <x v="612"/>
  </r>
  <r>
    <x v="613"/>
  </r>
  <r>
    <x v="614"/>
  </r>
  <r>
    <x v="615"/>
  </r>
  <r>
    <x v="616"/>
  </r>
  <r>
    <x v="617"/>
  </r>
  <r>
    <x v="618"/>
  </r>
  <r>
    <x v="619"/>
  </r>
  <r>
    <x v="620"/>
  </r>
  <r>
    <x v="621"/>
  </r>
  <r>
    <x v="622"/>
  </r>
  <r>
    <x v="623"/>
  </r>
  <r>
    <x v="624"/>
  </r>
  <r>
    <x v="625"/>
  </r>
  <r>
    <x v="626"/>
  </r>
  <r>
    <x v="627"/>
  </r>
  <r>
    <x v="628"/>
  </r>
  <r>
    <x v="629"/>
  </r>
  <r>
    <x v="630"/>
  </r>
  <r>
    <x v="631"/>
  </r>
  <r>
    <x v="632"/>
  </r>
  <r>
    <x v="633"/>
  </r>
  <r>
    <x v="634"/>
  </r>
  <r>
    <x v="635"/>
  </r>
  <r>
    <x v="636"/>
  </r>
  <r>
    <x v="637"/>
  </r>
  <r>
    <x v="638"/>
  </r>
  <r>
    <x v="639"/>
  </r>
  <r>
    <x v="640"/>
  </r>
  <r>
    <x v="641"/>
  </r>
  <r>
    <x v="642"/>
  </r>
  <r>
    <x v="643"/>
  </r>
  <r>
    <x v="644"/>
  </r>
  <r>
    <x v="645"/>
  </r>
  <r>
    <x v="646"/>
  </r>
  <r>
    <x v="647"/>
  </r>
  <r>
    <x v="648"/>
  </r>
  <r>
    <x v="649"/>
  </r>
  <r>
    <x v="650"/>
  </r>
  <r>
    <x v="651"/>
  </r>
  <r>
    <x v="652"/>
  </r>
  <r>
    <x v="653"/>
  </r>
  <r>
    <x v="654"/>
  </r>
  <r>
    <x v="655"/>
  </r>
  <r>
    <x v="656"/>
  </r>
  <r>
    <x v="657"/>
  </r>
  <r>
    <x v="658"/>
  </r>
  <r>
    <x v="659"/>
  </r>
  <r>
    <x v="660"/>
  </r>
  <r>
    <x v="661"/>
  </r>
  <r>
    <x v="662"/>
  </r>
  <r>
    <x v="663"/>
  </r>
  <r>
    <x v="664"/>
  </r>
  <r>
    <x v="665"/>
  </r>
  <r>
    <x v="666"/>
  </r>
  <r>
    <x v="667"/>
  </r>
  <r>
    <x v="668"/>
  </r>
  <r>
    <x v="669"/>
  </r>
  <r>
    <x v="670"/>
  </r>
  <r>
    <x v="671"/>
  </r>
  <r>
    <x v="672"/>
  </r>
  <r>
    <x v="673"/>
  </r>
  <r>
    <x v="674"/>
  </r>
  <r>
    <x v="675"/>
  </r>
  <r>
    <x v="676"/>
  </r>
  <r>
    <x v="677"/>
  </r>
  <r>
    <x v="678"/>
  </r>
  <r>
    <x v="679"/>
  </r>
  <r>
    <x v="680"/>
  </r>
  <r>
    <x v="681"/>
  </r>
  <r>
    <x v="682"/>
  </r>
  <r>
    <x v="683"/>
  </r>
  <r>
    <x v="684"/>
  </r>
  <r>
    <x v="685"/>
  </r>
  <r>
    <x v="686"/>
  </r>
  <r>
    <x v="687"/>
  </r>
  <r>
    <x v="688"/>
  </r>
  <r>
    <x v="689"/>
  </r>
  <r>
    <x v="690"/>
  </r>
  <r>
    <x v="691"/>
  </r>
  <r>
    <x v="692"/>
  </r>
  <r>
    <x v="693"/>
  </r>
  <r>
    <x v="694"/>
  </r>
  <r>
    <x v="695"/>
  </r>
  <r>
    <x v="696"/>
  </r>
  <r>
    <x v="697"/>
  </r>
  <r>
    <x v="698"/>
  </r>
  <r>
    <x v="699"/>
  </r>
  <r>
    <x v="700"/>
  </r>
  <r>
    <x v="701"/>
  </r>
  <r>
    <x v="702"/>
  </r>
  <r>
    <x v="703"/>
  </r>
  <r>
    <x v="704"/>
  </r>
  <r>
    <x v="705"/>
  </r>
  <r>
    <x v="706"/>
  </r>
  <r>
    <x v="707"/>
  </r>
  <r>
    <x v="708"/>
  </r>
  <r>
    <x v="709"/>
  </r>
  <r>
    <x v="710"/>
  </r>
  <r>
    <x v="711"/>
  </r>
  <r>
    <x v="712"/>
  </r>
  <r>
    <x v="713"/>
  </r>
  <r>
    <x v="714"/>
  </r>
  <r>
    <x v="715"/>
  </r>
  <r>
    <x v="716"/>
  </r>
  <r>
    <x v="717"/>
  </r>
  <r>
    <x v="718"/>
  </r>
  <r>
    <x v="719"/>
  </r>
  <r>
    <x v="720"/>
  </r>
  <r>
    <x v="721"/>
  </r>
  <r>
    <x v="722"/>
  </r>
  <r>
    <x v="723"/>
  </r>
  <r>
    <x v="724"/>
  </r>
  <r>
    <x v="725"/>
  </r>
  <r>
    <x v="726"/>
  </r>
  <r>
    <x v="727"/>
  </r>
  <r>
    <x v="728"/>
  </r>
  <r>
    <x v="729"/>
  </r>
  <r>
    <x v="730"/>
  </r>
  <r>
    <x v="731"/>
  </r>
  <r>
    <x v="732"/>
  </r>
  <r>
    <x v="733"/>
  </r>
  <r>
    <x v="734"/>
  </r>
  <r>
    <x v="735"/>
  </r>
  <r>
    <x v="736"/>
  </r>
  <r>
    <x v="737"/>
  </r>
  <r>
    <x v="738"/>
  </r>
  <r>
    <x v="739"/>
  </r>
  <r>
    <x v="740"/>
  </r>
  <r>
    <x v="741"/>
  </r>
  <r>
    <x v="742"/>
  </r>
  <r>
    <x v="743"/>
  </r>
  <r>
    <x v="744"/>
  </r>
  <r>
    <x v="745"/>
  </r>
  <r>
    <x v="746"/>
  </r>
  <r>
    <x v="747"/>
  </r>
  <r>
    <x v="748"/>
  </r>
  <r>
    <x v="749"/>
  </r>
  <r>
    <x v="750"/>
  </r>
  <r>
    <x v="751"/>
  </r>
  <r>
    <x v="752"/>
  </r>
  <r>
    <x v="753"/>
  </r>
  <r>
    <x v="754"/>
  </r>
  <r>
    <x v="755"/>
  </r>
  <r>
    <x v="756"/>
  </r>
  <r>
    <x v="757"/>
  </r>
  <r>
    <x v="758"/>
  </r>
  <r>
    <x v="759"/>
  </r>
  <r>
    <x v="760"/>
  </r>
  <r>
    <x v="761"/>
  </r>
  <r>
    <x v="762"/>
  </r>
  <r>
    <x v="763"/>
  </r>
  <r>
    <x v="764"/>
  </r>
  <r>
    <x v="765"/>
  </r>
  <r>
    <x v="766"/>
  </r>
  <r>
    <x v="767"/>
  </r>
  <r>
    <x v="768"/>
  </r>
  <r>
    <x v="769"/>
  </r>
  <r>
    <x v="770"/>
  </r>
  <r>
    <x v="771"/>
  </r>
  <r>
    <x v="772"/>
  </r>
  <r>
    <x v="773"/>
  </r>
  <r>
    <x v="774"/>
  </r>
  <r>
    <x v="775"/>
  </r>
  <r>
    <x v="776"/>
  </r>
  <r>
    <x v="777"/>
  </r>
  <r>
    <x v="778"/>
  </r>
  <r>
    <x v="779"/>
  </r>
  <r>
    <x v="780"/>
  </r>
  <r>
    <x v="781"/>
  </r>
  <r>
    <x v="782"/>
  </r>
  <r>
    <x v="783"/>
  </r>
  <r>
    <x v="784"/>
  </r>
  <r>
    <x v="785"/>
  </r>
  <r>
    <x v="786"/>
  </r>
  <r>
    <x v="787"/>
  </r>
  <r>
    <x v="788"/>
  </r>
  <r>
    <x v="789"/>
  </r>
  <r>
    <x v="790"/>
  </r>
  <r>
    <x v="791"/>
  </r>
  <r>
    <x v="792"/>
  </r>
  <r>
    <x v="793"/>
  </r>
  <r>
    <x v="794"/>
  </r>
  <r>
    <x v="795"/>
  </r>
  <r>
    <x v="796"/>
  </r>
  <r>
    <x v="797"/>
  </r>
  <r>
    <x v="798"/>
  </r>
  <r>
    <x v="799"/>
  </r>
  <r>
    <x v="800"/>
  </r>
  <r>
    <x v="801"/>
  </r>
  <r>
    <x v="802"/>
  </r>
  <r>
    <x v="803"/>
  </r>
  <r>
    <x v="804"/>
  </r>
  <r>
    <x v="805"/>
  </r>
  <r>
    <x v="806"/>
  </r>
  <r>
    <x v="807"/>
  </r>
  <r>
    <x v="808"/>
  </r>
  <r>
    <x v="809"/>
  </r>
  <r>
    <x v="810"/>
  </r>
  <r>
    <x v="811"/>
  </r>
  <r>
    <x v="812"/>
  </r>
  <r>
    <x v="813"/>
  </r>
  <r>
    <x v="814"/>
  </r>
  <r>
    <x v="815"/>
  </r>
  <r>
    <x v="816"/>
  </r>
  <r>
    <x v="817"/>
  </r>
  <r>
    <x v="818"/>
  </r>
  <r>
    <x v="819"/>
  </r>
  <r>
    <x v="820"/>
  </r>
  <r>
    <x v="821"/>
  </r>
  <r>
    <x v="822"/>
  </r>
  <r>
    <x v="823"/>
  </r>
  <r>
    <x v="824"/>
  </r>
  <r>
    <x v="825"/>
  </r>
  <r>
    <x v="826"/>
  </r>
  <r>
    <x v="827"/>
  </r>
  <r>
    <x v="828"/>
  </r>
  <r>
    <x v="829"/>
  </r>
  <r>
    <x v="830"/>
  </r>
  <r>
    <x v="831"/>
  </r>
  <r>
    <x v="832"/>
  </r>
  <r>
    <x v="833"/>
  </r>
  <r>
    <x v="834"/>
  </r>
  <r>
    <x v="835"/>
  </r>
  <r>
    <x v="836"/>
  </r>
  <r>
    <x v="837"/>
  </r>
  <r>
    <x v="838"/>
  </r>
  <r>
    <x v="839"/>
  </r>
  <r>
    <x v="840"/>
  </r>
  <r>
    <x v="841"/>
  </r>
  <r>
    <x v="842"/>
  </r>
  <r>
    <x v="843"/>
  </r>
  <r>
    <x v="844"/>
  </r>
  <r>
    <x v="845"/>
  </r>
  <r>
    <x v="846"/>
  </r>
  <r>
    <x v="847"/>
  </r>
  <r>
    <x v="848"/>
  </r>
  <r>
    <x v="849"/>
  </r>
  <r>
    <x v="850"/>
  </r>
  <r>
    <x v="851"/>
  </r>
  <r>
    <x v="852"/>
  </r>
  <r>
    <x v="853"/>
  </r>
  <r>
    <x v="854"/>
  </r>
  <r>
    <x v="855"/>
  </r>
  <r>
    <x v="856"/>
  </r>
  <r>
    <x v="857"/>
  </r>
  <r>
    <x v="858"/>
  </r>
  <r>
    <x v="859"/>
  </r>
  <r>
    <x v="860"/>
  </r>
  <r>
    <x v="861"/>
  </r>
  <r>
    <x v="862"/>
  </r>
  <r>
    <x v="863"/>
  </r>
  <r>
    <x v="864"/>
  </r>
  <r>
    <x v="865"/>
  </r>
  <r>
    <x v="866"/>
  </r>
  <r>
    <x v="867"/>
  </r>
  <r>
    <x v="868"/>
  </r>
  <r>
    <x v="869"/>
  </r>
  <r>
    <x v="870"/>
  </r>
  <r>
    <x v="871"/>
  </r>
  <r>
    <x v="872"/>
  </r>
  <r>
    <x v="873"/>
  </r>
  <r>
    <x v="874"/>
  </r>
  <r>
    <x v="875"/>
  </r>
  <r>
    <x v="876"/>
  </r>
  <r>
    <x v="877"/>
  </r>
  <r>
    <x v="878"/>
  </r>
  <r>
    <x v="879"/>
  </r>
  <r>
    <x v="880"/>
  </r>
  <r>
    <x v="881"/>
  </r>
  <r>
    <x v="882"/>
  </r>
  <r>
    <x v="883"/>
  </r>
  <r>
    <x v="884"/>
  </r>
  <r>
    <x v="885"/>
  </r>
  <r>
    <x v="886"/>
  </r>
  <r>
    <x v="887"/>
  </r>
  <r>
    <x v="888"/>
  </r>
  <r>
    <x v="889"/>
  </r>
  <r>
    <x v="890"/>
  </r>
  <r>
    <x v="891"/>
  </r>
  <r>
    <x v="892"/>
  </r>
  <r>
    <x v="893"/>
  </r>
  <r>
    <x v="894"/>
  </r>
  <r>
    <x v="895"/>
  </r>
  <r>
    <x v="896"/>
  </r>
  <r>
    <x v="897"/>
  </r>
  <r>
    <x v="898"/>
  </r>
  <r>
    <x v="899"/>
  </r>
  <r>
    <x v="900"/>
  </r>
  <r>
    <x v="901"/>
  </r>
  <r>
    <x v="902"/>
  </r>
  <r>
    <x v="903"/>
  </r>
  <r>
    <x v="904"/>
  </r>
  <r>
    <x v="905"/>
  </r>
  <r>
    <x v="906"/>
  </r>
  <r>
    <x v="907"/>
  </r>
  <r>
    <x v="908"/>
  </r>
  <r>
    <x v="909"/>
  </r>
  <r>
    <x v="910"/>
  </r>
  <r>
    <x v="911"/>
  </r>
  <r>
    <x v="912"/>
  </r>
  <r>
    <x v="913"/>
  </r>
  <r>
    <x v="914"/>
  </r>
  <r>
    <x v="915"/>
  </r>
  <r>
    <x v="916"/>
  </r>
  <r>
    <x v="917"/>
  </r>
  <r>
    <x v="918"/>
  </r>
  <r>
    <x v="919"/>
  </r>
  <r>
    <x v="920"/>
  </r>
  <r>
    <x v="921"/>
  </r>
  <r>
    <x v="922"/>
  </r>
  <r>
    <x v="923"/>
  </r>
  <r>
    <x v="924"/>
  </r>
  <r>
    <x v="925"/>
  </r>
  <r>
    <x v="926"/>
  </r>
  <r>
    <x v="927"/>
  </r>
  <r>
    <x v="928"/>
  </r>
  <r>
    <x v="929"/>
  </r>
  <r>
    <x v="930"/>
  </r>
  <r>
    <x v="931"/>
  </r>
  <r>
    <x v="932"/>
  </r>
  <r>
    <x v="933"/>
  </r>
  <r>
    <x v="934"/>
  </r>
  <r>
    <x v="935"/>
  </r>
  <r>
    <x v="936"/>
  </r>
  <r>
    <x v="937"/>
  </r>
  <r>
    <x v="938"/>
  </r>
  <r>
    <x v="939"/>
  </r>
  <r>
    <x v="940"/>
  </r>
  <r>
    <x v="941"/>
  </r>
  <r>
    <x v="942"/>
  </r>
  <r>
    <x v="943"/>
  </r>
  <r>
    <x v="944"/>
  </r>
  <r>
    <x v="945"/>
  </r>
  <r>
    <x v="946"/>
  </r>
  <r>
    <x v="947"/>
  </r>
  <r>
    <x v="948"/>
  </r>
  <r>
    <x v="949"/>
  </r>
  <r>
    <x v="950"/>
  </r>
  <r>
    <x v="951"/>
  </r>
  <r>
    <x v="952"/>
  </r>
  <r>
    <x v="953"/>
  </r>
  <r>
    <x v="954"/>
  </r>
  <r>
    <x v="955"/>
  </r>
  <r>
    <x v="956"/>
  </r>
  <r>
    <x v="957"/>
  </r>
  <r>
    <x v="958"/>
  </r>
  <r>
    <x v="959"/>
  </r>
  <r>
    <x v="960"/>
  </r>
  <r>
    <x v="961"/>
  </r>
  <r>
    <x v="962"/>
  </r>
  <r>
    <x v="963"/>
  </r>
  <r>
    <x v="964"/>
  </r>
  <r>
    <x v="965"/>
  </r>
  <r>
    <x v="966"/>
  </r>
  <r>
    <x v="967"/>
  </r>
  <r>
    <x v="968"/>
  </r>
  <r>
    <x v="969"/>
  </r>
  <r>
    <x v="970"/>
  </r>
  <r>
    <x v="971"/>
  </r>
  <r>
    <x v="972"/>
  </r>
  <r>
    <x v="973"/>
  </r>
  <r>
    <x v="974"/>
  </r>
  <r>
    <x v="975"/>
  </r>
  <r>
    <x v="976"/>
  </r>
  <r>
    <x v="977"/>
  </r>
  <r>
    <x v="978"/>
  </r>
  <r>
    <x v="979"/>
  </r>
  <r>
    <x v="980"/>
  </r>
  <r>
    <x v="981"/>
  </r>
  <r>
    <x v="982"/>
  </r>
  <r>
    <x v="983"/>
  </r>
  <r>
    <x v="984"/>
  </r>
  <r>
    <x v="985"/>
  </r>
  <r>
    <x v="986"/>
  </r>
  <r>
    <x v="987"/>
  </r>
  <r>
    <x v="988"/>
  </r>
  <r>
    <x v="989"/>
  </r>
  <r>
    <x v="990"/>
  </r>
  <r>
    <x v="991"/>
  </r>
  <r>
    <x v="992"/>
  </r>
  <r>
    <x v="993"/>
  </r>
  <r>
    <x v="994"/>
  </r>
  <r>
    <x v="995"/>
  </r>
  <r>
    <x v="996"/>
  </r>
  <r>
    <x v="997"/>
  </r>
  <r>
    <x v="998"/>
  </r>
  <r>
    <x v="999"/>
  </r>
  <r>
    <x v="100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x v="0"/>
  </r>
  <r>
    <x v="1"/>
  </r>
  <r>
    <x v="2"/>
  </r>
  <r>
    <x v="3"/>
  </r>
  <r>
    <x v="4"/>
  </r>
  <r>
    <x v="5"/>
  </r>
  <r>
    <x v="6"/>
  </r>
  <r>
    <x v="7"/>
  </r>
  <r>
    <x v="8"/>
  </r>
  <r>
    <x v="9"/>
  </r>
  <r>
    <x v="10"/>
  </r>
  <r>
    <x v="11"/>
  </r>
  <r>
    <x v="12"/>
  </r>
  <r>
    <x v="13"/>
  </r>
  <r>
    <x v="14"/>
  </r>
  <r>
    <x v="15"/>
  </r>
  <r>
    <x v="16"/>
  </r>
  <r>
    <x v="17"/>
  </r>
  <r>
    <x v="18"/>
  </r>
  <r>
    <x v="19"/>
  </r>
  <r>
    <x v="20"/>
  </r>
  <r>
    <x v="21"/>
  </r>
  <r>
    <x v="22"/>
  </r>
  <r>
    <x v="23"/>
  </r>
  <r>
    <x v="24"/>
  </r>
  <r>
    <x v="25"/>
  </r>
  <r>
    <x v="26"/>
  </r>
  <r>
    <x v="27"/>
  </r>
  <r>
    <x v="28"/>
  </r>
  <r>
    <x v="29"/>
  </r>
  <r>
    <x v="30"/>
  </r>
  <r>
    <x v="31"/>
  </r>
  <r>
    <x v="32"/>
  </r>
  <r>
    <x v="33"/>
  </r>
  <r>
    <x v="34"/>
  </r>
  <r>
    <x v="35"/>
  </r>
  <r>
    <x v="36"/>
  </r>
  <r>
    <x v="37"/>
  </r>
  <r>
    <x v="38"/>
  </r>
  <r>
    <x v="39"/>
  </r>
  <r>
    <x v="40"/>
  </r>
  <r>
    <x v="41"/>
  </r>
  <r>
    <x v="42"/>
  </r>
  <r>
    <x v="43"/>
  </r>
  <r>
    <x v="44"/>
  </r>
  <r>
    <x v="45"/>
  </r>
  <r>
    <x v="46"/>
  </r>
  <r>
    <x v="47"/>
  </r>
  <r>
    <x v="48"/>
  </r>
  <r>
    <x v="49"/>
  </r>
  <r>
    <x v="50"/>
  </r>
  <r>
    <x v="51"/>
  </r>
  <r>
    <x v="52"/>
  </r>
  <r>
    <x v="53"/>
  </r>
  <r>
    <x v="54"/>
  </r>
  <r>
    <x v="55"/>
  </r>
  <r>
    <x v="56"/>
  </r>
  <r>
    <x v="57"/>
  </r>
  <r>
    <x v="58"/>
  </r>
  <r>
    <x v="59"/>
  </r>
  <r>
    <x v="60"/>
  </r>
  <r>
    <x v="61"/>
  </r>
  <r>
    <x v="62"/>
  </r>
  <r>
    <x v="63"/>
  </r>
  <r>
    <x v="64"/>
  </r>
  <r>
    <x v="65"/>
  </r>
  <r>
    <x v="66"/>
  </r>
  <r>
    <x v="67"/>
  </r>
  <r>
    <x v="68"/>
  </r>
  <r>
    <x v="69"/>
  </r>
  <r>
    <x v="70"/>
  </r>
  <r>
    <x v="71"/>
  </r>
  <r>
    <x v="72"/>
  </r>
  <r>
    <x v="73"/>
  </r>
  <r>
    <x v="74"/>
  </r>
  <r>
    <x v="75"/>
  </r>
  <r>
    <x v="76"/>
  </r>
  <r>
    <x v="77"/>
  </r>
  <r>
    <x v="78"/>
  </r>
  <r>
    <x v="79"/>
  </r>
  <r>
    <x v="80"/>
  </r>
  <r>
    <x v="81"/>
  </r>
  <r>
    <x v="82"/>
  </r>
  <r>
    <x v="83"/>
  </r>
  <r>
    <x v="84"/>
  </r>
  <r>
    <x v="85"/>
  </r>
  <r>
    <x v="86"/>
  </r>
  <r>
    <x v="87"/>
  </r>
  <r>
    <x v="88"/>
  </r>
  <r>
    <x v="89"/>
  </r>
  <r>
    <x v="90"/>
  </r>
  <r>
    <x v="91"/>
  </r>
  <r>
    <x v="92"/>
  </r>
  <r>
    <x v="93"/>
  </r>
  <r>
    <x v="94"/>
  </r>
  <r>
    <x v="95"/>
  </r>
  <r>
    <x v="96"/>
  </r>
  <r>
    <x v="97"/>
  </r>
  <r>
    <x v="98"/>
  </r>
  <r>
    <x v="99"/>
  </r>
  <r>
    <x v="100"/>
  </r>
  <r>
    <x v="101"/>
  </r>
  <r>
    <x v="102"/>
  </r>
  <r>
    <x v="103"/>
  </r>
  <r>
    <x v="104"/>
  </r>
  <r>
    <x v="105"/>
  </r>
  <r>
    <x v="106"/>
  </r>
  <r>
    <x v="107"/>
  </r>
  <r>
    <x v="108"/>
  </r>
  <r>
    <x v="109"/>
  </r>
  <r>
    <x v="110"/>
  </r>
  <r>
    <x v="111"/>
  </r>
  <r>
    <x v="112"/>
  </r>
  <r>
    <x v="113"/>
  </r>
  <r>
    <x v="114"/>
  </r>
  <r>
    <x v="115"/>
  </r>
  <r>
    <x v="116"/>
  </r>
  <r>
    <x v="117"/>
  </r>
  <r>
    <x v="118"/>
  </r>
  <r>
    <x v="119"/>
  </r>
  <r>
    <x v="120"/>
  </r>
  <r>
    <x v="121"/>
  </r>
  <r>
    <x v="122"/>
  </r>
  <r>
    <x v="123"/>
  </r>
  <r>
    <x v="124"/>
  </r>
  <r>
    <x v="125"/>
  </r>
  <r>
    <x v="126"/>
  </r>
  <r>
    <x v="127"/>
  </r>
  <r>
    <x v="128"/>
  </r>
  <r>
    <x v="129"/>
  </r>
  <r>
    <x v="130"/>
  </r>
  <r>
    <x v="131"/>
  </r>
  <r>
    <x v="132"/>
  </r>
  <r>
    <x v="133"/>
  </r>
  <r>
    <x v="134"/>
  </r>
  <r>
    <x v="135"/>
  </r>
  <r>
    <x v="136"/>
  </r>
  <r>
    <x v="137"/>
  </r>
  <r>
    <x v="138"/>
  </r>
  <r>
    <x v="139"/>
  </r>
  <r>
    <x v="140"/>
  </r>
  <r>
    <x v="141"/>
  </r>
  <r>
    <x v="142"/>
  </r>
  <r>
    <x v="143"/>
  </r>
  <r>
    <x v="144"/>
  </r>
  <r>
    <x v="145"/>
  </r>
  <r>
    <x v="146"/>
  </r>
  <r>
    <x v="147"/>
  </r>
  <r>
    <x v="148"/>
  </r>
  <r>
    <x v="149"/>
  </r>
  <r>
    <x v="150"/>
  </r>
  <r>
    <x v="151"/>
  </r>
  <r>
    <x v="152"/>
  </r>
  <r>
    <x v="153"/>
  </r>
  <r>
    <x v="154"/>
  </r>
  <r>
    <x v="155"/>
  </r>
  <r>
    <x v="156"/>
  </r>
  <r>
    <x v="157"/>
  </r>
  <r>
    <x v="158"/>
  </r>
  <r>
    <x v="159"/>
  </r>
  <r>
    <x v="160"/>
  </r>
  <r>
    <x v="161"/>
  </r>
  <r>
    <x v="162"/>
  </r>
  <r>
    <x v="163"/>
  </r>
  <r>
    <x v="164"/>
  </r>
  <r>
    <x v="165"/>
  </r>
  <r>
    <x v="166"/>
  </r>
  <r>
    <x v="167"/>
  </r>
  <r>
    <x v="168"/>
  </r>
  <r>
    <x v="169"/>
  </r>
  <r>
    <x v="170"/>
  </r>
  <r>
    <x v="171"/>
  </r>
  <r>
    <x v="172"/>
  </r>
  <r>
    <x v="173"/>
  </r>
  <r>
    <x v="174"/>
  </r>
  <r>
    <x v="175"/>
  </r>
  <r>
    <x v="176"/>
  </r>
  <r>
    <x v="177"/>
  </r>
  <r>
    <x v="178"/>
  </r>
  <r>
    <x v="179"/>
  </r>
  <r>
    <x v="180"/>
  </r>
  <r>
    <x v="181"/>
  </r>
  <r>
    <x v="182"/>
  </r>
  <r>
    <x v="183"/>
  </r>
  <r>
    <x v="184"/>
  </r>
  <r>
    <x v="185"/>
  </r>
  <r>
    <x v="186"/>
  </r>
  <r>
    <x v="187"/>
  </r>
  <r>
    <x v="188"/>
  </r>
  <r>
    <x v="189"/>
  </r>
  <r>
    <x v="190"/>
  </r>
  <r>
    <x v="191"/>
  </r>
  <r>
    <x v="192"/>
  </r>
  <r>
    <x v="193"/>
  </r>
  <r>
    <x v="194"/>
  </r>
  <r>
    <x v="195"/>
  </r>
  <r>
    <x v="196"/>
  </r>
  <r>
    <x v="197"/>
  </r>
  <r>
    <x v="198"/>
  </r>
  <r>
    <x v="199"/>
  </r>
  <r>
    <x v="200"/>
  </r>
  <r>
    <x v="201"/>
  </r>
  <r>
    <x v="202"/>
  </r>
  <r>
    <x v="203"/>
  </r>
  <r>
    <x v="204"/>
  </r>
  <r>
    <x v="205"/>
  </r>
  <r>
    <x v="206"/>
  </r>
  <r>
    <x v="207"/>
  </r>
  <r>
    <x v="208"/>
  </r>
  <r>
    <x v="209"/>
  </r>
  <r>
    <x v="210"/>
  </r>
  <r>
    <x v="211"/>
  </r>
  <r>
    <x v="212"/>
  </r>
  <r>
    <x v="213"/>
  </r>
  <r>
    <x v="214"/>
  </r>
  <r>
    <x v="215"/>
  </r>
  <r>
    <x v="216"/>
  </r>
  <r>
    <x v="217"/>
  </r>
  <r>
    <x v="218"/>
  </r>
  <r>
    <x v="219"/>
  </r>
  <r>
    <x v="220"/>
  </r>
  <r>
    <x v="221"/>
  </r>
  <r>
    <x v="222"/>
  </r>
  <r>
    <x v="223"/>
  </r>
  <r>
    <x v="224"/>
  </r>
  <r>
    <x v="225"/>
  </r>
  <r>
    <x v="226"/>
  </r>
  <r>
    <x v="227"/>
  </r>
  <r>
    <x v="228"/>
  </r>
  <r>
    <x v="229"/>
  </r>
  <r>
    <x v="230"/>
  </r>
  <r>
    <x v="231"/>
  </r>
  <r>
    <x v="232"/>
  </r>
  <r>
    <x v="233"/>
  </r>
  <r>
    <x v="234"/>
  </r>
  <r>
    <x v="235"/>
  </r>
  <r>
    <x v="236"/>
  </r>
  <r>
    <x v="237"/>
  </r>
  <r>
    <x v="238"/>
  </r>
  <r>
    <x v="239"/>
  </r>
  <r>
    <x v="240"/>
  </r>
  <r>
    <x v="241"/>
  </r>
  <r>
    <x v="242"/>
  </r>
  <r>
    <x v="243"/>
  </r>
  <r>
    <x v="244"/>
  </r>
  <r>
    <x v="245"/>
  </r>
  <r>
    <x v="246"/>
  </r>
  <r>
    <x v="247"/>
  </r>
  <r>
    <x v="248"/>
  </r>
  <r>
    <x v="249"/>
  </r>
  <r>
    <x v="250"/>
  </r>
  <r>
    <x v="251"/>
  </r>
  <r>
    <x v="252"/>
  </r>
  <r>
    <x v="253"/>
  </r>
  <r>
    <x v="254"/>
  </r>
  <r>
    <x v="255"/>
  </r>
  <r>
    <x v="256"/>
  </r>
  <r>
    <x v="257"/>
  </r>
  <r>
    <x v="258"/>
  </r>
  <r>
    <x v="259"/>
  </r>
  <r>
    <x v="260"/>
  </r>
  <r>
    <x v="261"/>
  </r>
  <r>
    <x v="262"/>
  </r>
  <r>
    <x v="263"/>
  </r>
  <r>
    <x v="264"/>
  </r>
  <r>
    <x v="265"/>
  </r>
  <r>
    <x v="266"/>
  </r>
  <r>
    <x v="267"/>
  </r>
  <r>
    <x v="268"/>
  </r>
  <r>
    <x v="269"/>
  </r>
  <r>
    <x v="270"/>
  </r>
  <r>
    <x v="271"/>
  </r>
  <r>
    <x v="272"/>
  </r>
  <r>
    <x v="273"/>
  </r>
  <r>
    <x v="274"/>
  </r>
  <r>
    <x v="275"/>
  </r>
  <r>
    <x v="276"/>
  </r>
  <r>
    <x v="277"/>
  </r>
  <r>
    <x v="278"/>
  </r>
  <r>
    <x v="279"/>
  </r>
  <r>
    <x v="280"/>
  </r>
  <r>
    <x v="281"/>
  </r>
  <r>
    <x v="282"/>
  </r>
  <r>
    <x v="283"/>
  </r>
  <r>
    <x v="284"/>
  </r>
  <r>
    <x v="285"/>
  </r>
  <r>
    <x v="286"/>
  </r>
  <r>
    <x v="287"/>
  </r>
  <r>
    <x v="288"/>
  </r>
  <r>
    <x v="289"/>
  </r>
  <r>
    <x v="290"/>
  </r>
  <r>
    <x v="291"/>
  </r>
  <r>
    <x v="292"/>
  </r>
  <r>
    <x v="293"/>
  </r>
  <r>
    <x v="294"/>
  </r>
  <r>
    <x v="295"/>
  </r>
  <r>
    <x v="296"/>
  </r>
  <r>
    <x v="297"/>
  </r>
  <r>
    <x v="298"/>
  </r>
  <r>
    <x v="299"/>
  </r>
  <r>
    <x v="300"/>
  </r>
  <r>
    <x v="301"/>
  </r>
  <r>
    <x v="302"/>
  </r>
  <r>
    <x v="303"/>
  </r>
  <r>
    <x v="304"/>
  </r>
  <r>
    <x v="305"/>
  </r>
  <r>
    <x v="306"/>
  </r>
  <r>
    <x v="307"/>
  </r>
  <r>
    <x v="308"/>
  </r>
  <r>
    <x v="309"/>
  </r>
  <r>
    <x v="310"/>
  </r>
  <r>
    <x v="311"/>
  </r>
  <r>
    <x v="312"/>
  </r>
  <r>
    <x v="313"/>
  </r>
  <r>
    <x v="314"/>
  </r>
  <r>
    <x v="315"/>
  </r>
  <r>
    <x v="316"/>
  </r>
  <r>
    <x v="317"/>
  </r>
  <r>
    <x v="318"/>
  </r>
  <r>
    <x v="319"/>
  </r>
  <r>
    <x v="320"/>
  </r>
  <r>
    <x v="321"/>
  </r>
  <r>
    <x v="322"/>
  </r>
  <r>
    <x v="323"/>
  </r>
  <r>
    <x v="324"/>
  </r>
  <r>
    <x v="325"/>
  </r>
  <r>
    <x v="326"/>
  </r>
  <r>
    <x v="327"/>
  </r>
  <r>
    <x v="328"/>
  </r>
  <r>
    <x v="329"/>
  </r>
  <r>
    <x v="330"/>
  </r>
  <r>
    <x v="331"/>
  </r>
  <r>
    <x v="332"/>
  </r>
  <r>
    <x v="333"/>
  </r>
  <r>
    <x v="334"/>
  </r>
  <r>
    <x v="335"/>
  </r>
  <r>
    <x v="336"/>
  </r>
  <r>
    <x v="337"/>
  </r>
  <r>
    <x v="338"/>
  </r>
  <r>
    <x v="339"/>
  </r>
  <r>
    <x v="340"/>
  </r>
  <r>
    <x v="341"/>
  </r>
  <r>
    <x v="342"/>
  </r>
  <r>
    <x v="343"/>
  </r>
  <r>
    <x v="344"/>
  </r>
  <r>
    <x v="345"/>
  </r>
  <r>
    <x v="346"/>
  </r>
  <r>
    <x v="347"/>
  </r>
  <r>
    <x v="348"/>
  </r>
  <r>
    <x v="349"/>
  </r>
  <r>
    <x v="350"/>
  </r>
  <r>
    <x v="351"/>
  </r>
  <r>
    <x v="352"/>
  </r>
  <r>
    <x v="353"/>
  </r>
  <r>
    <x v="354"/>
  </r>
  <r>
    <x v="355"/>
  </r>
  <r>
    <x v="356"/>
  </r>
  <r>
    <x v="357"/>
  </r>
  <r>
    <x v="358"/>
  </r>
  <r>
    <x v="359"/>
  </r>
  <r>
    <x v="360"/>
  </r>
  <r>
    <x v="361"/>
  </r>
  <r>
    <x v="362"/>
  </r>
  <r>
    <x v="363"/>
  </r>
  <r>
    <x v="364"/>
  </r>
  <r>
    <x v="365"/>
  </r>
  <r>
    <x v="366"/>
  </r>
  <r>
    <x v="367"/>
  </r>
  <r>
    <x v="368"/>
  </r>
  <r>
    <x v="369"/>
  </r>
  <r>
    <x v="370"/>
  </r>
  <r>
    <x v="371"/>
  </r>
  <r>
    <x v="372"/>
  </r>
  <r>
    <x v="373"/>
  </r>
  <r>
    <x v="374"/>
  </r>
  <r>
    <x v="375"/>
  </r>
  <r>
    <x v="376"/>
  </r>
  <r>
    <x v="377"/>
  </r>
  <r>
    <x v="378"/>
  </r>
  <r>
    <x v="379"/>
  </r>
  <r>
    <x v="380"/>
  </r>
  <r>
    <x v="381"/>
  </r>
  <r>
    <x v="382"/>
  </r>
  <r>
    <x v="383"/>
  </r>
  <r>
    <x v="384"/>
  </r>
  <r>
    <x v="385"/>
  </r>
  <r>
    <x v="386"/>
  </r>
  <r>
    <x v="387"/>
  </r>
  <r>
    <x v="388"/>
  </r>
  <r>
    <x v="389"/>
  </r>
  <r>
    <x v="390"/>
  </r>
  <r>
    <x v="391"/>
  </r>
  <r>
    <x v="392"/>
  </r>
  <r>
    <x v="393"/>
  </r>
  <r>
    <x v="394"/>
  </r>
  <r>
    <x v="395"/>
  </r>
  <r>
    <x v="396"/>
  </r>
  <r>
    <x v="397"/>
  </r>
  <r>
    <x v="398"/>
  </r>
  <r>
    <x v="399"/>
  </r>
  <r>
    <x v="400"/>
  </r>
  <r>
    <x v="401"/>
  </r>
  <r>
    <x v="402"/>
  </r>
  <r>
    <x v="403"/>
  </r>
  <r>
    <x v="404"/>
  </r>
  <r>
    <x v="405"/>
  </r>
  <r>
    <x v="406"/>
  </r>
  <r>
    <x v="407"/>
  </r>
  <r>
    <x v="408"/>
  </r>
  <r>
    <x v="409"/>
  </r>
  <r>
    <x v="410"/>
  </r>
  <r>
    <x v="411"/>
  </r>
  <r>
    <x v="412"/>
  </r>
  <r>
    <x v="413"/>
  </r>
  <r>
    <x v="414"/>
  </r>
  <r>
    <x v="415"/>
  </r>
  <r>
    <x v="416"/>
  </r>
  <r>
    <x v="417"/>
  </r>
  <r>
    <x v="418"/>
  </r>
  <r>
    <x v="419"/>
  </r>
  <r>
    <x v="420"/>
  </r>
  <r>
    <x v="421"/>
  </r>
  <r>
    <x v="422"/>
  </r>
  <r>
    <x v="423"/>
  </r>
  <r>
    <x v="424"/>
  </r>
  <r>
    <x v="425"/>
  </r>
  <r>
    <x v="426"/>
  </r>
  <r>
    <x v="427"/>
  </r>
  <r>
    <x v="428"/>
  </r>
  <r>
    <x v="429"/>
  </r>
  <r>
    <x v="430"/>
  </r>
  <r>
    <x v="431"/>
  </r>
  <r>
    <x v="432"/>
  </r>
  <r>
    <x v="433"/>
  </r>
  <r>
    <x v="434"/>
  </r>
  <r>
    <x v="435"/>
  </r>
  <r>
    <x v="436"/>
  </r>
  <r>
    <x v="437"/>
  </r>
  <r>
    <x v="438"/>
  </r>
  <r>
    <x v="439"/>
  </r>
  <r>
    <x v="440"/>
  </r>
  <r>
    <x v="441"/>
  </r>
  <r>
    <x v="442"/>
  </r>
  <r>
    <x v="443"/>
  </r>
  <r>
    <x v="444"/>
  </r>
  <r>
    <x v="445"/>
  </r>
  <r>
    <x v="446"/>
  </r>
  <r>
    <x v="447"/>
  </r>
  <r>
    <x v="448"/>
  </r>
  <r>
    <x v="449"/>
  </r>
  <r>
    <x v="450"/>
  </r>
  <r>
    <x v="451"/>
  </r>
  <r>
    <x v="452"/>
  </r>
  <r>
    <x v="453"/>
  </r>
  <r>
    <x v="454"/>
  </r>
  <r>
    <x v="455"/>
  </r>
  <r>
    <x v="456"/>
  </r>
  <r>
    <x v="457"/>
  </r>
  <r>
    <x v="458"/>
  </r>
  <r>
    <x v="459"/>
  </r>
  <r>
    <x v="460"/>
  </r>
  <r>
    <x v="461"/>
  </r>
  <r>
    <x v="462"/>
  </r>
  <r>
    <x v="463"/>
  </r>
  <r>
    <x v="464"/>
  </r>
  <r>
    <x v="465"/>
  </r>
  <r>
    <x v="466"/>
  </r>
  <r>
    <x v="467"/>
  </r>
  <r>
    <x v="468"/>
  </r>
  <r>
    <x v="469"/>
  </r>
  <r>
    <x v="470"/>
  </r>
  <r>
    <x v="471"/>
  </r>
  <r>
    <x v="472"/>
  </r>
  <r>
    <x v="473"/>
  </r>
  <r>
    <x v="474"/>
  </r>
  <r>
    <x v="475"/>
  </r>
  <r>
    <x v="476"/>
  </r>
  <r>
    <x v="477"/>
  </r>
  <r>
    <x v="478"/>
  </r>
  <r>
    <x v="479"/>
  </r>
  <r>
    <x v="480"/>
  </r>
  <r>
    <x v="481"/>
  </r>
  <r>
    <x v="482"/>
  </r>
  <r>
    <x v="483"/>
  </r>
  <r>
    <x v="484"/>
  </r>
  <r>
    <x v="485"/>
  </r>
  <r>
    <x v="486"/>
  </r>
  <r>
    <x v="487"/>
  </r>
  <r>
    <x v="488"/>
  </r>
  <r>
    <x v="489"/>
  </r>
  <r>
    <x v="490"/>
  </r>
  <r>
    <x v="491"/>
  </r>
  <r>
    <x v="492"/>
  </r>
  <r>
    <x v="493"/>
  </r>
  <r>
    <x v="494"/>
  </r>
  <r>
    <x v="495"/>
  </r>
  <r>
    <x v="496"/>
  </r>
  <r>
    <x v="497"/>
  </r>
  <r>
    <x v="498"/>
  </r>
  <r>
    <x v="499"/>
  </r>
  <r>
    <x v="500"/>
  </r>
  <r>
    <x v="501"/>
  </r>
  <r>
    <x v="502"/>
  </r>
  <r>
    <x v="503"/>
  </r>
  <r>
    <x v="504"/>
  </r>
  <r>
    <x v="505"/>
  </r>
  <r>
    <x v="506"/>
  </r>
  <r>
    <x v="507"/>
  </r>
  <r>
    <x v="508"/>
  </r>
  <r>
    <x v="509"/>
  </r>
  <r>
    <x v="510"/>
  </r>
  <r>
    <x v="511"/>
  </r>
  <r>
    <x v="512"/>
  </r>
  <r>
    <x v="513"/>
  </r>
  <r>
    <x v="514"/>
  </r>
  <r>
    <x v="515"/>
  </r>
  <r>
    <x v="516"/>
  </r>
  <r>
    <x v="517"/>
  </r>
  <r>
    <x v="518"/>
  </r>
  <r>
    <x v="519"/>
  </r>
  <r>
    <x v="520"/>
  </r>
  <r>
    <x v="521"/>
  </r>
  <r>
    <x v="522"/>
  </r>
  <r>
    <x v="523"/>
  </r>
  <r>
    <x v="524"/>
  </r>
  <r>
    <x v="525"/>
  </r>
  <r>
    <x v="526"/>
  </r>
  <r>
    <x v="527"/>
  </r>
  <r>
    <x v="528"/>
  </r>
  <r>
    <x v="529"/>
  </r>
  <r>
    <x v="530"/>
  </r>
  <r>
    <x v="531"/>
  </r>
  <r>
    <x v="532"/>
  </r>
  <r>
    <x v="533"/>
  </r>
  <r>
    <x v="534"/>
  </r>
  <r>
    <x v="535"/>
  </r>
  <r>
    <x v="536"/>
  </r>
  <r>
    <x v="537"/>
  </r>
  <r>
    <x v="538"/>
  </r>
  <r>
    <x v="539"/>
  </r>
  <r>
    <x v="540"/>
  </r>
  <r>
    <x v="541"/>
  </r>
  <r>
    <x v="542"/>
  </r>
  <r>
    <x v="543"/>
  </r>
  <r>
    <x v="544"/>
  </r>
  <r>
    <x v="545"/>
  </r>
  <r>
    <x v="546"/>
  </r>
  <r>
    <x v="547"/>
  </r>
  <r>
    <x v="548"/>
  </r>
  <r>
    <x v="549"/>
  </r>
  <r>
    <x v="550"/>
  </r>
  <r>
    <x v="551"/>
  </r>
  <r>
    <x v="552"/>
  </r>
  <r>
    <x v="553"/>
  </r>
  <r>
    <x v="554"/>
  </r>
  <r>
    <x v="555"/>
  </r>
  <r>
    <x v="556"/>
  </r>
  <r>
    <x v="557"/>
  </r>
  <r>
    <x v="558"/>
  </r>
  <r>
    <x v="559"/>
  </r>
  <r>
    <x v="560"/>
  </r>
  <r>
    <x v="561"/>
  </r>
  <r>
    <x v="562"/>
  </r>
  <r>
    <x v="563"/>
  </r>
  <r>
    <x v="564"/>
  </r>
  <r>
    <x v="565"/>
  </r>
  <r>
    <x v="566"/>
  </r>
  <r>
    <x v="567"/>
  </r>
  <r>
    <x v="568"/>
  </r>
  <r>
    <x v="569"/>
  </r>
  <r>
    <x v="570"/>
  </r>
  <r>
    <x v="571"/>
  </r>
  <r>
    <x v="572"/>
  </r>
  <r>
    <x v="573"/>
  </r>
  <r>
    <x v="574"/>
  </r>
  <r>
    <x v="575"/>
  </r>
  <r>
    <x v="576"/>
  </r>
  <r>
    <x v="577"/>
  </r>
  <r>
    <x v="578"/>
  </r>
  <r>
    <x v="579"/>
  </r>
  <r>
    <x v="580"/>
  </r>
  <r>
    <x v="581"/>
  </r>
  <r>
    <x v="582"/>
  </r>
  <r>
    <x v="583"/>
  </r>
  <r>
    <x v="584"/>
  </r>
  <r>
    <x v="585"/>
  </r>
  <r>
    <x v="586"/>
  </r>
  <r>
    <x v="587"/>
  </r>
  <r>
    <x v="588"/>
  </r>
  <r>
    <x v="589"/>
  </r>
  <r>
    <x v="590"/>
  </r>
  <r>
    <x v="591"/>
  </r>
  <r>
    <x v="592"/>
  </r>
  <r>
    <x v="593"/>
  </r>
  <r>
    <x v="594"/>
  </r>
  <r>
    <x v="595"/>
  </r>
  <r>
    <x v="596"/>
  </r>
  <r>
    <x v="597"/>
  </r>
  <r>
    <x v="598"/>
  </r>
  <r>
    <x v="599"/>
  </r>
  <r>
    <x v="600"/>
  </r>
  <r>
    <x v="601"/>
  </r>
  <r>
    <x v="602"/>
  </r>
  <r>
    <x v="603"/>
  </r>
  <r>
    <x v="604"/>
  </r>
  <r>
    <x v="605"/>
  </r>
  <r>
    <x v="606"/>
  </r>
  <r>
    <x v="607"/>
  </r>
  <r>
    <x v="608"/>
  </r>
  <r>
    <x v="609"/>
  </r>
  <r>
    <x v="610"/>
  </r>
  <r>
    <x v="611"/>
  </r>
  <r>
    <x v="612"/>
  </r>
  <r>
    <x v="613"/>
  </r>
  <r>
    <x v="614"/>
  </r>
  <r>
    <x v="615"/>
  </r>
  <r>
    <x v="616"/>
  </r>
  <r>
    <x v="617"/>
  </r>
  <r>
    <x v="618"/>
  </r>
  <r>
    <x v="619"/>
  </r>
  <r>
    <x v="620"/>
  </r>
  <r>
    <x v="621"/>
  </r>
  <r>
    <x v="622"/>
  </r>
  <r>
    <x v="623"/>
  </r>
  <r>
    <x v="624"/>
  </r>
  <r>
    <x v="625"/>
  </r>
  <r>
    <x v="626"/>
  </r>
  <r>
    <x v="627"/>
  </r>
  <r>
    <x v="628"/>
  </r>
  <r>
    <x v="629"/>
  </r>
  <r>
    <x v="630"/>
  </r>
  <r>
    <x v="631"/>
  </r>
  <r>
    <x v="632"/>
  </r>
  <r>
    <x v="633"/>
  </r>
  <r>
    <x v="634"/>
  </r>
  <r>
    <x v="635"/>
  </r>
  <r>
    <x v="636"/>
  </r>
  <r>
    <x v="637"/>
  </r>
  <r>
    <x v="638"/>
  </r>
  <r>
    <x v="639"/>
  </r>
  <r>
    <x v="640"/>
  </r>
  <r>
    <x v="641"/>
  </r>
  <r>
    <x v="642"/>
  </r>
  <r>
    <x v="643"/>
  </r>
  <r>
    <x v="644"/>
  </r>
  <r>
    <x v="645"/>
  </r>
  <r>
    <x v="646"/>
  </r>
  <r>
    <x v="647"/>
  </r>
  <r>
    <x v="648"/>
  </r>
  <r>
    <x v="649"/>
  </r>
  <r>
    <x v="650"/>
  </r>
  <r>
    <x v="651"/>
  </r>
  <r>
    <x v="652"/>
  </r>
  <r>
    <x v="653"/>
  </r>
  <r>
    <x v="654"/>
  </r>
  <r>
    <x v="655"/>
  </r>
  <r>
    <x v="656"/>
  </r>
  <r>
    <x v="657"/>
  </r>
  <r>
    <x v="658"/>
  </r>
  <r>
    <x v="659"/>
  </r>
  <r>
    <x v="660"/>
  </r>
  <r>
    <x v="661"/>
  </r>
  <r>
    <x v="662"/>
  </r>
  <r>
    <x v="663"/>
  </r>
  <r>
    <x v="664"/>
  </r>
  <r>
    <x v="665"/>
  </r>
  <r>
    <x v="666"/>
  </r>
  <r>
    <x v="667"/>
  </r>
  <r>
    <x v="668"/>
  </r>
  <r>
    <x v="669"/>
  </r>
  <r>
    <x v="670"/>
  </r>
  <r>
    <x v="671"/>
  </r>
  <r>
    <x v="672"/>
  </r>
  <r>
    <x v="673"/>
  </r>
  <r>
    <x v="674"/>
  </r>
  <r>
    <x v="675"/>
  </r>
  <r>
    <x v="676"/>
  </r>
  <r>
    <x v="677"/>
  </r>
  <r>
    <x v="678"/>
  </r>
  <r>
    <x v="679"/>
  </r>
  <r>
    <x v="680"/>
  </r>
  <r>
    <x v="681"/>
  </r>
  <r>
    <x v="682"/>
  </r>
  <r>
    <x v="683"/>
  </r>
  <r>
    <x v="684"/>
  </r>
  <r>
    <x v="685"/>
  </r>
  <r>
    <x v="686"/>
  </r>
  <r>
    <x v="687"/>
  </r>
  <r>
    <x v="688"/>
  </r>
  <r>
    <x v="689"/>
  </r>
  <r>
    <x v="690"/>
  </r>
  <r>
    <x v="691"/>
  </r>
  <r>
    <x v="692"/>
  </r>
  <r>
    <x v="693"/>
  </r>
  <r>
    <x v="694"/>
  </r>
  <r>
    <x v="695"/>
  </r>
  <r>
    <x v="696"/>
  </r>
  <r>
    <x v="697"/>
  </r>
  <r>
    <x v="698"/>
  </r>
  <r>
    <x v="699"/>
  </r>
  <r>
    <x v="700"/>
  </r>
  <r>
    <x v="701"/>
  </r>
  <r>
    <x v="702"/>
  </r>
  <r>
    <x v="703"/>
  </r>
  <r>
    <x v="704"/>
  </r>
  <r>
    <x v="705"/>
  </r>
  <r>
    <x v="706"/>
  </r>
  <r>
    <x v="707"/>
  </r>
  <r>
    <x v="708"/>
  </r>
  <r>
    <x v="709"/>
  </r>
  <r>
    <x v="710"/>
  </r>
  <r>
    <x v="711"/>
  </r>
  <r>
    <x v="712"/>
  </r>
  <r>
    <x v="713"/>
  </r>
  <r>
    <x v="714"/>
  </r>
  <r>
    <x v="715"/>
  </r>
  <r>
    <x v="716"/>
  </r>
  <r>
    <x v="717"/>
  </r>
  <r>
    <x v="718"/>
  </r>
  <r>
    <x v="719"/>
  </r>
  <r>
    <x v="720"/>
  </r>
  <r>
    <x v="721"/>
  </r>
  <r>
    <x v="722"/>
  </r>
  <r>
    <x v="723"/>
  </r>
  <r>
    <x v="724"/>
  </r>
  <r>
    <x v="725"/>
  </r>
  <r>
    <x v="726"/>
  </r>
  <r>
    <x v="727"/>
  </r>
  <r>
    <x v="728"/>
  </r>
  <r>
    <x v="729"/>
  </r>
  <r>
    <x v="730"/>
  </r>
  <r>
    <x v="731"/>
  </r>
  <r>
    <x v="732"/>
  </r>
  <r>
    <x v="733"/>
  </r>
  <r>
    <x v="734"/>
  </r>
  <r>
    <x v="735"/>
  </r>
  <r>
    <x v="736"/>
  </r>
  <r>
    <x v="737"/>
  </r>
  <r>
    <x v="738"/>
  </r>
  <r>
    <x v="739"/>
  </r>
  <r>
    <x v="740"/>
  </r>
  <r>
    <x v="741"/>
  </r>
  <r>
    <x v="742"/>
  </r>
  <r>
    <x v="743"/>
  </r>
  <r>
    <x v="744"/>
  </r>
  <r>
    <x v="745"/>
  </r>
  <r>
    <x v="746"/>
  </r>
  <r>
    <x v="747"/>
  </r>
  <r>
    <x v="748"/>
  </r>
  <r>
    <x v="749"/>
  </r>
  <r>
    <x v="750"/>
  </r>
  <r>
    <x v="751"/>
  </r>
  <r>
    <x v="752"/>
  </r>
  <r>
    <x v="753"/>
  </r>
  <r>
    <x v="754"/>
  </r>
  <r>
    <x v="755"/>
  </r>
  <r>
    <x v="756"/>
  </r>
  <r>
    <x v="757"/>
  </r>
  <r>
    <x v="758"/>
  </r>
  <r>
    <x v="759"/>
  </r>
  <r>
    <x v="760"/>
  </r>
  <r>
    <x v="761"/>
  </r>
  <r>
    <x v="762"/>
  </r>
  <r>
    <x v="763"/>
  </r>
  <r>
    <x v="764"/>
  </r>
  <r>
    <x v="765"/>
  </r>
  <r>
    <x v="766"/>
  </r>
  <r>
    <x v="767"/>
  </r>
  <r>
    <x v="768"/>
  </r>
  <r>
    <x v="769"/>
  </r>
  <r>
    <x v="770"/>
  </r>
  <r>
    <x v="771"/>
  </r>
  <r>
    <x v="772"/>
  </r>
  <r>
    <x v="773"/>
  </r>
  <r>
    <x v="774"/>
  </r>
  <r>
    <x v="775"/>
  </r>
  <r>
    <x v="776"/>
  </r>
  <r>
    <x v="777"/>
  </r>
  <r>
    <x v="778"/>
  </r>
  <r>
    <x v="779"/>
  </r>
  <r>
    <x v="780"/>
  </r>
  <r>
    <x v="781"/>
  </r>
  <r>
    <x v="782"/>
  </r>
  <r>
    <x v="783"/>
  </r>
  <r>
    <x v="784"/>
  </r>
  <r>
    <x v="785"/>
  </r>
  <r>
    <x v="786"/>
  </r>
  <r>
    <x v="787"/>
  </r>
  <r>
    <x v="788"/>
  </r>
  <r>
    <x v="789"/>
  </r>
  <r>
    <x v="790"/>
  </r>
  <r>
    <x v="791"/>
  </r>
  <r>
    <x v="792"/>
  </r>
  <r>
    <x v="793"/>
  </r>
  <r>
    <x v="794"/>
  </r>
  <r>
    <x v="795"/>
  </r>
  <r>
    <x v="796"/>
  </r>
  <r>
    <x v="797"/>
  </r>
  <r>
    <x v="798"/>
  </r>
  <r>
    <x v="799"/>
  </r>
  <r>
    <x v="800"/>
  </r>
  <r>
    <x v="801"/>
  </r>
  <r>
    <x v="802"/>
  </r>
  <r>
    <x v="803"/>
  </r>
  <r>
    <x v="804"/>
  </r>
  <r>
    <x v="805"/>
  </r>
  <r>
    <x v="806"/>
  </r>
  <r>
    <x v="807"/>
  </r>
  <r>
    <x v="808"/>
  </r>
  <r>
    <x v="809"/>
  </r>
  <r>
    <x v="810"/>
  </r>
  <r>
    <x v="811"/>
  </r>
  <r>
    <x v="812"/>
  </r>
  <r>
    <x v="813"/>
  </r>
  <r>
    <x v="814"/>
  </r>
  <r>
    <x v="815"/>
  </r>
  <r>
    <x v="816"/>
  </r>
  <r>
    <x v="817"/>
  </r>
  <r>
    <x v="818"/>
  </r>
  <r>
    <x v="819"/>
  </r>
  <r>
    <x v="820"/>
  </r>
  <r>
    <x v="821"/>
  </r>
  <r>
    <x v="822"/>
  </r>
  <r>
    <x v="823"/>
  </r>
  <r>
    <x v="824"/>
  </r>
  <r>
    <x v="825"/>
  </r>
  <r>
    <x v="826"/>
  </r>
  <r>
    <x v="827"/>
  </r>
  <r>
    <x v="828"/>
  </r>
  <r>
    <x v="829"/>
  </r>
  <r>
    <x v="830"/>
  </r>
  <r>
    <x v="831"/>
  </r>
  <r>
    <x v="832"/>
  </r>
  <r>
    <x v="833"/>
  </r>
  <r>
    <x v="834"/>
  </r>
  <r>
    <x v="835"/>
  </r>
  <r>
    <x v="836"/>
  </r>
  <r>
    <x v="837"/>
  </r>
  <r>
    <x v="838"/>
  </r>
  <r>
    <x v="839"/>
  </r>
  <r>
    <x v="840"/>
  </r>
  <r>
    <x v="841"/>
  </r>
  <r>
    <x v="842"/>
  </r>
  <r>
    <x v="843"/>
  </r>
  <r>
    <x v="844"/>
  </r>
  <r>
    <x v="845"/>
  </r>
  <r>
    <x v="846"/>
  </r>
  <r>
    <x v="847"/>
  </r>
  <r>
    <x v="848"/>
  </r>
  <r>
    <x v="849"/>
  </r>
  <r>
    <x v="850"/>
  </r>
  <r>
    <x v="851"/>
  </r>
  <r>
    <x v="852"/>
  </r>
  <r>
    <x v="853"/>
  </r>
  <r>
    <x v="854"/>
  </r>
  <r>
    <x v="855"/>
  </r>
  <r>
    <x v="856"/>
  </r>
  <r>
    <x v="857"/>
  </r>
  <r>
    <x v="858"/>
  </r>
  <r>
    <x v="859"/>
  </r>
  <r>
    <x v="860"/>
  </r>
  <r>
    <x v="861"/>
  </r>
  <r>
    <x v="862"/>
  </r>
  <r>
    <x v="863"/>
  </r>
  <r>
    <x v="864"/>
  </r>
  <r>
    <x v="865"/>
  </r>
  <r>
    <x v="866"/>
  </r>
  <r>
    <x v="867"/>
  </r>
  <r>
    <x v="868"/>
  </r>
  <r>
    <x v="869"/>
  </r>
  <r>
    <x v="870"/>
  </r>
  <r>
    <x v="871"/>
  </r>
  <r>
    <x v="872"/>
  </r>
  <r>
    <x v="873"/>
  </r>
  <r>
    <x v="874"/>
  </r>
  <r>
    <x v="875"/>
  </r>
  <r>
    <x v="876"/>
  </r>
  <r>
    <x v="877"/>
  </r>
  <r>
    <x v="878"/>
  </r>
  <r>
    <x v="879"/>
  </r>
  <r>
    <x v="880"/>
  </r>
  <r>
    <x v="881"/>
  </r>
  <r>
    <x v="882"/>
  </r>
  <r>
    <x v="883"/>
  </r>
  <r>
    <x v="884"/>
  </r>
  <r>
    <x v="885"/>
  </r>
  <r>
    <x v="886"/>
  </r>
  <r>
    <x v="887"/>
  </r>
  <r>
    <x v="888"/>
  </r>
  <r>
    <x v="889"/>
  </r>
  <r>
    <x v="890"/>
  </r>
  <r>
    <x v="891"/>
  </r>
  <r>
    <x v="892"/>
  </r>
  <r>
    <x v="893"/>
  </r>
  <r>
    <x v="894"/>
  </r>
  <r>
    <x v="895"/>
  </r>
  <r>
    <x v="896"/>
  </r>
  <r>
    <x v="897"/>
  </r>
  <r>
    <x v="898"/>
  </r>
  <r>
    <x v="899"/>
  </r>
  <r>
    <x v="900"/>
  </r>
  <r>
    <x v="901"/>
  </r>
  <r>
    <x v="902"/>
  </r>
  <r>
    <x v="903"/>
  </r>
  <r>
    <x v="904"/>
  </r>
  <r>
    <x v="905"/>
  </r>
  <r>
    <x v="906"/>
  </r>
  <r>
    <x v="907"/>
  </r>
  <r>
    <x v="908"/>
  </r>
  <r>
    <x v="909"/>
  </r>
  <r>
    <x v="910"/>
  </r>
  <r>
    <x v="911"/>
  </r>
  <r>
    <x v="912"/>
  </r>
  <r>
    <x v="913"/>
  </r>
  <r>
    <x v="914"/>
  </r>
  <r>
    <x v="915"/>
  </r>
  <r>
    <x v="916"/>
  </r>
  <r>
    <x v="917"/>
  </r>
  <r>
    <x v="918"/>
  </r>
  <r>
    <x v="919"/>
  </r>
  <r>
    <x v="920"/>
  </r>
  <r>
    <x v="921"/>
  </r>
  <r>
    <x v="922"/>
  </r>
  <r>
    <x v="923"/>
  </r>
  <r>
    <x v="924"/>
  </r>
  <r>
    <x v="925"/>
  </r>
  <r>
    <x v="926"/>
  </r>
  <r>
    <x v="927"/>
  </r>
  <r>
    <x v="928"/>
  </r>
  <r>
    <x v="929"/>
  </r>
  <r>
    <x v="930"/>
  </r>
  <r>
    <x v="931"/>
  </r>
  <r>
    <x v="932"/>
  </r>
  <r>
    <x v="933"/>
  </r>
  <r>
    <x v="934"/>
  </r>
  <r>
    <x v="935"/>
  </r>
  <r>
    <x v="936"/>
  </r>
  <r>
    <x v="937"/>
  </r>
  <r>
    <x v="938"/>
  </r>
  <r>
    <x v="939"/>
  </r>
  <r>
    <x v="940"/>
  </r>
  <r>
    <x v="941"/>
  </r>
  <r>
    <x v="942"/>
  </r>
  <r>
    <x v="943"/>
  </r>
  <r>
    <x v="944"/>
  </r>
  <r>
    <x v="945"/>
  </r>
  <r>
    <x v="946"/>
  </r>
  <r>
    <x v="947"/>
  </r>
  <r>
    <x v="948"/>
  </r>
  <r>
    <x v="949"/>
  </r>
  <r>
    <x v="950"/>
  </r>
  <r>
    <x v="951"/>
  </r>
  <r>
    <x v="952"/>
  </r>
  <r>
    <x v="953"/>
  </r>
  <r>
    <x v="954"/>
  </r>
  <r>
    <x v="955"/>
  </r>
  <r>
    <x v="956"/>
  </r>
  <r>
    <x v="957"/>
  </r>
  <r>
    <x v="958"/>
  </r>
  <r>
    <x v="959"/>
  </r>
  <r>
    <x v="960"/>
  </r>
  <r>
    <x v="961"/>
  </r>
  <r>
    <x v="962"/>
  </r>
  <r>
    <x v="963"/>
  </r>
  <r>
    <x v="964"/>
  </r>
  <r>
    <x v="965"/>
  </r>
  <r>
    <x v="966"/>
  </r>
  <r>
    <x v="967"/>
  </r>
  <r>
    <x v="968"/>
  </r>
  <r>
    <x v="969"/>
  </r>
  <r>
    <x v="970"/>
  </r>
  <r>
    <x v="971"/>
  </r>
  <r>
    <x v="972"/>
  </r>
  <r>
    <x v="973"/>
  </r>
  <r>
    <x v="974"/>
  </r>
  <r>
    <x v="975"/>
  </r>
  <r>
    <x v="976"/>
  </r>
  <r>
    <x v="977"/>
  </r>
  <r>
    <x v="978"/>
  </r>
  <r>
    <x v="979"/>
  </r>
  <r>
    <x v="980"/>
  </r>
  <r>
    <x v="981"/>
  </r>
  <r>
    <x v="982"/>
  </r>
  <r>
    <x v="983"/>
  </r>
  <r>
    <x v="984"/>
  </r>
  <r>
    <x v="985"/>
  </r>
  <r>
    <x v="986"/>
  </r>
  <r>
    <x v="987"/>
  </r>
  <r>
    <x v="988"/>
  </r>
  <r>
    <x v="989"/>
  </r>
  <r>
    <x v="990"/>
  </r>
  <r>
    <x v="991"/>
  </r>
  <r>
    <x v="992"/>
  </r>
  <r>
    <x v="993"/>
  </r>
  <r>
    <x v="994"/>
  </r>
  <r>
    <x v="995"/>
  </r>
  <r>
    <x v="996"/>
  </r>
  <r>
    <x v="997"/>
  </r>
  <r>
    <x v="998"/>
  </r>
  <r>
    <x v="999"/>
  </r>
  <r>
    <x v="100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x v="0"/>
  </r>
  <r>
    <x v="1"/>
  </r>
  <r>
    <x v="2"/>
  </r>
  <r>
    <x v="3"/>
  </r>
  <r>
    <x v="4"/>
  </r>
  <r>
    <x v="5"/>
  </r>
  <r>
    <x v="6"/>
  </r>
  <r>
    <x v="7"/>
  </r>
  <r>
    <x v="8"/>
  </r>
  <r>
    <x v="9"/>
  </r>
  <r>
    <x v="10"/>
  </r>
  <r>
    <x v="11"/>
  </r>
  <r>
    <x v="12"/>
  </r>
  <r>
    <x v="13"/>
  </r>
  <r>
    <x v="14"/>
  </r>
  <r>
    <x v="15"/>
  </r>
  <r>
    <x v="16"/>
  </r>
  <r>
    <x v="17"/>
  </r>
  <r>
    <x v="18"/>
  </r>
  <r>
    <x v="19"/>
  </r>
  <r>
    <x v="20"/>
  </r>
  <r>
    <x v="21"/>
  </r>
  <r>
    <x v="22"/>
  </r>
  <r>
    <x v="23"/>
  </r>
  <r>
    <x v="24"/>
  </r>
  <r>
    <x v="25"/>
  </r>
  <r>
    <x v="26"/>
  </r>
  <r>
    <x v="27"/>
  </r>
  <r>
    <x v="28"/>
  </r>
  <r>
    <x v="29"/>
  </r>
  <r>
    <x v="30"/>
  </r>
  <r>
    <x v="31"/>
  </r>
  <r>
    <x v="32"/>
  </r>
  <r>
    <x v="33"/>
  </r>
  <r>
    <x v="34"/>
  </r>
  <r>
    <x v="35"/>
  </r>
  <r>
    <x v="36"/>
  </r>
  <r>
    <x v="37"/>
  </r>
  <r>
    <x v="38"/>
  </r>
  <r>
    <x v="39"/>
  </r>
  <r>
    <x v="40"/>
  </r>
  <r>
    <x v="41"/>
  </r>
  <r>
    <x v="42"/>
  </r>
  <r>
    <x v="43"/>
  </r>
  <r>
    <x v="44"/>
  </r>
  <r>
    <x v="45"/>
  </r>
  <r>
    <x v="46"/>
  </r>
  <r>
    <x v="47"/>
  </r>
  <r>
    <x v="48"/>
  </r>
  <r>
    <x v="49"/>
  </r>
  <r>
    <x v="50"/>
  </r>
  <r>
    <x v="51"/>
  </r>
  <r>
    <x v="52"/>
  </r>
  <r>
    <x v="53"/>
  </r>
  <r>
    <x v="54"/>
  </r>
  <r>
    <x v="55"/>
  </r>
  <r>
    <x v="56"/>
  </r>
  <r>
    <x v="57"/>
  </r>
  <r>
    <x v="58"/>
  </r>
  <r>
    <x v="59"/>
  </r>
  <r>
    <x v="60"/>
  </r>
  <r>
    <x v="61"/>
  </r>
  <r>
    <x v="62"/>
  </r>
  <r>
    <x v="63"/>
  </r>
  <r>
    <x v="64"/>
  </r>
  <r>
    <x v="65"/>
  </r>
  <r>
    <x v="66"/>
  </r>
  <r>
    <x v="67"/>
  </r>
  <r>
    <x v="68"/>
  </r>
  <r>
    <x v="69"/>
  </r>
  <r>
    <x v="70"/>
  </r>
  <r>
    <x v="71"/>
  </r>
  <r>
    <x v="72"/>
  </r>
  <r>
    <x v="73"/>
  </r>
  <r>
    <x v="74"/>
  </r>
  <r>
    <x v="75"/>
  </r>
  <r>
    <x v="76"/>
  </r>
  <r>
    <x v="77"/>
  </r>
  <r>
    <x v="78"/>
  </r>
  <r>
    <x v="79"/>
  </r>
  <r>
    <x v="80"/>
  </r>
  <r>
    <x v="81"/>
  </r>
  <r>
    <x v="82"/>
  </r>
  <r>
    <x v="83"/>
  </r>
  <r>
    <x v="84"/>
  </r>
  <r>
    <x v="85"/>
  </r>
  <r>
    <x v="86"/>
  </r>
  <r>
    <x v="87"/>
  </r>
  <r>
    <x v="88"/>
  </r>
  <r>
    <x v="89"/>
  </r>
  <r>
    <x v="90"/>
  </r>
  <r>
    <x v="91"/>
  </r>
  <r>
    <x v="92"/>
  </r>
  <r>
    <x v="93"/>
  </r>
  <r>
    <x v="94"/>
  </r>
  <r>
    <x v="95"/>
  </r>
  <r>
    <x v="96"/>
  </r>
  <r>
    <x v="97"/>
  </r>
  <r>
    <x v="98"/>
  </r>
  <r>
    <x v="99"/>
  </r>
  <r>
    <x v="100"/>
  </r>
  <r>
    <x v="101"/>
  </r>
  <r>
    <x v="102"/>
  </r>
  <r>
    <x v="103"/>
  </r>
  <r>
    <x v="104"/>
  </r>
  <r>
    <x v="105"/>
  </r>
  <r>
    <x v="106"/>
  </r>
  <r>
    <x v="107"/>
  </r>
  <r>
    <x v="108"/>
  </r>
  <r>
    <x v="109"/>
  </r>
  <r>
    <x v="110"/>
  </r>
  <r>
    <x v="111"/>
  </r>
  <r>
    <x v="112"/>
  </r>
  <r>
    <x v="113"/>
  </r>
  <r>
    <x v="114"/>
  </r>
  <r>
    <x v="115"/>
  </r>
  <r>
    <x v="116"/>
  </r>
  <r>
    <x v="117"/>
  </r>
  <r>
    <x v="118"/>
  </r>
  <r>
    <x v="119"/>
  </r>
  <r>
    <x v="120"/>
  </r>
  <r>
    <x v="121"/>
  </r>
  <r>
    <x v="122"/>
  </r>
  <r>
    <x v="123"/>
  </r>
  <r>
    <x v="124"/>
  </r>
  <r>
    <x v="125"/>
  </r>
  <r>
    <x v="126"/>
  </r>
  <r>
    <x v="127"/>
  </r>
  <r>
    <x v="128"/>
  </r>
  <r>
    <x v="129"/>
  </r>
  <r>
    <x v="130"/>
  </r>
  <r>
    <x v="131"/>
  </r>
  <r>
    <x v="132"/>
  </r>
  <r>
    <x v="133"/>
  </r>
  <r>
    <x v="134"/>
  </r>
  <r>
    <x v="135"/>
  </r>
  <r>
    <x v="136"/>
  </r>
  <r>
    <x v="137"/>
  </r>
  <r>
    <x v="138"/>
  </r>
  <r>
    <x v="139"/>
  </r>
  <r>
    <x v="140"/>
  </r>
  <r>
    <x v="141"/>
  </r>
  <r>
    <x v="142"/>
  </r>
  <r>
    <x v="143"/>
  </r>
  <r>
    <x v="144"/>
  </r>
  <r>
    <x v="145"/>
  </r>
  <r>
    <x v="146"/>
  </r>
  <r>
    <x v="147"/>
  </r>
  <r>
    <x v="148"/>
  </r>
  <r>
    <x v="149"/>
  </r>
  <r>
    <x v="150"/>
  </r>
  <r>
    <x v="151"/>
  </r>
  <r>
    <x v="152"/>
  </r>
  <r>
    <x v="153"/>
  </r>
  <r>
    <x v="154"/>
  </r>
  <r>
    <x v="155"/>
  </r>
  <r>
    <x v="156"/>
  </r>
  <r>
    <x v="157"/>
  </r>
  <r>
    <x v="158"/>
  </r>
  <r>
    <x v="159"/>
  </r>
  <r>
    <x v="160"/>
  </r>
  <r>
    <x v="161"/>
  </r>
  <r>
    <x v="162"/>
  </r>
  <r>
    <x v="163"/>
  </r>
  <r>
    <x v="164"/>
  </r>
  <r>
    <x v="165"/>
  </r>
  <r>
    <x v="166"/>
  </r>
  <r>
    <x v="167"/>
  </r>
  <r>
    <x v="168"/>
  </r>
  <r>
    <x v="169"/>
  </r>
  <r>
    <x v="170"/>
  </r>
  <r>
    <x v="171"/>
  </r>
  <r>
    <x v="172"/>
  </r>
  <r>
    <x v="173"/>
  </r>
  <r>
    <x v="174"/>
  </r>
  <r>
    <x v="175"/>
  </r>
  <r>
    <x v="176"/>
  </r>
  <r>
    <x v="177"/>
  </r>
  <r>
    <x v="178"/>
  </r>
  <r>
    <x v="179"/>
  </r>
  <r>
    <x v="180"/>
  </r>
  <r>
    <x v="181"/>
  </r>
  <r>
    <x v="182"/>
  </r>
  <r>
    <x v="183"/>
  </r>
  <r>
    <x v="184"/>
  </r>
  <r>
    <x v="185"/>
  </r>
  <r>
    <x v="186"/>
  </r>
  <r>
    <x v="187"/>
  </r>
  <r>
    <x v="188"/>
  </r>
  <r>
    <x v="189"/>
  </r>
  <r>
    <x v="190"/>
  </r>
  <r>
    <x v="191"/>
  </r>
  <r>
    <x v="192"/>
  </r>
  <r>
    <x v="193"/>
  </r>
  <r>
    <x v="194"/>
  </r>
  <r>
    <x v="195"/>
  </r>
  <r>
    <x v="196"/>
  </r>
  <r>
    <x v="197"/>
  </r>
  <r>
    <x v="198"/>
  </r>
  <r>
    <x v="199"/>
  </r>
  <r>
    <x v="200"/>
  </r>
  <r>
    <x v="201"/>
  </r>
  <r>
    <x v="202"/>
  </r>
  <r>
    <x v="203"/>
  </r>
  <r>
    <x v="204"/>
  </r>
  <r>
    <x v="205"/>
  </r>
  <r>
    <x v="206"/>
  </r>
  <r>
    <x v="207"/>
  </r>
  <r>
    <x v="208"/>
  </r>
  <r>
    <x v="209"/>
  </r>
  <r>
    <x v="210"/>
  </r>
  <r>
    <x v="211"/>
  </r>
  <r>
    <x v="212"/>
  </r>
  <r>
    <x v="213"/>
  </r>
  <r>
    <x v="214"/>
  </r>
  <r>
    <x v="215"/>
  </r>
  <r>
    <x v="216"/>
  </r>
  <r>
    <x v="217"/>
  </r>
  <r>
    <x v="218"/>
  </r>
  <r>
    <x v="219"/>
  </r>
  <r>
    <x v="220"/>
  </r>
  <r>
    <x v="221"/>
  </r>
  <r>
    <x v="222"/>
  </r>
  <r>
    <x v="223"/>
  </r>
  <r>
    <x v="224"/>
  </r>
  <r>
    <x v="225"/>
  </r>
  <r>
    <x v="226"/>
  </r>
  <r>
    <x v="227"/>
  </r>
  <r>
    <x v="228"/>
  </r>
  <r>
    <x v="229"/>
  </r>
  <r>
    <x v="230"/>
  </r>
  <r>
    <x v="231"/>
  </r>
  <r>
    <x v="232"/>
  </r>
  <r>
    <x v="233"/>
  </r>
  <r>
    <x v="234"/>
  </r>
  <r>
    <x v="235"/>
  </r>
  <r>
    <x v="236"/>
  </r>
  <r>
    <x v="237"/>
  </r>
  <r>
    <x v="238"/>
  </r>
  <r>
    <x v="239"/>
  </r>
  <r>
    <x v="240"/>
  </r>
  <r>
    <x v="241"/>
  </r>
  <r>
    <x v="242"/>
  </r>
  <r>
    <x v="243"/>
  </r>
  <r>
    <x v="244"/>
  </r>
  <r>
    <x v="245"/>
  </r>
  <r>
    <x v="246"/>
  </r>
  <r>
    <x v="247"/>
  </r>
  <r>
    <x v="248"/>
  </r>
  <r>
    <x v="249"/>
  </r>
  <r>
    <x v="250"/>
  </r>
  <r>
    <x v="251"/>
  </r>
  <r>
    <x v="252"/>
  </r>
  <r>
    <x v="253"/>
  </r>
  <r>
    <x v="254"/>
  </r>
  <r>
    <x v="255"/>
  </r>
  <r>
    <x v="256"/>
  </r>
  <r>
    <x v="257"/>
  </r>
  <r>
    <x v="258"/>
  </r>
  <r>
    <x v="259"/>
  </r>
  <r>
    <x v="260"/>
  </r>
  <r>
    <x v="261"/>
  </r>
  <r>
    <x v="262"/>
  </r>
  <r>
    <x v="263"/>
  </r>
  <r>
    <x v="264"/>
  </r>
  <r>
    <x v="265"/>
  </r>
  <r>
    <x v="266"/>
  </r>
  <r>
    <x v="267"/>
  </r>
  <r>
    <x v="268"/>
  </r>
  <r>
    <x v="269"/>
  </r>
  <r>
    <x v="270"/>
  </r>
  <r>
    <x v="271"/>
  </r>
  <r>
    <x v="272"/>
  </r>
  <r>
    <x v="273"/>
  </r>
  <r>
    <x v="274"/>
  </r>
  <r>
    <x v="275"/>
  </r>
  <r>
    <x v="276"/>
  </r>
  <r>
    <x v="277"/>
  </r>
  <r>
    <x v="278"/>
  </r>
  <r>
    <x v="279"/>
  </r>
  <r>
    <x v="280"/>
  </r>
  <r>
    <x v="281"/>
  </r>
  <r>
    <x v="282"/>
  </r>
  <r>
    <x v="283"/>
  </r>
  <r>
    <x v="284"/>
  </r>
  <r>
    <x v="285"/>
  </r>
  <r>
    <x v="286"/>
  </r>
  <r>
    <x v="287"/>
  </r>
  <r>
    <x v="288"/>
  </r>
  <r>
    <x v="289"/>
  </r>
  <r>
    <x v="290"/>
  </r>
  <r>
    <x v="291"/>
  </r>
  <r>
    <x v="292"/>
  </r>
  <r>
    <x v="293"/>
  </r>
  <r>
    <x v="294"/>
  </r>
  <r>
    <x v="295"/>
  </r>
  <r>
    <x v="296"/>
  </r>
  <r>
    <x v="297"/>
  </r>
  <r>
    <x v="298"/>
  </r>
  <r>
    <x v="299"/>
  </r>
  <r>
    <x v="300"/>
  </r>
  <r>
    <x v="301"/>
  </r>
  <r>
    <x v="302"/>
  </r>
  <r>
    <x v="303"/>
  </r>
  <r>
    <x v="304"/>
  </r>
  <r>
    <x v="305"/>
  </r>
  <r>
    <x v="306"/>
  </r>
  <r>
    <x v="307"/>
  </r>
  <r>
    <x v="308"/>
  </r>
  <r>
    <x v="309"/>
  </r>
  <r>
    <x v="310"/>
  </r>
  <r>
    <x v="311"/>
  </r>
  <r>
    <x v="312"/>
  </r>
  <r>
    <x v="313"/>
  </r>
  <r>
    <x v="314"/>
  </r>
  <r>
    <x v="315"/>
  </r>
  <r>
    <x v="316"/>
  </r>
  <r>
    <x v="317"/>
  </r>
  <r>
    <x v="318"/>
  </r>
  <r>
    <x v="319"/>
  </r>
  <r>
    <x v="320"/>
  </r>
  <r>
    <x v="321"/>
  </r>
  <r>
    <x v="322"/>
  </r>
  <r>
    <x v="323"/>
  </r>
  <r>
    <x v="324"/>
  </r>
  <r>
    <x v="325"/>
  </r>
  <r>
    <x v="326"/>
  </r>
  <r>
    <x v="327"/>
  </r>
  <r>
    <x v="328"/>
  </r>
  <r>
    <x v="329"/>
  </r>
  <r>
    <x v="330"/>
  </r>
  <r>
    <x v="331"/>
  </r>
  <r>
    <x v="332"/>
  </r>
  <r>
    <x v="333"/>
  </r>
  <r>
    <x v="334"/>
  </r>
  <r>
    <x v="335"/>
  </r>
  <r>
    <x v="336"/>
  </r>
  <r>
    <x v="337"/>
  </r>
  <r>
    <x v="338"/>
  </r>
  <r>
    <x v="339"/>
  </r>
  <r>
    <x v="340"/>
  </r>
  <r>
    <x v="341"/>
  </r>
  <r>
    <x v="342"/>
  </r>
  <r>
    <x v="343"/>
  </r>
  <r>
    <x v="344"/>
  </r>
  <r>
    <x v="345"/>
  </r>
  <r>
    <x v="346"/>
  </r>
  <r>
    <x v="347"/>
  </r>
  <r>
    <x v="348"/>
  </r>
  <r>
    <x v="349"/>
  </r>
  <r>
    <x v="350"/>
  </r>
  <r>
    <x v="351"/>
  </r>
  <r>
    <x v="352"/>
  </r>
  <r>
    <x v="353"/>
  </r>
  <r>
    <x v="354"/>
  </r>
  <r>
    <x v="355"/>
  </r>
  <r>
    <x v="356"/>
  </r>
  <r>
    <x v="357"/>
  </r>
  <r>
    <x v="358"/>
  </r>
  <r>
    <x v="359"/>
  </r>
  <r>
    <x v="360"/>
  </r>
  <r>
    <x v="361"/>
  </r>
  <r>
    <x v="362"/>
  </r>
  <r>
    <x v="363"/>
  </r>
  <r>
    <x v="364"/>
  </r>
  <r>
    <x v="365"/>
  </r>
  <r>
    <x v="366"/>
  </r>
  <r>
    <x v="367"/>
  </r>
  <r>
    <x v="368"/>
  </r>
  <r>
    <x v="369"/>
  </r>
  <r>
    <x v="370"/>
  </r>
  <r>
    <x v="371"/>
  </r>
  <r>
    <x v="372"/>
  </r>
  <r>
    <x v="373"/>
  </r>
  <r>
    <x v="374"/>
  </r>
  <r>
    <x v="375"/>
  </r>
  <r>
    <x v="376"/>
  </r>
  <r>
    <x v="377"/>
  </r>
  <r>
    <x v="378"/>
  </r>
  <r>
    <x v="379"/>
  </r>
  <r>
    <x v="380"/>
  </r>
  <r>
    <x v="381"/>
  </r>
  <r>
    <x v="382"/>
  </r>
  <r>
    <x v="383"/>
  </r>
  <r>
    <x v="384"/>
  </r>
  <r>
    <x v="385"/>
  </r>
  <r>
    <x v="386"/>
  </r>
  <r>
    <x v="387"/>
  </r>
  <r>
    <x v="388"/>
  </r>
  <r>
    <x v="389"/>
  </r>
  <r>
    <x v="390"/>
  </r>
  <r>
    <x v="391"/>
  </r>
  <r>
    <x v="392"/>
  </r>
  <r>
    <x v="393"/>
  </r>
  <r>
    <x v="394"/>
  </r>
  <r>
    <x v="395"/>
  </r>
  <r>
    <x v="396"/>
  </r>
  <r>
    <x v="397"/>
  </r>
  <r>
    <x v="398"/>
  </r>
  <r>
    <x v="399"/>
  </r>
  <r>
    <x v="400"/>
  </r>
  <r>
    <x v="401"/>
  </r>
  <r>
    <x v="402"/>
  </r>
  <r>
    <x v="403"/>
  </r>
  <r>
    <x v="404"/>
  </r>
  <r>
    <x v="405"/>
  </r>
  <r>
    <x v="406"/>
  </r>
  <r>
    <x v="407"/>
  </r>
  <r>
    <x v="408"/>
  </r>
  <r>
    <x v="409"/>
  </r>
  <r>
    <x v="410"/>
  </r>
  <r>
    <x v="411"/>
  </r>
  <r>
    <x v="412"/>
  </r>
  <r>
    <x v="413"/>
  </r>
  <r>
    <x v="414"/>
  </r>
  <r>
    <x v="415"/>
  </r>
  <r>
    <x v="416"/>
  </r>
  <r>
    <x v="417"/>
  </r>
  <r>
    <x v="418"/>
  </r>
  <r>
    <x v="419"/>
  </r>
  <r>
    <x v="420"/>
  </r>
  <r>
    <x v="421"/>
  </r>
  <r>
    <x v="422"/>
  </r>
  <r>
    <x v="423"/>
  </r>
  <r>
    <x v="424"/>
  </r>
  <r>
    <x v="425"/>
  </r>
  <r>
    <x v="426"/>
  </r>
  <r>
    <x v="427"/>
  </r>
  <r>
    <x v="428"/>
  </r>
  <r>
    <x v="429"/>
  </r>
  <r>
    <x v="430"/>
  </r>
  <r>
    <x v="431"/>
  </r>
  <r>
    <x v="432"/>
  </r>
  <r>
    <x v="433"/>
  </r>
  <r>
    <x v="434"/>
  </r>
  <r>
    <x v="435"/>
  </r>
  <r>
    <x v="436"/>
  </r>
  <r>
    <x v="437"/>
  </r>
  <r>
    <x v="438"/>
  </r>
  <r>
    <x v="439"/>
  </r>
  <r>
    <x v="440"/>
  </r>
  <r>
    <x v="441"/>
  </r>
  <r>
    <x v="442"/>
  </r>
  <r>
    <x v="443"/>
  </r>
  <r>
    <x v="444"/>
  </r>
  <r>
    <x v="445"/>
  </r>
  <r>
    <x v="446"/>
  </r>
  <r>
    <x v="447"/>
  </r>
  <r>
    <x v="448"/>
  </r>
  <r>
    <x v="449"/>
  </r>
  <r>
    <x v="450"/>
  </r>
  <r>
    <x v="451"/>
  </r>
  <r>
    <x v="452"/>
  </r>
  <r>
    <x v="453"/>
  </r>
  <r>
    <x v="454"/>
  </r>
  <r>
    <x v="455"/>
  </r>
  <r>
    <x v="456"/>
  </r>
  <r>
    <x v="457"/>
  </r>
  <r>
    <x v="458"/>
  </r>
  <r>
    <x v="459"/>
  </r>
  <r>
    <x v="460"/>
  </r>
  <r>
    <x v="461"/>
  </r>
  <r>
    <x v="462"/>
  </r>
  <r>
    <x v="463"/>
  </r>
  <r>
    <x v="464"/>
  </r>
  <r>
    <x v="465"/>
  </r>
  <r>
    <x v="466"/>
  </r>
  <r>
    <x v="467"/>
  </r>
  <r>
    <x v="468"/>
  </r>
  <r>
    <x v="469"/>
  </r>
  <r>
    <x v="470"/>
  </r>
  <r>
    <x v="471"/>
  </r>
  <r>
    <x v="472"/>
  </r>
  <r>
    <x v="473"/>
  </r>
  <r>
    <x v="474"/>
  </r>
  <r>
    <x v="475"/>
  </r>
  <r>
    <x v="476"/>
  </r>
  <r>
    <x v="477"/>
  </r>
  <r>
    <x v="478"/>
  </r>
  <r>
    <x v="479"/>
  </r>
  <r>
    <x v="480"/>
  </r>
  <r>
    <x v="481"/>
  </r>
  <r>
    <x v="482"/>
  </r>
  <r>
    <x v="483"/>
  </r>
  <r>
    <x v="484"/>
  </r>
  <r>
    <x v="485"/>
  </r>
  <r>
    <x v="486"/>
  </r>
  <r>
    <x v="487"/>
  </r>
  <r>
    <x v="488"/>
  </r>
  <r>
    <x v="489"/>
  </r>
  <r>
    <x v="490"/>
  </r>
  <r>
    <x v="491"/>
  </r>
  <r>
    <x v="492"/>
  </r>
  <r>
    <x v="493"/>
  </r>
  <r>
    <x v="494"/>
  </r>
  <r>
    <x v="495"/>
  </r>
  <r>
    <x v="496"/>
  </r>
  <r>
    <x v="497"/>
  </r>
  <r>
    <x v="498"/>
  </r>
  <r>
    <x v="499"/>
  </r>
  <r>
    <x v="500"/>
  </r>
  <r>
    <x v="501"/>
  </r>
  <r>
    <x v="502"/>
  </r>
  <r>
    <x v="503"/>
  </r>
  <r>
    <x v="504"/>
  </r>
  <r>
    <x v="505"/>
  </r>
  <r>
    <x v="506"/>
  </r>
  <r>
    <x v="507"/>
  </r>
  <r>
    <x v="508"/>
  </r>
  <r>
    <x v="509"/>
  </r>
  <r>
    <x v="510"/>
  </r>
  <r>
    <x v="511"/>
  </r>
  <r>
    <x v="512"/>
  </r>
  <r>
    <x v="513"/>
  </r>
  <r>
    <x v="514"/>
  </r>
  <r>
    <x v="515"/>
  </r>
  <r>
    <x v="516"/>
  </r>
  <r>
    <x v="517"/>
  </r>
  <r>
    <x v="518"/>
  </r>
  <r>
    <x v="519"/>
  </r>
  <r>
    <x v="520"/>
  </r>
  <r>
    <x v="521"/>
  </r>
  <r>
    <x v="522"/>
  </r>
  <r>
    <x v="523"/>
  </r>
  <r>
    <x v="524"/>
  </r>
  <r>
    <x v="525"/>
  </r>
  <r>
    <x v="526"/>
  </r>
  <r>
    <x v="527"/>
  </r>
  <r>
    <x v="528"/>
  </r>
  <r>
    <x v="529"/>
  </r>
  <r>
    <x v="530"/>
  </r>
  <r>
    <x v="531"/>
  </r>
  <r>
    <x v="532"/>
  </r>
  <r>
    <x v="533"/>
  </r>
  <r>
    <x v="534"/>
  </r>
  <r>
    <x v="535"/>
  </r>
  <r>
    <x v="536"/>
  </r>
  <r>
    <x v="537"/>
  </r>
  <r>
    <x v="538"/>
  </r>
  <r>
    <x v="539"/>
  </r>
  <r>
    <x v="540"/>
  </r>
  <r>
    <x v="541"/>
  </r>
  <r>
    <x v="542"/>
  </r>
  <r>
    <x v="543"/>
  </r>
  <r>
    <x v="544"/>
  </r>
  <r>
    <x v="545"/>
  </r>
  <r>
    <x v="546"/>
  </r>
  <r>
    <x v="547"/>
  </r>
  <r>
    <x v="548"/>
  </r>
  <r>
    <x v="549"/>
  </r>
  <r>
    <x v="550"/>
  </r>
  <r>
    <x v="551"/>
  </r>
  <r>
    <x v="552"/>
  </r>
  <r>
    <x v="553"/>
  </r>
  <r>
    <x v="554"/>
  </r>
  <r>
    <x v="555"/>
  </r>
  <r>
    <x v="556"/>
  </r>
  <r>
    <x v="557"/>
  </r>
  <r>
    <x v="558"/>
  </r>
  <r>
    <x v="559"/>
  </r>
  <r>
    <x v="560"/>
  </r>
  <r>
    <x v="561"/>
  </r>
  <r>
    <x v="562"/>
  </r>
  <r>
    <x v="563"/>
  </r>
  <r>
    <x v="564"/>
  </r>
  <r>
    <x v="565"/>
  </r>
  <r>
    <x v="566"/>
  </r>
  <r>
    <x v="567"/>
  </r>
  <r>
    <x v="568"/>
  </r>
  <r>
    <x v="569"/>
  </r>
  <r>
    <x v="570"/>
  </r>
  <r>
    <x v="571"/>
  </r>
  <r>
    <x v="572"/>
  </r>
  <r>
    <x v="573"/>
  </r>
  <r>
    <x v="574"/>
  </r>
  <r>
    <x v="575"/>
  </r>
  <r>
    <x v="576"/>
  </r>
  <r>
    <x v="577"/>
  </r>
  <r>
    <x v="578"/>
  </r>
  <r>
    <x v="579"/>
  </r>
  <r>
    <x v="580"/>
  </r>
  <r>
    <x v="581"/>
  </r>
  <r>
    <x v="582"/>
  </r>
  <r>
    <x v="583"/>
  </r>
  <r>
    <x v="584"/>
  </r>
  <r>
    <x v="585"/>
  </r>
  <r>
    <x v="586"/>
  </r>
  <r>
    <x v="587"/>
  </r>
  <r>
    <x v="588"/>
  </r>
  <r>
    <x v="589"/>
  </r>
  <r>
    <x v="590"/>
  </r>
  <r>
    <x v="591"/>
  </r>
  <r>
    <x v="592"/>
  </r>
  <r>
    <x v="593"/>
  </r>
  <r>
    <x v="594"/>
  </r>
  <r>
    <x v="595"/>
  </r>
  <r>
    <x v="596"/>
  </r>
  <r>
    <x v="597"/>
  </r>
  <r>
    <x v="598"/>
  </r>
  <r>
    <x v="599"/>
  </r>
  <r>
    <x v="600"/>
  </r>
  <r>
    <x v="601"/>
  </r>
  <r>
    <x v="602"/>
  </r>
  <r>
    <x v="603"/>
  </r>
  <r>
    <x v="604"/>
  </r>
  <r>
    <x v="605"/>
  </r>
  <r>
    <x v="606"/>
  </r>
  <r>
    <x v="607"/>
  </r>
  <r>
    <x v="608"/>
  </r>
  <r>
    <x v="609"/>
  </r>
  <r>
    <x v="610"/>
  </r>
  <r>
    <x v="611"/>
  </r>
  <r>
    <x v="612"/>
  </r>
  <r>
    <x v="613"/>
  </r>
  <r>
    <x v="614"/>
  </r>
  <r>
    <x v="615"/>
  </r>
  <r>
    <x v="616"/>
  </r>
  <r>
    <x v="617"/>
  </r>
  <r>
    <x v="618"/>
  </r>
  <r>
    <x v="619"/>
  </r>
  <r>
    <x v="620"/>
  </r>
  <r>
    <x v="621"/>
  </r>
  <r>
    <x v="622"/>
  </r>
  <r>
    <x v="623"/>
  </r>
  <r>
    <x v="624"/>
  </r>
  <r>
    <x v="625"/>
  </r>
  <r>
    <x v="626"/>
  </r>
  <r>
    <x v="627"/>
  </r>
  <r>
    <x v="628"/>
  </r>
  <r>
    <x v="629"/>
  </r>
  <r>
    <x v="630"/>
  </r>
  <r>
    <x v="631"/>
  </r>
  <r>
    <x v="632"/>
  </r>
  <r>
    <x v="633"/>
  </r>
  <r>
    <x v="634"/>
  </r>
  <r>
    <x v="635"/>
  </r>
  <r>
    <x v="636"/>
  </r>
  <r>
    <x v="637"/>
  </r>
  <r>
    <x v="638"/>
  </r>
  <r>
    <x v="639"/>
  </r>
  <r>
    <x v="640"/>
  </r>
  <r>
    <x v="641"/>
  </r>
  <r>
    <x v="642"/>
  </r>
  <r>
    <x v="643"/>
  </r>
  <r>
    <x v="644"/>
  </r>
  <r>
    <x v="645"/>
  </r>
  <r>
    <x v="646"/>
  </r>
  <r>
    <x v="647"/>
  </r>
  <r>
    <x v="648"/>
  </r>
  <r>
    <x v="649"/>
  </r>
  <r>
    <x v="650"/>
  </r>
  <r>
    <x v="651"/>
  </r>
  <r>
    <x v="652"/>
  </r>
  <r>
    <x v="653"/>
  </r>
  <r>
    <x v="654"/>
  </r>
  <r>
    <x v="655"/>
  </r>
  <r>
    <x v="656"/>
  </r>
  <r>
    <x v="657"/>
  </r>
  <r>
    <x v="658"/>
  </r>
  <r>
    <x v="659"/>
  </r>
  <r>
    <x v="660"/>
  </r>
  <r>
    <x v="661"/>
  </r>
  <r>
    <x v="662"/>
  </r>
  <r>
    <x v="663"/>
  </r>
  <r>
    <x v="664"/>
  </r>
  <r>
    <x v="665"/>
  </r>
  <r>
    <x v="666"/>
  </r>
  <r>
    <x v="667"/>
  </r>
  <r>
    <x v="668"/>
  </r>
  <r>
    <x v="669"/>
  </r>
  <r>
    <x v="670"/>
  </r>
  <r>
    <x v="671"/>
  </r>
  <r>
    <x v="672"/>
  </r>
  <r>
    <x v="673"/>
  </r>
  <r>
    <x v="674"/>
  </r>
  <r>
    <x v="675"/>
  </r>
  <r>
    <x v="676"/>
  </r>
  <r>
    <x v="677"/>
  </r>
  <r>
    <x v="678"/>
  </r>
  <r>
    <x v="679"/>
  </r>
  <r>
    <x v="680"/>
  </r>
  <r>
    <x v="681"/>
  </r>
  <r>
    <x v="682"/>
  </r>
  <r>
    <x v="683"/>
  </r>
  <r>
    <x v="684"/>
  </r>
  <r>
    <x v="685"/>
  </r>
  <r>
    <x v="686"/>
  </r>
  <r>
    <x v="687"/>
  </r>
  <r>
    <x v="688"/>
  </r>
  <r>
    <x v="689"/>
  </r>
  <r>
    <x v="690"/>
  </r>
  <r>
    <x v="691"/>
  </r>
  <r>
    <x v="692"/>
  </r>
  <r>
    <x v="693"/>
  </r>
  <r>
    <x v="694"/>
  </r>
  <r>
    <x v="695"/>
  </r>
  <r>
    <x v="696"/>
  </r>
  <r>
    <x v="697"/>
  </r>
  <r>
    <x v="698"/>
  </r>
  <r>
    <x v="699"/>
  </r>
  <r>
    <x v="700"/>
  </r>
  <r>
    <x v="701"/>
  </r>
  <r>
    <x v="702"/>
  </r>
  <r>
    <x v="703"/>
  </r>
  <r>
    <x v="704"/>
  </r>
  <r>
    <x v="705"/>
  </r>
  <r>
    <x v="706"/>
  </r>
  <r>
    <x v="707"/>
  </r>
  <r>
    <x v="708"/>
  </r>
  <r>
    <x v="709"/>
  </r>
  <r>
    <x v="710"/>
  </r>
  <r>
    <x v="711"/>
  </r>
  <r>
    <x v="712"/>
  </r>
  <r>
    <x v="713"/>
  </r>
  <r>
    <x v="714"/>
  </r>
  <r>
    <x v="715"/>
  </r>
  <r>
    <x v="716"/>
  </r>
  <r>
    <x v="717"/>
  </r>
  <r>
    <x v="718"/>
  </r>
  <r>
    <x v="719"/>
  </r>
  <r>
    <x v="720"/>
  </r>
  <r>
    <x v="721"/>
  </r>
  <r>
    <x v="722"/>
  </r>
  <r>
    <x v="723"/>
  </r>
  <r>
    <x v="724"/>
  </r>
  <r>
    <x v="725"/>
  </r>
  <r>
    <x v="726"/>
  </r>
  <r>
    <x v="727"/>
  </r>
  <r>
    <x v="728"/>
  </r>
  <r>
    <x v="729"/>
  </r>
  <r>
    <x v="730"/>
  </r>
  <r>
    <x v="731"/>
  </r>
  <r>
    <x v="732"/>
  </r>
  <r>
    <x v="733"/>
  </r>
  <r>
    <x v="734"/>
  </r>
  <r>
    <x v="735"/>
  </r>
  <r>
    <x v="736"/>
  </r>
  <r>
    <x v="737"/>
  </r>
  <r>
    <x v="738"/>
  </r>
  <r>
    <x v="739"/>
  </r>
  <r>
    <x v="740"/>
  </r>
  <r>
    <x v="741"/>
  </r>
  <r>
    <x v="742"/>
  </r>
  <r>
    <x v="743"/>
  </r>
  <r>
    <x v="744"/>
  </r>
  <r>
    <x v="745"/>
  </r>
  <r>
    <x v="746"/>
  </r>
  <r>
    <x v="747"/>
  </r>
  <r>
    <x v="748"/>
  </r>
  <r>
    <x v="749"/>
  </r>
  <r>
    <x v="750"/>
  </r>
  <r>
    <x v="751"/>
  </r>
  <r>
    <x v="752"/>
  </r>
  <r>
    <x v="753"/>
  </r>
  <r>
    <x v="754"/>
  </r>
  <r>
    <x v="755"/>
  </r>
  <r>
    <x v="756"/>
  </r>
  <r>
    <x v="757"/>
  </r>
  <r>
    <x v="758"/>
  </r>
  <r>
    <x v="759"/>
  </r>
  <r>
    <x v="760"/>
  </r>
  <r>
    <x v="761"/>
  </r>
  <r>
    <x v="762"/>
  </r>
  <r>
    <x v="763"/>
  </r>
  <r>
    <x v="764"/>
  </r>
  <r>
    <x v="765"/>
  </r>
  <r>
    <x v="766"/>
  </r>
  <r>
    <x v="767"/>
  </r>
  <r>
    <x v="768"/>
  </r>
  <r>
    <x v="769"/>
  </r>
  <r>
    <x v="770"/>
  </r>
  <r>
    <x v="771"/>
  </r>
  <r>
    <x v="772"/>
  </r>
  <r>
    <x v="773"/>
  </r>
  <r>
    <x v="774"/>
  </r>
  <r>
    <x v="775"/>
  </r>
  <r>
    <x v="776"/>
  </r>
  <r>
    <x v="777"/>
  </r>
  <r>
    <x v="778"/>
  </r>
  <r>
    <x v="779"/>
  </r>
  <r>
    <x v="780"/>
  </r>
  <r>
    <x v="781"/>
  </r>
  <r>
    <x v="782"/>
  </r>
  <r>
    <x v="783"/>
  </r>
  <r>
    <x v="784"/>
  </r>
  <r>
    <x v="785"/>
  </r>
  <r>
    <x v="786"/>
  </r>
  <r>
    <x v="787"/>
  </r>
  <r>
    <x v="788"/>
  </r>
  <r>
    <x v="789"/>
  </r>
  <r>
    <x v="790"/>
  </r>
  <r>
    <x v="791"/>
  </r>
  <r>
    <x v="792"/>
  </r>
  <r>
    <x v="793"/>
  </r>
  <r>
    <x v="794"/>
  </r>
  <r>
    <x v="795"/>
  </r>
  <r>
    <x v="796"/>
  </r>
  <r>
    <x v="797"/>
  </r>
  <r>
    <x v="798"/>
  </r>
  <r>
    <x v="799"/>
  </r>
  <r>
    <x v="800"/>
  </r>
  <r>
    <x v="801"/>
  </r>
  <r>
    <x v="802"/>
  </r>
  <r>
    <x v="803"/>
  </r>
  <r>
    <x v="804"/>
  </r>
  <r>
    <x v="805"/>
  </r>
  <r>
    <x v="806"/>
  </r>
  <r>
    <x v="807"/>
  </r>
  <r>
    <x v="808"/>
  </r>
  <r>
    <x v="809"/>
  </r>
  <r>
    <x v="810"/>
  </r>
  <r>
    <x v="811"/>
  </r>
  <r>
    <x v="812"/>
  </r>
  <r>
    <x v="813"/>
  </r>
  <r>
    <x v="814"/>
  </r>
  <r>
    <x v="815"/>
  </r>
  <r>
    <x v="816"/>
  </r>
  <r>
    <x v="817"/>
  </r>
  <r>
    <x v="818"/>
  </r>
  <r>
    <x v="819"/>
  </r>
  <r>
    <x v="820"/>
  </r>
  <r>
    <x v="821"/>
  </r>
  <r>
    <x v="822"/>
  </r>
  <r>
    <x v="823"/>
  </r>
  <r>
    <x v="824"/>
  </r>
  <r>
    <x v="825"/>
  </r>
  <r>
    <x v="826"/>
  </r>
  <r>
    <x v="827"/>
  </r>
  <r>
    <x v="828"/>
  </r>
  <r>
    <x v="829"/>
  </r>
  <r>
    <x v="830"/>
  </r>
  <r>
    <x v="831"/>
  </r>
  <r>
    <x v="832"/>
  </r>
  <r>
    <x v="833"/>
  </r>
  <r>
    <x v="834"/>
  </r>
  <r>
    <x v="835"/>
  </r>
  <r>
    <x v="836"/>
  </r>
  <r>
    <x v="837"/>
  </r>
  <r>
    <x v="838"/>
  </r>
  <r>
    <x v="839"/>
  </r>
  <r>
    <x v="840"/>
  </r>
  <r>
    <x v="841"/>
  </r>
  <r>
    <x v="842"/>
  </r>
  <r>
    <x v="843"/>
  </r>
  <r>
    <x v="844"/>
  </r>
  <r>
    <x v="845"/>
  </r>
  <r>
    <x v="846"/>
  </r>
  <r>
    <x v="847"/>
  </r>
  <r>
    <x v="848"/>
  </r>
  <r>
    <x v="849"/>
  </r>
  <r>
    <x v="850"/>
  </r>
  <r>
    <x v="851"/>
  </r>
  <r>
    <x v="852"/>
  </r>
  <r>
    <x v="853"/>
  </r>
  <r>
    <x v="854"/>
  </r>
  <r>
    <x v="855"/>
  </r>
  <r>
    <x v="856"/>
  </r>
  <r>
    <x v="857"/>
  </r>
  <r>
    <x v="858"/>
  </r>
  <r>
    <x v="859"/>
  </r>
  <r>
    <x v="860"/>
  </r>
  <r>
    <x v="861"/>
  </r>
  <r>
    <x v="862"/>
  </r>
  <r>
    <x v="863"/>
  </r>
  <r>
    <x v="864"/>
  </r>
  <r>
    <x v="865"/>
  </r>
  <r>
    <x v="866"/>
  </r>
  <r>
    <x v="867"/>
  </r>
  <r>
    <x v="868"/>
  </r>
  <r>
    <x v="869"/>
  </r>
  <r>
    <x v="870"/>
  </r>
  <r>
    <x v="871"/>
  </r>
  <r>
    <x v="872"/>
  </r>
  <r>
    <x v="873"/>
  </r>
  <r>
    <x v="874"/>
  </r>
  <r>
    <x v="875"/>
  </r>
  <r>
    <x v="876"/>
  </r>
  <r>
    <x v="877"/>
  </r>
  <r>
    <x v="878"/>
  </r>
  <r>
    <x v="879"/>
  </r>
  <r>
    <x v="880"/>
  </r>
  <r>
    <x v="881"/>
  </r>
  <r>
    <x v="882"/>
  </r>
  <r>
    <x v="883"/>
  </r>
  <r>
    <x v="884"/>
  </r>
  <r>
    <x v="885"/>
  </r>
  <r>
    <x v="886"/>
  </r>
  <r>
    <x v="887"/>
  </r>
  <r>
    <x v="888"/>
  </r>
  <r>
    <x v="889"/>
  </r>
  <r>
    <x v="890"/>
  </r>
  <r>
    <x v="891"/>
  </r>
  <r>
    <x v="892"/>
  </r>
  <r>
    <x v="893"/>
  </r>
  <r>
    <x v="894"/>
  </r>
  <r>
    <x v="895"/>
  </r>
  <r>
    <x v="896"/>
  </r>
  <r>
    <x v="897"/>
  </r>
  <r>
    <x v="898"/>
  </r>
  <r>
    <x v="899"/>
  </r>
  <r>
    <x v="900"/>
  </r>
  <r>
    <x v="901"/>
  </r>
  <r>
    <x v="902"/>
  </r>
  <r>
    <x v="903"/>
  </r>
  <r>
    <x v="904"/>
  </r>
  <r>
    <x v="905"/>
  </r>
  <r>
    <x v="906"/>
  </r>
  <r>
    <x v="907"/>
  </r>
  <r>
    <x v="908"/>
  </r>
  <r>
    <x v="909"/>
  </r>
  <r>
    <x v="910"/>
  </r>
  <r>
    <x v="911"/>
  </r>
  <r>
    <x v="912"/>
  </r>
  <r>
    <x v="913"/>
  </r>
  <r>
    <x v="914"/>
  </r>
  <r>
    <x v="915"/>
  </r>
  <r>
    <x v="916"/>
  </r>
  <r>
    <x v="917"/>
  </r>
  <r>
    <x v="918"/>
  </r>
  <r>
    <x v="919"/>
  </r>
  <r>
    <x v="920"/>
  </r>
  <r>
    <x v="921"/>
  </r>
  <r>
    <x v="922"/>
  </r>
  <r>
    <x v="923"/>
  </r>
  <r>
    <x v="924"/>
  </r>
  <r>
    <x v="925"/>
  </r>
  <r>
    <x v="926"/>
  </r>
  <r>
    <x v="927"/>
  </r>
  <r>
    <x v="928"/>
  </r>
  <r>
    <x v="929"/>
  </r>
  <r>
    <x v="930"/>
  </r>
  <r>
    <x v="931"/>
  </r>
  <r>
    <x v="932"/>
  </r>
  <r>
    <x v="933"/>
  </r>
  <r>
    <x v="934"/>
  </r>
  <r>
    <x v="935"/>
  </r>
  <r>
    <x v="936"/>
  </r>
  <r>
    <x v="937"/>
  </r>
  <r>
    <x v="938"/>
  </r>
  <r>
    <x v="939"/>
  </r>
  <r>
    <x v="940"/>
  </r>
  <r>
    <x v="941"/>
  </r>
  <r>
    <x v="942"/>
  </r>
  <r>
    <x v="943"/>
  </r>
  <r>
    <x v="944"/>
  </r>
  <r>
    <x v="945"/>
  </r>
  <r>
    <x v="946"/>
  </r>
  <r>
    <x v="947"/>
  </r>
  <r>
    <x v="948"/>
  </r>
  <r>
    <x v="949"/>
  </r>
  <r>
    <x v="950"/>
  </r>
  <r>
    <x v="951"/>
  </r>
  <r>
    <x v="952"/>
  </r>
  <r>
    <x v="953"/>
  </r>
  <r>
    <x v="954"/>
  </r>
  <r>
    <x v="955"/>
  </r>
  <r>
    <x v="956"/>
  </r>
  <r>
    <x v="957"/>
  </r>
  <r>
    <x v="958"/>
  </r>
  <r>
    <x v="959"/>
  </r>
  <r>
    <x v="960"/>
  </r>
  <r>
    <x v="961"/>
  </r>
  <r>
    <x v="962"/>
  </r>
  <r>
    <x v="963"/>
  </r>
  <r>
    <x v="964"/>
  </r>
  <r>
    <x v="965"/>
  </r>
  <r>
    <x v="966"/>
  </r>
  <r>
    <x v="967"/>
  </r>
  <r>
    <x v="968"/>
  </r>
  <r>
    <x v="969"/>
  </r>
  <r>
    <x v="970"/>
  </r>
  <r>
    <x v="971"/>
  </r>
  <r>
    <x v="972"/>
  </r>
  <r>
    <x v="973"/>
  </r>
  <r>
    <x v="974"/>
  </r>
  <r>
    <x v="975"/>
  </r>
  <r>
    <x v="976"/>
  </r>
  <r>
    <x v="977"/>
  </r>
  <r>
    <x v="978"/>
  </r>
  <r>
    <x v="979"/>
  </r>
  <r>
    <x v="980"/>
  </r>
  <r>
    <x v="981"/>
  </r>
  <r>
    <x v="982"/>
  </r>
  <r>
    <x v="983"/>
  </r>
  <r>
    <x v="984"/>
  </r>
  <r>
    <x v="985"/>
  </r>
  <r>
    <x v="986"/>
  </r>
  <r>
    <x v="987"/>
  </r>
  <r>
    <x v="988"/>
  </r>
  <r>
    <x v="989"/>
  </r>
  <r>
    <x v="990"/>
  </r>
  <r>
    <x v="991"/>
  </r>
  <r>
    <x v="992"/>
  </r>
  <r>
    <x v="993"/>
  </r>
  <r>
    <x v="994"/>
  </r>
  <r>
    <x v="995"/>
  </r>
  <r>
    <x v="996"/>
  </r>
  <r>
    <x v="997"/>
  </r>
  <r>
    <x v="998"/>
  </r>
  <r>
    <x v="999"/>
  </r>
  <r>
    <x v="1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3B00605-4E2C-4372-9D4F-ADBC46CC5309}" name="PivotTable1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G51:BH67" firstHeaderRow="1" firstDataRow="1" firstDataCol="1"/>
  <pivotFields count="1">
    <pivotField axis="axisRow" dataField="1" numFmtId="164" showAll="0">
      <items count="19">
        <item x="0"/>
        <item x="1"/>
        <item x="2"/>
        <item x="3"/>
        <item x="4"/>
        <item x="5"/>
        <item x="6"/>
        <item x="7"/>
        <item x="8"/>
        <item x="9"/>
        <item x="10"/>
        <item x="11"/>
        <item x="12"/>
        <item x="13"/>
        <item x="14"/>
        <item x="15"/>
        <item x="16"/>
        <item x="17"/>
        <item t="default"/>
      </items>
    </pivotField>
  </pivotFields>
  <rowFields count="1">
    <field x="0"/>
  </rowFields>
  <rowItems count="16">
    <i>
      <x v="2"/>
    </i>
    <i>
      <x v="3"/>
    </i>
    <i>
      <x v="4"/>
    </i>
    <i>
      <x v="5"/>
    </i>
    <i>
      <x v="6"/>
    </i>
    <i>
      <x v="7"/>
    </i>
    <i>
      <x v="8"/>
    </i>
    <i>
      <x v="9"/>
    </i>
    <i>
      <x v="10"/>
    </i>
    <i>
      <x v="11"/>
    </i>
    <i>
      <x v="12"/>
    </i>
    <i>
      <x v="13"/>
    </i>
    <i>
      <x v="14"/>
    </i>
    <i>
      <x v="15"/>
    </i>
    <i>
      <x v="16"/>
    </i>
    <i t="grand">
      <x/>
    </i>
  </rowItems>
  <colItems count="1">
    <i/>
  </colItems>
  <dataFields count="1">
    <dataField name="Count of NPV" fld="0" subtotal="count" baseField="0" baseItem="0"/>
  </dataFields>
  <formats count="6">
    <format dxfId="20">
      <pivotArea type="all" dataOnly="0" outline="0" fieldPosition="0"/>
    </format>
    <format dxfId="19">
      <pivotArea outline="0" collapsedLevelsAreSubtotals="1" fieldPosition="0"/>
    </format>
    <format dxfId="18">
      <pivotArea field="0" type="button" dataOnly="0" labelOnly="1" outline="0" axis="axisRow" fieldPosition="0"/>
    </format>
    <format dxfId="17">
      <pivotArea dataOnly="0" labelOnly="1" fieldPosition="0">
        <references count="1">
          <reference field="0" count="15">
            <x v="2"/>
            <x v="3"/>
            <x v="4"/>
            <x v="5"/>
            <x v="6"/>
            <x v="7"/>
            <x v="8"/>
            <x v="9"/>
            <x v="10"/>
            <x v="11"/>
            <x v="12"/>
            <x v="13"/>
            <x v="14"/>
            <x v="15"/>
            <x v="16"/>
          </reference>
        </references>
      </pivotArea>
    </format>
    <format dxfId="16">
      <pivotArea dataOnly="0" labelOnly="1" grandRow="1" outline="0" fieldPosition="0"/>
    </format>
    <format dxfId="1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8FF1E33-CE0A-4232-ACEB-BCD516BFDAAE}" name="PivotTable10"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K29:BL43" firstHeaderRow="1" firstDataRow="1" firstDataCol="1"/>
  <pivotFields count="1">
    <pivotField axis="axisRow" dataField="1" numFmtId="164" showAll="0">
      <items count="19">
        <item x="0"/>
        <item x="1"/>
        <item x="2"/>
        <item x="3"/>
        <item x="4"/>
        <item x="5"/>
        <item x="6"/>
        <item x="7"/>
        <item x="8"/>
        <item x="9"/>
        <item x="10"/>
        <item x="11"/>
        <item x="12"/>
        <item x="13"/>
        <item x="14"/>
        <item x="15"/>
        <item x="16"/>
        <item x="17"/>
        <item t="default"/>
      </items>
    </pivotField>
  </pivotFields>
  <rowFields count="1">
    <field x="0"/>
  </rowFields>
  <rowItems count="14">
    <i>
      <x v="1"/>
    </i>
    <i>
      <x v="2"/>
    </i>
    <i>
      <x v="3"/>
    </i>
    <i>
      <x v="4"/>
    </i>
    <i>
      <x v="5"/>
    </i>
    <i>
      <x v="6"/>
    </i>
    <i>
      <x v="7"/>
    </i>
    <i>
      <x v="8"/>
    </i>
    <i>
      <x v="9"/>
    </i>
    <i>
      <x v="10"/>
    </i>
    <i>
      <x v="11"/>
    </i>
    <i>
      <x v="13"/>
    </i>
    <i>
      <x v="14"/>
    </i>
    <i t="grand">
      <x/>
    </i>
  </rowItems>
  <colItems count="1">
    <i/>
  </colItems>
  <dataFields count="1">
    <dataField name="Count of NPV" fld="0" subtotal="count" baseField="0" baseItem="0"/>
  </dataFields>
  <formats count="6">
    <format dxfId="13">
      <pivotArea type="all" dataOnly="0" outline="0" fieldPosition="0"/>
    </format>
    <format dxfId="12">
      <pivotArea outline="0" collapsedLevelsAreSubtotals="1" fieldPosition="0"/>
    </format>
    <format dxfId="11">
      <pivotArea field="0" type="button" dataOnly="0" labelOnly="1" outline="0" axis="axisRow" fieldPosition="0"/>
    </format>
    <format dxfId="10">
      <pivotArea dataOnly="0" labelOnly="1" fieldPosition="0">
        <references count="1">
          <reference field="0" count="13">
            <x v="1"/>
            <x v="2"/>
            <x v="3"/>
            <x v="4"/>
            <x v="5"/>
            <x v="6"/>
            <x v="7"/>
            <x v="8"/>
            <x v="9"/>
            <x v="10"/>
            <x v="11"/>
            <x v="13"/>
            <x v="14"/>
          </reference>
        </references>
      </pivotArea>
    </format>
    <format dxfId="9">
      <pivotArea dataOnly="0" labelOnly="1" grandRow="1" outline="0" fieldPosition="0"/>
    </format>
    <format dxfId="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3DBDE86-6B7F-4FD0-8092-DA4BD63A3A1B}" name="PivotTable9"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F9:BG16" firstHeaderRow="1" firstDataRow="1" firstDataCol="1"/>
  <pivotFields count="1">
    <pivotField axis="axisRow" dataField="1" numFmtId="164" showAll="0">
      <items count="19">
        <item x="0"/>
        <item x="1"/>
        <item x="2"/>
        <item x="3"/>
        <item x="4"/>
        <item x="5"/>
        <item x="6"/>
        <item x="7"/>
        <item x="8"/>
        <item x="9"/>
        <item x="10"/>
        <item x="11"/>
        <item x="12"/>
        <item x="13"/>
        <item x="14"/>
        <item x="15"/>
        <item x="16"/>
        <item x="17"/>
        <item t="default"/>
      </items>
    </pivotField>
  </pivotFields>
  <rowFields count="1">
    <field x="0"/>
  </rowFields>
  <rowItems count="7">
    <i>
      <x v="2"/>
    </i>
    <i>
      <x v="3"/>
    </i>
    <i>
      <x v="4"/>
    </i>
    <i>
      <x v="5"/>
    </i>
    <i>
      <x v="6"/>
    </i>
    <i>
      <x v="7"/>
    </i>
    <i t="grand">
      <x/>
    </i>
  </rowItems>
  <colItems count="1">
    <i/>
  </colItems>
  <dataFields count="1">
    <dataField name="Count of NPV" fld="0" subtotal="count" baseField="0" baseItem="7"/>
  </dataFields>
  <formats count="6">
    <format dxfId="6">
      <pivotArea type="all" dataOnly="0" outline="0" fieldPosition="0"/>
    </format>
    <format dxfId="5">
      <pivotArea outline="0" collapsedLevelsAreSubtotals="1" fieldPosition="0"/>
    </format>
    <format dxfId="4">
      <pivotArea field="0" type="button" dataOnly="0" labelOnly="1" outline="0" axis="axisRow" fieldPosition="0"/>
    </format>
    <format dxfId="3">
      <pivotArea dataOnly="0" labelOnly="1" fieldPosition="0">
        <references count="1">
          <reference field="0" count="6">
            <x v="2"/>
            <x v="3"/>
            <x v="4"/>
            <x v="5"/>
            <x v="6"/>
            <x v="7"/>
          </reference>
        </references>
      </pivotArea>
    </format>
    <format dxfId="2">
      <pivotArea dataOnly="0" labelOnly="1" grandRow="1" outline="0" fieldPosition="0"/>
    </format>
    <format dxfId="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827BB92-16FB-48BD-9DCC-618166F08714}"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T9:AU18" firstHeaderRow="1" firstDataRow="1" firstDataCol="1" rowPageCount="1" colPageCount="1"/>
  <pivotFields count="4">
    <pivotField axis="axisPage" multipleItemSelectionAllowed="1" showAll="0">
      <items count="1002">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h="1" x="0"/>
        <item t="default"/>
      </items>
    </pivotField>
    <pivotField axis="axisRow" dataField="1" numFmtId="2" showAll="0">
      <items count="11">
        <item x="0"/>
        <item x="1"/>
        <item x="2"/>
        <item x="3"/>
        <item x="4"/>
        <item x="5"/>
        <item x="6"/>
        <item x="7"/>
        <item x="8"/>
        <item x="9"/>
        <item t="default"/>
      </items>
    </pivotField>
    <pivotField numFmtId="164" showAll="0"/>
    <pivotField showAll="0"/>
  </pivotFields>
  <rowFields count="1">
    <field x="1"/>
  </rowFields>
  <rowItems count="9">
    <i>
      <x v="1"/>
    </i>
    <i>
      <x v="2"/>
    </i>
    <i>
      <x v="3"/>
    </i>
    <i>
      <x v="4"/>
    </i>
    <i>
      <x v="5"/>
    </i>
    <i>
      <x v="6"/>
    </i>
    <i>
      <x v="7"/>
    </i>
    <i>
      <x v="8"/>
    </i>
    <i t="grand">
      <x/>
    </i>
  </rowItems>
  <colItems count="1">
    <i/>
  </colItems>
  <pageFields count="1">
    <pageField fld="0" hier="-1"/>
  </pageFields>
  <dataFields count="1">
    <dataField name="Count " fld="1" subtotal="count" baseField="1" baseItem="0"/>
  </dataFields>
  <formats count="6">
    <format dxfId="75">
      <pivotArea type="all" dataOnly="0" outline="0" fieldPosition="0"/>
    </format>
    <format dxfId="74">
      <pivotArea outline="0" collapsedLevelsAreSubtotals="1" fieldPosition="0"/>
    </format>
    <format dxfId="73">
      <pivotArea field="1" type="button" dataOnly="0" labelOnly="1" outline="0" axis="axisRow" fieldPosition="0"/>
    </format>
    <format dxfId="72">
      <pivotArea dataOnly="0" labelOnly="1" fieldPosition="0">
        <references count="1">
          <reference field="1" count="8">
            <x v="1"/>
            <x v="2"/>
            <x v="3"/>
            <x v="4"/>
            <x v="5"/>
            <x v="6"/>
            <x v="7"/>
            <x v="8"/>
          </reference>
        </references>
      </pivotArea>
    </format>
    <format dxfId="71">
      <pivotArea dataOnly="0" labelOnly="1" grandRow="1" outline="0" fieldPosition="0"/>
    </format>
    <format dxfId="7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CF1D2CB-3F1B-430B-B17C-6B07564B5556}" name="PivotTable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10:O21" firstHeaderRow="1" firstDataRow="1" firstDataCol="1"/>
  <pivotFields count="4">
    <pivotField showAll="0"/>
    <pivotField numFmtId="164" showAll="0"/>
    <pivotField axis="axisRow" dataField="1" numFmtId="164" showAll="0">
      <items count="13">
        <item x="0"/>
        <item x="1"/>
        <item x="2"/>
        <item x="3"/>
        <item x="4"/>
        <item x="5"/>
        <item x="6"/>
        <item x="7"/>
        <item x="8"/>
        <item x="9"/>
        <item x="10"/>
        <item x="11"/>
        <item t="default"/>
      </items>
    </pivotField>
    <pivotField showAll="0"/>
  </pivotFields>
  <rowFields count="1">
    <field x="2"/>
  </rowFields>
  <rowItems count="11">
    <i>
      <x v="1"/>
    </i>
    <i>
      <x v="2"/>
    </i>
    <i>
      <x v="3"/>
    </i>
    <i>
      <x v="4"/>
    </i>
    <i>
      <x v="5"/>
    </i>
    <i>
      <x v="6"/>
    </i>
    <i>
      <x v="7"/>
    </i>
    <i>
      <x v="8"/>
    </i>
    <i>
      <x v="9"/>
    </i>
    <i>
      <x v="10"/>
    </i>
    <i t="grand">
      <x/>
    </i>
  </rowItems>
  <colItems count="1">
    <i/>
  </colItems>
  <dataFields count="1">
    <dataField name="Count of NPV" fld="2" subtotal="count" baseField="2"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6979534-A449-497C-B638-CABAA51E5FC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27:O38" firstHeaderRow="1" firstDataRow="1" firstDataCol="1" rowPageCount="1" colPageCount="1"/>
  <pivotFields count="4">
    <pivotField axis="axisPage" multipleItemSelectionAllowed="1" showAll="0">
      <items count="1002">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h="1" x="0"/>
        <item t="default"/>
      </items>
    </pivotField>
    <pivotField numFmtId="164" showAll="0"/>
    <pivotField axis="axisRow" dataField="1" numFmtId="164" showAll="0">
      <items count="14">
        <item x="0"/>
        <item x="1"/>
        <item x="2"/>
        <item x="3"/>
        <item x="4"/>
        <item x="5"/>
        <item x="6"/>
        <item x="7"/>
        <item x="8"/>
        <item x="9"/>
        <item x="10"/>
        <item x="11"/>
        <item x="12"/>
        <item t="default"/>
      </items>
    </pivotField>
    <pivotField showAll="0"/>
  </pivotFields>
  <rowFields count="1">
    <field x="2"/>
  </rowFields>
  <rowItems count="11">
    <i>
      <x v="1"/>
    </i>
    <i>
      <x v="2"/>
    </i>
    <i>
      <x v="3"/>
    </i>
    <i>
      <x v="4"/>
    </i>
    <i>
      <x v="5"/>
    </i>
    <i>
      <x v="6"/>
    </i>
    <i>
      <x v="7"/>
    </i>
    <i>
      <x v="8"/>
    </i>
    <i>
      <x v="10"/>
    </i>
    <i>
      <x v="11"/>
    </i>
    <i t="grand">
      <x/>
    </i>
  </rowItems>
  <colItems count="1">
    <i/>
  </colItems>
  <pageFields count="1">
    <pageField fld="0" hier="-1"/>
  </pageFields>
  <dataFields count="1">
    <dataField name="Count of NPV" fld="2" subtotal="count"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1855B7C-CB6F-4375-B003-5D95E1A1683B}" name="Table25" displayName="Table25" ref="B56:I107" totalsRowShown="0" headerRowDxfId="69" dataDxfId="67" headerRowBorderDxfId="68" tableBorderDxfId="66" totalsRowBorderDxfId="65" headerRowCellStyle="Normal 2" dataCellStyle="Normal 2">
  <autoFilter ref="B56:I107" xr:uid="{15DE902B-D190-433D-9322-4D4B4D3DE31D}"/>
  <tableColumns count="8">
    <tableColumn id="1" xr3:uid="{C31752B6-D2F7-4FCA-A444-0703DD6525D7}" name="Month" dataDxfId="64" dataCellStyle="Normal 2"/>
    <tableColumn id="8" xr3:uid="{E6EC09C0-BE14-463E-9EEC-DCE4A92348E3}" name="Year" dataDxfId="63" dataCellStyle="Normal 2">
      <calculatedColumnFormula array="1">TEXT(Table25[[#This Row],[Month]],STRING)</calculatedColumnFormula>
    </tableColumn>
    <tableColumn id="9" xr3:uid="{A57834FE-C4CF-4B2A-AE1D-9349BE3CCE40}" name="YearCount" dataDxfId="62"/>
    <tableColumn id="2" xr3:uid="{940ABB74-D545-40BE-A2BA-7DA23D3685CC}" name="Index (1982-84=1)" dataDxfId="61" dataCellStyle="Normal 2"/>
    <tableColumn id="3" xr3:uid="{C5657625-F8ED-4F66-80ED-4FCBFEF77583}" name="Nominal Price ($)" dataDxfId="60" dataCellStyle="Normal 2"/>
    <tableColumn id="4" xr3:uid="{8C59C660-752A-44BC-B667-5CA70CFC341A}" name="Log(Nominal)" dataDxfId="59" dataCellStyle="Normal 2">
      <calculatedColumnFormula>LN(F57)</calculatedColumnFormula>
    </tableColumn>
    <tableColumn id="5" xr3:uid="{D1CD918B-6E32-4670-87F9-6F9A4DC284EC}" name="Inflation-adjusted Price ($)" dataDxfId="58" dataCellStyle="Normal 2"/>
    <tableColumn id="6" xr3:uid="{159CB223-14E2-4D53-9483-3FB8C5C5B592}" name="Log(Inflation-adjusted Price)" dataDxfId="57" dataCellStyle="Normal 2"/>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BEA5EF4-8A83-4DA6-A394-87AA8293B65A}" name="Table1" displayName="Table1" ref="B24:I626" totalsRowShown="0" headerRowDxfId="56" dataDxfId="55">
  <autoFilter ref="B24:I626" xr:uid="{06E9B34F-729E-4BD2-B799-E3CEC613C33A}"/>
  <tableColumns count="8">
    <tableColumn id="1" xr3:uid="{7E3DC94C-3D71-48DC-B576-96DBD5089DDF}" name="Month" dataDxfId="54"/>
    <tableColumn id="2" xr3:uid="{011747CB-BBA1-4224-B01F-54726B17ED1C}" name="Index (1982-84=1)" dataDxfId="53"/>
    <tableColumn id="3" xr3:uid="{A88E3D5D-C148-4880-85D9-5349B412A5ED}" name="Nominal Price ($)" dataDxfId="52"/>
    <tableColumn id="4" xr3:uid="{01D4CA3B-CFA8-487E-9EDA-9A0976D5ABCE}" name="Log(Nominal)" dataDxfId="51">
      <calculatedColumnFormula>LN(D25)</calculatedColumnFormula>
    </tableColumn>
    <tableColumn id="5" xr3:uid="{1D4CA838-4DC4-45AE-845A-3FF0BBE4EDC3}" name="Inflation-adjusted price ($)" dataDxfId="50"/>
    <tableColumn id="6" xr3:uid="{33248F0E-EFD6-4D62-9C4E-6202D1935F88}" name="Log(Inflation-adjusted)" dataDxfId="49">
      <calculatedColumnFormula>LN(F25)</calculatedColumnFormula>
    </tableColumn>
    <tableColumn id="7" xr3:uid="{ED45959C-EE1B-48B2-89C5-BF0DA59D2E85}" name="∆ Log(Inflation-adjusted)" dataDxfId="48">
      <calculatedColumnFormula array="1">Table1[[#This Row],[Log(Inflation-adjusted)]]-SHIFT(Table1[[#This Row],[Log(Inflation-adjusted)]], 1)</calculatedColumnFormula>
    </tableColumn>
    <tableColumn id="8" xr3:uid="{CDB04992-F9A3-4389-A523-31DD514D020C}" name="∆ Log(Inflation-adjusted)(YoY)" dataDxfId="47">
      <calculatedColumnFormula>G25-G13</calculatedColumnFormula>
    </tableColumn>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046EEFC-0F1E-4338-B7EE-AEFD172BC8F8}" name="Table13" displayName="Table13" ref="B19:G477" totalsRowShown="0" headerRowDxfId="46" dataDxfId="45">
  <autoFilter ref="B19:G477" xr:uid="{06E9B34F-729E-4BD2-B799-E3CEC613C33A}"/>
  <tableColumns count="6">
    <tableColumn id="1" xr3:uid="{6F47F6D9-E4A9-45FD-8954-CA9FCDCFDEB9}" name="Month" dataDxfId="44"/>
    <tableColumn id="2" xr3:uid="{7F55FE14-EE7A-4B23-ADA2-D6DF16416D1D}" name="Index (1982-84=1)" dataDxfId="43"/>
    <tableColumn id="3" xr3:uid="{F460ACF0-F915-4685-A901-C26FC5D93A01}" name="Nominal" dataDxfId="42"/>
    <tableColumn id="4" xr3:uid="{E20C0797-F2BC-4F17-88DB-30D83CF1CAE3}" name="LogNominal" dataDxfId="41">
      <calculatedColumnFormula>LN(D20)</calculatedColumnFormula>
    </tableColumn>
    <tableColumn id="5" xr3:uid="{0B5F77DC-8DBA-49B4-8F9F-AB31F3F42A31}" name="Real" dataDxfId="40"/>
    <tableColumn id="6" xr3:uid="{7C418D72-08F9-40DA-9D26-912FEAE0BFF4}" name="LogReal" dataDxfId="39">
      <calculatedColumnFormula>LN(F20)</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ustom 1">
      <a:majorFont>
        <a:latin typeface="Arial"/>
        <a:ea typeface=""/>
        <a:cs typeface=""/>
      </a:majorFont>
      <a:minorFont>
        <a:latin typeface="Calisto MT"/>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G8" dT="2024-04-27T20:29:14.71" personId="{65DB819C-A2BC-49CC-BF7B-AB82DAC9F0B4}" id="{DFFD72BE-3C83-4F27-873D-70E4CB672A6A}">
    <text>Note: This needs to have a 0.00 in one of the calendar years for the Cumulative DevEx calculation to work in the 'Calculations' sheet</text>
  </threadedComment>
  <threadedComment ref="C28" dT="2024-04-27T07:03:34.96" personId="{65DB819C-A2BC-49CC-BF7B-AB82DAC9F0B4}" id="{42871928-CFA3-4480-8FDD-3F0BB05AC1BB}">
    <text xml:space="preserve">The tax is levied on the NCF, rather than revenues. The tax is levied only once the cumulative cash flows become positive. 
When the cumulative cash flows are positive but below the NCF for the current period, the tax is charged on the positive cumulative cash flows. 
Thereafter, the tax is charged on NCF in each period.
</text>
  </threadedComment>
</ThreadedComments>
</file>

<file path=xl/threadedComments/threadedComment2.xml><?xml version="1.0" encoding="utf-8"?>
<ThreadedComments xmlns="http://schemas.microsoft.com/office/spreadsheetml/2018/threadedcomments" xmlns:x="http://schemas.openxmlformats.org/spreadsheetml/2006/main">
  <threadedComment ref="B9" dT="2024-04-26T15:42:54.03" personId="{65DB819C-A2BC-49CC-BF7B-AB82DAC9F0B4}" id="{C83EA3C2-A663-4F2C-88FD-A1E6A27D9A95}">
    <text>These provide an indication of the expected phasing of development expenditure, production and abandonment cost. 
(For example, 15% of the development expenditure is expected to be spent in 2025, 15% in 2026, etc.) 
Production roughly follows a log normal distribution, with 11% in the first year of production (2030) rising to 16% in 2031 and then falling slowly thereafter.</text>
  </threadedComment>
  <threadedComment ref="C9" dT="2024-04-22T14:24:14.91" personId="{65DB819C-A2BC-49CC-BF7B-AB82DAC9F0B4}" id="{5F9ED3DF-F51A-40B0-8148-7003C0804E53}">
    <text>To confirm that the sum of all years is 100%</text>
  </threadedComment>
  <threadedComment ref="B17" dT="2024-04-27T14:32:09.02" personId="{65DB819C-A2BC-49CC-BF7B-AB82DAC9F0B4}" id="{8024AFE7-B96E-4789-8E6B-EDCF381DA379}">
    <text>This is used to calculate production costs. I have added inflation to the cumulative total, even when yearly DevEx costs fall to zero, to make it easier to calculate production costs.</text>
  </threadedComment>
  <threadedComment ref="B19" dT="2024-04-27T20:23:17.95" personId="{65DB819C-A2BC-49CC-BF7B-AB82DAC9F0B4}" id="{513E3C2B-C8CB-441B-8B98-4DF16C96D870}">
    <text>Field cost inflation is included in the Cumulative DevEx, so is not calculated in the production costs.</text>
  </threadedComment>
  <threadedComment ref="B31" dT="2024-04-26T10:59:20.50" personId="{65DB819C-A2BC-49CC-BF7B-AB82DAC9F0B4}" id="{376DE213-D755-4AFE-BA2B-AE61B8701DE3}">
    <text>This is used to determine the amount of tax to be paid in early years. 
(Where CNCF&lt;0, no tax paid; where 0&lt;CNCF&lt;NCF, tax paid on CNCF; where CNCF&gt;NCF, tax paid on NCF.)</text>
  </threadedComment>
</ThreadedComments>
</file>

<file path=xl/threadedComments/threadedComment3.xml><?xml version="1.0" encoding="utf-8"?>
<ThreadedComments xmlns="http://schemas.microsoft.com/office/spreadsheetml/2018/threadedcomments" xmlns:x="http://schemas.openxmlformats.org/spreadsheetml/2006/main">
  <threadedComment ref="C10" dT="2024-05-05T19:17:12.96" personId="{65DB819C-A2BC-49CC-BF7B-AB82DAC9F0B4}" id="{C664EEA4-4477-4617-9D5E-6CE350CFE795}">
    <text xml:space="preserve">If you wish to run a simulation, update the oil_price_base to match the oil_price_infl_adj_MC_log_normal in the Inputs sheet
</text>
  </threadedComment>
</ThreadedComments>
</file>

<file path=xl/threadedComments/threadedComment4.xml><?xml version="1.0" encoding="utf-8"?>
<ThreadedComments xmlns="http://schemas.microsoft.com/office/spreadsheetml/2018/threadedcomments" xmlns:x="http://schemas.openxmlformats.org/spreadsheetml/2006/main">
  <threadedComment ref="C10" dT="2024-05-05T19:04:56.36" personId="{65DB819C-A2BC-49CC-BF7B-AB82DAC9F0B4}" id="{7F7E308C-E909-49CE-97CA-5A70950A9A78}">
    <text>If you wish to run a simulation, update the oil_price_base to match the oil_price_nominal_MC_log_normal in the Inputs sheet</text>
  </threadedComment>
</ThreadedComments>
</file>

<file path=xl/threadedComments/threadedComment5.xml><?xml version="1.0" encoding="utf-8"?>
<ThreadedComments xmlns="http://schemas.microsoft.com/office/spreadsheetml/2018/threadedcomments" xmlns:x="http://schemas.openxmlformats.org/spreadsheetml/2006/main">
  <threadedComment ref="C10" dT="2024-05-05T19:03:28.86" personId="{65DB819C-A2BC-49CC-BF7B-AB82DAC9F0B4}" id="{FB603B1B-72A2-4A5D-B4D9-B0A80E0ACEA6}">
    <text>If you wish to run a simulation, update the oil_price_base to match the oil_price_MC_uniform_distribution in the Inputs sheet</text>
  </threadedComment>
</ThreadedComments>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ivotTable" Target="../pivotTables/pivotTable5.xml"/><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ivotTable" Target="../pivotTables/pivotTable6.x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7.xml"/><Relationship Id="rId4" Type="http://schemas.microsoft.com/office/2017/10/relationships/threadedComment" Target="../threadedComments/threadedComment5.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CB360-C48D-40E2-A92A-A1D760CC9812}">
  <sheetPr>
    <tabColor theme="8"/>
  </sheetPr>
  <dimension ref="B2:BM1053"/>
  <sheetViews>
    <sheetView tabSelected="1" zoomScale="65" zoomScaleNormal="100" workbookViewId="0">
      <selection activeCell="BQ19" sqref="BQ19"/>
    </sheetView>
  </sheetViews>
  <sheetFormatPr defaultRowHeight="16.8" x14ac:dyDescent="0.5"/>
  <cols>
    <col min="1" max="2" width="8.88671875" style="5"/>
    <col min="3" max="3" width="29.88671875" style="5" bestFit="1" customWidth="1"/>
    <col min="4" max="4" width="10.109375" style="5" bestFit="1" customWidth="1"/>
    <col min="5" max="5" width="11.5546875" style="5" bestFit="1" customWidth="1"/>
    <col min="6" max="6" width="8.88671875" style="5"/>
    <col min="7" max="7" width="4.6640625" style="5" bestFit="1" customWidth="1"/>
    <col min="8" max="8" width="13.77734375" style="5" bestFit="1" customWidth="1"/>
    <col min="9" max="9" width="7.88671875" style="5" bestFit="1" customWidth="1"/>
    <col min="10" max="10" width="12.33203125" style="5" bestFit="1" customWidth="1"/>
    <col min="11" max="11" width="13.33203125" style="5" bestFit="1" customWidth="1"/>
    <col min="12" max="39" width="8.88671875" style="5"/>
    <col min="40" max="40" width="15.21875" style="5" bestFit="1" customWidth="1"/>
    <col min="41" max="41" width="8.88671875" style="5"/>
    <col min="42" max="42" width="19.5546875" style="5" bestFit="1" customWidth="1"/>
    <col min="43" max="43" width="17.88671875" style="5" bestFit="1" customWidth="1"/>
    <col min="44" max="45" width="8.88671875" style="5"/>
    <col min="46" max="46" width="14.5546875" style="5" bestFit="1" customWidth="1"/>
    <col min="47" max="47" width="17.88671875" style="5" bestFit="1" customWidth="1"/>
    <col min="48" max="48" width="17.44140625" style="5" bestFit="1" customWidth="1"/>
    <col min="49" max="16384" width="8.88671875" style="5"/>
  </cols>
  <sheetData>
    <row r="2" spans="3:60" ht="16.8" customHeight="1" x14ac:dyDescent="0.5">
      <c r="C2" s="128" t="s">
        <v>137</v>
      </c>
      <c r="D2" s="128"/>
      <c r="E2" s="128"/>
      <c r="F2" s="128"/>
      <c r="G2" s="128"/>
      <c r="H2" s="128"/>
      <c r="I2" s="129" t="s">
        <v>208</v>
      </c>
      <c r="J2" s="129"/>
      <c r="K2" s="129"/>
      <c r="L2" s="129"/>
      <c r="M2" s="129"/>
      <c r="N2" s="129"/>
      <c r="O2" s="129"/>
      <c r="P2" s="129"/>
      <c r="Q2" s="129"/>
      <c r="R2" s="129"/>
      <c r="S2" s="129"/>
      <c r="T2" s="129"/>
      <c r="U2" s="129"/>
      <c r="V2" s="129"/>
      <c r="W2" s="129"/>
      <c r="X2" s="129"/>
      <c r="Y2" s="129"/>
      <c r="Z2" s="129"/>
      <c r="AA2" s="129"/>
      <c r="AB2" s="129"/>
      <c r="AC2" s="129"/>
      <c r="AD2" s="129"/>
      <c r="AE2" s="129"/>
      <c r="AF2" s="129"/>
      <c r="AG2" s="129"/>
      <c r="AH2" s="129"/>
      <c r="AI2" s="129"/>
      <c r="AJ2" s="129"/>
      <c r="AK2" s="129"/>
      <c r="AL2" s="129"/>
    </row>
    <row r="3" spans="3:60" ht="16.8" customHeight="1" x14ac:dyDescent="0.5">
      <c r="C3" s="128"/>
      <c r="D3" s="128"/>
      <c r="E3" s="128"/>
      <c r="F3" s="128"/>
      <c r="G3" s="128"/>
      <c r="H3" s="128"/>
      <c r="I3" s="129"/>
      <c r="J3" s="129"/>
      <c r="K3" s="129"/>
      <c r="L3" s="129"/>
      <c r="M3" s="129"/>
      <c r="N3" s="129"/>
      <c r="O3" s="129"/>
      <c r="P3" s="129"/>
      <c r="Q3" s="129"/>
      <c r="R3" s="129"/>
      <c r="S3" s="129"/>
      <c r="T3" s="129"/>
      <c r="U3" s="129"/>
      <c r="V3" s="129"/>
      <c r="W3" s="129"/>
      <c r="X3" s="129"/>
      <c r="Y3" s="129"/>
      <c r="Z3" s="129"/>
      <c r="AA3" s="129"/>
      <c r="AB3" s="129"/>
      <c r="AC3" s="129"/>
      <c r="AD3" s="129"/>
      <c r="AE3" s="129"/>
      <c r="AF3" s="129"/>
      <c r="AG3" s="129"/>
      <c r="AH3" s="129"/>
      <c r="AI3" s="129"/>
      <c r="AJ3" s="129"/>
      <c r="AK3" s="129"/>
      <c r="AL3" s="129"/>
    </row>
    <row r="4" spans="3:60" ht="16.8" customHeight="1" x14ac:dyDescent="0.5">
      <c r="C4" s="128"/>
      <c r="D4" s="128"/>
      <c r="E4" s="128"/>
      <c r="F4" s="128"/>
      <c r="G4" s="128"/>
      <c r="H4" s="128"/>
      <c r="I4" s="129"/>
      <c r="J4" s="129"/>
      <c r="K4" s="129"/>
      <c r="L4" s="129"/>
      <c r="M4" s="129"/>
      <c r="N4" s="129"/>
      <c r="O4" s="129"/>
      <c r="P4" s="129"/>
      <c r="Q4" s="129"/>
      <c r="R4" s="129"/>
      <c r="S4" s="129"/>
      <c r="T4" s="129"/>
      <c r="U4" s="129"/>
      <c r="V4" s="129"/>
      <c r="W4" s="129"/>
      <c r="X4" s="129"/>
      <c r="Y4" s="129"/>
      <c r="Z4" s="129"/>
      <c r="AA4" s="129"/>
      <c r="AB4" s="129"/>
      <c r="AC4" s="129"/>
      <c r="AD4" s="129"/>
      <c r="AE4" s="129"/>
      <c r="AF4" s="129"/>
      <c r="AG4" s="129"/>
      <c r="AH4" s="129"/>
      <c r="AI4" s="129"/>
      <c r="AJ4" s="129"/>
      <c r="AK4" s="129"/>
      <c r="AL4" s="129"/>
      <c r="AY4" s="30" t="s">
        <v>203</v>
      </c>
      <c r="AZ4" s="30" t="s">
        <v>202</v>
      </c>
      <c r="BA4" s="30" t="s">
        <v>204</v>
      </c>
    </row>
    <row r="5" spans="3:60" x14ac:dyDescent="0.5">
      <c r="AY5" s="35">
        <v>4922.9021120167172</v>
      </c>
      <c r="AZ5" s="46">
        <v>-1286.468366865221</v>
      </c>
      <c r="BA5" s="47">
        <v>2890.747777571738</v>
      </c>
    </row>
    <row r="6" spans="3:60" ht="30" x14ac:dyDescent="0.85">
      <c r="C6" s="127" t="s">
        <v>169</v>
      </c>
      <c r="D6" s="127"/>
      <c r="E6" s="127"/>
      <c r="F6" s="127"/>
      <c r="G6" s="127"/>
      <c r="H6" s="127"/>
      <c r="I6" s="127"/>
      <c r="J6" s="127"/>
      <c r="K6" s="127"/>
      <c r="L6" s="127"/>
      <c r="M6" s="127"/>
      <c r="N6" s="127"/>
      <c r="O6" s="127"/>
      <c r="P6" s="127"/>
      <c r="Q6" s="127"/>
      <c r="R6" s="127"/>
      <c r="S6" s="127"/>
      <c r="T6" s="127"/>
      <c r="U6" s="127"/>
      <c r="V6" s="127"/>
      <c r="W6" s="127"/>
      <c r="X6" s="127"/>
      <c r="Y6" s="127"/>
      <c r="Z6" s="127"/>
      <c r="AA6" s="127"/>
      <c r="AB6" s="127"/>
      <c r="AC6" s="127"/>
      <c r="AD6" s="127"/>
      <c r="AE6" s="127"/>
      <c r="AF6" s="127"/>
      <c r="AG6" s="127"/>
      <c r="AH6" s="127"/>
      <c r="AI6" s="127"/>
      <c r="AJ6" s="127"/>
      <c r="AK6" s="127"/>
      <c r="AL6" s="127"/>
      <c r="AY6" s="35">
        <v>6372.0535757773778</v>
      </c>
      <c r="AZ6" s="46">
        <v>-1023.0744591967681</v>
      </c>
      <c r="BA6" s="47">
        <v>2575.9822036650985</v>
      </c>
    </row>
    <row r="7" spans="3:60" x14ac:dyDescent="0.5">
      <c r="AY7" s="35">
        <v>1933.4695046108322</v>
      </c>
      <c r="AZ7" s="46">
        <v>-1135.361231833115</v>
      </c>
      <c r="BA7" s="47">
        <v>4729.5642713819161</v>
      </c>
    </row>
    <row r="8" spans="3:60" x14ac:dyDescent="0.5">
      <c r="C8" s="69" t="s">
        <v>83</v>
      </c>
      <c r="D8" s="69" t="s">
        <v>86</v>
      </c>
      <c r="E8" s="69" t="s">
        <v>87</v>
      </c>
      <c r="G8" s="70" t="s">
        <v>97</v>
      </c>
      <c r="H8" s="71" t="s">
        <v>87</v>
      </c>
      <c r="I8" s="71" t="s">
        <v>94</v>
      </c>
      <c r="J8" s="70" t="s">
        <v>96</v>
      </c>
      <c r="K8" s="70" t="s">
        <v>118</v>
      </c>
      <c r="AY8" s="35">
        <v>-1228.4120273665849</v>
      </c>
      <c r="AZ8" s="46">
        <v>2833.0606918163207</v>
      </c>
      <c r="BA8" s="47">
        <v>-18.451114132554203</v>
      </c>
    </row>
    <row r="9" spans="3:60" x14ac:dyDescent="0.5">
      <c r="C9" s="50" t="s">
        <v>88</v>
      </c>
      <c r="D9" s="38">
        <f>AVERAGE(Oil_Price_MC_Uniform_1000_Trials)</f>
        <v>60.365824733207901</v>
      </c>
      <c r="E9" s="38">
        <f>AVERAGE(NPV_MC_Uniform_1000_Trials)</f>
        <v>2863.0025779774737</v>
      </c>
      <c r="G9" s="41">
        <v>1</v>
      </c>
      <c r="H9" s="40">
        <v>-4000</v>
      </c>
      <c r="I9" s="36">
        <v>0</v>
      </c>
      <c r="J9" s="72">
        <f>I9/(SUM($I$9:$I$24))</f>
        <v>0</v>
      </c>
      <c r="K9" s="72">
        <f>SUM($J$9:J9)</f>
        <v>0</v>
      </c>
      <c r="AY9" s="35">
        <v>6911.4645162114894</v>
      </c>
      <c r="AZ9" s="46">
        <v>-2501.7697548535566</v>
      </c>
      <c r="BA9" s="47">
        <v>3481.9986565338459</v>
      </c>
      <c r="BF9" s="22" t="s">
        <v>141</v>
      </c>
      <c r="BG9" s="22" t="s">
        <v>143</v>
      </c>
      <c r="BH9" s="22"/>
    </row>
    <row r="10" spans="3:60" x14ac:dyDescent="0.5">
      <c r="C10" s="50" t="s">
        <v>89</v>
      </c>
      <c r="D10" s="38">
        <f>MEDIAN(Oil_Price_MC_Uniform_1000_Trials)</f>
        <v>60.757818526235333</v>
      </c>
      <c r="E10" s="38">
        <f>MEDIAN(NPV_MC_Uniform_1000_Trials)</f>
        <v>2951.6129226647636</v>
      </c>
      <c r="G10" s="41">
        <v>2</v>
      </c>
      <c r="H10" s="43">
        <v>-2000</v>
      </c>
      <c r="I10" s="36">
        <v>37</v>
      </c>
      <c r="J10" s="72">
        <f t="shared" ref="J10:J24" si="0">I10/(SUM($I$9:$I$24))</f>
        <v>3.696303696303696E-2</v>
      </c>
      <c r="K10" s="72">
        <f>SUM($J$9:J10)</f>
        <v>3.696303696303696E-2</v>
      </c>
      <c r="AY10" s="35">
        <v>6543.5572525112411</v>
      </c>
      <c r="AZ10" s="46">
        <v>9565.784621121793</v>
      </c>
      <c r="BA10" s="47">
        <v>3101.3440562670098</v>
      </c>
      <c r="BF10" s="136" t="s">
        <v>183</v>
      </c>
      <c r="BG10" s="22">
        <v>37</v>
      </c>
      <c r="BH10" s="22"/>
    </row>
    <row r="11" spans="3:60" x14ac:dyDescent="0.5">
      <c r="C11" s="50" t="s">
        <v>206</v>
      </c>
      <c r="D11" s="38">
        <f>_xlfn.PERCENTILE.INC(Oil_Price_MC_Uniform_1000_Trials,0.99)</f>
        <v>99.419924198030998</v>
      </c>
      <c r="E11" s="38">
        <f>_xlfn.PERCENTILE.INC(NPV_MC_Uniform_1000_Trials,0.99)</f>
        <v>7686.2231801920016</v>
      </c>
      <c r="G11" s="41">
        <v>3</v>
      </c>
      <c r="H11" s="42">
        <v>0</v>
      </c>
      <c r="I11" s="36">
        <v>185</v>
      </c>
      <c r="J11" s="72">
        <f t="shared" si="0"/>
        <v>0.1848151848151848</v>
      </c>
      <c r="K11" s="72">
        <f>SUM($J$9:J11)</f>
        <v>0.22177822177822176</v>
      </c>
      <c r="AY11" s="35">
        <v>356.03334539577128</v>
      </c>
      <c r="AZ11" s="46">
        <v>-3936.2652086731614</v>
      </c>
      <c r="BA11" s="47">
        <v>2932.8955358673684</v>
      </c>
      <c r="BF11" s="136" t="s">
        <v>184</v>
      </c>
      <c r="BG11" s="22">
        <v>185</v>
      </c>
    </row>
    <row r="12" spans="3:60" x14ac:dyDescent="0.5">
      <c r="C12" s="50" t="s">
        <v>199</v>
      </c>
      <c r="D12" s="38">
        <f>_xlfn.PERCENTILE.INC(Oil_Price_MC_Uniform_1000_Trials,0.75)</f>
        <v>80.451244218364934</v>
      </c>
      <c r="E12" s="38">
        <f>_xlfn.PERCENTILE.INC(NPV_MC_Uniform_1000_Trials,0.75)</f>
        <v>5363.2946887675116</v>
      </c>
      <c r="G12" s="41">
        <v>4</v>
      </c>
      <c r="H12" s="42">
        <v>2000</v>
      </c>
      <c r="I12" s="36">
        <v>190</v>
      </c>
      <c r="J12" s="72">
        <f t="shared" si="0"/>
        <v>0.18981018981018982</v>
      </c>
      <c r="K12" s="72">
        <f>SUM($J$9:J12)</f>
        <v>0.41158841158841158</v>
      </c>
      <c r="AY12" s="35">
        <v>-55.960389753272374</v>
      </c>
      <c r="AZ12" s="46">
        <v>12938.119683390441</v>
      </c>
      <c r="BA12" s="47">
        <v>8785.4717790597861</v>
      </c>
      <c r="BF12" s="136" t="s">
        <v>185</v>
      </c>
      <c r="BG12" s="22">
        <v>190</v>
      </c>
    </row>
    <row r="13" spans="3:60" x14ac:dyDescent="0.5">
      <c r="C13" s="50" t="s">
        <v>200</v>
      </c>
      <c r="D13" s="38">
        <f>_xlfn.PERCENTILE.INC(Oil_Price_MC_Uniform_1000_Trials,0.25)</f>
        <v>39.905133941266001</v>
      </c>
      <c r="E13" s="38">
        <f>_xlfn.PERCENTILE.INC(NPV_MC_Uniform_1000_Trials,0.25)</f>
        <v>354.11511677905708</v>
      </c>
      <c r="G13" s="41">
        <v>5</v>
      </c>
      <c r="H13" s="42">
        <v>4000</v>
      </c>
      <c r="I13" s="36">
        <v>192</v>
      </c>
      <c r="J13" s="72">
        <f t="shared" si="0"/>
        <v>0.19180819180819181</v>
      </c>
      <c r="K13" s="72">
        <f>SUM($J$9:J13)</f>
        <v>0.60339660339660339</v>
      </c>
      <c r="AY13" s="35">
        <v>-1316.6209157175833</v>
      </c>
      <c r="AZ13" s="46">
        <v>1154.6627808187343</v>
      </c>
      <c r="BA13" s="47">
        <v>9606.5711741482955</v>
      </c>
      <c r="BF13" s="136" t="s">
        <v>186</v>
      </c>
      <c r="BG13" s="22">
        <v>192</v>
      </c>
    </row>
    <row r="14" spans="3:60" x14ac:dyDescent="0.5">
      <c r="C14" s="50" t="s">
        <v>205</v>
      </c>
      <c r="D14" s="38">
        <f>_xlfn.PERCENTILE.INC(Oil_Price_MC_Uniform_1000_Trials,0.01)</f>
        <v>20.937769144197411</v>
      </c>
      <c r="E14" s="38">
        <f>_xlfn.PERCENTILE.INC(NPV_MC_Uniform_1000_Trials,0.01)</f>
        <v>-2318.1289217385556</v>
      </c>
      <c r="G14" s="41">
        <v>6</v>
      </c>
      <c r="H14" s="42">
        <v>6000</v>
      </c>
      <c r="I14" s="36">
        <v>198</v>
      </c>
      <c r="J14" s="72">
        <f t="shared" si="0"/>
        <v>0.19780219780219779</v>
      </c>
      <c r="K14" s="72">
        <f>SUM($J$9:J14)</f>
        <v>0.80119880119880116</v>
      </c>
      <c r="AY14" s="35">
        <v>1276.591252796246</v>
      </c>
      <c r="AZ14" s="46">
        <v>2173.5754590802539</v>
      </c>
      <c r="BA14" s="47">
        <v>5092.9458004743119</v>
      </c>
      <c r="BF14" s="136" t="s">
        <v>187</v>
      </c>
      <c r="BG14" s="22">
        <v>198</v>
      </c>
    </row>
    <row r="15" spans="3:60" x14ac:dyDescent="0.5">
      <c r="C15" s="50" t="s">
        <v>90</v>
      </c>
      <c r="D15" s="38">
        <f>MAX(Oil_Price_MC_Uniform_1000_Trials)</f>
        <v>99.99329680380896</v>
      </c>
      <c r="E15" s="38">
        <f>MAX(NPV_MC_Uniform_1000_Trials)</f>
        <v>7756.4391131716129</v>
      </c>
      <c r="G15" s="41">
        <v>7</v>
      </c>
      <c r="H15" s="42">
        <v>8000</v>
      </c>
      <c r="I15" s="36">
        <v>199</v>
      </c>
      <c r="J15" s="72">
        <f t="shared" si="0"/>
        <v>0.19880119880119881</v>
      </c>
      <c r="K15" s="72">
        <f>SUM($J$9:J15)</f>
        <v>1</v>
      </c>
      <c r="AY15" s="35">
        <v>-1142.0544400479323</v>
      </c>
      <c r="AZ15" s="46">
        <v>-1243.5433385860833</v>
      </c>
      <c r="BA15" s="47">
        <v>3689.1445292423509</v>
      </c>
      <c r="BF15" s="136" t="s">
        <v>188</v>
      </c>
      <c r="BG15" s="22">
        <v>199</v>
      </c>
    </row>
    <row r="16" spans="3:60" x14ac:dyDescent="0.5">
      <c r="C16" s="50" t="s">
        <v>91</v>
      </c>
      <c r="D16" s="38">
        <f>MIN(Oil_Price_MC_Uniform_1000_Trials)</f>
        <v>20.018144707695935</v>
      </c>
      <c r="E16" s="38">
        <f>MIN(NPV_MC_Uniform_1000_Trials)</f>
        <v>-2490.4146644903353</v>
      </c>
      <c r="G16" s="41">
        <v>8</v>
      </c>
      <c r="H16" s="42">
        <v>10000</v>
      </c>
      <c r="I16" s="36">
        <v>0</v>
      </c>
      <c r="J16" s="72">
        <f t="shared" si="0"/>
        <v>0</v>
      </c>
      <c r="K16" s="72">
        <f>SUM($J$9:J16)</f>
        <v>1</v>
      </c>
      <c r="AY16" s="35">
        <v>4993.706672745705</v>
      </c>
      <c r="AZ16" s="46">
        <v>-3214.9582252017944</v>
      </c>
      <c r="BA16" s="47">
        <v>5510.9436642011515</v>
      </c>
      <c r="BF16" s="136" t="s">
        <v>142</v>
      </c>
      <c r="BG16" s="22">
        <v>1001</v>
      </c>
    </row>
    <row r="17" spans="2:65" x14ac:dyDescent="0.5">
      <c r="C17" s="50"/>
      <c r="D17" s="36"/>
      <c r="E17" s="36"/>
      <c r="G17" s="41">
        <v>9</v>
      </c>
      <c r="H17" s="42">
        <v>12000</v>
      </c>
      <c r="I17" s="36">
        <v>0</v>
      </c>
      <c r="J17" s="72">
        <f t="shared" si="0"/>
        <v>0</v>
      </c>
      <c r="K17" s="72">
        <f>SUM($J$9:J17)</f>
        <v>1</v>
      </c>
      <c r="AY17" s="35">
        <v>1201.1645357546013</v>
      </c>
      <c r="AZ17" s="46">
        <v>-2119.0294884567343</v>
      </c>
      <c r="BA17" s="47">
        <v>10520.405653116746</v>
      </c>
      <c r="BF17" s="22"/>
      <c r="BG17" s="22"/>
    </row>
    <row r="18" spans="2:65" x14ac:dyDescent="0.5">
      <c r="C18" s="50" t="s">
        <v>93</v>
      </c>
      <c r="D18" s="36">
        <f>COUNT(Oil_Price_MC_Uniform_1000_Trials)</f>
        <v>1000</v>
      </c>
      <c r="E18" s="36"/>
      <c r="G18" s="41">
        <v>10</v>
      </c>
      <c r="H18" s="42">
        <v>14000</v>
      </c>
      <c r="I18" s="36">
        <v>0</v>
      </c>
      <c r="J18" s="72">
        <f t="shared" si="0"/>
        <v>0</v>
      </c>
      <c r="K18" s="72">
        <f>SUM($J$9:J18)</f>
        <v>1</v>
      </c>
      <c r="AY18" s="35">
        <v>5976.360869540109</v>
      </c>
      <c r="AZ18" s="46">
        <v>-318.58295487851535</v>
      </c>
      <c r="BA18" s="47">
        <v>5826.9734561279283</v>
      </c>
      <c r="BF18" s="22"/>
      <c r="BG18" s="22"/>
    </row>
    <row r="19" spans="2:65" x14ac:dyDescent="0.5">
      <c r="C19" s="50" t="s">
        <v>170</v>
      </c>
      <c r="D19" s="58">
        <f>_xlfn.PERCENTRANK.INC(Oil_Price_MC_Uniform_1000_Trials, 30)</f>
        <v>0.125</v>
      </c>
      <c r="E19" s="36"/>
      <c r="G19" s="41">
        <v>11</v>
      </c>
      <c r="H19" s="48">
        <v>16000</v>
      </c>
      <c r="I19" s="36">
        <v>0</v>
      </c>
      <c r="J19" s="72">
        <f t="shared" si="0"/>
        <v>0</v>
      </c>
      <c r="K19" s="72">
        <f>SUM($J$9:J19)</f>
        <v>1</v>
      </c>
      <c r="AY19" s="35">
        <v>4560.6300093574546</v>
      </c>
      <c r="AZ19" s="46">
        <v>1229.2872526228725</v>
      </c>
      <c r="BA19" s="47">
        <v>1931.2778683403392</v>
      </c>
      <c r="BE19" s="22"/>
      <c r="BF19" s="22"/>
      <c r="BG19" s="22"/>
      <c r="BK19" s="22"/>
      <c r="BL19" s="22"/>
    </row>
    <row r="20" spans="2:65" x14ac:dyDescent="0.5">
      <c r="C20" s="50" t="s">
        <v>171</v>
      </c>
      <c r="D20" s="58">
        <f>_xlfn.PERCENTRANK.EXC(NPV_MC_Uniform_1000_Trials,0)</f>
        <v>0.221</v>
      </c>
      <c r="E20" s="36"/>
      <c r="G20" s="41">
        <v>12</v>
      </c>
      <c r="H20" s="48">
        <v>18000</v>
      </c>
      <c r="I20" s="36">
        <v>0</v>
      </c>
      <c r="J20" s="72">
        <f t="shared" si="0"/>
        <v>0</v>
      </c>
      <c r="K20" s="72">
        <f>SUM($J$9:J20)</f>
        <v>1</v>
      </c>
      <c r="AY20" s="35">
        <v>7651.6962990752354</v>
      </c>
      <c r="AZ20" s="46">
        <v>154.28577534136781</v>
      </c>
      <c r="BA20" s="47">
        <v>7914.2735698026763</v>
      </c>
      <c r="BE20" s="22"/>
      <c r="BF20" s="22"/>
      <c r="BG20" s="22"/>
      <c r="BK20" s="22"/>
      <c r="BL20" s="22"/>
    </row>
    <row r="21" spans="2:65" x14ac:dyDescent="0.5">
      <c r="B21" s="22"/>
      <c r="C21" s="50" t="s">
        <v>92</v>
      </c>
      <c r="D21" s="58">
        <f>SUM(Prob_Loss_MC_Uniform_1000_Trials)/COUNT(Prob_Loss_MC_Uniform_1000_Trials)</f>
        <v>0.221</v>
      </c>
      <c r="E21" s="36"/>
      <c r="G21" s="41">
        <v>13</v>
      </c>
      <c r="H21" s="48">
        <v>20000</v>
      </c>
      <c r="I21" s="36">
        <v>0</v>
      </c>
      <c r="J21" s="72">
        <f t="shared" si="0"/>
        <v>0</v>
      </c>
      <c r="K21" s="72">
        <f>SUM($J$9:J21)</f>
        <v>1</v>
      </c>
      <c r="AY21" s="35">
        <v>6566.1535662699971</v>
      </c>
      <c r="AZ21" s="46">
        <v>-684.04502040579303</v>
      </c>
      <c r="BA21" s="47">
        <v>2315.6616334379773</v>
      </c>
      <c r="BE21" s="22"/>
      <c r="BF21" s="22"/>
      <c r="BG21" s="22"/>
      <c r="BK21" s="22"/>
      <c r="BL21" s="22"/>
    </row>
    <row r="22" spans="2:65" x14ac:dyDescent="0.5">
      <c r="G22" s="41">
        <v>14</v>
      </c>
      <c r="H22" s="48">
        <v>22000</v>
      </c>
      <c r="I22" s="36">
        <v>0</v>
      </c>
      <c r="J22" s="72">
        <f t="shared" si="0"/>
        <v>0</v>
      </c>
      <c r="K22" s="72">
        <f>SUM($J$9:J22)</f>
        <v>1</v>
      </c>
      <c r="AY22" s="35">
        <v>6563.5597847331856</v>
      </c>
      <c r="AZ22" s="46">
        <v>-1771.5876354755771</v>
      </c>
      <c r="BA22" s="47">
        <v>6478.6688952681861</v>
      </c>
      <c r="BE22" s="22"/>
      <c r="BF22" s="22"/>
      <c r="BG22" s="22"/>
      <c r="BK22" s="22"/>
      <c r="BL22" s="22"/>
    </row>
    <row r="23" spans="2:65" x14ac:dyDescent="0.5">
      <c r="G23" s="41">
        <v>15</v>
      </c>
      <c r="H23" s="48">
        <v>24000</v>
      </c>
      <c r="I23" s="36">
        <v>0</v>
      </c>
      <c r="J23" s="72">
        <f t="shared" si="0"/>
        <v>0</v>
      </c>
      <c r="K23" s="72">
        <f>SUM($J$9:J23)</f>
        <v>1</v>
      </c>
      <c r="AY23" s="35">
        <v>6251.8960907765904</v>
      </c>
      <c r="AZ23" s="46">
        <v>-1442.0028974792535</v>
      </c>
      <c r="BA23" s="47">
        <v>1084.7279605441954</v>
      </c>
      <c r="BE23" s="22"/>
      <c r="BF23" s="22"/>
      <c r="BG23" s="22"/>
      <c r="BK23" s="22"/>
      <c r="BL23" s="22"/>
    </row>
    <row r="24" spans="2:65" x14ac:dyDescent="0.5">
      <c r="B24" s="2"/>
      <c r="C24" s="2"/>
      <c r="D24" s="2"/>
      <c r="E24" s="2"/>
      <c r="F24" s="2"/>
      <c r="G24" s="41">
        <v>16</v>
      </c>
      <c r="H24" s="48">
        <v>26000</v>
      </c>
      <c r="I24" s="78">
        <v>0</v>
      </c>
      <c r="J24" s="72">
        <f t="shared" si="0"/>
        <v>0</v>
      </c>
      <c r="K24" s="72">
        <f>SUM($J$9:J24)</f>
        <v>1</v>
      </c>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Y24" s="35">
        <v>598.61540580661267</v>
      </c>
      <c r="AZ24" s="46">
        <v>-92.360486731959384</v>
      </c>
      <c r="BA24" s="47">
        <v>293.57444274205</v>
      </c>
      <c r="BE24" s="22"/>
      <c r="BF24" s="22"/>
      <c r="BG24" s="22"/>
      <c r="BK24" s="22"/>
      <c r="BL24" s="22"/>
    </row>
    <row r="25" spans="2:65" x14ac:dyDescent="0.5">
      <c r="B25" s="2"/>
      <c r="C25" s="2"/>
      <c r="D25" s="2"/>
      <c r="E25" s="2"/>
      <c r="F25" s="2"/>
      <c r="G25" s="7"/>
      <c r="H25" s="7"/>
      <c r="I25" s="7"/>
      <c r="J25" s="7"/>
      <c r="K25" s="7"/>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Y25" s="35">
        <v>-809.82891220149486</v>
      </c>
      <c r="AZ25" s="46">
        <v>2328.2833449883419</v>
      </c>
      <c r="BA25" s="47">
        <v>5706.5593289450781</v>
      </c>
      <c r="BE25" s="22"/>
      <c r="BF25" s="22"/>
      <c r="BG25" s="22"/>
      <c r="BK25" s="22"/>
      <c r="BL25" s="22"/>
    </row>
    <row r="26" spans="2:65" x14ac:dyDescent="0.5">
      <c r="B26" s="2"/>
      <c r="C26" s="2"/>
      <c r="D26" s="2"/>
      <c r="E26" s="2"/>
      <c r="F26" s="2"/>
      <c r="G26" s="2"/>
      <c r="H26" s="2"/>
      <c r="I26" s="2"/>
      <c r="J26" s="15"/>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Y26" s="35">
        <v>-2214.8843392561707</v>
      </c>
      <c r="AZ26" s="46">
        <v>973.32666982717797</v>
      </c>
      <c r="BA26" s="47">
        <v>3245.4180220714916</v>
      </c>
      <c r="BE26" s="22"/>
      <c r="BF26" s="22"/>
      <c r="BG26" s="22"/>
      <c r="BK26" s="22"/>
      <c r="BL26" s="22"/>
    </row>
    <row r="27" spans="2:65" ht="30" x14ac:dyDescent="0.85">
      <c r="B27" s="2"/>
      <c r="C27" s="127" t="s">
        <v>104</v>
      </c>
      <c r="D27" s="127"/>
      <c r="E27" s="127"/>
      <c r="F27" s="127"/>
      <c r="G27" s="127"/>
      <c r="H27" s="127"/>
      <c r="I27" s="127"/>
      <c r="J27" s="127"/>
      <c r="K27" s="127"/>
      <c r="L27" s="127"/>
      <c r="M27" s="127"/>
      <c r="N27" s="127"/>
      <c r="O27" s="127"/>
      <c r="P27" s="127"/>
      <c r="Q27" s="127"/>
      <c r="R27" s="127"/>
      <c r="S27" s="127"/>
      <c r="T27" s="127"/>
      <c r="U27" s="127"/>
      <c r="V27" s="127"/>
      <c r="W27" s="127"/>
      <c r="X27" s="127"/>
      <c r="Y27" s="127"/>
      <c r="Z27" s="127"/>
      <c r="AA27" s="127"/>
      <c r="AB27" s="127"/>
      <c r="AC27" s="127"/>
      <c r="AD27" s="127"/>
      <c r="AE27" s="127"/>
      <c r="AF27" s="127"/>
      <c r="AG27" s="127"/>
      <c r="AH27" s="127"/>
      <c r="AI27" s="127"/>
      <c r="AJ27" s="127"/>
      <c r="AK27" s="127"/>
      <c r="AL27" s="127"/>
      <c r="AY27" s="35">
        <v>564.2049643160733</v>
      </c>
      <c r="AZ27" s="46">
        <v>-2462.9635459203728</v>
      </c>
      <c r="BA27" s="47">
        <v>1532.4840368533974</v>
      </c>
      <c r="BK27" s="2"/>
    </row>
    <row r="28" spans="2:65" x14ac:dyDescent="0.5">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Y28" s="35">
        <v>3074.8587795666949</v>
      </c>
      <c r="AZ28" s="46">
        <v>1933.2253435421326</v>
      </c>
      <c r="BA28" s="47">
        <v>3402.4300218793237</v>
      </c>
      <c r="BJ28" s="2"/>
    </row>
    <row r="29" spans="2:65" x14ac:dyDescent="0.5">
      <c r="B29" s="2"/>
      <c r="C29" s="69" t="s">
        <v>83</v>
      </c>
      <c r="D29" s="69" t="s">
        <v>86</v>
      </c>
      <c r="E29" s="69" t="s">
        <v>87</v>
      </c>
      <c r="F29" s="2"/>
      <c r="G29" s="70" t="s">
        <v>97</v>
      </c>
      <c r="H29" s="71" t="s">
        <v>87</v>
      </c>
      <c r="I29" s="71" t="s">
        <v>94</v>
      </c>
      <c r="J29" s="70" t="s">
        <v>96</v>
      </c>
      <c r="K29" s="70" t="s">
        <v>118</v>
      </c>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Y29" s="35">
        <v>7008.6701296978426</v>
      </c>
      <c r="AZ29" s="46">
        <v>397.81044560856924</v>
      </c>
      <c r="BA29" s="47">
        <v>5968.349746645481</v>
      </c>
      <c r="BJ29" s="2"/>
      <c r="BK29" s="22" t="s">
        <v>141</v>
      </c>
      <c r="BL29" s="22" t="s">
        <v>143</v>
      </c>
      <c r="BM29" s="22"/>
    </row>
    <row r="30" spans="2:65" x14ac:dyDescent="0.5">
      <c r="B30" s="2"/>
      <c r="C30" s="36" t="s">
        <v>88</v>
      </c>
      <c r="D30" s="37">
        <f>AVERAGE(Oil_Price_Nominal_MC_Log_Normal_1000_Trials)</f>
        <v>39.7763539337721</v>
      </c>
      <c r="E30" s="38">
        <f>AVERAGE(NPV_Nominal_Oil_Price_MC_Log_Normal_1000_Trials)</f>
        <v>103.64504021129106</v>
      </c>
      <c r="F30" s="2"/>
      <c r="G30" s="41">
        <v>1</v>
      </c>
      <c r="H30" s="40">
        <v>-4000</v>
      </c>
      <c r="I30" s="36">
        <v>81</v>
      </c>
      <c r="J30" s="72">
        <f>I30/(SUM($I$30:$I$45))</f>
        <v>8.0919080919080913E-2</v>
      </c>
      <c r="K30" s="72">
        <f>SUM($J$30:J30)</f>
        <v>8.0919080919080913E-2</v>
      </c>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Y30" s="35">
        <v>-1045.6848229269774</v>
      </c>
      <c r="AZ30" s="46">
        <v>-4684.3291911990154</v>
      </c>
      <c r="BA30" s="47">
        <v>-371.7021219032286</v>
      </c>
      <c r="BJ30" s="2"/>
      <c r="BK30" s="136" t="s">
        <v>189</v>
      </c>
      <c r="BL30" s="22">
        <v>81</v>
      </c>
      <c r="BM30" s="22"/>
    </row>
    <row r="31" spans="2:65" x14ac:dyDescent="0.5">
      <c r="B31" s="2"/>
      <c r="C31" s="36" t="s">
        <v>89</v>
      </c>
      <c r="D31" s="37">
        <f>MEDIAN(Oil_Price_Nominal_MC_Log_Normal_1000_Trials)</f>
        <v>31.002712492665154</v>
      </c>
      <c r="E31" s="38">
        <f>MEDIAN(NPV_Nominal_Oil_Price_MC_Log_Normal_1000_Trials)</f>
        <v>-789.82791302535247</v>
      </c>
      <c r="F31" s="2"/>
      <c r="G31" s="41">
        <v>2</v>
      </c>
      <c r="H31" s="43">
        <v>-2000</v>
      </c>
      <c r="I31" s="36">
        <v>223</v>
      </c>
      <c r="J31" s="72">
        <f t="shared" ref="J31:J45" si="1">I31/(SUM($I$30:$I$45))</f>
        <v>0.22277722277722278</v>
      </c>
      <c r="K31" s="72">
        <f>SUM($J$30:J31)</f>
        <v>0.30369630369630368</v>
      </c>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Y31" s="35">
        <v>2522.4842910036955</v>
      </c>
      <c r="AZ31" s="46">
        <v>-3061.2914332000414</v>
      </c>
      <c r="BA31" s="47">
        <v>6720.9368200823283</v>
      </c>
      <c r="BJ31" s="2"/>
      <c r="BK31" s="136" t="s">
        <v>183</v>
      </c>
      <c r="BL31" s="22">
        <v>223</v>
      </c>
      <c r="BM31" s="22"/>
    </row>
    <row r="32" spans="2:65" x14ac:dyDescent="0.5">
      <c r="B32" s="2"/>
      <c r="C32" s="36" t="s">
        <v>206</v>
      </c>
      <c r="D32" s="37">
        <f>_xlfn.PERCENTILE.INC(Oil_Price_Nominal_MC_Log_Normal_1000_Trials,0.95)</f>
        <v>100.78982749446031</v>
      </c>
      <c r="E32" s="38">
        <f>_xlfn.PERCENTILE.INC(NPV_Nominal_Oil_Price_MC_Log_Normal_1000_Trials,0.99)</f>
        <v>13228.741580441592</v>
      </c>
      <c r="F32" s="2"/>
      <c r="G32" s="41">
        <v>3</v>
      </c>
      <c r="H32" s="42">
        <v>0</v>
      </c>
      <c r="I32" s="36">
        <v>300</v>
      </c>
      <c r="J32" s="72">
        <f t="shared" si="1"/>
        <v>0.29970029970029971</v>
      </c>
      <c r="K32" s="72">
        <f>SUM($J$30:J32)</f>
        <v>0.60339660339660339</v>
      </c>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Y32" s="35">
        <v>-1505.4121027789131</v>
      </c>
      <c r="AZ32" s="46">
        <v>4779.6980256773677</v>
      </c>
      <c r="BA32" s="47">
        <v>3733.242763957317</v>
      </c>
      <c r="BJ32" s="2"/>
      <c r="BK32" s="136" t="s">
        <v>184</v>
      </c>
      <c r="BL32" s="22">
        <v>300</v>
      </c>
      <c r="BM32" s="22"/>
    </row>
    <row r="33" spans="2:65" x14ac:dyDescent="0.5">
      <c r="B33" s="2"/>
      <c r="C33" s="36" t="s">
        <v>199</v>
      </c>
      <c r="D33" s="37">
        <f>_xlfn.PERCENTILE.INC(Oil_Price_Nominal_MC_Log_Normal_1000_Trials,0.75)</f>
        <v>49.90075660580834</v>
      </c>
      <c r="E33" s="38">
        <f>_xlfn.PERCENTILE.INC(NPV_Nominal_Oil_Price_MC_Log_Normal_1000_Trials,0.75)</f>
        <v>1608.3800847183836</v>
      </c>
      <c r="F33" s="2"/>
      <c r="G33" s="41">
        <v>4</v>
      </c>
      <c r="H33" s="42">
        <v>2000</v>
      </c>
      <c r="I33" s="36">
        <v>165</v>
      </c>
      <c r="J33" s="72">
        <f t="shared" si="1"/>
        <v>0.16483516483516483</v>
      </c>
      <c r="K33" s="72">
        <f>SUM($J$30:J33)</f>
        <v>0.7682317682317682</v>
      </c>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Y33" s="35">
        <v>1353.3855603550439</v>
      </c>
      <c r="AZ33" s="46">
        <v>4464.3569916672368</v>
      </c>
      <c r="BA33" s="47">
        <v>-2353.7411652801497</v>
      </c>
      <c r="BJ33" s="2"/>
      <c r="BK33" s="136" t="s">
        <v>185</v>
      </c>
      <c r="BL33" s="22">
        <v>165</v>
      </c>
      <c r="BM33" s="22"/>
    </row>
    <row r="34" spans="2:65" x14ac:dyDescent="0.5">
      <c r="B34" s="2"/>
      <c r="C34" s="36" t="s">
        <v>200</v>
      </c>
      <c r="D34" s="37">
        <f>_xlfn.PERCENTILE.INC(Oil_Price_Nominal_MC_Log_Normal_1000_Trials,0.25)</f>
        <v>20.123273030829697</v>
      </c>
      <c r="E34" s="38">
        <f>_xlfn.PERCENTILE.INC(NPV_Nominal_Oil_Price_MC_Log_Normal_1000_Trials,0.25)</f>
        <v>-2470.7195470962679</v>
      </c>
      <c r="F34" s="2"/>
      <c r="G34" s="41">
        <v>5</v>
      </c>
      <c r="H34" s="42">
        <v>4000</v>
      </c>
      <c r="I34" s="36">
        <v>103</v>
      </c>
      <c r="J34" s="72">
        <f t="shared" si="1"/>
        <v>0.1028971028971029</v>
      </c>
      <c r="K34" s="72">
        <f>SUM($J$30:J34)</f>
        <v>0.87112887112887105</v>
      </c>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Y34" s="35">
        <v>3321.9766474297694</v>
      </c>
      <c r="AZ34" s="46">
        <v>-1315.9389786006179</v>
      </c>
      <c r="BA34" s="47">
        <v>2969.3432129897005</v>
      </c>
      <c r="BJ34" s="2"/>
      <c r="BK34" s="136" t="s">
        <v>186</v>
      </c>
      <c r="BL34" s="22">
        <v>103</v>
      </c>
      <c r="BM34" s="22"/>
    </row>
    <row r="35" spans="2:65" x14ac:dyDescent="0.5">
      <c r="B35" s="2"/>
      <c r="C35" s="36" t="s">
        <v>205</v>
      </c>
      <c r="D35" s="37">
        <f>_xlfn.PERCENTILE.INC(Oil_Price_Nominal_MC_Log_Normal_1000_Trials,0.01)</f>
        <v>6.0582108405887718</v>
      </c>
      <c r="E35" s="38">
        <f>_xlfn.PERCENTILE.INC(NPV_Nominal_Oil_Price_MC_Log_Normal_1000_Trials,0.01)</f>
        <v>-5105.7187816905898</v>
      </c>
      <c r="F35" s="2"/>
      <c r="G35" s="41">
        <v>6</v>
      </c>
      <c r="H35" s="42">
        <v>6000</v>
      </c>
      <c r="I35" s="36">
        <v>53</v>
      </c>
      <c r="J35" s="72">
        <f t="shared" si="1"/>
        <v>5.2947052947052944E-2</v>
      </c>
      <c r="K35" s="72">
        <f>SUM($J$30:J35)</f>
        <v>0.92407592407592398</v>
      </c>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Y35" s="35">
        <v>1730.2529755822225</v>
      </c>
      <c r="AZ35" s="46">
        <v>-2164.2515149321662</v>
      </c>
      <c r="BA35" s="47">
        <v>1818.4994725597048</v>
      </c>
      <c r="BJ35" s="2"/>
      <c r="BK35" s="136" t="s">
        <v>187</v>
      </c>
      <c r="BL35" s="22">
        <v>53</v>
      </c>
      <c r="BM35" s="22"/>
    </row>
    <row r="36" spans="2:65" x14ac:dyDescent="0.5">
      <c r="B36" s="2"/>
      <c r="C36" s="36" t="s">
        <v>90</v>
      </c>
      <c r="D36" s="37">
        <f>MAX(Oil_Price_Nominal_MC_Log_Normal_1000_Trials)</f>
        <v>211.06203533372573</v>
      </c>
      <c r="E36" s="38">
        <f>MAX(NPV_Nominal_Oil_Price_MC_Log_Normal_1000_Trials)</f>
        <v>21308.189605834334</v>
      </c>
      <c r="F36" s="2"/>
      <c r="G36" s="41">
        <v>7</v>
      </c>
      <c r="H36" s="42">
        <v>8000</v>
      </c>
      <c r="I36" s="36">
        <v>28</v>
      </c>
      <c r="J36" s="72">
        <f t="shared" si="1"/>
        <v>2.7972027972027972E-2</v>
      </c>
      <c r="K36" s="72">
        <f>SUM($J$30:J36)</f>
        <v>0.95204795204795201</v>
      </c>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Y36" s="35">
        <v>5068.9751170980544</v>
      </c>
      <c r="AZ36" s="46">
        <v>-159.62092302593635</v>
      </c>
      <c r="BA36" s="47">
        <v>157.69965902284792</v>
      </c>
      <c r="BJ36" s="2"/>
      <c r="BK36" s="136" t="s">
        <v>188</v>
      </c>
      <c r="BL36" s="22">
        <v>28</v>
      </c>
      <c r="BM36" s="22"/>
    </row>
    <row r="37" spans="2:65" x14ac:dyDescent="0.5">
      <c r="B37" s="2"/>
      <c r="C37" s="36" t="s">
        <v>91</v>
      </c>
      <c r="D37" s="37">
        <f>MIN(Oil_Price_Nominal_MC_Log_Normal_1000_Trials)</f>
        <v>4.1522308128895284</v>
      </c>
      <c r="E37" s="38">
        <f>MIN(NPV_Nominal_Oil_Price_MC_Log_Normal_1000_Trials)</f>
        <v>-5462.7919212337811</v>
      </c>
      <c r="F37" s="2"/>
      <c r="G37" s="41">
        <v>8</v>
      </c>
      <c r="H37" s="42">
        <v>10000</v>
      </c>
      <c r="I37" s="36">
        <v>19</v>
      </c>
      <c r="J37" s="72">
        <f t="shared" si="1"/>
        <v>1.898101898101898E-2</v>
      </c>
      <c r="K37" s="72">
        <f>SUM($J$30:J37)</f>
        <v>0.97102897102897101</v>
      </c>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Y37" s="35">
        <v>4911.5151806588074</v>
      </c>
      <c r="AZ37" s="46">
        <v>2998.0395431019356</v>
      </c>
      <c r="BA37" s="47">
        <v>4138.0849575111461</v>
      </c>
      <c r="BJ37" s="2"/>
      <c r="BK37" s="136" t="s">
        <v>190</v>
      </c>
      <c r="BL37" s="22">
        <v>19</v>
      </c>
      <c r="BM37" s="22"/>
    </row>
    <row r="38" spans="2:65" x14ac:dyDescent="0.5">
      <c r="B38" s="2"/>
      <c r="C38" s="36"/>
      <c r="D38" s="36"/>
      <c r="E38" s="36"/>
      <c r="F38" s="2"/>
      <c r="G38" s="41">
        <v>9</v>
      </c>
      <c r="H38" s="42">
        <v>12000</v>
      </c>
      <c r="I38" s="36">
        <v>9</v>
      </c>
      <c r="J38" s="72">
        <f t="shared" si="1"/>
        <v>8.9910089910089919E-3</v>
      </c>
      <c r="K38" s="72">
        <f>SUM($J$30:J38)</f>
        <v>0.98001998001998003</v>
      </c>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Y38" s="35">
        <v>1002.0064191564957</v>
      </c>
      <c r="AZ38" s="46">
        <v>3063.0381225738151</v>
      </c>
      <c r="BA38" s="47">
        <v>814.7559686355138</v>
      </c>
      <c r="BJ38" s="2"/>
      <c r="BK38" s="136" t="s">
        <v>191</v>
      </c>
      <c r="BL38" s="22">
        <v>9</v>
      </c>
      <c r="BM38" s="22"/>
    </row>
    <row r="39" spans="2:65" x14ac:dyDescent="0.5">
      <c r="B39" s="2"/>
      <c r="C39" s="36" t="s">
        <v>93</v>
      </c>
      <c r="D39" s="36">
        <f>COUNT(Oil_Price_Nominal_MC_Log_Normal_1000_Trials)</f>
        <v>1000</v>
      </c>
      <c r="E39" s="36"/>
      <c r="F39" s="2"/>
      <c r="G39" s="41">
        <v>10</v>
      </c>
      <c r="H39" s="42">
        <v>14000</v>
      </c>
      <c r="I39" s="36">
        <v>11</v>
      </c>
      <c r="J39" s="72">
        <f t="shared" si="1"/>
        <v>1.098901098901099E-2</v>
      </c>
      <c r="K39" s="72">
        <f>SUM($J$30:J39)</f>
        <v>0.99100899100899098</v>
      </c>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Y39" s="35">
        <v>593.35395741319701</v>
      </c>
      <c r="AZ39" s="46">
        <v>-1371.6513051922686</v>
      </c>
      <c r="BA39" s="47">
        <v>1602.374213930831</v>
      </c>
      <c r="BJ39" s="2"/>
      <c r="BK39" s="136" t="s">
        <v>192</v>
      </c>
      <c r="BL39" s="22">
        <v>11</v>
      </c>
      <c r="BM39" s="22"/>
    </row>
    <row r="40" spans="2:65" x14ac:dyDescent="0.5">
      <c r="B40" s="2"/>
      <c r="C40" s="36" t="s">
        <v>170</v>
      </c>
      <c r="D40" s="58">
        <f>_xlfn.PERCENTRANK.INC(Oil_Price_Nominal_MC_Log_Normal_1000_Trials, 30)</f>
        <v>0.47499999999999998</v>
      </c>
      <c r="E40" s="36"/>
      <c r="F40" s="2"/>
      <c r="G40" s="41">
        <v>11</v>
      </c>
      <c r="H40" s="48">
        <v>16000</v>
      </c>
      <c r="I40" s="36">
        <v>4</v>
      </c>
      <c r="J40" s="72">
        <f t="shared" si="1"/>
        <v>3.996003996003996E-3</v>
      </c>
      <c r="K40" s="72">
        <f>SUM($J$30:J40)</f>
        <v>0.99500499500499495</v>
      </c>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Y40" s="35">
        <v>6290.4322911903573</v>
      </c>
      <c r="AZ40" s="46">
        <v>-1477.8864502389611</v>
      </c>
      <c r="BA40" s="47">
        <v>3703.5556826576931</v>
      </c>
      <c r="BJ40" s="2"/>
      <c r="BK40" s="136" t="s">
        <v>193</v>
      </c>
      <c r="BL40" s="22">
        <v>4</v>
      </c>
      <c r="BM40" s="22"/>
    </row>
    <row r="41" spans="2:65" x14ac:dyDescent="0.5">
      <c r="B41" s="2"/>
      <c r="C41" s="36" t="s">
        <v>171</v>
      </c>
      <c r="D41" s="58">
        <f>_xlfn.PERCENTRANK.EXC(NPV_Nominal_Oil_Price_MC_Log_Normal_1000_Trials,0)</f>
        <v>0.60299999999999998</v>
      </c>
      <c r="E41" s="36"/>
      <c r="F41" s="2"/>
      <c r="G41" s="41">
        <v>12</v>
      </c>
      <c r="H41" s="48">
        <v>18000</v>
      </c>
      <c r="I41" s="36">
        <v>1</v>
      </c>
      <c r="J41" s="72">
        <f t="shared" si="1"/>
        <v>9.99000999000999E-4</v>
      </c>
      <c r="K41" s="72">
        <f>SUM($J$30:J41)</f>
        <v>0.99600399600399592</v>
      </c>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Y41" s="35">
        <v>4450.8870262304354</v>
      </c>
      <c r="AZ41" s="46">
        <v>648.39083262318456</v>
      </c>
      <c r="BA41" s="47">
        <v>6023.6906651383733</v>
      </c>
      <c r="BJ41" s="2"/>
      <c r="BK41" s="136" t="s">
        <v>194</v>
      </c>
      <c r="BL41" s="22">
        <v>1</v>
      </c>
      <c r="BM41" s="22"/>
    </row>
    <row r="42" spans="2:65" x14ac:dyDescent="0.5">
      <c r="B42" s="2"/>
      <c r="C42" s="36" t="s">
        <v>92</v>
      </c>
      <c r="D42" s="58">
        <f>SUM(Prob_Loss_MC_Nominal_Log_Normal_1000_Trials)/COUNT(Prob_Loss_MC_Nominal_Log_Normal_1000_Trials)</f>
        <v>0.60399999999999998</v>
      </c>
      <c r="E42" s="36"/>
      <c r="F42" s="2"/>
      <c r="G42" s="41">
        <v>13</v>
      </c>
      <c r="H42" s="48">
        <v>20000</v>
      </c>
      <c r="I42" s="36">
        <v>4</v>
      </c>
      <c r="J42" s="72">
        <f t="shared" si="1"/>
        <v>3.996003996003996E-3</v>
      </c>
      <c r="K42" s="72">
        <f>SUM($J$30:J42)</f>
        <v>0.99999999999999989</v>
      </c>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Y42" s="35">
        <v>5372.9901833572985</v>
      </c>
      <c r="AZ42" s="46">
        <v>-807.91876188212541</v>
      </c>
      <c r="BA42" s="47">
        <v>147.4576429609121</v>
      </c>
      <c r="BJ42" s="2"/>
      <c r="BK42" s="136" t="s">
        <v>195</v>
      </c>
      <c r="BL42" s="22">
        <v>4</v>
      </c>
      <c r="BM42" s="22"/>
    </row>
    <row r="43" spans="2:65" x14ac:dyDescent="0.5">
      <c r="B43" s="2"/>
      <c r="C43" s="2"/>
      <c r="D43" s="2"/>
      <c r="E43" s="2"/>
      <c r="F43" s="2"/>
      <c r="G43" s="41">
        <v>14</v>
      </c>
      <c r="H43" s="48">
        <v>22000</v>
      </c>
      <c r="I43" s="36">
        <v>0</v>
      </c>
      <c r="J43" s="72">
        <f t="shared" si="1"/>
        <v>0</v>
      </c>
      <c r="K43" s="72">
        <f>SUM($J$30:J43)</f>
        <v>0.99999999999999989</v>
      </c>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Y43" s="35">
        <v>-2139.7129873354943</v>
      </c>
      <c r="AZ43" s="46">
        <v>-3282.0484085069656</v>
      </c>
      <c r="BA43" s="47">
        <v>4664.9031690561742</v>
      </c>
      <c r="BJ43" s="2"/>
      <c r="BK43" s="136" t="s">
        <v>142</v>
      </c>
      <c r="BL43" s="22">
        <v>1001</v>
      </c>
      <c r="BM43" s="22"/>
    </row>
    <row r="44" spans="2:65" x14ac:dyDescent="0.5">
      <c r="B44" s="2"/>
      <c r="C44" s="2"/>
      <c r="D44" s="2"/>
      <c r="E44" s="2"/>
      <c r="F44" s="2"/>
      <c r="G44" s="41">
        <v>15</v>
      </c>
      <c r="H44" s="48">
        <v>24000</v>
      </c>
      <c r="I44" s="36">
        <v>0</v>
      </c>
      <c r="J44" s="72">
        <f t="shared" si="1"/>
        <v>0</v>
      </c>
      <c r="K44" s="72">
        <f>SUM($J$30:J44)</f>
        <v>0.99999999999999989</v>
      </c>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Y44" s="35">
        <v>4883.7555480027822</v>
      </c>
      <c r="AZ44" s="46">
        <v>-2477.1217399895904</v>
      </c>
      <c r="BA44" s="47">
        <v>-477.4656710503013</v>
      </c>
      <c r="BJ44" s="2"/>
      <c r="BK44" s="22"/>
      <c r="BL44" s="22"/>
      <c r="BM44" s="22"/>
    </row>
    <row r="45" spans="2:65" x14ac:dyDescent="0.5">
      <c r="B45" s="2"/>
      <c r="C45" s="2"/>
      <c r="D45" s="2"/>
      <c r="E45" s="2"/>
      <c r="F45" s="2"/>
      <c r="G45" s="41">
        <v>16</v>
      </c>
      <c r="H45" s="48">
        <v>26000</v>
      </c>
      <c r="I45" s="78">
        <v>0</v>
      </c>
      <c r="J45" s="72">
        <f t="shared" si="1"/>
        <v>0</v>
      </c>
      <c r="K45" s="72">
        <f>SUM($J$30:J45)</f>
        <v>0.99999999999999989</v>
      </c>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W45"/>
      <c r="AY45" s="35">
        <v>6987.5519377935716</v>
      </c>
      <c r="AZ45" s="46">
        <v>190.8206317689847</v>
      </c>
      <c r="BA45" s="47">
        <v>4569.0819264215033</v>
      </c>
      <c r="BK45" s="2"/>
      <c r="BL45" s="22"/>
      <c r="BM45" s="22"/>
    </row>
    <row r="46" spans="2:65" x14ac:dyDescent="0.5">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W46"/>
      <c r="AY46" s="35">
        <v>510.03198979701716</v>
      </c>
      <c r="AZ46" s="46">
        <v>6155.0871233625321</v>
      </c>
      <c r="BA46" s="47">
        <v>580.33801116892869</v>
      </c>
      <c r="BK46" s="2"/>
      <c r="BL46" s="22"/>
      <c r="BM46" s="22"/>
    </row>
    <row r="47" spans="2:65" x14ac:dyDescent="0.5">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Y47" s="35">
        <v>4891.4701169269783</v>
      </c>
      <c r="AZ47" s="46">
        <v>-2161.1469963682835</v>
      </c>
      <c r="BA47" s="47">
        <v>11702.367145642691</v>
      </c>
      <c r="BK47" s="2"/>
      <c r="BL47" s="22"/>
      <c r="BM47" s="22"/>
    </row>
    <row r="48" spans="2:65" x14ac:dyDescent="0.5">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Y48" s="35">
        <v>5008.3627909572451</v>
      </c>
      <c r="AZ48" s="46">
        <v>-2847.4811403231733</v>
      </c>
      <c r="BA48" s="47">
        <v>5120.5286301972301</v>
      </c>
      <c r="BK48" s="22"/>
      <c r="BL48" s="22"/>
      <c r="BM48" s="22"/>
    </row>
    <row r="49" spans="2:65" ht="30" x14ac:dyDescent="0.85">
      <c r="B49" s="2"/>
      <c r="C49" s="127" t="s">
        <v>156</v>
      </c>
      <c r="D49" s="127"/>
      <c r="E49" s="127"/>
      <c r="F49" s="127"/>
      <c r="G49" s="127"/>
      <c r="H49" s="127"/>
      <c r="I49" s="127"/>
      <c r="J49" s="127"/>
      <c r="K49" s="127"/>
      <c r="L49" s="127"/>
      <c r="M49" s="127"/>
      <c r="N49" s="127"/>
      <c r="O49" s="127"/>
      <c r="P49" s="127"/>
      <c r="Q49" s="127"/>
      <c r="R49" s="127"/>
      <c r="S49" s="127"/>
      <c r="T49" s="127"/>
      <c r="U49" s="127"/>
      <c r="V49" s="127"/>
      <c r="W49" s="127"/>
      <c r="X49" s="127"/>
      <c r="Y49" s="127"/>
      <c r="Z49" s="127"/>
      <c r="AA49" s="127"/>
      <c r="AB49" s="127"/>
      <c r="AC49" s="127"/>
      <c r="AD49" s="127"/>
      <c r="AE49" s="127"/>
      <c r="AF49" s="127"/>
      <c r="AG49" s="127"/>
      <c r="AH49" s="127"/>
      <c r="AI49" s="127"/>
      <c r="AJ49" s="127"/>
      <c r="AK49" s="127"/>
      <c r="AL49" s="127"/>
      <c r="AM49" s="2"/>
      <c r="AY49" s="35">
        <v>82.879140744059427</v>
      </c>
      <c r="AZ49" s="46">
        <v>1689.8654565423321</v>
      </c>
      <c r="BA49" s="47">
        <v>4318.737143512004</v>
      </c>
      <c r="BK49" s="22"/>
      <c r="BL49" s="22"/>
      <c r="BM49" s="22"/>
    </row>
    <row r="50" spans="2:65" x14ac:dyDescent="0.5">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Y50" s="35">
        <v>2940.6027798840578</v>
      </c>
      <c r="AZ50" s="46">
        <v>-2685.2215705636409</v>
      </c>
      <c r="BA50" s="47">
        <v>316.28889581195386</v>
      </c>
      <c r="BK50" s="22"/>
      <c r="BL50" s="22"/>
      <c r="BM50" s="22"/>
    </row>
    <row r="51" spans="2:65" x14ac:dyDescent="0.5">
      <c r="B51" s="2"/>
      <c r="C51" s="69" t="s">
        <v>83</v>
      </c>
      <c r="D51" s="69" t="s">
        <v>86</v>
      </c>
      <c r="E51" s="69" t="s">
        <v>87</v>
      </c>
      <c r="F51" s="2"/>
      <c r="G51" s="70" t="s">
        <v>97</v>
      </c>
      <c r="H51" s="71" t="s">
        <v>87</v>
      </c>
      <c r="I51" s="71" t="s">
        <v>94</v>
      </c>
      <c r="J51" s="70" t="s">
        <v>96</v>
      </c>
      <c r="K51" s="70" t="s">
        <v>118</v>
      </c>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Y51" s="35">
        <v>7724.7342445270733</v>
      </c>
      <c r="AZ51" s="46">
        <v>796.51160115433083</v>
      </c>
      <c r="BA51" s="47">
        <v>10666.770544457429</v>
      </c>
      <c r="BG51" s="22" t="s">
        <v>141</v>
      </c>
      <c r="BH51" s="22" t="s">
        <v>143</v>
      </c>
      <c r="BI51" s="22"/>
      <c r="BK51" s="22"/>
      <c r="BL51" s="22"/>
      <c r="BM51" s="22"/>
    </row>
    <row r="52" spans="2:65" x14ac:dyDescent="0.5">
      <c r="B52" s="2"/>
      <c r="C52" s="36" t="s">
        <v>88</v>
      </c>
      <c r="D52" s="37">
        <f>AVERAGE(Oil_Price_Inflation_Adjusted_MC_Log_Normal_1000_Trials)</f>
        <v>71.614443993040481</v>
      </c>
      <c r="E52" s="38">
        <f>AVERAGE(NPV_Inflation_Adjusted_Oil_Price_MC_Log_Normal_1000_Trials)</f>
        <v>4254.9597438363853</v>
      </c>
      <c r="F52" s="2"/>
      <c r="G52" s="41">
        <v>1</v>
      </c>
      <c r="H52" s="40">
        <v>-4000</v>
      </c>
      <c r="I52" s="36">
        <v>0</v>
      </c>
      <c r="J52" s="72">
        <f>I52/(SUM($I$52:$I$67))</f>
        <v>0</v>
      </c>
      <c r="K52" s="72">
        <f>SUM($J$52:J52)</f>
        <v>0</v>
      </c>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Y52" s="35">
        <v>2460.1104926164139</v>
      </c>
      <c r="AZ52" s="46">
        <v>6404.0062147231065</v>
      </c>
      <c r="BA52" s="47">
        <v>1518.6331074387169</v>
      </c>
      <c r="BG52" s="136" t="s">
        <v>183</v>
      </c>
      <c r="BH52" s="22">
        <v>16</v>
      </c>
      <c r="BI52" s="22"/>
      <c r="BK52" s="22"/>
      <c r="BL52" s="22"/>
      <c r="BM52" s="22"/>
    </row>
    <row r="53" spans="2:65" x14ac:dyDescent="0.5">
      <c r="B53" s="2"/>
      <c r="C53" s="36" t="s">
        <v>89</v>
      </c>
      <c r="D53" s="37">
        <f>MEDIAN(Oil_Price_Inflation_Adjusted_MC_Log_Normal_1000_Trials)</f>
        <v>64.561364327169656</v>
      </c>
      <c r="E53" s="38">
        <f>MEDIAN(NPV_Inflation_Adjusted_Oil_Price_MC_Log_Normal_1000_Trials)</f>
        <v>3417.399942051436</v>
      </c>
      <c r="F53" s="2"/>
      <c r="G53" s="41">
        <v>2</v>
      </c>
      <c r="H53" s="43">
        <v>-2000</v>
      </c>
      <c r="I53" s="36">
        <v>16</v>
      </c>
      <c r="J53" s="72">
        <f t="shared" ref="J53:J67" si="2">I53/(SUM($I$52:$I$67))</f>
        <v>1.5984015984015984E-2</v>
      </c>
      <c r="K53" s="72">
        <f>SUM($J$52:J53)</f>
        <v>1.5984015984015984E-2</v>
      </c>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Y53" s="35">
        <v>2026.6315398242118</v>
      </c>
      <c r="AZ53" s="46">
        <v>-3237.441781695908</v>
      </c>
      <c r="BA53" s="47">
        <v>3917.2559775817549</v>
      </c>
      <c r="BG53" s="136" t="s">
        <v>184</v>
      </c>
      <c r="BH53" s="22">
        <v>110</v>
      </c>
      <c r="BI53" s="22"/>
      <c r="BK53" s="22"/>
      <c r="BL53" s="22"/>
      <c r="BM53" s="22"/>
    </row>
    <row r="54" spans="2:65" x14ac:dyDescent="0.5">
      <c r="B54" s="2"/>
      <c r="C54" s="36" t="s">
        <v>206</v>
      </c>
      <c r="D54" s="37">
        <f>_xlfn.PERCENTILE.INC(Oil_Price_Inflation_Adjusted_MC_Log_Normal_1000_Trials,0.99)</f>
        <v>192.41908063532253</v>
      </c>
      <c r="E54" s="38">
        <f>_xlfn.PERCENTILE.INC(NPV_Inflation_Adjusted_Oil_Price_MC_Log_Normal_1000_Trials,0.99)</f>
        <v>19037.282635845884</v>
      </c>
      <c r="F54" s="2"/>
      <c r="G54" s="41">
        <v>3</v>
      </c>
      <c r="H54" s="42">
        <v>0</v>
      </c>
      <c r="I54" s="36">
        <v>110</v>
      </c>
      <c r="J54" s="72">
        <f t="shared" si="2"/>
        <v>0.10989010989010989</v>
      </c>
      <c r="K54" s="72">
        <f>SUM($J$52:J54)</f>
        <v>0.12587412587412589</v>
      </c>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Y54" s="35">
        <v>1218.6738412486386</v>
      </c>
      <c r="AZ54" s="46">
        <v>1512.4567921509592</v>
      </c>
      <c r="BA54" s="47">
        <v>1316.3221171048597</v>
      </c>
      <c r="BG54" s="136" t="s">
        <v>185</v>
      </c>
      <c r="BH54" s="22">
        <v>223</v>
      </c>
      <c r="BI54" s="22"/>
      <c r="BK54" s="22"/>
      <c r="BL54" s="22"/>
      <c r="BM54" s="22"/>
    </row>
    <row r="55" spans="2:65" x14ac:dyDescent="0.5">
      <c r="B55" s="2"/>
      <c r="C55" s="36" t="s">
        <v>199</v>
      </c>
      <c r="D55" s="37">
        <f>_xlfn.PERCENTILE.INC(Oil_Price_Inflation_Adjusted_MC_Log_Normal_1000_Trials,0.75)</f>
        <v>88.626283417366949</v>
      </c>
      <c r="E55" s="38">
        <f>_xlfn.PERCENTILE.INC(NPV_Inflation_Adjusted_Oil_Price_MC_Log_Normal_1000_Trials,0.75)</f>
        <v>6364.4203071147376</v>
      </c>
      <c r="F55" s="2"/>
      <c r="G55" s="41">
        <v>4</v>
      </c>
      <c r="H55" s="42">
        <v>2000</v>
      </c>
      <c r="I55" s="36">
        <v>223</v>
      </c>
      <c r="J55" s="72">
        <f t="shared" si="2"/>
        <v>0.22277722277722278</v>
      </c>
      <c r="K55" s="72">
        <f>SUM($J$52:J55)</f>
        <v>0.34865134865134867</v>
      </c>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Y55" s="35">
        <v>5192.8140335611497</v>
      </c>
      <c r="AZ55" s="46">
        <v>8529.9055096177417</v>
      </c>
      <c r="BA55" s="47">
        <v>4567.2750758156535</v>
      </c>
      <c r="BG55" s="136" t="s">
        <v>186</v>
      </c>
      <c r="BH55" s="22">
        <v>208</v>
      </c>
      <c r="BI55" s="22"/>
      <c r="BK55" s="22"/>
      <c r="BL55" s="22"/>
      <c r="BM55" s="22"/>
    </row>
    <row r="56" spans="2:65" x14ac:dyDescent="0.5">
      <c r="B56" s="2"/>
      <c r="C56" s="36" t="s">
        <v>200</v>
      </c>
      <c r="D56" s="37">
        <f>_xlfn.PERCENTILE.INC(Oil_Price_Inflation_Adjusted_MC_Log_Normal_1000_Trials,0.25)</f>
        <v>45.745487860827652</v>
      </c>
      <c r="E56" s="38">
        <f>_xlfn.PERCENTILE.INC(NPV_Inflation_Adjusted_Oil_Price_MC_Log_Normal_1000_Trials,0.25)</f>
        <v>1089.1773931922039</v>
      </c>
      <c r="F56" s="2"/>
      <c r="G56" s="41">
        <v>5</v>
      </c>
      <c r="H56" s="42">
        <v>4000</v>
      </c>
      <c r="I56" s="36">
        <v>208</v>
      </c>
      <c r="J56" s="72">
        <f t="shared" si="2"/>
        <v>0.20779220779220781</v>
      </c>
      <c r="K56" s="72">
        <f>SUM($J$52:J56)</f>
        <v>0.55644355644355648</v>
      </c>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Y56" s="35">
        <v>7685.9187688427901</v>
      </c>
      <c r="AZ56" s="46">
        <v>-894.47724314083666</v>
      </c>
      <c r="BA56" s="47">
        <v>-2709.0430250727704</v>
      </c>
      <c r="BG56" s="136" t="s">
        <v>187</v>
      </c>
      <c r="BH56" s="22">
        <v>173</v>
      </c>
      <c r="BI56" s="22"/>
      <c r="BK56" s="22"/>
      <c r="BL56" s="22"/>
      <c r="BM56" s="22"/>
    </row>
    <row r="57" spans="2:65" x14ac:dyDescent="0.5">
      <c r="B57" s="2"/>
      <c r="C57" s="36" t="s">
        <v>205</v>
      </c>
      <c r="D57" s="37">
        <f>_xlfn.PERCENTILE.INC(Oil_Price_Inflation_Adjusted_MC_Log_Normal_1000_Trials,0.01)</f>
        <v>21.962905188037457</v>
      </c>
      <c r="E57" s="38">
        <f>_xlfn.PERCENTILE.INC(NPV_Inflation_Adjusted_Oil_Price_MC_Log_Normal_1000_Trials,0.01)</f>
        <v>-2126.0762557540552</v>
      </c>
      <c r="F57" s="2"/>
      <c r="G57" s="41">
        <v>6</v>
      </c>
      <c r="H57" s="42">
        <v>6000</v>
      </c>
      <c r="I57" s="36">
        <v>173</v>
      </c>
      <c r="J57" s="72">
        <f t="shared" si="2"/>
        <v>0.17282717282717283</v>
      </c>
      <c r="K57" s="72">
        <f>SUM($J$52:J57)</f>
        <v>0.72927072927072933</v>
      </c>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Y57" s="35">
        <v>4799.4130965861586</v>
      </c>
      <c r="AZ57" s="46">
        <v>7929.1554181158172</v>
      </c>
      <c r="BA57" s="47">
        <v>-504.69608025334463</v>
      </c>
      <c r="BG57" s="136" t="s">
        <v>188</v>
      </c>
      <c r="BH57" s="22">
        <v>108</v>
      </c>
      <c r="BI57" s="22"/>
      <c r="BK57" s="22"/>
      <c r="BL57" s="22"/>
      <c r="BM57" s="22"/>
    </row>
    <row r="58" spans="2:65" x14ac:dyDescent="0.5">
      <c r="B58" s="2"/>
      <c r="C58" s="36" t="s">
        <v>90</v>
      </c>
      <c r="D58" s="37">
        <f>MAX(Oil_Price_Inflation_Adjusted_MC_Log_Normal_1000_Trials)</f>
        <v>245.28841756725049</v>
      </c>
      <c r="E58" s="38">
        <f>MAX(NPV_Inflation_Adjusted_Oil_Price_MC_Log_Normal_1000_Trials)</f>
        <v>25477.321121143839</v>
      </c>
      <c r="F58" s="2"/>
      <c r="G58" s="41">
        <v>7</v>
      </c>
      <c r="H58" s="42">
        <v>8000</v>
      </c>
      <c r="I58" s="36">
        <v>108</v>
      </c>
      <c r="J58" s="72">
        <f t="shared" si="2"/>
        <v>0.10789210789210789</v>
      </c>
      <c r="K58" s="72">
        <f>SUM($J$52:J58)</f>
        <v>0.83716283716283724</v>
      </c>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Y58" s="35">
        <v>-2399.1519912373587</v>
      </c>
      <c r="AZ58" s="46">
        <v>6694.60627554863</v>
      </c>
      <c r="BA58" s="47">
        <v>3956.5868011087473</v>
      </c>
      <c r="BG58" s="136" t="s">
        <v>190</v>
      </c>
      <c r="BH58" s="22">
        <v>64</v>
      </c>
      <c r="BI58" s="22"/>
      <c r="BK58" s="22"/>
      <c r="BL58" s="22"/>
      <c r="BM58" s="22"/>
    </row>
    <row r="59" spans="2:65" x14ac:dyDescent="0.5">
      <c r="B59" s="2"/>
      <c r="C59" s="36" t="s">
        <v>91</v>
      </c>
      <c r="D59" s="37">
        <f>MIN(Oil_Price_Inflation_Adjusted_MC_Log_Normal_1000_Trials)</f>
        <v>13.456377928182674</v>
      </c>
      <c r="E59" s="38">
        <f>MIN(NPV_Inflation_Adjusted_Oil_Price_MC_Log_Normal_1000_Trials)</f>
        <v>-3719.7196051823689</v>
      </c>
      <c r="F59" s="2"/>
      <c r="G59" s="41">
        <v>8</v>
      </c>
      <c r="H59" s="42">
        <v>10000</v>
      </c>
      <c r="I59" s="36">
        <v>64</v>
      </c>
      <c r="J59" s="72">
        <f t="shared" si="2"/>
        <v>6.3936063936063936E-2</v>
      </c>
      <c r="K59" s="72">
        <f>SUM($J$52:J59)</f>
        <v>0.90109890109890123</v>
      </c>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Y59" s="35">
        <v>6447.7678620042116</v>
      </c>
      <c r="AZ59" s="46">
        <v>1829.1603006564264</v>
      </c>
      <c r="BA59" s="47">
        <v>1617.7925025914251</v>
      </c>
      <c r="BG59" s="136" t="s">
        <v>191</v>
      </c>
      <c r="BH59" s="22">
        <v>51</v>
      </c>
      <c r="BI59" s="22"/>
      <c r="BK59" s="22"/>
      <c r="BL59" s="22"/>
      <c r="BM59" s="22"/>
    </row>
    <row r="60" spans="2:65" x14ac:dyDescent="0.5">
      <c r="B60" s="2"/>
      <c r="C60" s="36"/>
      <c r="D60" s="36"/>
      <c r="E60" s="36"/>
      <c r="F60" s="2"/>
      <c r="G60" s="41">
        <v>9</v>
      </c>
      <c r="H60" s="42">
        <v>12000</v>
      </c>
      <c r="I60" s="36">
        <v>51</v>
      </c>
      <c r="J60" s="72">
        <f t="shared" si="2"/>
        <v>5.0949050949050952E-2</v>
      </c>
      <c r="K60" s="72">
        <f>SUM($J$52:J60)</f>
        <v>0.95204795204795223</v>
      </c>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Y60" s="35">
        <v>5052.1602065876386</v>
      </c>
      <c r="AZ60" s="46">
        <v>376.5029220583487</v>
      </c>
      <c r="BA60" s="47">
        <v>-1330.8548071544499</v>
      </c>
      <c r="BG60" s="136" t="s">
        <v>192</v>
      </c>
      <c r="BH60" s="22">
        <v>16</v>
      </c>
      <c r="BI60" s="22"/>
      <c r="BK60" s="22"/>
      <c r="BL60" s="22"/>
      <c r="BM60" s="22"/>
    </row>
    <row r="61" spans="2:65" x14ac:dyDescent="0.5">
      <c r="B61" s="2"/>
      <c r="C61" s="36" t="s">
        <v>93</v>
      </c>
      <c r="D61" s="36">
        <f>COUNT(Oil_Price_Inflation_Adjusted_MC_Log_Normal_1000_Trials)</f>
        <v>1000</v>
      </c>
      <c r="E61" s="36"/>
      <c r="F61" s="2"/>
      <c r="G61" s="41">
        <v>10</v>
      </c>
      <c r="H61" s="42">
        <v>14000</v>
      </c>
      <c r="I61" s="36">
        <v>16</v>
      </c>
      <c r="J61" s="72">
        <f t="shared" si="2"/>
        <v>1.5984015984015984E-2</v>
      </c>
      <c r="K61" s="72">
        <f>SUM($J$52:J61)</f>
        <v>0.96803196803196823</v>
      </c>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Y61" s="35">
        <v>6488.5959754206078</v>
      </c>
      <c r="AZ61" s="46">
        <v>-2025.1328495341995</v>
      </c>
      <c r="BA61" s="47">
        <v>21040.386953108438</v>
      </c>
      <c r="BG61" s="136" t="s">
        <v>193</v>
      </c>
      <c r="BH61" s="22">
        <v>13</v>
      </c>
      <c r="BI61" s="22"/>
      <c r="BK61" s="22"/>
      <c r="BL61" s="22"/>
      <c r="BM61" s="22"/>
    </row>
    <row r="62" spans="2:65" x14ac:dyDescent="0.5">
      <c r="B62" s="2"/>
      <c r="C62" s="36" t="s">
        <v>170</v>
      </c>
      <c r="D62" s="58">
        <f>_xlfn.PERCENTRANK.INC(Oil_Price_Inflation_Adjusted_MC_Log_Normal_1000_Trials, 30)</f>
        <v>5.7000000000000002E-2</v>
      </c>
      <c r="E62" s="36"/>
      <c r="F62" s="2"/>
      <c r="G62" s="41">
        <v>11</v>
      </c>
      <c r="H62" s="48">
        <v>16000</v>
      </c>
      <c r="I62" s="36">
        <v>13</v>
      </c>
      <c r="J62" s="72">
        <f t="shared" si="2"/>
        <v>1.2987012987012988E-2</v>
      </c>
      <c r="K62" s="72">
        <f>SUM($J$52:J62)</f>
        <v>0.98101898101898122</v>
      </c>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Y62" s="35">
        <v>6284.3984419169656</v>
      </c>
      <c r="AZ62" s="46">
        <v>4446.6709156642337</v>
      </c>
      <c r="BA62" s="47">
        <v>2307.8191650260733</v>
      </c>
      <c r="BG62" s="136" t="s">
        <v>196</v>
      </c>
      <c r="BH62" s="22">
        <v>5</v>
      </c>
      <c r="BI62" s="22"/>
      <c r="BK62" s="22"/>
      <c r="BL62" s="22"/>
      <c r="BM62" s="22"/>
    </row>
    <row r="63" spans="2:65" x14ac:dyDescent="0.5">
      <c r="B63" s="2"/>
      <c r="C63" s="36" t="s">
        <v>171</v>
      </c>
      <c r="D63" s="58">
        <f>_xlfn.PERCENTRANK.EXC(NPV_Inflation_Adjusted_Oil_Price_MC_Log_Normal_1000_Trials,0)</f>
        <v>0.125</v>
      </c>
      <c r="E63" s="36"/>
      <c r="F63" s="2"/>
      <c r="G63" s="41">
        <v>12</v>
      </c>
      <c r="H63" s="48">
        <v>18000</v>
      </c>
      <c r="I63" s="36">
        <v>5</v>
      </c>
      <c r="J63" s="72">
        <f t="shared" si="2"/>
        <v>4.995004995004995E-3</v>
      </c>
      <c r="K63" s="72">
        <f>SUM($J$52:J63)</f>
        <v>0.98601398601398627</v>
      </c>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Y63" s="35">
        <v>-140.21100285167688</v>
      </c>
      <c r="AZ63" s="46">
        <v>-4710.4825643234826</v>
      </c>
      <c r="BA63" s="47">
        <v>4655.0105942097061</v>
      </c>
      <c r="BG63" s="136" t="s">
        <v>194</v>
      </c>
      <c r="BH63" s="22">
        <v>5</v>
      </c>
      <c r="BI63" s="22"/>
      <c r="BK63" s="22"/>
      <c r="BL63" s="22"/>
      <c r="BM63" s="22"/>
    </row>
    <row r="64" spans="2:65" x14ac:dyDescent="0.5">
      <c r="B64" s="2"/>
      <c r="C64" s="36" t="s">
        <v>92</v>
      </c>
      <c r="D64" s="58">
        <f>SUM(Prob_Loss_MC_Inflation_Adjusted_Log_Normal_1000_Trials)/COUNT(Prob_Loss_MC_Inflation_Adjusted_Log_Normal_1000_Trials)</f>
        <v>0.125</v>
      </c>
      <c r="E64" s="36"/>
      <c r="F64" s="2"/>
      <c r="G64" s="41">
        <v>13</v>
      </c>
      <c r="H64" s="48">
        <v>20000</v>
      </c>
      <c r="I64" s="36">
        <v>5</v>
      </c>
      <c r="J64" s="72">
        <f t="shared" si="2"/>
        <v>4.995004995004995E-3</v>
      </c>
      <c r="K64" s="72">
        <f>SUM($J$52:J64)</f>
        <v>0.99100899100899131</v>
      </c>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Y64" s="35">
        <v>431.02503377733598</v>
      </c>
      <c r="AZ64" s="46">
        <v>2300.4607020890312</v>
      </c>
      <c r="BA64" s="47">
        <v>7239.8979973415035</v>
      </c>
      <c r="BG64" s="136" t="s">
        <v>195</v>
      </c>
      <c r="BH64" s="22">
        <v>4</v>
      </c>
      <c r="BI64" s="22"/>
      <c r="BK64" s="22"/>
      <c r="BL64" s="22"/>
      <c r="BM64" s="22"/>
    </row>
    <row r="65" spans="2:65" x14ac:dyDescent="0.5">
      <c r="B65" s="2"/>
      <c r="C65" s="2"/>
      <c r="D65" s="2"/>
      <c r="E65" s="2"/>
      <c r="F65" s="2"/>
      <c r="G65" s="41">
        <v>14</v>
      </c>
      <c r="H65" s="48">
        <v>22000</v>
      </c>
      <c r="I65" s="36">
        <v>4</v>
      </c>
      <c r="J65" s="72">
        <f t="shared" si="2"/>
        <v>3.996003996003996E-3</v>
      </c>
      <c r="K65" s="72">
        <f>SUM($J$52:J65)</f>
        <v>0.99500499500499529</v>
      </c>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Y65" s="35">
        <v>-2240.9465377568072</v>
      </c>
      <c r="AZ65" s="46">
        <v>-4086.6220910267189</v>
      </c>
      <c r="BA65" s="47">
        <v>8714.7628519048631</v>
      </c>
      <c r="BG65" s="136" t="s">
        <v>197</v>
      </c>
      <c r="BH65" s="22">
        <v>4</v>
      </c>
      <c r="BI65" s="22"/>
      <c r="BK65" s="22"/>
      <c r="BL65" s="22"/>
      <c r="BM65" s="22"/>
    </row>
    <row r="66" spans="2:65" x14ac:dyDescent="0.5">
      <c r="B66" s="2"/>
      <c r="C66" s="2"/>
      <c r="D66" s="24"/>
      <c r="E66" s="2"/>
      <c r="F66" s="2"/>
      <c r="G66" s="41">
        <v>15</v>
      </c>
      <c r="H66" s="48">
        <v>24000</v>
      </c>
      <c r="I66" s="36">
        <v>4</v>
      </c>
      <c r="J66" s="72">
        <f t="shared" si="2"/>
        <v>3.996003996003996E-3</v>
      </c>
      <c r="K66" s="72">
        <f>SUM($J$52:J66)</f>
        <v>0.99900099900099926</v>
      </c>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Y66" s="35">
        <v>2126.0040388999259</v>
      </c>
      <c r="AZ66" s="46">
        <v>-4507.9960307178126</v>
      </c>
      <c r="BA66" s="47">
        <v>-1290.3362683312587</v>
      </c>
      <c r="BG66" s="136" t="s">
        <v>198</v>
      </c>
      <c r="BH66" s="22">
        <v>1</v>
      </c>
      <c r="BI66" s="22"/>
      <c r="BK66" s="22"/>
      <c r="BL66" s="22"/>
      <c r="BM66" s="22"/>
    </row>
    <row r="67" spans="2:65" x14ac:dyDescent="0.5">
      <c r="B67" s="2"/>
      <c r="C67" s="2"/>
      <c r="D67" s="24"/>
      <c r="E67" s="2"/>
      <c r="F67" s="2"/>
      <c r="G67" s="41">
        <v>16</v>
      </c>
      <c r="H67" s="48">
        <v>26000</v>
      </c>
      <c r="I67" s="78">
        <v>1</v>
      </c>
      <c r="J67" s="72">
        <f t="shared" si="2"/>
        <v>9.99000999000999E-4</v>
      </c>
      <c r="K67" s="72">
        <f>SUM($J$52:J67)</f>
        <v>1.0000000000000002</v>
      </c>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Y67" s="35">
        <v>1545.1188663886303</v>
      </c>
      <c r="AZ67" s="46">
        <v>-2715.125656966125</v>
      </c>
      <c r="BA67" s="47">
        <v>7589.8501609051873</v>
      </c>
      <c r="BG67" s="136" t="s">
        <v>142</v>
      </c>
      <c r="BH67" s="22">
        <v>1001</v>
      </c>
      <c r="BI67" s="22"/>
      <c r="BK67" s="22"/>
      <c r="BL67" s="22"/>
      <c r="BM67" s="22"/>
    </row>
    <row r="68" spans="2:65" x14ac:dyDescent="0.5">
      <c r="B68" s="2"/>
      <c r="C68" s="2"/>
      <c r="D68" s="2"/>
      <c r="E68" s="2"/>
      <c r="F68" s="2"/>
      <c r="G68" s="2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Y68" s="35">
        <v>-1640.2249850243925</v>
      </c>
      <c r="AZ68" s="46">
        <v>1909.4386141567875</v>
      </c>
      <c r="BA68" s="47">
        <v>835.8890221179405</v>
      </c>
      <c r="BG68" s="22"/>
      <c r="BH68" s="22"/>
      <c r="BI68" s="22"/>
      <c r="BK68" s="22"/>
      <c r="BL68" s="22"/>
      <c r="BM68" s="22"/>
    </row>
    <row r="69" spans="2:65" x14ac:dyDescent="0.5">
      <c r="B69" s="2"/>
      <c r="C69" s="2"/>
      <c r="D69" s="2"/>
      <c r="E69" s="2"/>
      <c r="F69" s="2"/>
      <c r="G69" s="2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Y69" s="35">
        <v>-1038.6518691750211</v>
      </c>
      <c r="AZ69" s="46">
        <v>-4855.7828252088011</v>
      </c>
      <c r="BA69" s="47">
        <v>8396.655103453335</v>
      </c>
      <c r="BG69" s="22"/>
      <c r="BH69" s="22"/>
      <c r="BK69" s="22"/>
      <c r="BL69" s="22"/>
      <c r="BM69" s="22"/>
    </row>
    <row r="70" spans="2:65" x14ac:dyDescent="0.5">
      <c r="B70" s="2"/>
      <c r="C70" s="2"/>
      <c r="D70" s="2"/>
      <c r="E70" s="2"/>
      <c r="F70" s="2"/>
      <c r="G70" s="22"/>
      <c r="H70" s="2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Y70" s="35">
        <v>2539.2048344951108</v>
      </c>
      <c r="AZ70" s="46">
        <v>1350.8672643563275</v>
      </c>
      <c r="BA70" s="47">
        <v>4210.4108675942862</v>
      </c>
      <c r="BG70" s="22"/>
      <c r="BH70" s="22"/>
      <c r="BK70" s="22"/>
      <c r="BL70" s="22"/>
      <c r="BM70" s="22"/>
    </row>
    <row r="71" spans="2:65" x14ac:dyDescent="0.5">
      <c r="B71" s="2"/>
      <c r="C71" s="2"/>
      <c r="D71" s="2"/>
      <c r="E71" s="2"/>
      <c r="F71" s="2"/>
      <c r="G71" s="22"/>
      <c r="H71" s="2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P71"/>
      <c r="AQ71"/>
      <c r="AT71"/>
      <c r="AU71"/>
      <c r="AV71"/>
      <c r="AY71" s="35">
        <v>-119.13956957269751</v>
      </c>
      <c r="AZ71" s="46">
        <v>2935.2139020050922</v>
      </c>
      <c r="BA71" s="47">
        <v>-1149.8720258352448</v>
      </c>
    </row>
    <row r="72" spans="2:65" x14ac:dyDescent="0.5">
      <c r="B72" s="2"/>
      <c r="C72" s="2"/>
      <c r="D72" s="2"/>
      <c r="E72" s="2"/>
      <c r="F72" s="2"/>
      <c r="G72" s="22"/>
      <c r="H72" s="2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P72"/>
      <c r="AQ72"/>
      <c r="AT72"/>
      <c r="AU72"/>
      <c r="AV72"/>
      <c r="AY72" s="35">
        <v>-193.37073545544968</v>
      </c>
      <c r="AZ72" s="46">
        <v>-625.10592506366083</v>
      </c>
      <c r="BA72" s="47">
        <v>182.14256009488503</v>
      </c>
    </row>
    <row r="73" spans="2:65" x14ac:dyDescent="0.5">
      <c r="AP73"/>
      <c r="AQ73"/>
      <c r="AT73"/>
      <c r="AU73"/>
      <c r="AV73"/>
      <c r="AY73" s="35">
        <v>2938.5253581621973</v>
      </c>
      <c r="AZ73" s="46">
        <v>3921.6188963021386</v>
      </c>
      <c r="BA73" s="47">
        <v>9785.6963202664101</v>
      </c>
    </row>
    <row r="74" spans="2:65" x14ac:dyDescent="0.5">
      <c r="AP74"/>
      <c r="AQ74"/>
      <c r="AT74"/>
      <c r="AU74"/>
      <c r="AV74"/>
      <c r="AY74" s="35">
        <v>6950.5927074738656</v>
      </c>
      <c r="AZ74" s="46">
        <v>-3027.7160138295408</v>
      </c>
      <c r="BA74" s="47">
        <v>22394.041860701764</v>
      </c>
    </row>
    <row r="75" spans="2:65" x14ac:dyDescent="0.5">
      <c r="AP75"/>
      <c r="AQ75"/>
      <c r="AT75"/>
      <c r="AU75"/>
      <c r="AV75"/>
      <c r="AY75" s="35">
        <v>5749.5620553648241</v>
      </c>
      <c r="AZ75" s="46">
        <v>-360.42008540833621</v>
      </c>
      <c r="BA75" s="47">
        <v>373.11546469198294</v>
      </c>
    </row>
    <row r="76" spans="2:65" x14ac:dyDescent="0.5">
      <c r="AP76"/>
      <c r="AQ76"/>
      <c r="AT76"/>
      <c r="AU76"/>
      <c r="AV76"/>
      <c r="AY76" s="35">
        <v>3228.3400896266826</v>
      </c>
      <c r="AZ76" s="46">
        <v>1194.0008803493331</v>
      </c>
      <c r="BA76" s="47">
        <v>3465.9721494067649</v>
      </c>
    </row>
    <row r="77" spans="2:65" x14ac:dyDescent="0.5">
      <c r="AP77"/>
      <c r="AQ77"/>
      <c r="AT77"/>
      <c r="AU77"/>
      <c r="AV77"/>
      <c r="AY77" s="35">
        <v>4132.6573484133614</v>
      </c>
      <c r="AZ77" s="46">
        <v>-2630.6043218082364</v>
      </c>
      <c r="BA77" s="47">
        <v>597.44069813119233</v>
      </c>
    </row>
    <row r="78" spans="2:65" x14ac:dyDescent="0.5">
      <c r="AP78"/>
      <c r="AQ78"/>
      <c r="AT78"/>
      <c r="AU78"/>
      <c r="AV78"/>
      <c r="AY78" s="35">
        <v>7351.9246306251162</v>
      </c>
      <c r="AZ78" s="46">
        <v>-1398.1176384433547</v>
      </c>
      <c r="BA78" s="47">
        <v>-796.80525754565974</v>
      </c>
    </row>
    <row r="79" spans="2:65" x14ac:dyDescent="0.5">
      <c r="AP79"/>
      <c r="AQ79"/>
      <c r="AT79"/>
      <c r="AU79"/>
      <c r="AV79"/>
      <c r="AY79" s="35">
        <v>2928.8103189566141</v>
      </c>
      <c r="AZ79" s="46">
        <v>-552.66493708156372</v>
      </c>
      <c r="BA79" s="47">
        <v>2851.5338400951273</v>
      </c>
    </row>
    <row r="80" spans="2:65" x14ac:dyDescent="0.5">
      <c r="AP80"/>
      <c r="AQ80"/>
      <c r="AT80"/>
      <c r="AU80"/>
      <c r="AV80"/>
      <c r="AY80" s="35">
        <v>-2240.6146645329127</v>
      </c>
      <c r="AZ80" s="46">
        <v>528.1367712992178</v>
      </c>
      <c r="BA80" s="47">
        <v>7362.4517045713665</v>
      </c>
    </row>
    <row r="81" spans="42:53" x14ac:dyDescent="0.5">
      <c r="AP81"/>
      <c r="AQ81"/>
      <c r="AT81"/>
      <c r="AU81"/>
      <c r="AV81"/>
      <c r="AY81" s="35">
        <v>-1486.3252580699284</v>
      </c>
      <c r="AZ81" s="46">
        <v>4687.7307367560543</v>
      </c>
      <c r="BA81" s="47">
        <v>-902.86768419826535</v>
      </c>
    </row>
    <row r="82" spans="42:53" x14ac:dyDescent="0.5">
      <c r="AP82"/>
      <c r="AQ82"/>
      <c r="AT82"/>
      <c r="AU82"/>
      <c r="AV82"/>
      <c r="AY82" s="35">
        <v>7506.9722329915339</v>
      </c>
      <c r="AZ82" s="46">
        <v>244.31548039052126</v>
      </c>
      <c r="BA82" s="47">
        <v>-409.50574544399063</v>
      </c>
    </row>
    <row r="83" spans="42:53" x14ac:dyDescent="0.5">
      <c r="AP83"/>
      <c r="AQ83"/>
      <c r="AT83"/>
      <c r="AU83"/>
      <c r="AV83"/>
      <c r="AY83" s="35">
        <v>7049.6217882411847</v>
      </c>
      <c r="AZ83" s="46">
        <v>-4070.2839848756171</v>
      </c>
      <c r="BA83" s="47">
        <v>-588.30452838936037</v>
      </c>
    </row>
    <row r="84" spans="42:53" x14ac:dyDescent="0.5">
      <c r="AP84"/>
      <c r="AQ84"/>
      <c r="AT84"/>
      <c r="AU84"/>
      <c r="AV84"/>
      <c r="AY84" s="35">
        <v>6373.1770133353584</v>
      </c>
      <c r="AZ84" s="46">
        <v>-3314.0628761967691</v>
      </c>
      <c r="BA84" s="47">
        <v>696.68844172157185</v>
      </c>
    </row>
    <row r="85" spans="42:53" x14ac:dyDescent="0.5">
      <c r="AP85"/>
      <c r="AQ85"/>
      <c r="AT85"/>
      <c r="AU85"/>
      <c r="AV85"/>
      <c r="AY85" s="35">
        <v>1803.1512404041168</v>
      </c>
      <c r="AZ85" s="46">
        <v>-1779.6458011350971</v>
      </c>
      <c r="BA85" s="47">
        <v>2739.3954992738836</v>
      </c>
    </row>
    <row r="86" spans="42:53" x14ac:dyDescent="0.5">
      <c r="AP86"/>
      <c r="AQ86"/>
      <c r="AT86"/>
      <c r="AU86"/>
      <c r="AV86"/>
      <c r="AY86" s="35">
        <v>6527.75807852054</v>
      </c>
      <c r="AZ86" s="46">
        <v>-4825.5455041546293</v>
      </c>
      <c r="BA86" s="47">
        <v>1441.9578537690211</v>
      </c>
    </row>
    <row r="87" spans="42:53" x14ac:dyDescent="0.5">
      <c r="AP87"/>
      <c r="AQ87"/>
      <c r="AT87"/>
      <c r="AU87"/>
      <c r="AV87"/>
      <c r="AY87" s="35">
        <v>6321.8392748244778</v>
      </c>
      <c r="AZ87" s="46">
        <v>-792.77339336695718</v>
      </c>
      <c r="BA87" s="47">
        <v>12388.253651395928</v>
      </c>
    </row>
    <row r="88" spans="42:53" x14ac:dyDescent="0.5">
      <c r="AP88"/>
      <c r="AQ88"/>
      <c r="AT88"/>
      <c r="AU88"/>
      <c r="AV88"/>
      <c r="AY88" s="35">
        <v>321.63033218179027</v>
      </c>
      <c r="AZ88" s="46">
        <v>-2042.3864421076421</v>
      </c>
      <c r="BA88" s="47">
        <v>2004.6786687542258</v>
      </c>
    </row>
    <row r="89" spans="42:53" x14ac:dyDescent="0.5">
      <c r="AP89"/>
      <c r="AQ89"/>
      <c r="AT89"/>
      <c r="AU89"/>
      <c r="AV89"/>
      <c r="AY89" s="35">
        <v>3722.5717048825995</v>
      </c>
      <c r="AZ89" s="46">
        <v>1729.3083446793098</v>
      </c>
      <c r="BA89" s="47">
        <v>13518.574308230765</v>
      </c>
    </row>
    <row r="90" spans="42:53" x14ac:dyDescent="0.5">
      <c r="AP90"/>
      <c r="AQ90"/>
      <c r="AT90"/>
      <c r="AU90"/>
      <c r="AV90"/>
      <c r="AY90" s="35">
        <v>3093.0528587805779</v>
      </c>
      <c r="AZ90" s="46">
        <v>-2284.6111673348742</v>
      </c>
      <c r="BA90" s="47">
        <v>-669.91866363696863</v>
      </c>
    </row>
    <row r="91" spans="42:53" x14ac:dyDescent="0.5">
      <c r="AP91"/>
      <c r="AQ91"/>
      <c r="AT91"/>
      <c r="AU91"/>
      <c r="AV91"/>
      <c r="AY91" s="35">
        <v>2032.4499874027301</v>
      </c>
      <c r="AZ91" s="46">
        <v>-1668.8991443567156</v>
      </c>
      <c r="BA91" s="47">
        <v>1460.4510945071384</v>
      </c>
    </row>
    <row r="92" spans="42:53" x14ac:dyDescent="0.5">
      <c r="AP92"/>
      <c r="AQ92"/>
      <c r="AT92"/>
      <c r="AU92"/>
      <c r="AV92"/>
      <c r="AY92" s="35">
        <v>5403.6669430265738</v>
      </c>
      <c r="AZ92" s="46">
        <v>-979.56718645951491</v>
      </c>
      <c r="BA92" s="47">
        <v>6106.3735476088459</v>
      </c>
    </row>
    <row r="93" spans="42:53" x14ac:dyDescent="0.5">
      <c r="AP93"/>
      <c r="AQ93"/>
      <c r="AT93"/>
      <c r="AU93"/>
      <c r="AV93"/>
      <c r="AY93" s="35">
        <v>1835.7685162861599</v>
      </c>
      <c r="AZ93" s="46">
        <v>718.73359907597819</v>
      </c>
      <c r="BA93" s="47">
        <v>2392.4838706618571</v>
      </c>
    </row>
    <row r="94" spans="42:53" x14ac:dyDescent="0.5">
      <c r="AP94"/>
      <c r="AQ94"/>
      <c r="AT94"/>
      <c r="AU94"/>
      <c r="AV94"/>
      <c r="AY94" s="35">
        <v>-383.66301845861534</v>
      </c>
      <c r="AZ94" s="46">
        <v>-968.56029664472931</v>
      </c>
      <c r="BA94" s="47">
        <v>9157.9199096425491</v>
      </c>
    </row>
    <row r="95" spans="42:53" x14ac:dyDescent="0.5">
      <c r="AP95"/>
      <c r="AQ95"/>
      <c r="AT95"/>
      <c r="AU95"/>
      <c r="AV95"/>
      <c r="AY95" s="35">
        <v>2883.9648902458894</v>
      </c>
      <c r="AZ95" s="46">
        <v>-138.72828594940199</v>
      </c>
      <c r="BA95" s="47">
        <v>5924.5268000132073</v>
      </c>
    </row>
    <row r="96" spans="42:53" x14ac:dyDescent="0.5">
      <c r="AP96"/>
      <c r="AQ96"/>
      <c r="AT96"/>
      <c r="AU96"/>
      <c r="AV96"/>
      <c r="AY96" s="35">
        <v>1122.4915390629674</v>
      </c>
      <c r="AZ96" s="46">
        <v>-1559.2311352192592</v>
      </c>
      <c r="BA96" s="47">
        <v>-184.21735380705894</v>
      </c>
    </row>
    <row r="97" spans="42:53" x14ac:dyDescent="0.5">
      <c r="AP97"/>
      <c r="AQ97"/>
      <c r="AT97"/>
      <c r="AU97"/>
      <c r="AV97"/>
      <c r="AY97" s="35">
        <v>4305.9342811739489</v>
      </c>
      <c r="AZ97" s="46">
        <v>2671.4244224661015</v>
      </c>
      <c r="BA97" s="47">
        <v>7019.9134206801764</v>
      </c>
    </row>
    <row r="98" spans="42:53" x14ac:dyDescent="0.5">
      <c r="AP98"/>
      <c r="AQ98"/>
      <c r="AT98"/>
      <c r="AU98"/>
      <c r="AV98"/>
      <c r="AY98" s="35">
        <v>4906.75206045508</v>
      </c>
      <c r="AZ98" s="46">
        <v>3522.3876450848406</v>
      </c>
      <c r="BA98" s="47">
        <v>5981.668064558794</v>
      </c>
    </row>
    <row r="99" spans="42:53" x14ac:dyDescent="0.5">
      <c r="AP99"/>
      <c r="AQ99"/>
      <c r="AT99"/>
      <c r="AU99"/>
      <c r="AV99"/>
      <c r="AY99" s="35">
        <v>6709.3549026998289</v>
      </c>
      <c r="AZ99" s="46">
        <v>-2490.0049649693301</v>
      </c>
      <c r="BA99" s="47">
        <v>-2509.1163755044217</v>
      </c>
    </row>
    <row r="100" spans="42:53" x14ac:dyDescent="0.5">
      <c r="AP100"/>
      <c r="AQ100"/>
      <c r="AT100"/>
      <c r="AU100"/>
      <c r="AV100"/>
      <c r="AY100" s="35">
        <v>2242.6262472157327</v>
      </c>
      <c r="AZ100" s="46">
        <v>-592.59558424952411</v>
      </c>
      <c r="BA100" s="47">
        <v>-381.03340711113736</v>
      </c>
    </row>
    <row r="101" spans="42:53" x14ac:dyDescent="0.5">
      <c r="AP101"/>
      <c r="AQ101"/>
      <c r="AT101"/>
      <c r="AU101"/>
      <c r="AV101"/>
      <c r="AY101" s="35">
        <v>-322.33232340442561</v>
      </c>
      <c r="AZ101" s="46">
        <v>2911.7141056789469</v>
      </c>
      <c r="BA101" s="47">
        <v>6804.768070645654</v>
      </c>
    </row>
    <row r="102" spans="42:53" x14ac:dyDescent="0.5">
      <c r="AP102"/>
      <c r="AQ102"/>
      <c r="AT102"/>
      <c r="AU102"/>
      <c r="AV102"/>
      <c r="AY102" s="35">
        <v>5819.5969185632093</v>
      </c>
      <c r="AZ102" s="46">
        <v>-1615.4308898174668</v>
      </c>
      <c r="BA102" s="47">
        <v>3090.7161288808702</v>
      </c>
    </row>
    <row r="103" spans="42:53" x14ac:dyDescent="0.5">
      <c r="AP103"/>
      <c r="AQ103"/>
      <c r="AT103"/>
      <c r="AU103"/>
      <c r="AV103"/>
      <c r="AY103" s="35">
        <v>4846.5352216249239</v>
      </c>
      <c r="AZ103" s="46">
        <v>-327.91726929151469</v>
      </c>
      <c r="BA103" s="47">
        <v>7116.479388684018</v>
      </c>
    </row>
    <row r="104" spans="42:53" x14ac:dyDescent="0.5">
      <c r="AP104"/>
      <c r="AQ104"/>
      <c r="AT104"/>
      <c r="AU104"/>
      <c r="AV104"/>
      <c r="AY104" s="35">
        <v>7462.3260411819292</v>
      </c>
      <c r="AZ104" s="46">
        <v>1983.99761534096</v>
      </c>
      <c r="BA104" s="47">
        <v>9350.1438224274953</v>
      </c>
    </row>
    <row r="105" spans="42:53" x14ac:dyDescent="0.5">
      <c r="AP105"/>
      <c r="AQ105"/>
      <c r="AT105"/>
      <c r="AU105"/>
      <c r="AV105"/>
      <c r="AY105" s="35">
        <v>2782.3271105141152</v>
      </c>
      <c r="AZ105" s="46">
        <v>346.45567508363774</v>
      </c>
      <c r="BA105" s="47">
        <v>-166.68777409303425</v>
      </c>
    </row>
    <row r="106" spans="42:53" x14ac:dyDescent="0.5">
      <c r="AP106"/>
      <c r="AQ106"/>
      <c r="AT106"/>
      <c r="AU106"/>
      <c r="AV106"/>
      <c r="AY106" s="35">
        <v>4860.6172671361546</v>
      </c>
      <c r="AZ106" s="46">
        <v>4283.6305434650731</v>
      </c>
      <c r="BA106" s="47">
        <v>1221.4361871558651</v>
      </c>
    </row>
    <row r="107" spans="42:53" x14ac:dyDescent="0.5">
      <c r="AP107"/>
      <c r="AQ107"/>
      <c r="AT107"/>
      <c r="AU107"/>
      <c r="AV107"/>
      <c r="AY107" s="35">
        <v>5584.5204855579514</v>
      </c>
      <c r="AZ107" s="46">
        <v>1835.8340927400041</v>
      </c>
      <c r="BA107" s="47">
        <v>2541.5627663862706</v>
      </c>
    </row>
    <row r="108" spans="42:53" x14ac:dyDescent="0.5">
      <c r="AP108"/>
      <c r="AQ108"/>
      <c r="AT108"/>
      <c r="AU108"/>
      <c r="AV108"/>
      <c r="AY108" s="35">
        <v>1871.0440586510244</v>
      </c>
      <c r="AZ108" s="46">
        <v>4737.4937300509519</v>
      </c>
      <c r="BA108" s="47">
        <v>818.77609388848111</v>
      </c>
    </row>
    <row r="109" spans="42:53" x14ac:dyDescent="0.5">
      <c r="AP109"/>
      <c r="AQ109"/>
      <c r="AT109"/>
      <c r="AU109"/>
      <c r="AV109"/>
      <c r="AY109" s="35">
        <v>4479.3065079905236</v>
      </c>
      <c r="AZ109" s="46">
        <v>-3254.71007049017</v>
      </c>
      <c r="BA109" s="47">
        <v>-333.8952584404978</v>
      </c>
    </row>
    <row r="110" spans="42:53" x14ac:dyDescent="0.5">
      <c r="AP110"/>
      <c r="AQ110"/>
      <c r="AT110"/>
      <c r="AU110"/>
      <c r="AV110"/>
      <c r="AY110" s="35">
        <v>4092.5971247153716</v>
      </c>
      <c r="AZ110" s="46">
        <v>-3086.29916762527</v>
      </c>
      <c r="BA110" s="47">
        <v>1601.4810842547602</v>
      </c>
    </row>
    <row r="111" spans="42:53" x14ac:dyDescent="0.5">
      <c r="AP111"/>
      <c r="AQ111"/>
      <c r="AT111"/>
      <c r="AU111"/>
      <c r="AV111"/>
      <c r="AY111" s="35">
        <v>5734.7047863993603</v>
      </c>
      <c r="AZ111" s="46">
        <v>-2639.4617465480496</v>
      </c>
      <c r="BA111" s="47">
        <v>-1146.2404278019819</v>
      </c>
    </row>
    <row r="112" spans="42:53" x14ac:dyDescent="0.5">
      <c r="AP112"/>
      <c r="AQ112"/>
      <c r="AT112"/>
      <c r="AU112"/>
      <c r="AV112"/>
      <c r="AY112" s="35">
        <v>4569.2017789852353</v>
      </c>
      <c r="AZ112" s="46">
        <v>331.90511527545959</v>
      </c>
      <c r="BA112" s="47">
        <v>5670.2706842246225</v>
      </c>
    </row>
    <row r="113" spans="42:53" x14ac:dyDescent="0.5">
      <c r="AP113"/>
      <c r="AQ113"/>
      <c r="AT113"/>
      <c r="AU113"/>
      <c r="AV113"/>
      <c r="AY113" s="35">
        <v>-1941.1866899941544</v>
      </c>
      <c r="AZ113" s="46">
        <v>1170.9497292147812</v>
      </c>
      <c r="BA113" s="47">
        <v>8210.8905423503056</v>
      </c>
    </row>
    <row r="114" spans="42:53" x14ac:dyDescent="0.5">
      <c r="AP114"/>
      <c r="AQ114"/>
      <c r="AT114"/>
      <c r="AU114"/>
      <c r="AV114"/>
      <c r="AY114" s="35">
        <v>-2101.1038007836946</v>
      </c>
      <c r="AZ114" s="46">
        <v>-2696.6675794414955</v>
      </c>
      <c r="BA114" s="47">
        <v>8490.8965360625061</v>
      </c>
    </row>
    <row r="115" spans="42:53" x14ac:dyDescent="0.5">
      <c r="AP115"/>
      <c r="AQ115"/>
      <c r="AT115"/>
      <c r="AU115"/>
      <c r="AV115"/>
      <c r="AY115" s="35">
        <v>869.38415842191375</v>
      </c>
      <c r="AZ115" s="46">
        <v>-275.37490457496426</v>
      </c>
      <c r="BA115" s="47">
        <v>-1684.0786376523556</v>
      </c>
    </row>
    <row r="116" spans="42:53" x14ac:dyDescent="0.5">
      <c r="AP116"/>
      <c r="AQ116"/>
      <c r="AT116"/>
      <c r="AU116"/>
      <c r="AV116"/>
      <c r="AY116" s="35">
        <v>5677.2926977601601</v>
      </c>
      <c r="AZ116" s="46">
        <v>311.82607927836938</v>
      </c>
      <c r="BA116" s="47">
        <v>1965.2728113337132</v>
      </c>
    </row>
    <row r="117" spans="42:53" x14ac:dyDescent="0.5">
      <c r="AP117"/>
      <c r="AQ117"/>
      <c r="AT117"/>
      <c r="AU117"/>
      <c r="AV117"/>
      <c r="AY117" s="35">
        <v>1187.4714449562903</v>
      </c>
      <c r="AZ117" s="46">
        <v>-716.8158093622792</v>
      </c>
      <c r="BA117" s="47">
        <v>7191.5468266205398</v>
      </c>
    </row>
    <row r="118" spans="42:53" x14ac:dyDescent="0.5">
      <c r="AP118"/>
      <c r="AQ118"/>
      <c r="AT118"/>
      <c r="AU118"/>
      <c r="AV118"/>
      <c r="AY118" s="35">
        <v>7091.7000222347933</v>
      </c>
      <c r="AZ118" s="46">
        <v>-860.78409859125259</v>
      </c>
      <c r="BA118" s="47">
        <v>-368.64718960216851</v>
      </c>
    </row>
    <row r="119" spans="42:53" x14ac:dyDescent="0.5">
      <c r="AP119"/>
      <c r="AQ119"/>
      <c r="AT119"/>
      <c r="AU119"/>
      <c r="AV119"/>
      <c r="AY119" s="35">
        <v>5232.3776973340309</v>
      </c>
      <c r="AZ119" s="46">
        <v>-4225.270721684029</v>
      </c>
      <c r="BA119" s="47">
        <v>9403.7986226833873</v>
      </c>
    </row>
    <row r="120" spans="42:53" x14ac:dyDescent="0.5">
      <c r="AP120"/>
      <c r="AQ120"/>
      <c r="AT120"/>
      <c r="AU120"/>
      <c r="AV120"/>
      <c r="AY120" s="35">
        <v>7716.3599037640006</v>
      </c>
      <c r="AZ120" s="46">
        <v>369.64810105606597</v>
      </c>
      <c r="BA120" s="47">
        <v>11568.799259306239</v>
      </c>
    </row>
    <row r="121" spans="42:53" x14ac:dyDescent="0.5">
      <c r="AP121"/>
      <c r="AQ121"/>
      <c r="AT121"/>
      <c r="AU121"/>
      <c r="AV121"/>
      <c r="AY121" s="35">
        <v>-801.08034745415148</v>
      </c>
      <c r="AZ121" s="46">
        <v>-1322.0707746249564</v>
      </c>
      <c r="BA121" s="47">
        <v>11491.507783431303</v>
      </c>
    </row>
    <row r="122" spans="42:53" x14ac:dyDescent="0.5">
      <c r="AP122"/>
      <c r="AQ122"/>
      <c r="AT122"/>
      <c r="AU122"/>
      <c r="AV122"/>
      <c r="AY122" s="35">
        <v>7138.2175082847561</v>
      </c>
      <c r="AZ122" s="46">
        <v>1094.5322567800777</v>
      </c>
      <c r="BA122" s="47">
        <v>6003.8439083699686</v>
      </c>
    </row>
    <row r="123" spans="42:53" x14ac:dyDescent="0.5">
      <c r="AP123"/>
      <c r="AQ123"/>
      <c r="AT123"/>
      <c r="AU123"/>
      <c r="AV123"/>
      <c r="AY123" s="35">
        <v>6709.2807938317601</v>
      </c>
      <c r="AZ123" s="46">
        <v>-3112.0440175195513</v>
      </c>
      <c r="BA123" s="47">
        <v>43.607860520451268</v>
      </c>
    </row>
    <row r="124" spans="42:53" x14ac:dyDescent="0.5">
      <c r="AP124"/>
      <c r="AQ124"/>
      <c r="AT124"/>
      <c r="AU124"/>
      <c r="AV124"/>
      <c r="AY124" s="35">
        <v>-135.84926244474701</v>
      </c>
      <c r="AZ124" s="46">
        <v>-3991.7694129140173</v>
      </c>
      <c r="BA124" s="47">
        <v>3795.0545841491298</v>
      </c>
    </row>
    <row r="125" spans="42:53" x14ac:dyDescent="0.5">
      <c r="AP125"/>
      <c r="AQ125"/>
      <c r="AT125"/>
      <c r="AU125"/>
      <c r="AV125"/>
      <c r="AY125" s="35">
        <v>4233.1942508124512</v>
      </c>
      <c r="AZ125" s="46">
        <v>-1605.5636716935251</v>
      </c>
      <c r="BA125" s="47">
        <v>21316.154680374111</v>
      </c>
    </row>
    <row r="126" spans="42:53" x14ac:dyDescent="0.5">
      <c r="AP126"/>
      <c r="AQ126"/>
      <c r="AT126"/>
      <c r="AU126"/>
      <c r="AV126"/>
      <c r="AY126" s="35">
        <v>4489.6388556131833</v>
      </c>
      <c r="AZ126" s="46">
        <v>-2363.4894560689713</v>
      </c>
      <c r="BA126" s="47">
        <v>7605.8536043095855</v>
      </c>
    </row>
    <row r="127" spans="42:53" x14ac:dyDescent="0.5">
      <c r="AP127"/>
      <c r="AQ127"/>
      <c r="AT127"/>
      <c r="AU127"/>
      <c r="AV127"/>
      <c r="AY127" s="35">
        <v>6335.4253632923565</v>
      </c>
      <c r="AZ127" s="46">
        <v>2587.007882884534</v>
      </c>
      <c r="BA127" s="47">
        <v>6402.6264075876406</v>
      </c>
    </row>
    <row r="128" spans="42:53" x14ac:dyDescent="0.5">
      <c r="AP128"/>
      <c r="AQ128"/>
      <c r="AT128"/>
      <c r="AU128"/>
      <c r="AV128"/>
      <c r="AY128" s="35">
        <v>-2158.609975572137</v>
      </c>
      <c r="AZ128" s="46">
        <v>6515.2056259978081</v>
      </c>
      <c r="BA128" s="47">
        <v>6365.4445721446373</v>
      </c>
    </row>
    <row r="129" spans="42:53" x14ac:dyDescent="0.5">
      <c r="AP129"/>
      <c r="AQ129"/>
      <c r="AT129"/>
      <c r="AU129"/>
      <c r="AV129"/>
      <c r="AY129" s="35">
        <v>2815.8741577126975</v>
      </c>
      <c r="AZ129" s="46">
        <v>-3054.334030645145</v>
      </c>
      <c r="BA129" s="47">
        <v>41.344264288420121</v>
      </c>
    </row>
    <row r="130" spans="42:53" x14ac:dyDescent="0.5">
      <c r="AP130"/>
      <c r="AQ130"/>
      <c r="AT130"/>
      <c r="AU130"/>
      <c r="AV130"/>
      <c r="AY130" s="35">
        <v>4226.7186023544109</v>
      </c>
      <c r="AZ130" s="46">
        <v>147.11016224312391</v>
      </c>
      <c r="BA130" s="47">
        <v>5239.7614342195429</v>
      </c>
    </row>
    <row r="131" spans="42:53" x14ac:dyDescent="0.5">
      <c r="AP131"/>
      <c r="AQ131"/>
      <c r="AT131"/>
      <c r="AU131"/>
      <c r="AV131"/>
      <c r="AY131" s="35">
        <v>537.41678344288914</v>
      </c>
      <c r="AZ131" s="46">
        <v>-1107.3673928091866</v>
      </c>
      <c r="BA131" s="47">
        <v>2411.3644258687336</v>
      </c>
    </row>
    <row r="132" spans="42:53" x14ac:dyDescent="0.5">
      <c r="AP132"/>
      <c r="AQ132"/>
      <c r="AT132"/>
      <c r="AU132"/>
      <c r="AV132"/>
      <c r="AY132" s="35">
        <v>-521.09488801198609</v>
      </c>
      <c r="AZ132" s="46">
        <v>2038.6444174459411</v>
      </c>
      <c r="BA132" s="47">
        <v>8832.8212541189132</v>
      </c>
    </row>
    <row r="133" spans="42:53" x14ac:dyDescent="0.5">
      <c r="AP133"/>
      <c r="AQ133"/>
      <c r="AT133"/>
      <c r="AU133"/>
      <c r="AV133"/>
      <c r="AY133" s="35">
        <v>2547.7380125731029</v>
      </c>
      <c r="AZ133" s="46">
        <v>-4632.6959479980751</v>
      </c>
      <c r="BA133" s="47">
        <v>14662.368516682507</v>
      </c>
    </row>
    <row r="134" spans="42:53" x14ac:dyDescent="0.5">
      <c r="AP134"/>
      <c r="AQ134"/>
      <c r="AT134"/>
      <c r="AU134"/>
      <c r="AV134"/>
      <c r="AY134" s="35">
        <v>6120.6226557331174</v>
      </c>
      <c r="AZ134" s="46">
        <v>-442.45290822897306</v>
      </c>
      <c r="BA134" s="47">
        <v>6729.2694241570061</v>
      </c>
    </row>
    <row r="135" spans="42:53" x14ac:dyDescent="0.5">
      <c r="AP135"/>
      <c r="AQ135"/>
      <c r="AT135"/>
      <c r="AU135"/>
      <c r="AV135"/>
      <c r="AY135" s="35">
        <v>5714.6902475363295</v>
      </c>
      <c r="AZ135" s="46">
        <v>1383.4838907348703</v>
      </c>
      <c r="BA135" s="47">
        <v>10355.014706080936</v>
      </c>
    </row>
    <row r="136" spans="42:53" x14ac:dyDescent="0.5">
      <c r="AP136"/>
      <c r="AQ136"/>
      <c r="AT136"/>
      <c r="AU136"/>
      <c r="AV136"/>
      <c r="AY136" s="35">
        <v>2245.4471559871677</v>
      </c>
      <c r="AZ136" s="46">
        <v>-3250.1686203544546</v>
      </c>
      <c r="BA136" s="47">
        <v>2860.0927290850077</v>
      </c>
    </row>
    <row r="137" spans="42:53" x14ac:dyDescent="0.5">
      <c r="AP137"/>
      <c r="AQ137"/>
      <c r="AT137"/>
      <c r="AU137"/>
      <c r="AV137"/>
      <c r="AY137" s="35">
        <v>1825.5532972472638</v>
      </c>
      <c r="AZ137" s="46">
        <v>-1665.5061501034209</v>
      </c>
      <c r="BA137" s="47">
        <v>2451.592622144683</v>
      </c>
    </row>
    <row r="138" spans="42:53" x14ac:dyDescent="0.5">
      <c r="AP138"/>
      <c r="AQ138"/>
      <c r="AT138"/>
      <c r="AU138"/>
      <c r="AV138"/>
      <c r="AY138" s="35">
        <v>500.6127364562613</v>
      </c>
      <c r="AZ138" s="46">
        <v>-1101.5068409250757</v>
      </c>
      <c r="BA138" s="47">
        <v>-1088.9266320901054</v>
      </c>
    </row>
    <row r="139" spans="42:53" x14ac:dyDescent="0.5">
      <c r="AP139"/>
      <c r="AQ139"/>
      <c r="AT139"/>
      <c r="AU139"/>
      <c r="AV139"/>
      <c r="AY139" s="35">
        <v>1603.4213989849434</v>
      </c>
      <c r="AZ139" s="46">
        <v>-87.086516675047335</v>
      </c>
      <c r="BA139" s="47">
        <v>446.35463562130866</v>
      </c>
    </row>
    <row r="140" spans="42:53" x14ac:dyDescent="0.5">
      <c r="AP140"/>
      <c r="AQ140"/>
      <c r="AT140"/>
      <c r="AU140"/>
      <c r="AV140"/>
      <c r="AY140" s="35">
        <v>4601.7471931592609</v>
      </c>
      <c r="AZ140" s="46">
        <v>-2849.1558951382585</v>
      </c>
      <c r="BA140" s="47">
        <v>476.06068555983342</v>
      </c>
    </row>
    <row r="141" spans="42:53" x14ac:dyDescent="0.5">
      <c r="AP141"/>
      <c r="AQ141"/>
      <c r="AT141"/>
      <c r="AU141"/>
      <c r="AV141"/>
      <c r="AY141" s="35">
        <v>-2409.3076670839323</v>
      </c>
      <c r="AZ141" s="46">
        <v>-4431.8130125155913</v>
      </c>
      <c r="BA141" s="47">
        <v>1789.4540391388637</v>
      </c>
    </row>
    <row r="142" spans="42:53" x14ac:dyDescent="0.5">
      <c r="AP142"/>
      <c r="AQ142"/>
      <c r="AT142"/>
      <c r="AU142"/>
      <c r="AV142"/>
      <c r="AY142" s="35">
        <v>5729.7192698122935</v>
      </c>
      <c r="AZ142" s="46">
        <v>1108.3151129772925</v>
      </c>
      <c r="BA142" s="47">
        <v>-557.37828481545068</v>
      </c>
    </row>
    <row r="143" spans="42:53" x14ac:dyDescent="0.5">
      <c r="AP143"/>
      <c r="AQ143"/>
      <c r="AT143"/>
      <c r="AU143"/>
      <c r="AV143"/>
      <c r="AY143" s="35">
        <v>2749.3545811891349</v>
      </c>
      <c r="AZ143" s="46">
        <v>1196.6376642988653</v>
      </c>
      <c r="BA143" s="47">
        <v>6104.6211284200335</v>
      </c>
    </row>
    <row r="144" spans="42:53" x14ac:dyDescent="0.5">
      <c r="AP144"/>
      <c r="AQ144"/>
      <c r="AT144"/>
      <c r="AU144"/>
      <c r="AV144"/>
      <c r="AY144" s="35">
        <v>6555.0969070174688</v>
      </c>
      <c r="AZ144" s="46">
        <v>1516.8962894985114</v>
      </c>
      <c r="BA144" s="47">
        <v>15591.341571719006</v>
      </c>
    </row>
    <row r="145" spans="42:53" x14ac:dyDescent="0.5">
      <c r="AP145"/>
      <c r="AQ145"/>
      <c r="AT145"/>
      <c r="AU145"/>
      <c r="AV145"/>
      <c r="AY145" s="35">
        <v>-1311.4252212118408</v>
      </c>
      <c r="AZ145" s="46">
        <v>-2006.0588768040855</v>
      </c>
      <c r="BA145" s="47">
        <v>5308.025089840201</v>
      </c>
    </row>
    <row r="146" spans="42:53" x14ac:dyDescent="0.5">
      <c r="AP146"/>
      <c r="AQ146"/>
      <c r="AT146"/>
      <c r="AU146"/>
      <c r="AV146"/>
      <c r="AY146" s="35">
        <v>7726.2616481750383</v>
      </c>
      <c r="AZ146" s="46">
        <v>155.42947126841682</v>
      </c>
      <c r="BA146" s="47">
        <v>10698.640851361213</v>
      </c>
    </row>
    <row r="147" spans="42:53" x14ac:dyDescent="0.5">
      <c r="AP147"/>
      <c r="AQ147"/>
      <c r="AT147"/>
      <c r="AU147"/>
      <c r="AV147"/>
      <c r="AY147" s="35">
        <v>151.15411049880782</v>
      </c>
      <c r="AZ147" s="46">
        <v>-2974.340494563769</v>
      </c>
      <c r="BA147" s="47">
        <v>1466.2222322408181</v>
      </c>
    </row>
    <row r="148" spans="42:53" x14ac:dyDescent="0.5">
      <c r="AP148"/>
      <c r="AQ148"/>
      <c r="AT148"/>
      <c r="AU148"/>
      <c r="AV148"/>
      <c r="AY148" s="35">
        <v>4030.3312639437286</v>
      </c>
      <c r="AZ148" s="46">
        <v>-1652.2436427685082</v>
      </c>
      <c r="BA148" s="47">
        <v>3749.5480758330755</v>
      </c>
    </row>
    <row r="149" spans="42:53" x14ac:dyDescent="0.5">
      <c r="AP149"/>
      <c r="AQ149"/>
      <c r="AT149"/>
      <c r="AU149"/>
      <c r="AV149"/>
      <c r="AY149" s="35">
        <v>1967.0314132143947</v>
      </c>
      <c r="AZ149" s="46">
        <v>-1854.5840062750208</v>
      </c>
      <c r="BA149" s="47">
        <v>2785.6456095588383</v>
      </c>
    </row>
    <row r="150" spans="42:53" x14ac:dyDescent="0.5">
      <c r="AP150"/>
      <c r="AQ150"/>
      <c r="AT150"/>
      <c r="AU150"/>
      <c r="AV150"/>
      <c r="AY150" s="35">
        <v>6529.3260025679338</v>
      </c>
      <c r="AZ150" s="46">
        <v>-2435.0790899167027</v>
      </c>
      <c r="BA150" s="47">
        <v>981.91969501239078</v>
      </c>
    </row>
    <row r="151" spans="42:53" x14ac:dyDescent="0.5">
      <c r="AP151"/>
      <c r="AQ151"/>
      <c r="AT151"/>
      <c r="AU151"/>
      <c r="AV151"/>
      <c r="AY151" s="35">
        <v>2716.6637534581182</v>
      </c>
      <c r="AZ151" s="46">
        <v>9693.5705281816627</v>
      </c>
      <c r="BA151" s="47">
        <v>10459.024983269897</v>
      </c>
    </row>
    <row r="152" spans="42:53" x14ac:dyDescent="0.5">
      <c r="AP152"/>
      <c r="AQ152"/>
      <c r="AT152"/>
      <c r="AU152"/>
      <c r="AV152"/>
      <c r="AY152" s="35">
        <v>3312.4003847840922</v>
      </c>
      <c r="AZ152" s="46">
        <v>10682.71458594389</v>
      </c>
      <c r="BA152" s="47">
        <v>5496.7543214092648</v>
      </c>
    </row>
    <row r="153" spans="42:53" x14ac:dyDescent="0.5">
      <c r="AP153"/>
      <c r="AQ153"/>
      <c r="AT153"/>
      <c r="AU153"/>
      <c r="AV153"/>
      <c r="AY153" s="35">
        <v>5909.1333793920921</v>
      </c>
      <c r="AZ153" s="46">
        <v>-670.61972606414429</v>
      </c>
      <c r="BA153" s="47">
        <v>3979.8928157222285</v>
      </c>
    </row>
    <row r="154" spans="42:53" x14ac:dyDescent="0.5">
      <c r="AP154"/>
      <c r="AQ154"/>
      <c r="AT154"/>
      <c r="AU154"/>
      <c r="AV154"/>
      <c r="AY154" s="35">
        <v>-1251.9078835166499</v>
      </c>
      <c r="AZ154" s="46">
        <v>-4408.6755159258528</v>
      </c>
      <c r="BA154" s="47">
        <v>-1076.0317656639077</v>
      </c>
    </row>
    <row r="155" spans="42:53" x14ac:dyDescent="0.5">
      <c r="AP155"/>
      <c r="AQ155"/>
      <c r="AT155"/>
      <c r="AU155"/>
      <c r="AV155"/>
      <c r="AY155" s="35">
        <v>1948.1772194537455</v>
      </c>
      <c r="AZ155" s="46">
        <v>5108.7037939088268</v>
      </c>
      <c r="BA155" s="47">
        <v>4714.708235799224</v>
      </c>
    </row>
    <row r="156" spans="42:53" x14ac:dyDescent="0.5">
      <c r="AP156"/>
      <c r="AQ156"/>
      <c r="AT156"/>
      <c r="AU156"/>
      <c r="AV156"/>
      <c r="AY156" s="35">
        <v>7498.0943356799917</v>
      </c>
      <c r="AZ156" s="46">
        <v>2887.6319176645811</v>
      </c>
      <c r="BA156" s="47">
        <v>-477.71479630515381</v>
      </c>
    </row>
    <row r="157" spans="42:53" x14ac:dyDescent="0.5">
      <c r="AP157"/>
      <c r="AQ157"/>
      <c r="AT157"/>
      <c r="AU157"/>
      <c r="AV157"/>
      <c r="AY157" s="35">
        <v>5704.641304562283</v>
      </c>
      <c r="AZ157" s="46">
        <v>1957.1113158113651</v>
      </c>
      <c r="BA157" s="47">
        <v>16853.081635985283</v>
      </c>
    </row>
    <row r="158" spans="42:53" x14ac:dyDescent="0.5">
      <c r="AP158"/>
      <c r="AQ158"/>
      <c r="AT158"/>
      <c r="AU158"/>
      <c r="AV158"/>
      <c r="AY158" s="35">
        <v>6731.0002361022198</v>
      </c>
      <c r="AZ158" s="46">
        <v>1897.7091316308147</v>
      </c>
      <c r="BA158" s="47">
        <v>883.55274927512664</v>
      </c>
    </row>
    <row r="159" spans="42:53" x14ac:dyDescent="0.5">
      <c r="AP159"/>
      <c r="AQ159"/>
      <c r="AT159"/>
      <c r="AU159"/>
      <c r="AV159"/>
      <c r="AY159" s="35">
        <v>-1664.5369422142451</v>
      </c>
      <c r="AZ159" s="46">
        <v>-2223.0647201505085</v>
      </c>
      <c r="BA159" s="47">
        <v>549.90772816939398</v>
      </c>
    </row>
    <row r="160" spans="42:53" x14ac:dyDescent="0.5">
      <c r="AP160"/>
      <c r="AQ160"/>
      <c r="AT160"/>
      <c r="AU160"/>
      <c r="AV160"/>
      <c r="AY160" s="35">
        <v>7164.7122420801679</v>
      </c>
      <c r="AZ160" s="46">
        <v>6376.1488222670623</v>
      </c>
      <c r="BA160" s="47">
        <v>3029.7783805681261</v>
      </c>
    </row>
    <row r="161" spans="42:53" x14ac:dyDescent="0.5">
      <c r="AP161"/>
      <c r="AQ161"/>
      <c r="AT161"/>
      <c r="AU161"/>
      <c r="AV161"/>
      <c r="AY161" s="35">
        <v>1724.3350032730648</v>
      </c>
      <c r="AZ161" s="46">
        <v>-45.813911304591578</v>
      </c>
      <c r="BA161" s="47">
        <v>2384.3919948228859</v>
      </c>
    </row>
    <row r="162" spans="42:53" x14ac:dyDescent="0.5">
      <c r="AP162"/>
      <c r="AQ162"/>
      <c r="AT162"/>
      <c r="AU162"/>
      <c r="AV162"/>
      <c r="AY162" s="35">
        <v>1546.9184693939328</v>
      </c>
      <c r="AZ162" s="46">
        <v>6701.0684259378077</v>
      </c>
      <c r="BA162" s="47">
        <v>2264.6002801105142</v>
      </c>
    </row>
    <row r="163" spans="42:53" x14ac:dyDescent="0.5">
      <c r="AP163"/>
      <c r="AQ163"/>
      <c r="AT163"/>
      <c r="AU163"/>
      <c r="AV163"/>
      <c r="AY163" s="35">
        <v>5265.3767682862108</v>
      </c>
      <c r="AZ163" s="46">
        <v>49.486286139575483</v>
      </c>
      <c r="BA163" s="47">
        <v>3500.4123020333927</v>
      </c>
    </row>
    <row r="164" spans="42:53" x14ac:dyDescent="0.5">
      <c r="AP164"/>
      <c r="AQ164"/>
      <c r="AT164"/>
      <c r="AU164"/>
      <c r="AV164"/>
      <c r="AY164" s="35">
        <v>5326.9443098491693</v>
      </c>
      <c r="AZ164" s="46">
        <v>-3570.7677299234474</v>
      </c>
      <c r="BA164" s="47">
        <v>2600.3097401395617</v>
      </c>
    </row>
    <row r="165" spans="42:53" x14ac:dyDescent="0.5">
      <c r="AP165"/>
      <c r="AQ165"/>
      <c r="AT165"/>
      <c r="AU165"/>
      <c r="AV165"/>
      <c r="AY165" s="35">
        <v>1761.711521318739</v>
      </c>
      <c r="AZ165" s="46">
        <v>1747.6233676717143</v>
      </c>
      <c r="BA165" s="47">
        <v>-1549.726036049344</v>
      </c>
    </row>
    <row r="166" spans="42:53" x14ac:dyDescent="0.5">
      <c r="AP166"/>
      <c r="AQ166"/>
      <c r="AT166"/>
      <c r="AU166"/>
      <c r="AV166"/>
      <c r="AY166" s="35">
        <v>6171.7794813821019</v>
      </c>
      <c r="AZ166" s="46">
        <v>1054.8246696185768</v>
      </c>
      <c r="BA166" s="47">
        <v>10085.401235126126</v>
      </c>
    </row>
    <row r="167" spans="42:53" x14ac:dyDescent="0.5">
      <c r="AP167"/>
      <c r="AQ167"/>
      <c r="AT167"/>
      <c r="AU167"/>
      <c r="AV167"/>
      <c r="AY167" s="35">
        <v>1788.5914626931997</v>
      </c>
      <c r="AZ167" s="46">
        <v>59.84632570179896</v>
      </c>
      <c r="BA167" s="47">
        <v>4074.1626306757212</v>
      </c>
    </row>
    <row r="168" spans="42:53" x14ac:dyDescent="0.5">
      <c r="AP168"/>
      <c r="AQ168"/>
      <c r="AT168"/>
      <c r="AU168"/>
      <c r="AV168"/>
      <c r="AY168" s="35">
        <v>1802.2335945538405</v>
      </c>
      <c r="AZ168" s="46">
        <v>-4125.2675476863633</v>
      </c>
      <c r="BA168" s="47">
        <v>6656.8381022729445</v>
      </c>
    </row>
    <row r="169" spans="42:53" x14ac:dyDescent="0.5">
      <c r="AP169"/>
      <c r="AQ169"/>
      <c r="AT169"/>
      <c r="AU169"/>
      <c r="AV169"/>
      <c r="AY169" s="35">
        <v>736.60985478354905</v>
      </c>
      <c r="AZ169" s="46">
        <v>147.73490827776186</v>
      </c>
      <c r="BA169" s="47">
        <v>7357.8329293183015</v>
      </c>
    </row>
    <row r="170" spans="42:53" x14ac:dyDescent="0.5">
      <c r="AP170"/>
      <c r="AQ170"/>
      <c r="AT170"/>
      <c r="AU170"/>
      <c r="AV170"/>
      <c r="AY170" s="35">
        <v>-1093.3890691314543</v>
      </c>
      <c r="AZ170" s="46">
        <v>-13.412286661185185</v>
      </c>
      <c r="BA170" s="47">
        <v>2310.6973427973785</v>
      </c>
    </row>
    <row r="171" spans="42:53" x14ac:dyDescent="0.5">
      <c r="AP171"/>
      <c r="AQ171"/>
      <c r="AT171"/>
      <c r="AU171"/>
      <c r="AV171"/>
      <c r="AY171" s="35">
        <v>6485.4756234612942</v>
      </c>
      <c r="AZ171" s="46">
        <v>-1938.6395904287112</v>
      </c>
      <c r="BA171" s="47">
        <v>2447.2672856674162</v>
      </c>
    </row>
    <row r="172" spans="42:53" x14ac:dyDescent="0.5">
      <c r="AP172"/>
      <c r="AQ172"/>
      <c r="AT172"/>
      <c r="AU172"/>
      <c r="AV172"/>
      <c r="AY172" s="35">
        <v>-1545.2573733702989</v>
      </c>
      <c r="AZ172" s="46">
        <v>-1567.735210929721</v>
      </c>
      <c r="BA172" s="47">
        <v>2509.3605782969112</v>
      </c>
    </row>
    <row r="173" spans="42:53" x14ac:dyDescent="0.5">
      <c r="AP173"/>
      <c r="AQ173"/>
      <c r="AT173"/>
      <c r="AU173"/>
      <c r="AV173"/>
      <c r="AY173" s="35">
        <v>4024.7592025334848</v>
      </c>
      <c r="AZ173" s="46">
        <v>-3859.1095327096987</v>
      </c>
      <c r="BA173" s="47">
        <v>-3586.557538120896</v>
      </c>
    </row>
    <row r="174" spans="42:53" x14ac:dyDescent="0.5">
      <c r="AP174"/>
      <c r="AQ174"/>
      <c r="AT174"/>
      <c r="AU174"/>
      <c r="AV174"/>
      <c r="AY174" s="35">
        <v>690.74380310259471</v>
      </c>
      <c r="AZ174" s="46">
        <v>-5277.8352513265345</v>
      </c>
      <c r="BA174" s="47">
        <v>15428.539815742459</v>
      </c>
    </row>
    <row r="175" spans="42:53" x14ac:dyDescent="0.5">
      <c r="AP175"/>
      <c r="AQ175"/>
      <c r="AT175"/>
      <c r="AU175"/>
      <c r="AV175"/>
      <c r="AY175" s="35">
        <v>1810.4471614440899</v>
      </c>
      <c r="AZ175" s="46">
        <v>-2468.5854827984936</v>
      </c>
      <c r="BA175" s="47">
        <v>6522.5370911625523</v>
      </c>
    </row>
    <row r="176" spans="42:53" x14ac:dyDescent="0.5">
      <c r="AP176"/>
      <c r="AQ176"/>
      <c r="AT176"/>
      <c r="AU176"/>
      <c r="AV176"/>
      <c r="AY176" s="35">
        <v>457.43882812326507</v>
      </c>
      <c r="AZ176" s="46">
        <v>-2997.5021150647717</v>
      </c>
      <c r="BA176" s="47">
        <v>1015.3147185669682</v>
      </c>
    </row>
    <row r="177" spans="42:53" x14ac:dyDescent="0.5">
      <c r="AP177"/>
      <c r="AQ177"/>
      <c r="AT177"/>
      <c r="AU177"/>
      <c r="AV177"/>
      <c r="AY177" s="35">
        <v>-1392.1570088895917</v>
      </c>
      <c r="AZ177" s="46">
        <v>1071.2400600994249</v>
      </c>
      <c r="BA177" s="47">
        <v>4242.9221983899915</v>
      </c>
    </row>
    <row r="178" spans="42:53" x14ac:dyDescent="0.5">
      <c r="AP178"/>
      <c r="AQ178"/>
      <c r="AT178"/>
      <c r="AU178"/>
      <c r="AV178"/>
      <c r="AY178" s="35">
        <v>7354.1867871465556</v>
      </c>
      <c r="AZ178" s="46">
        <v>-3708.7817624447016</v>
      </c>
      <c r="BA178" s="47">
        <v>3853.3800939629514</v>
      </c>
    </row>
    <row r="179" spans="42:53" x14ac:dyDescent="0.5">
      <c r="AP179"/>
      <c r="AQ179"/>
      <c r="AT179"/>
      <c r="AU179"/>
      <c r="AV179"/>
      <c r="AY179" s="35">
        <v>3952.8071034694835</v>
      </c>
      <c r="AZ179" s="46">
        <v>-4259.2034717971101</v>
      </c>
      <c r="BA179" s="47">
        <v>8600.7626278708976</v>
      </c>
    </row>
    <row r="180" spans="42:53" x14ac:dyDescent="0.5">
      <c r="AP180"/>
      <c r="AQ180"/>
      <c r="AT180"/>
      <c r="AU180"/>
      <c r="AV180"/>
      <c r="AY180" s="35">
        <v>4314.3816522654588</v>
      </c>
      <c r="AZ180" s="46">
        <v>-4418.7164798909043</v>
      </c>
      <c r="BA180" s="47">
        <v>-348.75380695225721</v>
      </c>
    </row>
    <row r="181" spans="42:53" x14ac:dyDescent="0.5">
      <c r="AP181"/>
      <c r="AQ181"/>
      <c r="AT181"/>
      <c r="AU181"/>
      <c r="AV181"/>
      <c r="AY181" s="35">
        <v>3838.8758397888273</v>
      </c>
      <c r="AZ181" s="46">
        <v>1397.5010918816856</v>
      </c>
      <c r="BA181" s="47">
        <v>338.72038915045397</v>
      </c>
    </row>
    <row r="182" spans="42:53" x14ac:dyDescent="0.5">
      <c r="AP182"/>
      <c r="AQ182"/>
      <c r="AT182"/>
      <c r="AU182"/>
      <c r="AV182"/>
      <c r="AY182" s="35">
        <v>1109.4911945308857</v>
      </c>
      <c r="AZ182" s="46">
        <v>1400.282637573514</v>
      </c>
      <c r="BA182" s="47">
        <v>3188.0418040113764</v>
      </c>
    </row>
    <row r="183" spans="42:53" x14ac:dyDescent="0.5">
      <c r="AP183"/>
      <c r="AQ183"/>
      <c r="AT183"/>
      <c r="AU183"/>
      <c r="AV183"/>
      <c r="AY183" s="35">
        <v>5910.2049046702159</v>
      </c>
      <c r="AZ183" s="46">
        <v>-2949.303438647994</v>
      </c>
      <c r="BA183" s="47">
        <v>2926.2198021034051</v>
      </c>
    </row>
    <row r="184" spans="42:53" x14ac:dyDescent="0.5">
      <c r="AP184"/>
      <c r="AQ184"/>
      <c r="AT184"/>
      <c r="AU184"/>
      <c r="AV184"/>
      <c r="AY184" s="35">
        <v>-2116.4994029065979</v>
      </c>
      <c r="AZ184" s="46">
        <v>1200.1057585851154</v>
      </c>
      <c r="BA184" s="47">
        <v>2369.7965469615324</v>
      </c>
    </row>
    <row r="185" spans="42:53" x14ac:dyDescent="0.5">
      <c r="AP185"/>
      <c r="AQ185"/>
      <c r="AT185"/>
      <c r="AU185"/>
      <c r="AV185"/>
      <c r="AY185" s="35">
        <v>6299.6514412333336</v>
      </c>
      <c r="AZ185" s="46">
        <v>11113.817494396684</v>
      </c>
      <c r="BA185" s="47">
        <v>279.03704518165029</v>
      </c>
    </row>
    <row r="186" spans="42:53" x14ac:dyDescent="0.5">
      <c r="AP186"/>
      <c r="AQ186"/>
      <c r="AT186"/>
      <c r="AU186"/>
      <c r="AV186"/>
      <c r="AY186" s="35">
        <v>7354.9262760442862</v>
      </c>
      <c r="AZ186" s="46">
        <v>-3314.3228058353475</v>
      </c>
      <c r="BA186" s="47">
        <v>5178.4540721438016</v>
      </c>
    </row>
    <row r="187" spans="42:53" x14ac:dyDescent="0.5">
      <c r="AP187"/>
      <c r="AQ187"/>
      <c r="AT187"/>
      <c r="AU187"/>
      <c r="AV187"/>
      <c r="AY187" s="35">
        <v>965.03421063404198</v>
      </c>
      <c r="AZ187" s="46">
        <v>-5462.7919212337811</v>
      </c>
      <c r="BA187" s="47">
        <v>4685.977287502019</v>
      </c>
    </row>
    <row r="188" spans="42:53" x14ac:dyDescent="0.5">
      <c r="AP188"/>
      <c r="AQ188"/>
      <c r="AT188"/>
      <c r="AU188"/>
      <c r="AV188"/>
      <c r="AY188" s="35">
        <v>-1642.2518673290674</v>
      </c>
      <c r="AZ188" s="46">
        <v>-1808.678186892538</v>
      </c>
      <c r="BA188" s="47">
        <v>1532.2300166316925</v>
      </c>
    </row>
    <row r="189" spans="42:53" x14ac:dyDescent="0.5">
      <c r="AP189"/>
      <c r="AQ189"/>
      <c r="AT189"/>
      <c r="AU189"/>
      <c r="AV189"/>
      <c r="AY189" s="35">
        <v>3283.6114996932624</v>
      </c>
      <c r="AZ189" s="46">
        <v>-3690.5134962134189</v>
      </c>
      <c r="BA189" s="47">
        <v>12064.839123887463</v>
      </c>
    </row>
    <row r="190" spans="42:53" x14ac:dyDescent="0.5">
      <c r="AP190"/>
      <c r="AQ190"/>
      <c r="AT190"/>
      <c r="AU190"/>
      <c r="AV190"/>
      <c r="AY190" s="35">
        <v>2529.1361502743007</v>
      </c>
      <c r="AZ190" s="46">
        <v>-4004.7359409039464</v>
      </c>
      <c r="BA190" s="47">
        <v>7755.4187458116612</v>
      </c>
    </row>
    <row r="191" spans="42:53" x14ac:dyDescent="0.5">
      <c r="AP191"/>
      <c r="AQ191"/>
      <c r="AT191"/>
      <c r="AU191"/>
      <c r="AV191"/>
      <c r="AY191" s="35">
        <v>608.21073674332001</v>
      </c>
      <c r="AZ191" s="46">
        <v>-1565.5398368262424</v>
      </c>
      <c r="BA191" s="47">
        <v>187.78453516318552</v>
      </c>
    </row>
    <row r="192" spans="42:53" x14ac:dyDescent="0.5">
      <c r="AP192"/>
      <c r="AQ192"/>
      <c r="AT192"/>
      <c r="AU192"/>
      <c r="AV192"/>
      <c r="AY192" s="35">
        <v>2837.4739628421885</v>
      </c>
      <c r="AZ192" s="46">
        <v>-1740.3503413301535</v>
      </c>
      <c r="BA192" s="47">
        <v>596.96298306136055</v>
      </c>
    </row>
    <row r="193" spans="42:53" x14ac:dyDescent="0.5">
      <c r="AP193"/>
      <c r="AQ193"/>
      <c r="AT193"/>
      <c r="AU193"/>
      <c r="AV193"/>
      <c r="AY193" s="35">
        <v>6592.8941493977818</v>
      </c>
      <c r="AZ193" s="46">
        <v>-4030.9129115063452</v>
      </c>
      <c r="BA193" s="47">
        <v>-1583.8881807885352</v>
      </c>
    </row>
    <row r="194" spans="42:53" x14ac:dyDescent="0.5">
      <c r="AP194"/>
      <c r="AQ194"/>
      <c r="AT194"/>
      <c r="AU194"/>
      <c r="AV194"/>
      <c r="AY194" s="35">
        <v>-1137.4979192695851</v>
      </c>
      <c r="AZ194" s="46">
        <v>-1361.2516640472916</v>
      </c>
      <c r="BA194" s="47">
        <v>-317.40339927138012</v>
      </c>
    </row>
    <row r="195" spans="42:53" x14ac:dyDescent="0.5">
      <c r="AP195"/>
      <c r="AQ195"/>
      <c r="AT195"/>
      <c r="AU195"/>
      <c r="AV195"/>
      <c r="AY195" s="35">
        <v>-1931.9014732262742</v>
      </c>
      <c r="AZ195" s="46">
        <v>-1278.5919126694448</v>
      </c>
      <c r="BA195" s="47">
        <v>3188.9013389114716</v>
      </c>
    </row>
    <row r="196" spans="42:53" x14ac:dyDescent="0.5">
      <c r="AP196"/>
      <c r="AQ196"/>
      <c r="AT196"/>
      <c r="AU196"/>
      <c r="AV196"/>
      <c r="AY196" s="35">
        <v>760.82153099298068</v>
      </c>
      <c r="AZ196" s="46">
        <v>15895.412324439329</v>
      </c>
      <c r="BA196" s="47">
        <v>77.147027376515567</v>
      </c>
    </row>
    <row r="197" spans="42:53" x14ac:dyDescent="0.5">
      <c r="AP197"/>
      <c r="AQ197"/>
      <c r="AT197"/>
      <c r="AU197"/>
      <c r="AV197"/>
      <c r="AY197" s="35">
        <v>3338.3387695033439</v>
      </c>
      <c r="AZ197" s="46">
        <v>-1984.9535996160821</v>
      </c>
      <c r="BA197" s="47">
        <v>6541.0940558393504</v>
      </c>
    </row>
    <row r="198" spans="42:53" x14ac:dyDescent="0.5">
      <c r="AP198"/>
      <c r="AQ198"/>
      <c r="AT198"/>
      <c r="AU198"/>
      <c r="AV198"/>
      <c r="AY198" s="35">
        <v>6520.1664779001094</v>
      </c>
      <c r="AZ198" s="46">
        <v>4092.9395949026243</v>
      </c>
      <c r="BA198" s="47">
        <v>1508.5694779120524</v>
      </c>
    </row>
    <row r="199" spans="42:53" x14ac:dyDescent="0.5">
      <c r="AP199"/>
      <c r="AQ199"/>
      <c r="AT199"/>
      <c r="AU199"/>
      <c r="AV199"/>
      <c r="AY199" s="35">
        <v>3286.138183534254</v>
      </c>
      <c r="AZ199" s="46">
        <v>-511.43153336765391</v>
      </c>
      <c r="BA199" s="47">
        <v>13907.160703063568</v>
      </c>
    </row>
    <row r="200" spans="42:53" x14ac:dyDescent="0.5">
      <c r="AP200"/>
      <c r="AQ200"/>
      <c r="AT200"/>
      <c r="AU200"/>
      <c r="AV200"/>
      <c r="AY200" s="35">
        <v>2854.3998021707266</v>
      </c>
      <c r="AZ200" s="46">
        <v>4074.2090336309398</v>
      </c>
      <c r="BA200" s="47">
        <v>2071.009090746858</v>
      </c>
    </row>
    <row r="201" spans="42:53" x14ac:dyDescent="0.5">
      <c r="AP201"/>
      <c r="AQ201"/>
      <c r="AT201"/>
      <c r="AU201"/>
      <c r="AV201"/>
      <c r="AY201" s="35">
        <v>171.93153607552244</v>
      </c>
      <c r="AZ201" s="46">
        <v>-732.96567436374573</v>
      </c>
      <c r="BA201" s="47">
        <v>4361.9208722080821</v>
      </c>
    </row>
    <row r="202" spans="42:53" x14ac:dyDescent="0.5">
      <c r="AP202"/>
      <c r="AQ202"/>
      <c r="AT202"/>
      <c r="AU202"/>
      <c r="AV202"/>
      <c r="AY202" s="35">
        <v>6171.3268204892593</v>
      </c>
      <c r="AZ202" s="46">
        <v>1503.4383426342808</v>
      </c>
      <c r="BA202" s="47">
        <v>1742.6194043110947</v>
      </c>
    </row>
    <row r="203" spans="42:53" x14ac:dyDescent="0.5">
      <c r="AP203"/>
      <c r="AQ203"/>
      <c r="AT203"/>
      <c r="AU203"/>
      <c r="AV203"/>
      <c r="AY203" s="35">
        <v>-1088.5885061392717</v>
      </c>
      <c r="AZ203" s="46">
        <v>2591.7022617701182</v>
      </c>
      <c r="BA203" s="47">
        <v>5207.5886064854585</v>
      </c>
    </row>
    <row r="204" spans="42:53" x14ac:dyDescent="0.5">
      <c r="AP204"/>
      <c r="AQ204"/>
      <c r="AT204"/>
      <c r="AU204"/>
      <c r="AV204"/>
      <c r="AY204" s="35">
        <v>-850.34809416474309</v>
      </c>
      <c r="AZ204" s="46">
        <v>-1012.7912888105227</v>
      </c>
      <c r="BA204" s="47">
        <v>3782.791237377281</v>
      </c>
    </row>
    <row r="205" spans="42:53" x14ac:dyDescent="0.5">
      <c r="AP205"/>
      <c r="AQ205"/>
      <c r="AT205"/>
      <c r="AU205"/>
      <c r="AV205"/>
      <c r="AY205" s="35">
        <v>2402.5494132821236</v>
      </c>
      <c r="AZ205" s="46">
        <v>1510.0348099352702</v>
      </c>
      <c r="BA205" s="47">
        <v>2164.3980632318303</v>
      </c>
    </row>
    <row r="206" spans="42:53" x14ac:dyDescent="0.5">
      <c r="AP206"/>
      <c r="AQ206"/>
      <c r="AT206"/>
      <c r="AU206"/>
      <c r="AV206"/>
      <c r="AY206" s="35">
        <v>6305.5271873670745</v>
      </c>
      <c r="AZ206" s="46">
        <v>-1874.8473903646006</v>
      </c>
      <c r="BA206" s="47">
        <v>3227.124522744049</v>
      </c>
    </row>
    <row r="207" spans="42:53" x14ac:dyDescent="0.5">
      <c r="AP207"/>
      <c r="AQ207"/>
      <c r="AT207"/>
      <c r="AU207"/>
      <c r="AV207"/>
      <c r="AY207" s="35">
        <v>3873.6296153593139</v>
      </c>
      <c r="AZ207" s="46">
        <v>-521.49083922357556</v>
      </c>
      <c r="BA207" s="47">
        <v>6664.0426096434367</v>
      </c>
    </row>
    <row r="208" spans="42:53" x14ac:dyDescent="0.5">
      <c r="AP208"/>
      <c r="AQ208"/>
      <c r="AT208"/>
      <c r="AU208"/>
      <c r="AV208"/>
      <c r="AY208" s="35">
        <v>7537.1095720250578</v>
      </c>
      <c r="AZ208" s="46">
        <v>-3874.1816403128864</v>
      </c>
      <c r="BA208" s="47">
        <v>10539.077735655677</v>
      </c>
    </row>
    <row r="209" spans="42:53" x14ac:dyDescent="0.5">
      <c r="AP209"/>
      <c r="AQ209"/>
      <c r="AT209"/>
      <c r="AU209"/>
      <c r="AV209"/>
      <c r="AY209" s="35">
        <v>2842.9549460280887</v>
      </c>
      <c r="AZ209" s="46">
        <v>3397.4052665553518</v>
      </c>
      <c r="BA209" s="47">
        <v>2219.3241472542181</v>
      </c>
    </row>
    <row r="210" spans="42:53" x14ac:dyDescent="0.5">
      <c r="AP210"/>
      <c r="AQ210"/>
      <c r="AT210"/>
      <c r="AU210"/>
      <c r="AV210"/>
      <c r="AY210" s="35">
        <v>409.04370534747881</v>
      </c>
      <c r="AZ210" s="46">
        <v>-3456.1775676728316</v>
      </c>
      <c r="BA210" s="47">
        <v>6553.5334612443685</v>
      </c>
    </row>
    <row r="211" spans="42:53" x14ac:dyDescent="0.5">
      <c r="AP211"/>
      <c r="AQ211"/>
      <c r="AT211"/>
      <c r="AU211"/>
      <c r="AV211"/>
      <c r="AY211" s="35">
        <v>-2370.590664183158</v>
      </c>
      <c r="AZ211" s="46">
        <v>-1268.0022349531271</v>
      </c>
      <c r="BA211" s="47">
        <v>2243.1636007160023</v>
      </c>
    </row>
    <row r="212" spans="42:53" x14ac:dyDescent="0.5">
      <c r="AP212"/>
      <c r="AQ212"/>
      <c r="AT212"/>
      <c r="AU212"/>
      <c r="AV212"/>
      <c r="AY212" s="35">
        <v>4874.1036767334763</v>
      </c>
      <c r="AZ212" s="46">
        <v>-381.60699456217361</v>
      </c>
      <c r="BA212" s="47">
        <v>9951.2776355397491</v>
      </c>
    </row>
    <row r="213" spans="42:53" x14ac:dyDescent="0.5">
      <c r="AP213"/>
      <c r="AQ213"/>
      <c r="AT213"/>
      <c r="AU213"/>
      <c r="AV213"/>
      <c r="AY213" s="35">
        <v>2538.5124513674073</v>
      </c>
      <c r="AZ213" s="46">
        <v>-3230.0908482262134</v>
      </c>
      <c r="BA213" s="47">
        <v>-140.7931318633552</v>
      </c>
    </row>
    <row r="214" spans="42:53" x14ac:dyDescent="0.5">
      <c r="AP214"/>
      <c r="AQ214"/>
      <c r="AT214"/>
      <c r="AU214"/>
      <c r="AV214"/>
      <c r="AY214" s="35">
        <v>6366.9344398194708</v>
      </c>
      <c r="AZ214" s="46">
        <v>20260.697456990343</v>
      </c>
      <c r="BA214" s="47">
        <v>10558.480229565957</v>
      </c>
    </row>
    <row r="215" spans="42:53" x14ac:dyDescent="0.5">
      <c r="AP215"/>
      <c r="AQ215"/>
      <c r="AT215"/>
      <c r="AU215"/>
      <c r="AV215"/>
      <c r="AY215" s="35">
        <v>2825.2220602383964</v>
      </c>
      <c r="AZ215" s="46">
        <v>-2942.0578394390436</v>
      </c>
      <c r="BA215" s="47">
        <v>7361.8538182172906</v>
      </c>
    </row>
    <row r="216" spans="42:53" x14ac:dyDescent="0.5">
      <c r="AP216"/>
      <c r="AQ216"/>
      <c r="AT216"/>
      <c r="AU216"/>
      <c r="AV216"/>
      <c r="AY216" s="35">
        <v>1442.5078285586746</v>
      </c>
      <c r="AZ216" s="46">
        <v>532.93453138950144</v>
      </c>
      <c r="BA216" s="47">
        <v>6072.2645811764842</v>
      </c>
    </row>
    <row r="217" spans="42:53" x14ac:dyDescent="0.5">
      <c r="AP217"/>
      <c r="AQ217"/>
      <c r="AT217"/>
      <c r="AU217"/>
      <c r="AV217"/>
      <c r="AY217" s="35">
        <v>1644.5682772806924</v>
      </c>
      <c r="AZ217" s="46">
        <v>-4886.4724750310788</v>
      </c>
      <c r="BA217" s="47">
        <v>9521.7178836568728</v>
      </c>
    </row>
    <row r="218" spans="42:53" x14ac:dyDescent="0.5">
      <c r="AP218"/>
      <c r="AQ218"/>
      <c r="AT218"/>
      <c r="AU218"/>
      <c r="AV218"/>
      <c r="AY218" s="35">
        <v>3105.5716903629195</v>
      </c>
      <c r="AZ218" s="46">
        <v>7894.9356344357484</v>
      </c>
      <c r="BA218" s="47">
        <v>3295.4615804627379</v>
      </c>
    </row>
    <row r="219" spans="42:53" x14ac:dyDescent="0.5">
      <c r="AP219"/>
      <c r="AQ219"/>
      <c r="AT219"/>
      <c r="AU219"/>
      <c r="AV219"/>
      <c r="AY219" s="35">
        <v>-960.15610580666328</v>
      </c>
      <c r="AZ219" s="46">
        <v>-4600.1399052697716</v>
      </c>
      <c r="BA219" s="47">
        <v>9170.7784183452695</v>
      </c>
    </row>
    <row r="220" spans="42:53" x14ac:dyDescent="0.5">
      <c r="AP220"/>
      <c r="AQ220"/>
      <c r="AT220"/>
      <c r="AU220"/>
      <c r="AV220"/>
      <c r="AY220" s="35">
        <v>-1769.4641382073521</v>
      </c>
      <c r="AZ220" s="46">
        <v>1417.2817036028353</v>
      </c>
      <c r="BA220" s="47">
        <v>-493.2923419997669</v>
      </c>
    </row>
    <row r="221" spans="42:53" x14ac:dyDescent="0.5">
      <c r="AP221"/>
      <c r="AQ221"/>
      <c r="AT221"/>
      <c r="AU221"/>
      <c r="AV221"/>
      <c r="AY221" s="35">
        <v>-1931.150709048625</v>
      </c>
      <c r="AZ221" s="46">
        <v>-885.28067714594329</v>
      </c>
      <c r="BA221" s="47">
        <v>6685.6869532547626</v>
      </c>
    </row>
    <row r="222" spans="42:53" x14ac:dyDescent="0.5">
      <c r="AP222"/>
      <c r="AQ222"/>
      <c r="AT222"/>
      <c r="AU222"/>
      <c r="AV222"/>
      <c r="AY222" s="35">
        <v>2875.5830351158866</v>
      </c>
      <c r="AZ222" s="46">
        <v>-4558.6081095482696</v>
      </c>
      <c r="BA222" s="47">
        <v>12879.294311743033</v>
      </c>
    </row>
    <row r="223" spans="42:53" x14ac:dyDescent="0.5">
      <c r="AP223"/>
      <c r="AQ223"/>
      <c r="AT223"/>
      <c r="AU223"/>
      <c r="AV223"/>
      <c r="AY223" s="35">
        <v>5328.6385342465201</v>
      </c>
      <c r="AZ223" s="46">
        <v>-5115.6529215315013</v>
      </c>
      <c r="BA223" s="47">
        <v>2118.5441354926284</v>
      </c>
    </row>
    <row r="224" spans="42:53" x14ac:dyDescent="0.5">
      <c r="AP224"/>
      <c r="AQ224"/>
      <c r="AT224"/>
      <c r="AU224"/>
      <c r="AV224"/>
      <c r="AY224" s="35">
        <v>2862.4330217304037</v>
      </c>
      <c r="AZ224" s="46">
        <v>-5152.9127846993188</v>
      </c>
      <c r="BA224" s="47">
        <v>4769.2881102632946</v>
      </c>
    </row>
    <row r="225" spans="42:53" x14ac:dyDescent="0.5">
      <c r="AP225"/>
      <c r="AQ225"/>
      <c r="AT225"/>
      <c r="AU225"/>
      <c r="AV225"/>
      <c r="AY225" s="35">
        <v>-672.97978903680439</v>
      </c>
      <c r="AZ225" s="46">
        <v>-855.27561739511248</v>
      </c>
      <c r="BA225" s="47">
        <v>11041.161831426341</v>
      </c>
    </row>
    <row r="226" spans="42:53" x14ac:dyDescent="0.5">
      <c r="AP226"/>
      <c r="AQ226"/>
      <c r="AT226"/>
      <c r="AU226"/>
      <c r="AV226"/>
      <c r="AY226" s="35">
        <v>5684.0142143583716</v>
      </c>
      <c r="AZ226" s="46">
        <v>-2416.7329444631137</v>
      </c>
      <c r="BA226" s="47">
        <v>8923.7094646575806</v>
      </c>
    </row>
    <row r="227" spans="42:53" x14ac:dyDescent="0.5">
      <c r="AP227"/>
      <c r="AQ227"/>
      <c r="AT227"/>
      <c r="AU227"/>
      <c r="AV227"/>
      <c r="AY227" s="35">
        <v>-2071.9318210156389</v>
      </c>
      <c r="AZ227" s="46">
        <v>-1053.1606155522204</v>
      </c>
      <c r="BA227" s="47">
        <v>1131.3357995756398</v>
      </c>
    </row>
    <row r="228" spans="42:53" x14ac:dyDescent="0.5">
      <c r="AP228"/>
      <c r="AQ228"/>
      <c r="AT228"/>
      <c r="AU228"/>
      <c r="AV228"/>
      <c r="AY228" s="35">
        <v>-295.60637588388039</v>
      </c>
      <c r="AZ228" s="46">
        <v>-3480.2869004228719</v>
      </c>
      <c r="BA228" s="47">
        <v>9893.5129733895828</v>
      </c>
    </row>
    <row r="229" spans="42:53" x14ac:dyDescent="0.5">
      <c r="AP229"/>
      <c r="AQ229"/>
      <c r="AT229"/>
      <c r="AU229"/>
      <c r="AV229"/>
      <c r="AY229" s="35">
        <v>258.72475413394278</v>
      </c>
      <c r="AZ229" s="46">
        <v>5360.1219324939502</v>
      </c>
      <c r="BA229" s="47">
        <v>357.4606098834991</v>
      </c>
    </row>
    <row r="230" spans="42:53" x14ac:dyDescent="0.5">
      <c r="AP230"/>
      <c r="AQ230"/>
      <c r="AT230"/>
      <c r="AU230"/>
      <c r="AV230"/>
      <c r="AY230" s="35">
        <v>3963.4403742570944</v>
      </c>
      <c r="AZ230" s="46">
        <v>-699.24828545451533</v>
      </c>
      <c r="BA230" s="47">
        <v>-1441.8516889962614</v>
      </c>
    </row>
    <row r="231" spans="42:53" x14ac:dyDescent="0.5">
      <c r="AP231"/>
      <c r="AQ231"/>
      <c r="AT231"/>
      <c r="AU231"/>
      <c r="AV231"/>
      <c r="AY231" s="35">
        <v>988.41055268134937</v>
      </c>
      <c r="AZ231" s="46">
        <v>-3010.5529364772656</v>
      </c>
      <c r="BA231" s="47">
        <v>1484.3147404289432</v>
      </c>
    </row>
    <row r="232" spans="42:53" x14ac:dyDescent="0.5">
      <c r="AP232"/>
      <c r="AQ232"/>
      <c r="AT232"/>
      <c r="AU232"/>
      <c r="AV232"/>
      <c r="AY232" s="35">
        <v>5183.1367579818161</v>
      </c>
      <c r="AZ232" s="46">
        <v>346.48873979124772</v>
      </c>
      <c r="BA232" s="47">
        <v>4719.9509082596305</v>
      </c>
    </row>
    <row r="233" spans="42:53" x14ac:dyDescent="0.5">
      <c r="AP233"/>
      <c r="AQ233"/>
      <c r="AT233"/>
      <c r="AU233"/>
      <c r="AV233"/>
      <c r="AY233" s="35">
        <v>-795.33886489607971</v>
      </c>
      <c r="AZ233" s="46">
        <v>12318.068150629251</v>
      </c>
      <c r="BA233" s="47">
        <v>6664.9624472277465</v>
      </c>
    </row>
    <row r="234" spans="42:53" x14ac:dyDescent="0.5">
      <c r="AP234"/>
      <c r="AQ234"/>
      <c r="AT234"/>
      <c r="AU234"/>
      <c r="AV234"/>
      <c r="AY234" s="35">
        <v>-1195.6346896376883</v>
      </c>
      <c r="AZ234" s="46">
        <v>-216.79955982826129</v>
      </c>
      <c r="BA234" s="47">
        <v>4597.8625773594576</v>
      </c>
    </row>
    <row r="235" spans="42:53" x14ac:dyDescent="0.5">
      <c r="AP235"/>
      <c r="AQ235"/>
      <c r="AT235"/>
      <c r="AU235"/>
      <c r="AV235"/>
      <c r="AY235" s="35">
        <v>6342.0494452152225</v>
      </c>
      <c r="AZ235" s="46">
        <v>-678.57910038803436</v>
      </c>
      <c r="BA235" s="47">
        <v>10225.202480806263</v>
      </c>
    </row>
    <row r="236" spans="42:53" x14ac:dyDescent="0.5">
      <c r="AP236"/>
      <c r="AQ236"/>
      <c r="AT236"/>
      <c r="AU236"/>
      <c r="AV236"/>
      <c r="AY236" s="35">
        <v>1134.3853990731891</v>
      </c>
      <c r="AZ236" s="46">
        <v>8951.9834917496501</v>
      </c>
      <c r="BA236" s="47">
        <v>7010.065366484132</v>
      </c>
    </row>
    <row r="237" spans="42:53" x14ac:dyDescent="0.5">
      <c r="AP237"/>
      <c r="AQ237"/>
      <c r="AT237"/>
      <c r="AU237"/>
      <c r="AV237"/>
      <c r="AY237" s="35">
        <v>4571.5315214563961</v>
      </c>
      <c r="AZ237" s="46">
        <v>-1372.5472249085522</v>
      </c>
      <c r="BA237" s="47">
        <v>3315.1354833145861</v>
      </c>
    </row>
    <row r="238" spans="42:53" x14ac:dyDescent="0.5">
      <c r="AP238"/>
      <c r="AQ238"/>
      <c r="AT238"/>
      <c r="AU238"/>
      <c r="AV238"/>
      <c r="AY238" s="35">
        <v>725.69145367564386</v>
      </c>
      <c r="AZ238" s="46">
        <v>-3288.6331721932447</v>
      </c>
      <c r="BA238" s="47">
        <v>3170.8106255309731</v>
      </c>
    </row>
    <row r="239" spans="42:53" x14ac:dyDescent="0.5">
      <c r="AP239"/>
      <c r="AQ239"/>
      <c r="AT239"/>
      <c r="AU239"/>
      <c r="AV239"/>
      <c r="AY239" s="35">
        <v>6882.935015040086</v>
      </c>
      <c r="AZ239" s="46">
        <v>2406.3230769424808</v>
      </c>
      <c r="BA239" s="47">
        <v>1672.9025867223336</v>
      </c>
    </row>
    <row r="240" spans="42:53" x14ac:dyDescent="0.5">
      <c r="AP240"/>
      <c r="AQ240"/>
      <c r="AT240"/>
      <c r="AU240"/>
      <c r="AV240"/>
      <c r="AY240" s="35">
        <v>1377.9074908474227</v>
      </c>
      <c r="AZ240" s="46">
        <v>6461.506511257905</v>
      </c>
      <c r="BA240" s="47">
        <v>3419.5144337404513</v>
      </c>
    </row>
    <row r="241" spans="42:53" x14ac:dyDescent="0.5">
      <c r="AP241"/>
      <c r="AQ241"/>
      <c r="AT241"/>
      <c r="AU241"/>
      <c r="AV241"/>
      <c r="AY241" s="35">
        <v>4499.3835914551855</v>
      </c>
      <c r="AZ241" s="46">
        <v>-1774.2016757869526</v>
      </c>
      <c r="BA241" s="47">
        <v>3355.9827490932335</v>
      </c>
    </row>
    <row r="242" spans="42:53" x14ac:dyDescent="0.5">
      <c r="AP242"/>
      <c r="AQ242"/>
      <c r="AT242"/>
      <c r="AU242"/>
      <c r="AV242"/>
      <c r="AY242" s="35">
        <v>7756.4391131716129</v>
      </c>
      <c r="AZ242" s="46">
        <v>-1506.8351622945115</v>
      </c>
      <c r="BA242" s="47">
        <v>1264.3564863868801</v>
      </c>
    </row>
    <row r="243" spans="42:53" x14ac:dyDescent="0.5">
      <c r="AP243"/>
      <c r="AQ243"/>
      <c r="AT243"/>
      <c r="AU243"/>
      <c r="AV243"/>
      <c r="AY243" s="35">
        <v>752.77147923958773</v>
      </c>
      <c r="AZ243" s="46">
        <v>-1347.6043926987393</v>
      </c>
      <c r="BA243" s="47">
        <v>5044.3345598853921</v>
      </c>
    </row>
    <row r="244" spans="42:53" x14ac:dyDescent="0.5">
      <c r="AP244"/>
      <c r="AQ244"/>
      <c r="AT244"/>
      <c r="AU244"/>
      <c r="AV244"/>
      <c r="AY244" s="35">
        <v>4264.9029988145385</v>
      </c>
      <c r="AZ244" s="46">
        <v>2789.070096732713</v>
      </c>
      <c r="BA244" s="47">
        <v>-1211.1626671985255</v>
      </c>
    </row>
    <row r="245" spans="42:53" x14ac:dyDescent="0.5">
      <c r="AP245"/>
      <c r="AQ245"/>
      <c r="AT245"/>
      <c r="AU245"/>
      <c r="AV245"/>
      <c r="AY245" s="35">
        <v>4927.3961507474705</v>
      </c>
      <c r="AZ245" s="46">
        <v>4187.0917821607991</v>
      </c>
      <c r="BA245" s="47">
        <v>3733.0202915388004</v>
      </c>
    </row>
    <row r="246" spans="42:53" x14ac:dyDescent="0.5">
      <c r="AP246"/>
      <c r="AQ246"/>
      <c r="AT246"/>
      <c r="AU246"/>
      <c r="AV246"/>
      <c r="AY246" s="35">
        <v>6530.0684748522017</v>
      </c>
      <c r="AZ246" s="46">
        <v>-508.40667161253026</v>
      </c>
      <c r="BA246" s="47">
        <v>368.31263907678982</v>
      </c>
    </row>
    <row r="247" spans="42:53" x14ac:dyDescent="0.5">
      <c r="AP247"/>
      <c r="AQ247"/>
      <c r="AT247"/>
      <c r="AU247"/>
      <c r="AV247"/>
      <c r="AY247" s="35">
        <v>3240.4927571691637</v>
      </c>
      <c r="AZ247" s="46">
        <v>581.66166650097512</v>
      </c>
      <c r="BA247" s="47">
        <v>329.83497858431843</v>
      </c>
    </row>
    <row r="248" spans="42:53" x14ac:dyDescent="0.5">
      <c r="AP248"/>
      <c r="AQ248"/>
      <c r="AT248"/>
      <c r="AU248"/>
      <c r="AV248"/>
      <c r="AY248" s="35">
        <v>3016.3382965424753</v>
      </c>
      <c r="AZ248" s="46">
        <v>13930.432200692976</v>
      </c>
      <c r="BA248" s="47">
        <v>478.74838707117459</v>
      </c>
    </row>
    <row r="249" spans="42:53" x14ac:dyDescent="0.5">
      <c r="AP249"/>
      <c r="AQ249"/>
      <c r="AT249"/>
      <c r="AU249"/>
      <c r="AV249"/>
      <c r="AY249" s="35">
        <v>7243.6239154439072</v>
      </c>
      <c r="AZ249" s="46">
        <v>-2875.4451166976619</v>
      </c>
      <c r="BA249" s="47">
        <v>7852.3244299254748</v>
      </c>
    </row>
    <row r="250" spans="42:53" x14ac:dyDescent="0.5">
      <c r="AP250"/>
      <c r="AQ250"/>
      <c r="AT250"/>
      <c r="AU250"/>
      <c r="AV250"/>
      <c r="AY250" s="35">
        <v>2319.5084084261425</v>
      </c>
      <c r="AZ250" s="46">
        <v>199.3772717827257</v>
      </c>
      <c r="BA250" s="47">
        <v>8179.0349397389718</v>
      </c>
    </row>
    <row r="251" spans="42:53" x14ac:dyDescent="0.5">
      <c r="AP251"/>
      <c r="AQ251"/>
      <c r="AT251"/>
      <c r="AU251"/>
      <c r="AV251"/>
      <c r="AY251" s="35">
        <v>3967.0816220825996</v>
      </c>
      <c r="AZ251" s="46">
        <v>-2753.3579264776886</v>
      </c>
      <c r="BA251" s="47">
        <v>7317.9007651669499</v>
      </c>
    </row>
    <row r="252" spans="42:53" x14ac:dyDescent="0.5">
      <c r="AP252"/>
      <c r="AQ252"/>
      <c r="AT252"/>
      <c r="AU252"/>
      <c r="AV252"/>
      <c r="AY252" s="35">
        <v>7506.0173250533853</v>
      </c>
      <c r="AZ252" s="46">
        <v>-1069.8799162730334</v>
      </c>
      <c r="BA252" s="47">
        <v>4351.6616003801273</v>
      </c>
    </row>
    <row r="253" spans="42:53" x14ac:dyDescent="0.5">
      <c r="AP253"/>
      <c r="AQ253"/>
      <c r="AT253"/>
      <c r="AU253"/>
      <c r="AV253"/>
      <c r="AY253" s="35">
        <v>2610.3582065976839</v>
      </c>
      <c r="AZ253" s="46">
        <v>-4141.5585637128906</v>
      </c>
      <c r="BA253" s="47">
        <v>11132.090440242639</v>
      </c>
    </row>
    <row r="254" spans="42:53" x14ac:dyDescent="0.5">
      <c r="AP254"/>
      <c r="AQ254"/>
      <c r="AT254"/>
      <c r="AU254"/>
      <c r="AV254"/>
      <c r="AY254" s="35">
        <v>5390.8628288943992</v>
      </c>
      <c r="AZ254" s="46">
        <v>-4287.1256189764235</v>
      </c>
      <c r="BA254" s="47">
        <v>6815.5173110458263</v>
      </c>
    </row>
    <row r="255" spans="42:53" x14ac:dyDescent="0.5">
      <c r="AP255"/>
      <c r="AQ255"/>
      <c r="AT255"/>
      <c r="AU255"/>
      <c r="AV255"/>
      <c r="AY255" s="35">
        <v>5890.1585279479932</v>
      </c>
      <c r="AZ255" s="46">
        <v>-3629.4179104899044</v>
      </c>
      <c r="BA255" s="47">
        <v>17297.893661609975</v>
      </c>
    </row>
    <row r="256" spans="42:53" x14ac:dyDescent="0.5">
      <c r="AP256"/>
      <c r="AQ256"/>
      <c r="AT256"/>
      <c r="AU256"/>
      <c r="AV256"/>
      <c r="AY256" s="35">
        <v>-550.89862429222694</v>
      </c>
      <c r="AZ256" s="46">
        <v>-4689.1998831049114</v>
      </c>
      <c r="BA256" s="47">
        <v>987.32867267694405</v>
      </c>
    </row>
    <row r="257" spans="42:53" x14ac:dyDescent="0.5">
      <c r="AP257"/>
      <c r="AQ257"/>
      <c r="AT257"/>
      <c r="AU257"/>
      <c r="AV257"/>
      <c r="AY257" s="35">
        <v>4709.1518798888219</v>
      </c>
      <c r="AZ257" s="46">
        <v>187.90078812066935</v>
      </c>
      <c r="BA257" s="47">
        <v>18.033109185706778</v>
      </c>
    </row>
    <row r="258" spans="42:53" x14ac:dyDescent="0.5">
      <c r="AP258"/>
      <c r="AQ258"/>
      <c r="AT258"/>
      <c r="AU258"/>
      <c r="AV258"/>
      <c r="AY258" s="35">
        <v>5989.9143598288101</v>
      </c>
      <c r="AZ258" s="46">
        <v>8904.5312198787178</v>
      </c>
      <c r="BA258" s="47">
        <v>213.42945517502767</v>
      </c>
    </row>
    <row r="259" spans="42:53" x14ac:dyDescent="0.5">
      <c r="AP259"/>
      <c r="AQ259"/>
      <c r="AT259"/>
      <c r="AU259"/>
      <c r="AV259"/>
      <c r="AY259" s="35">
        <v>-1694.7497550331314</v>
      </c>
      <c r="AZ259" s="46">
        <v>-704.270135336468</v>
      </c>
      <c r="BA259" s="47">
        <v>-777.67119256336673</v>
      </c>
    </row>
    <row r="260" spans="42:53" x14ac:dyDescent="0.5">
      <c r="AP260"/>
      <c r="AQ260"/>
      <c r="AT260"/>
      <c r="AU260"/>
      <c r="AV260"/>
      <c r="AY260" s="35">
        <v>1108.2205310128243</v>
      </c>
      <c r="AZ260" s="46">
        <v>-2301.8287565842606</v>
      </c>
      <c r="BA260" s="47">
        <v>2442.8472461983933</v>
      </c>
    </row>
    <row r="261" spans="42:53" x14ac:dyDescent="0.5">
      <c r="AP261"/>
      <c r="AQ261"/>
      <c r="AT261"/>
      <c r="AU261"/>
      <c r="AV261"/>
      <c r="AY261" s="35">
        <v>7211.9277026132522</v>
      </c>
      <c r="AZ261" s="46">
        <v>5007.6385582034045</v>
      </c>
      <c r="BA261" s="47">
        <v>6070.2287688202714</v>
      </c>
    </row>
    <row r="262" spans="42:53" x14ac:dyDescent="0.5">
      <c r="AP262"/>
      <c r="AQ262"/>
      <c r="AT262"/>
      <c r="AU262"/>
      <c r="AV262"/>
      <c r="AY262" s="35">
        <v>415.72226278130501</v>
      </c>
      <c r="AZ262" s="46">
        <v>4797.777839569123</v>
      </c>
      <c r="BA262" s="47">
        <v>5593.7401680127259</v>
      </c>
    </row>
    <row r="263" spans="42:53" x14ac:dyDescent="0.5">
      <c r="AP263"/>
      <c r="AQ263"/>
      <c r="AT263"/>
      <c r="AU263"/>
      <c r="AV263"/>
      <c r="AY263" s="35">
        <v>5012.7034874246337</v>
      </c>
      <c r="AZ263" s="46">
        <v>2755.0912882758853</v>
      </c>
      <c r="BA263" s="47">
        <v>4906.1555210000388</v>
      </c>
    </row>
    <row r="264" spans="42:53" x14ac:dyDescent="0.5">
      <c r="AP264"/>
      <c r="AQ264"/>
      <c r="AT264"/>
      <c r="AU264"/>
      <c r="AV264"/>
      <c r="AY264" s="35">
        <v>-627.23444425317439</v>
      </c>
      <c r="AZ264" s="46">
        <v>1353.7913536424905</v>
      </c>
      <c r="BA264" s="47">
        <v>6129.6302825637076</v>
      </c>
    </row>
    <row r="265" spans="42:53" x14ac:dyDescent="0.5">
      <c r="AP265"/>
      <c r="AQ265"/>
      <c r="AT265"/>
      <c r="AU265"/>
      <c r="AV265"/>
      <c r="AY265" s="35">
        <v>-2005.8987518624706</v>
      </c>
      <c r="AZ265" s="46">
        <v>7072.0971435683859</v>
      </c>
      <c r="BA265" s="47">
        <v>1626.6016842166348</v>
      </c>
    </row>
    <row r="266" spans="42:53" x14ac:dyDescent="0.5">
      <c r="AP266"/>
      <c r="AQ266"/>
      <c r="AT266"/>
      <c r="AU266"/>
      <c r="AV266"/>
      <c r="AY266" s="35">
        <v>4196.6273650689827</v>
      </c>
      <c r="AZ266" s="46">
        <v>3863.6688494826935</v>
      </c>
      <c r="BA266" s="47">
        <v>-2116.4014621113301</v>
      </c>
    </row>
    <row r="267" spans="42:53" x14ac:dyDescent="0.5">
      <c r="AP267"/>
      <c r="AQ267"/>
      <c r="AT267"/>
      <c r="AU267"/>
      <c r="AV267"/>
      <c r="AY267" s="35">
        <v>7572.2189127312868</v>
      </c>
      <c r="AZ267" s="46">
        <v>-4117.2891866183782</v>
      </c>
      <c r="BA267" s="47">
        <v>3142.43264577134</v>
      </c>
    </row>
    <row r="268" spans="42:53" x14ac:dyDescent="0.5">
      <c r="AP268"/>
      <c r="AQ268"/>
      <c r="AT268"/>
      <c r="AU268"/>
      <c r="AV268"/>
      <c r="AY268" s="35">
        <v>2673.5249357894199</v>
      </c>
      <c r="AZ268" s="46">
        <v>762.0307755062712</v>
      </c>
      <c r="BA268" s="47">
        <v>9931.3889044694915</v>
      </c>
    </row>
    <row r="269" spans="42:53" x14ac:dyDescent="0.5">
      <c r="AP269"/>
      <c r="AQ269"/>
      <c r="AT269"/>
      <c r="AU269"/>
      <c r="AV269"/>
      <c r="AY269" s="35">
        <v>153.79198856724696</v>
      </c>
      <c r="AZ269" s="46">
        <v>-1169.7924121600406</v>
      </c>
      <c r="BA269" s="47">
        <v>1947.3301768969106</v>
      </c>
    </row>
    <row r="270" spans="42:53" x14ac:dyDescent="0.5">
      <c r="AP270"/>
      <c r="AQ270"/>
      <c r="AT270"/>
      <c r="AU270"/>
      <c r="AV270"/>
      <c r="AY270" s="35">
        <v>6512.91836150981</v>
      </c>
      <c r="AZ270" s="46">
        <v>2258.9698534978861</v>
      </c>
      <c r="BA270" s="47">
        <v>6010.0854145823287</v>
      </c>
    </row>
    <row r="271" spans="42:53" x14ac:dyDescent="0.5">
      <c r="AP271"/>
      <c r="AQ271"/>
      <c r="AT271"/>
      <c r="AU271"/>
      <c r="AV271"/>
      <c r="AY271" s="35">
        <v>5639.2145334994193</v>
      </c>
      <c r="AZ271" s="46">
        <v>5466.3111561177147</v>
      </c>
      <c r="BA271" s="47">
        <v>1770.5244719321267</v>
      </c>
    </row>
    <row r="272" spans="42:53" x14ac:dyDescent="0.5">
      <c r="AP272"/>
      <c r="AQ272"/>
      <c r="AT272"/>
      <c r="AU272"/>
      <c r="AV272"/>
      <c r="AY272" s="35">
        <v>2398.9323384247468</v>
      </c>
      <c r="AZ272" s="46">
        <v>2411.2634740219578</v>
      </c>
      <c r="BA272" s="47">
        <v>3131.5445070076826</v>
      </c>
    </row>
    <row r="273" spans="42:53" x14ac:dyDescent="0.5">
      <c r="AP273"/>
      <c r="AQ273"/>
      <c r="AT273"/>
      <c r="AU273"/>
      <c r="AV273"/>
      <c r="AY273" s="35">
        <v>3452.5804584949319</v>
      </c>
      <c r="AZ273" s="46">
        <v>11973.960202174865</v>
      </c>
      <c r="BA273" s="47">
        <v>3748.1592891028849</v>
      </c>
    </row>
    <row r="274" spans="42:53" x14ac:dyDescent="0.5">
      <c r="AP274"/>
      <c r="AQ274"/>
      <c r="AT274"/>
      <c r="AU274"/>
      <c r="AV274"/>
      <c r="AY274" s="35">
        <v>4244.5273423822518</v>
      </c>
      <c r="AZ274" s="46">
        <v>-3594.8120657527129</v>
      </c>
      <c r="BA274" s="47">
        <v>258.38253805317476</v>
      </c>
    </row>
    <row r="275" spans="42:53" x14ac:dyDescent="0.5">
      <c r="AP275"/>
      <c r="AQ275"/>
      <c r="AT275"/>
      <c r="AU275"/>
      <c r="AV275"/>
      <c r="AY275" s="35">
        <v>7153.5402867928151</v>
      </c>
      <c r="AZ275" s="46">
        <v>-2166.3847290110625</v>
      </c>
      <c r="BA275" s="47">
        <v>7674.6428487281837</v>
      </c>
    </row>
    <row r="276" spans="42:53" x14ac:dyDescent="0.5">
      <c r="AP276"/>
      <c r="AQ276"/>
      <c r="AT276"/>
      <c r="AU276"/>
      <c r="AV276"/>
      <c r="AY276" s="35">
        <v>-801.95804921069998</v>
      </c>
      <c r="AZ276" s="46">
        <v>-2669.8289131770825</v>
      </c>
      <c r="BA276" s="47">
        <v>7503.8827494674979</v>
      </c>
    </row>
    <row r="277" spans="42:53" x14ac:dyDescent="0.5">
      <c r="AP277"/>
      <c r="AQ277"/>
      <c r="AT277"/>
      <c r="AU277"/>
      <c r="AV277"/>
      <c r="AY277" s="35">
        <v>6642.0880019486876</v>
      </c>
      <c r="AZ277" s="46">
        <v>-2145.1211183836622</v>
      </c>
      <c r="BA277" s="47">
        <v>5160.4752951796618</v>
      </c>
    </row>
    <row r="278" spans="42:53" x14ac:dyDescent="0.5">
      <c r="AP278"/>
      <c r="AQ278"/>
      <c r="AT278"/>
      <c r="AU278"/>
      <c r="AV278"/>
      <c r="AY278" s="35">
        <v>-1627.4944419236735</v>
      </c>
      <c r="AZ278" s="46">
        <v>1261.9244464427609</v>
      </c>
      <c r="BA278" s="47">
        <v>9331.4785496206314</v>
      </c>
    </row>
    <row r="279" spans="42:53" x14ac:dyDescent="0.5">
      <c r="AP279"/>
      <c r="AQ279"/>
      <c r="AT279"/>
      <c r="AU279"/>
      <c r="AV279"/>
      <c r="AY279" s="35">
        <v>7216.5855255025672</v>
      </c>
      <c r="AZ279" s="46">
        <v>2051.9706469573994</v>
      </c>
      <c r="BA279" s="47">
        <v>9724.1631454347189</v>
      </c>
    </row>
    <row r="280" spans="42:53" x14ac:dyDescent="0.5">
      <c r="AP280"/>
      <c r="AQ280"/>
      <c r="AT280"/>
      <c r="AU280"/>
      <c r="AV280"/>
      <c r="AY280" s="35">
        <v>5843.0558074030578</v>
      </c>
      <c r="AZ280" s="46">
        <v>5426.3514498631812</v>
      </c>
      <c r="BA280" s="47">
        <v>725.94035938195043</v>
      </c>
    </row>
    <row r="281" spans="42:53" x14ac:dyDescent="0.5">
      <c r="AP281"/>
      <c r="AQ281"/>
      <c r="AT281"/>
      <c r="AU281"/>
      <c r="AV281"/>
      <c r="AY281" s="35">
        <v>-724.12176839552615</v>
      </c>
      <c r="AZ281" s="46">
        <v>-1305.3948509268487</v>
      </c>
      <c r="BA281" s="47">
        <v>1787.7521488677257</v>
      </c>
    </row>
    <row r="282" spans="42:53" x14ac:dyDescent="0.5">
      <c r="AP282"/>
      <c r="AQ282"/>
      <c r="AT282"/>
      <c r="AU282"/>
      <c r="AV282"/>
      <c r="AY282" s="35">
        <v>3714.5574295437605</v>
      </c>
      <c r="AZ282" s="46">
        <v>-1472.6663653806986</v>
      </c>
      <c r="BA282" s="47">
        <v>6236.6657597673429</v>
      </c>
    </row>
    <row r="283" spans="42:53" x14ac:dyDescent="0.5">
      <c r="AP283"/>
      <c r="AQ283"/>
      <c r="AT283"/>
      <c r="AU283"/>
      <c r="AV283"/>
      <c r="AY283" s="35">
        <v>5073.3496586161855</v>
      </c>
      <c r="AZ283" s="46">
        <v>12810.184584340408</v>
      </c>
      <c r="BA283" s="47">
        <v>3892.0483371116434</v>
      </c>
    </row>
    <row r="284" spans="42:53" x14ac:dyDescent="0.5">
      <c r="AP284"/>
      <c r="AQ284"/>
      <c r="AT284"/>
      <c r="AU284"/>
      <c r="AV284"/>
      <c r="AY284" s="35">
        <v>3941.2957384135539</v>
      </c>
      <c r="AZ284" s="46">
        <v>2074.9840628818506</v>
      </c>
      <c r="BA284" s="47">
        <v>2715.1101172331382</v>
      </c>
    </row>
    <row r="285" spans="42:53" x14ac:dyDescent="0.5">
      <c r="AP285"/>
      <c r="AQ285"/>
      <c r="AT285"/>
      <c r="AU285"/>
      <c r="AV285"/>
      <c r="AY285" s="35">
        <v>1814.3039329461142</v>
      </c>
      <c r="AZ285" s="46">
        <v>-962.95295914185863</v>
      </c>
      <c r="BA285" s="47">
        <v>4629.5601967323928</v>
      </c>
    </row>
    <row r="286" spans="42:53" x14ac:dyDescent="0.5">
      <c r="AP286"/>
      <c r="AQ286"/>
      <c r="AT286"/>
      <c r="AU286"/>
      <c r="AV286"/>
      <c r="AY286" s="35">
        <v>-1126.7374021464643</v>
      </c>
      <c r="AZ286" s="46">
        <v>-8.0702457526445741</v>
      </c>
      <c r="BA286" s="47">
        <v>2627.2332396762836</v>
      </c>
    </row>
    <row r="287" spans="42:53" x14ac:dyDescent="0.5">
      <c r="AP287"/>
      <c r="AQ287"/>
      <c r="AT287"/>
      <c r="AU287"/>
      <c r="AV287"/>
      <c r="AY287" s="35">
        <v>-130.14882961667297</v>
      </c>
      <c r="AZ287" s="46">
        <v>-2114.0962905520933</v>
      </c>
      <c r="BA287" s="47">
        <v>2728.8329303904088</v>
      </c>
    </row>
    <row r="288" spans="42:53" x14ac:dyDescent="0.5">
      <c r="AP288"/>
      <c r="AQ288"/>
      <c r="AT288"/>
      <c r="AU288"/>
      <c r="AV288"/>
      <c r="AY288" s="35">
        <v>760.15911556637684</v>
      </c>
      <c r="AZ288" s="46">
        <v>-3906.9361160701023</v>
      </c>
      <c r="BA288" s="47">
        <v>9864.7513415543199</v>
      </c>
    </row>
    <row r="289" spans="42:53" x14ac:dyDescent="0.5">
      <c r="AP289"/>
      <c r="AQ289"/>
      <c r="AT289"/>
      <c r="AU289"/>
      <c r="AV289"/>
      <c r="AY289" s="35">
        <v>6487.772465677881</v>
      </c>
      <c r="AZ289" s="46">
        <v>1196.7261181598485</v>
      </c>
      <c r="BA289" s="47">
        <v>-1101.1351306065374</v>
      </c>
    </row>
    <row r="290" spans="42:53" x14ac:dyDescent="0.5">
      <c r="AP290"/>
      <c r="AQ290"/>
      <c r="AT290"/>
      <c r="AU290"/>
      <c r="AV290"/>
      <c r="AY290" s="35">
        <v>-2340.4029203200012</v>
      </c>
      <c r="AZ290" s="46">
        <v>2693.9547639899597</v>
      </c>
      <c r="BA290" s="47">
        <v>7882.9674193575293</v>
      </c>
    </row>
    <row r="291" spans="42:53" x14ac:dyDescent="0.5">
      <c r="AP291"/>
      <c r="AQ291"/>
      <c r="AT291"/>
      <c r="AU291"/>
      <c r="AV291"/>
      <c r="AY291" s="35">
        <v>-1372.7081716113769</v>
      </c>
      <c r="AZ291" s="46">
        <v>-4155.5749403560958</v>
      </c>
      <c r="BA291" s="47">
        <v>1254.1853124793909</v>
      </c>
    </row>
    <row r="292" spans="42:53" x14ac:dyDescent="0.5">
      <c r="AP292"/>
      <c r="AQ292"/>
      <c r="AT292"/>
      <c r="AU292"/>
      <c r="AV292"/>
      <c r="AY292" s="35">
        <v>-622.6638251107313</v>
      </c>
      <c r="AZ292" s="46">
        <v>-3255.9414696035892</v>
      </c>
      <c r="BA292" s="47">
        <v>5295.7684947167299</v>
      </c>
    </row>
    <row r="293" spans="42:53" x14ac:dyDescent="0.5">
      <c r="AP293"/>
      <c r="AQ293"/>
      <c r="AT293"/>
      <c r="AU293"/>
      <c r="AV293"/>
      <c r="AY293" s="35">
        <v>7506.6449871140858</v>
      </c>
      <c r="AZ293" s="46">
        <v>-1867.0029231319613</v>
      </c>
      <c r="BA293" s="47">
        <v>4648.490833672131</v>
      </c>
    </row>
    <row r="294" spans="42:53" x14ac:dyDescent="0.5">
      <c r="AP294"/>
      <c r="AQ294"/>
      <c r="AT294"/>
      <c r="AU294"/>
      <c r="AV294"/>
      <c r="AY294" s="35">
        <v>7007.8213426056445</v>
      </c>
      <c r="AZ294" s="46">
        <v>-2549.4189562531951</v>
      </c>
      <c r="BA294" s="47">
        <v>6086.4999331443805</v>
      </c>
    </row>
    <row r="295" spans="42:53" x14ac:dyDescent="0.5">
      <c r="AP295"/>
      <c r="AQ295"/>
      <c r="AT295"/>
      <c r="AU295"/>
      <c r="AV295"/>
      <c r="AY295" s="35">
        <v>5335.0820789840691</v>
      </c>
      <c r="AZ295" s="46">
        <v>915.21353146813431</v>
      </c>
      <c r="BA295" s="47">
        <v>7601.7628762615486</v>
      </c>
    </row>
    <row r="296" spans="42:53" x14ac:dyDescent="0.5">
      <c r="AP296"/>
      <c r="AQ296"/>
      <c r="AT296"/>
      <c r="AU296"/>
      <c r="AV296"/>
      <c r="AY296" s="35">
        <v>4727.9435310499357</v>
      </c>
      <c r="AZ296" s="46">
        <v>-3853.9700030217818</v>
      </c>
      <c r="BA296" s="47">
        <v>105.94865814486009</v>
      </c>
    </row>
    <row r="297" spans="42:53" x14ac:dyDescent="0.5">
      <c r="AP297"/>
      <c r="AQ297"/>
      <c r="AT297"/>
      <c r="AU297"/>
      <c r="AV297"/>
      <c r="AY297" s="35">
        <v>-573.90417377143888</v>
      </c>
      <c r="AZ297" s="46">
        <v>-2933.7585313666036</v>
      </c>
      <c r="BA297" s="47">
        <v>4182.3547555557961</v>
      </c>
    </row>
    <row r="298" spans="42:53" x14ac:dyDescent="0.5">
      <c r="AP298"/>
      <c r="AQ298"/>
      <c r="AT298"/>
      <c r="AU298"/>
      <c r="AV298"/>
      <c r="AY298" s="35">
        <v>-2317.9570932803658</v>
      </c>
      <c r="AZ298" s="46">
        <v>4028.0777901208635</v>
      </c>
      <c r="BA298" s="47">
        <v>11956.450905775862</v>
      </c>
    </row>
    <row r="299" spans="42:53" x14ac:dyDescent="0.5">
      <c r="AP299"/>
      <c r="AQ299"/>
      <c r="AT299"/>
      <c r="AU299"/>
      <c r="AV299"/>
      <c r="AY299" s="35">
        <v>280.8465508374382</v>
      </c>
      <c r="AZ299" s="46">
        <v>-3619.8931159254848</v>
      </c>
      <c r="BA299" s="47">
        <v>5733.5098105788766</v>
      </c>
    </row>
    <row r="300" spans="42:53" x14ac:dyDescent="0.5">
      <c r="AP300"/>
      <c r="AQ300"/>
      <c r="AT300"/>
      <c r="AU300"/>
      <c r="AV300"/>
      <c r="AY300" s="35">
        <v>155.57994757138101</v>
      </c>
      <c r="AZ300" s="46">
        <v>-639.20684393287866</v>
      </c>
      <c r="BA300" s="47">
        <v>5730.5442757242972</v>
      </c>
    </row>
    <row r="301" spans="42:53" x14ac:dyDescent="0.5">
      <c r="AP301"/>
      <c r="AQ301"/>
      <c r="AT301"/>
      <c r="AU301"/>
      <c r="AV301"/>
      <c r="AY301" s="35">
        <v>-876.54644646980046</v>
      </c>
      <c r="AZ301" s="46">
        <v>-3606.6629740582189</v>
      </c>
      <c r="BA301" s="47">
        <v>8869.0584039401874</v>
      </c>
    </row>
    <row r="302" spans="42:53" x14ac:dyDescent="0.5">
      <c r="AP302"/>
      <c r="AQ302"/>
      <c r="AT302"/>
      <c r="AU302"/>
      <c r="AV302"/>
      <c r="AY302" s="35">
        <v>4649.957492636172</v>
      </c>
      <c r="AZ302" s="46">
        <v>4518.5060100729834</v>
      </c>
      <c r="BA302" s="47">
        <v>10520.73077820608</v>
      </c>
    </row>
    <row r="303" spans="42:53" x14ac:dyDescent="0.5">
      <c r="AP303"/>
      <c r="AQ303"/>
      <c r="AT303"/>
      <c r="AU303"/>
      <c r="AV303"/>
      <c r="AY303" s="35">
        <v>6072.9541789947752</v>
      </c>
      <c r="AZ303" s="46">
        <v>9545.419857517405</v>
      </c>
      <c r="BA303" s="47">
        <v>13972.144131707813</v>
      </c>
    </row>
    <row r="304" spans="42:53" x14ac:dyDescent="0.5">
      <c r="AP304"/>
      <c r="AQ304"/>
      <c r="AT304"/>
      <c r="AU304"/>
      <c r="AV304"/>
      <c r="AY304" s="35">
        <v>1973.4170660759989</v>
      </c>
      <c r="AZ304" s="46">
        <v>-4125.4768219862144</v>
      </c>
      <c r="BA304" s="47">
        <v>10671.501805550595</v>
      </c>
    </row>
    <row r="305" spans="42:53" x14ac:dyDescent="0.5">
      <c r="AP305"/>
      <c r="AQ305"/>
      <c r="AT305"/>
      <c r="AU305"/>
      <c r="AV305"/>
      <c r="AY305" s="35">
        <v>-502.22950298862844</v>
      </c>
      <c r="AZ305" s="46">
        <v>8046.7333171540376</v>
      </c>
      <c r="BA305" s="47">
        <v>264.96237455782932</v>
      </c>
    </row>
    <row r="306" spans="42:53" x14ac:dyDescent="0.5">
      <c r="AP306"/>
      <c r="AQ306"/>
      <c r="AT306"/>
      <c r="AU306"/>
      <c r="AV306"/>
      <c r="AY306" s="35">
        <v>4487.6783049689329</v>
      </c>
      <c r="AZ306" s="46">
        <v>-1051.2857432107148</v>
      </c>
      <c r="BA306" s="47">
        <v>7014.3796097032982</v>
      </c>
    </row>
    <row r="307" spans="42:53" x14ac:dyDescent="0.5">
      <c r="AP307"/>
      <c r="AQ307"/>
      <c r="AT307"/>
      <c r="AU307"/>
      <c r="AV307"/>
      <c r="AY307" s="35">
        <v>-2121.1466323110303</v>
      </c>
      <c r="AZ307" s="46">
        <v>5703.5433191482198</v>
      </c>
      <c r="BA307" s="47">
        <v>179.06131391919763</v>
      </c>
    </row>
    <row r="308" spans="42:53" x14ac:dyDescent="0.5">
      <c r="AP308"/>
      <c r="AQ308"/>
      <c r="AT308"/>
      <c r="AU308"/>
      <c r="AV308"/>
      <c r="AY308" s="35">
        <v>3424.3392939333762</v>
      </c>
      <c r="AZ308" s="46">
        <v>-3153.859194353478</v>
      </c>
      <c r="BA308" s="47">
        <v>8190.1406295284369</v>
      </c>
    </row>
    <row r="309" spans="42:53" x14ac:dyDescent="0.5">
      <c r="AP309"/>
      <c r="AQ309"/>
      <c r="AT309"/>
      <c r="AU309"/>
      <c r="AV309"/>
      <c r="AY309" s="35">
        <v>3635.80801176764</v>
      </c>
      <c r="AZ309" s="46">
        <v>-2748.0901234007506</v>
      </c>
      <c r="BA309" s="47">
        <v>341.42925505702664</v>
      </c>
    </row>
    <row r="310" spans="42:53" x14ac:dyDescent="0.5">
      <c r="AP310"/>
      <c r="AQ310"/>
      <c r="AT310"/>
      <c r="AU310"/>
      <c r="AV310"/>
      <c r="AY310" s="35">
        <v>-2270.3396741961774</v>
      </c>
      <c r="AZ310" s="46">
        <v>-2776.1469407309787</v>
      </c>
      <c r="BA310" s="47">
        <v>4587.7337184259559</v>
      </c>
    </row>
    <row r="311" spans="42:53" x14ac:dyDescent="0.5">
      <c r="AP311"/>
      <c r="AQ311"/>
      <c r="AT311"/>
      <c r="AU311"/>
      <c r="AV311"/>
      <c r="AY311" s="35">
        <v>824.07063025813227</v>
      </c>
      <c r="AZ311" s="46">
        <v>5053.125039569718</v>
      </c>
      <c r="BA311" s="47">
        <v>-800.72482104146343</v>
      </c>
    </row>
    <row r="312" spans="42:53" x14ac:dyDescent="0.5">
      <c r="AP312"/>
      <c r="AQ312"/>
      <c r="AT312"/>
      <c r="AU312"/>
      <c r="AV312"/>
      <c r="AY312" s="35">
        <v>-90.91109168557756</v>
      </c>
      <c r="AZ312" s="46">
        <v>-1314.6493336414906</v>
      </c>
      <c r="BA312" s="47">
        <v>7819.812264621858</v>
      </c>
    </row>
    <row r="313" spans="42:53" x14ac:dyDescent="0.5">
      <c r="AP313"/>
      <c r="AQ313"/>
      <c r="AT313"/>
      <c r="AU313"/>
      <c r="AV313"/>
      <c r="AY313" s="35">
        <v>1867.846511258522</v>
      </c>
      <c r="AZ313" s="46">
        <v>-1956.6585318238542</v>
      </c>
      <c r="BA313" s="47">
        <v>6174.8682610288806</v>
      </c>
    </row>
    <row r="314" spans="42:53" x14ac:dyDescent="0.5">
      <c r="AP314"/>
      <c r="AQ314"/>
      <c r="AT314"/>
      <c r="AU314"/>
      <c r="AV314"/>
      <c r="AY314" s="35">
        <v>3293.5314955471058</v>
      </c>
      <c r="AZ314" s="46">
        <v>-3940.6730192300597</v>
      </c>
      <c r="BA314" s="47">
        <v>6184.1516137250419</v>
      </c>
    </row>
    <row r="315" spans="42:53" x14ac:dyDescent="0.5">
      <c r="AP315"/>
      <c r="AQ315"/>
      <c r="AT315"/>
      <c r="AU315"/>
      <c r="AV315"/>
      <c r="AY315" s="35">
        <v>7044.5583087034365</v>
      </c>
      <c r="AZ315" s="46">
        <v>-396.4837044229352</v>
      </c>
      <c r="BA315" s="47">
        <v>9277.3530765780833</v>
      </c>
    </row>
    <row r="316" spans="42:53" x14ac:dyDescent="0.5">
      <c r="AP316"/>
      <c r="AQ316"/>
      <c r="AT316"/>
      <c r="AU316"/>
      <c r="AV316"/>
      <c r="AY316" s="35">
        <v>688.2018657800287</v>
      </c>
      <c r="AZ316" s="46">
        <v>-870.98925963153783</v>
      </c>
      <c r="BA316" s="47">
        <v>2880.3474286722339</v>
      </c>
    </row>
    <row r="317" spans="42:53" x14ac:dyDescent="0.5">
      <c r="AP317"/>
      <c r="AQ317"/>
      <c r="AT317"/>
      <c r="AU317"/>
      <c r="AV317"/>
      <c r="AY317" s="35">
        <v>-210.08019202077588</v>
      </c>
      <c r="AZ317" s="46">
        <v>4408.7825857848457</v>
      </c>
      <c r="BA317" s="47">
        <v>3043.9505357651196</v>
      </c>
    </row>
    <row r="318" spans="42:53" x14ac:dyDescent="0.5">
      <c r="AP318"/>
      <c r="AQ318"/>
      <c r="AT318"/>
      <c r="AU318"/>
      <c r="AV318"/>
      <c r="AY318" s="35">
        <v>7351.2856560454156</v>
      </c>
      <c r="AZ318" s="46">
        <v>3273.8199064788764</v>
      </c>
      <c r="BA318" s="47">
        <v>-685.75858393768704</v>
      </c>
    </row>
    <row r="319" spans="42:53" x14ac:dyDescent="0.5">
      <c r="AP319"/>
      <c r="AQ319"/>
      <c r="AT319"/>
      <c r="AU319"/>
      <c r="AV319"/>
      <c r="AY319" s="35">
        <v>5079.8482625986453</v>
      </c>
      <c r="AZ319" s="46">
        <v>-4154.8098662220818</v>
      </c>
      <c r="BA319" s="47">
        <v>-1648.5935429258418</v>
      </c>
    </row>
    <row r="320" spans="42:53" x14ac:dyDescent="0.5">
      <c r="AP320"/>
      <c r="AQ320"/>
      <c r="AT320"/>
      <c r="AU320"/>
      <c r="AV320"/>
      <c r="AY320" s="35">
        <v>3131.4540599819638</v>
      </c>
      <c r="AZ320" s="46">
        <v>13105.514442044065</v>
      </c>
      <c r="BA320" s="47">
        <v>10853.901371256276</v>
      </c>
    </row>
    <row r="321" spans="42:53" x14ac:dyDescent="0.5">
      <c r="AP321"/>
      <c r="AQ321"/>
      <c r="AT321"/>
      <c r="AU321"/>
      <c r="AV321"/>
      <c r="AY321" s="35">
        <v>-1086.8256976716475</v>
      </c>
      <c r="AZ321" s="46">
        <v>-4161.6084467703513</v>
      </c>
      <c r="BA321" s="47">
        <v>3137.1165174350058</v>
      </c>
    </row>
    <row r="322" spans="42:53" x14ac:dyDescent="0.5">
      <c r="AP322"/>
      <c r="AQ322"/>
      <c r="AT322"/>
      <c r="AU322"/>
      <c r="AV322"/>
      <c r="AY322" s="35">
        <v>7441.2763828927273</v>
      </c>
      <c r="AZ322" s="46">
        <v>-1109.9997103369344</v>
      </c>
      <c r="BA322" s="47">
        <v>11782.360186691363</v>
      </c>
    </row>
    <row r="323" spans="42:53" x14ac:dyDescent="0.5">
      <c r="AP323"/>
      <c r="AQ323"/>
      <c r="AT323"/>
      <c r="AU323"/>
      <c r="AV323"/>
      <c r="AY323" s="35">
        <v>4237.1753189182173</v>
      </c>
      <c r="AZ323" s="46">
        <v>8470.5324331853171</v>
      </c>
      <c r="BA323" s="47">
        <v>5536.1443407334855</v>
      </c>
    </row>
    <row r="324" spans="42:53" x14ac:dyDescent="0.5">
      <c r="AP324"/>
      <c r="AQ324"/>
      <c r="AT324"/>
      <c r="AU324"/>
      <c r="AV324"/>
      <c r="AY324" s="35">
        <v>3635.7809318164573</v>
      </c>
      <c r="AZ324" s="46">
        <v>-3637.1560359422642</v>
      </c>
      <c r="BA324" s="47">
        <v>-2023.508774625604</v>
      </c>
    </row>
    <row r="325" spans="42:53" x14ac:dyDescent="0.5">
      <c r="AP325"/>
      <c r="AQ325"/>
      <c r="AT325"/>
      <c r="AU325"/>
      <c r="AV325"/>
      <c r="AY325" s="35">
        <v>-840.597647909839</v>
      </c>
      <c r="AZ325" s="46">
        <v>5937.9969526620353</v>
      </c>
      <c r="BA325" s="47">
        <v>1185.7459647475764</v>
      </c>
    </row>
    <row r="326" spans="42:53" x14ac:dyDescent="0.5">
      <c r="AP326"/>
      <c r="AQ326"/>
      <c r="AT326"/>
      <c r="AU326"/>
      <c r="AV326"/>
      <c r="AY326" s="35">
        <v>1115.0630993099924</v>
      </c>
      <c r="AZ326" s="46">
        <v>-3796.3091139102776</v>
      </c>
      <c r="BA326" s="47">
        <v>4085.5208609149536</v>
      </c>
    </row>
    <row r="327" spans="42:53" x14ac:dyDescent="0.5">
      <c r="AP327"/>
      <c r="AQ327"/>
      <c r="AT327"/>
      <c r="AU327"/>
      <c r="AV327"/>
      <c r="AY327" s="35">
        <v>3471.7072624676302</v>
      </c>
      <c r="AZ327" s="46">
        <v>3429.9187507212218</v>
      </c>
      <c r="BA327" s="47">
        <v>1588.1938432776253</v>
      </c>
    </row>
    <row r="328" spans="42:53" x14ac:dyDescent="0.5">
      <c r="AP328"/>
      <c r="AQ328"/>
      <c r="AT328"/>
      <c r="AU328"/>
      <c r="AV328"/>
      <c r="AY328" s="35">
        <v>7336.2246100359625</v>
      </c>
      <c r="AZ328" s="46">
        <v>-2746.7778878957415</v>
      </c>
      <c r="BA328" s="47">
        <v>474.9898641941241</v>
      </c>
    </row>
    <row r="329" spans="42:53" x14ac:dyDescent="0.5">
      <c r="AP329"/>
      <c r="AQ329"/>
      <c r="AT329"/>
      <c r="AU329"/>
      <c r="AV329"/>
      <c r="AY329" s="35">
        <v>6940.7858052092351</v>
      </c>
      <c r="AZ329" s="46">
        <v>748.4321779337522</v>
      </c>
      <c r="BA329" s="47">
        <v>589.62017316692925</v>
      </c>
    </row>
    <row r="330" spans="42:53" x14ac:dyDescent="0.5">
      <c r="AP330"/>
      <c r="AQ330"/>
      <c r="AT330"/>
      <c r="AU330"/>
      <c r="AV330"/>
      <c r="AY330" s="35">
        <v>3430.8654079151447</v>
      </c>
      <c r="AZ330" s="46">
        <v>-4765.2436364344585</v>
      </c>
      <c r="BA330" s="47">
        <v>1556.9253491265961</v>
      </c>
    </row>
    <row r="331" spans="42:53" x14ac:dyDescent="0.5">
      <c r="AP331"/>
      <c r="AQ331"/>
      <c r="AT331"/>
      <c r="AU331"/>
      <c r="AV331"/>
      <c r="AY331" s="35">
        <v>-357.88730768245728</v>
      </c>
      <c r="AZ331" s="46">
        <v>4326.6188186064628</v>
      </c>
      <c r="BA331" s="47">
        <v>6624.8072601697349</v>
      </c>
    </row>
    <row r="332" spans="42:53" x14ac:dyDescent="0.5">
      <c r="AP332"/>
      <c r="AQ332"/>
      <c r="AT332"/>
      <c r="AU332"/>
      <c r="AV332"/>
      <c r="AY332" s="35">
        <v>2714.2909473455834</v>
      </c>
      <c r="AZ332" s="46">
        <v>-3277.7585767926485</v>
      </c>
      <c r="BA332" s="47">
        <v>9230.7106234589337</v>
      </c>
    </row>
    <row r="333" spans="42:53" x14ac:dyDescent="0.5">
      <c r="AP333"/>
      <c r="AQ333"/>
      <c r="AT333"/>
      <c r="AU333"/>
      <c r="AV333"/>
      <c r="AY333" s="35">
        <v>425.15339793367292</v>
      </c>
      <c r="AZ333" s="46">
        <v>-594.86208766548805</v>
      </c>
      <c r="BA333" s="47">
        <v>4954.0125778180936</v>
      </c>
    </row>
    <row r="334" spans="42:53" x14ac:dyDescent="0.5">
      <c r="AP334"/>
      <c r="AQ334"/>
      <c r="AT334"/>
      <c r="AU334"/>
      <c r="AV334"/>
      <c r="AY334" s="35">
        <v>3553.2925216962508</v>
      </c>
      <c r="AZ334" s="46">
        <v>-1870.6045246185131</v>
      </c>
      <c r="BA334" s="47">
        <v>1032.1801555297518</v>
      </c>
    </row>
    <row r="335" spans="42:53" x14ac:dyDescent="0.5">
      <c r="AP335"/>
      <c r="AQ335"/>
      <c r="AT335"/>
      <c r="AU335"/>
      <c r="AV335"/>
      <c r="AY335" s="35">
        <v>7600.7228647530073</v>
      </c>
      <c r="AZ335" s="46">
        <v>4333.4153100385611</v>
      </c>
      <c r="BA335" s="47">
        <v>15395.190980013094</v>
      </c>
    </row>
    <row r="336" spans="42:53" x14ac:dyDescent="0.5">
      <c r="AP336"/>
      <c r="AQ336"/>
      <c r="AT336"/>
      <c r="AU336"/>
      <c r="AV336"/>
      <c r="AY336" s="35">
        <v>2501.5811027332225</v>
      </c>
      <c r="AZ336" s="46">
        <v>4540.07300301746</v>
      </c>
      <c r="BA336" s="47">
        <v>11259.349842115387</v>
      </c>
    </row>
    <row r="337" spans="42:53" x14ac:dyDescent="0.5">
      <c r="AP337"/>
      <c r="AQ337"/>
      <c r="AT337"/>
      <c r="AU337"/>
      <c r="AV337"/>
      <c r="AY337" s="35">
        <v>5318.8281659129461</v>
      </c>
      <c r="AZ337" s="46">
        <v>-5297.5454240983145</v>
      </c>
      <c r="BA337" s="47">
        <v>4841.6384027546746</v>
      </c>
    </row>
    <row r="338" spans="42:53" x14ac:dyDescent="0.5">
      <c r="AP338"/>
      <c r="AQ338"/>
      <c r="AT338"/>
      <c r="AU338"/>
      <c r="AV338"/>
      <c r="AY338" s="35">
        <v>806.19669029403235</v>
      </c>
      <c r="AZ338" s="46">
        <v>2392.762770412492</v>
      </c>
      <c r="BA338" s="47">
        <v>-1229.4141477101646</v>
      </c>
    </row>
    <row r="339" spans="42:53" x14ac:dyDescent="0.5">
      <c r="AP339"/>
      <c r="AQ339"/>
      <c r="AT339"/>
      <c r="AU339"/>
      <c r="AV339"/>
      <c r="AY339" s="35">
        <v>2957.5516998918797</v>
      </c>
      <c r="AZ339" s="46">
        <v>-3276.5222075983747</v>
      </c>
      <c r="BA339" s="47">
        <v>4595.6169666252308</v>
      </c>
    </row>
    <row r="340" spans="42:53" x14ac:dyDescent="0.5">
      <c r="AP340"/>
      <c r="AQ340"/>
      <c r="AT340"/>
      <c r="AU340"/>
      <c r="AV340"/>
      <c r="AY340" s="35">
        <v>760.63793699411963</v>
      </c>
      <c r="AZ340" s="46">
        <v>1212.5707033731817</v>
      </c>
      <c r="BA340" s="47">
        <v>2198.7535728507437</v>
      </c>
    </row>
    <row r="341" spans="42:53" x14ac:dyDescent="0.5">
      <c r="AP341"/>
      <c r="AQ341"/>
      <c r="AT341"/>
      <c r="AU341"/>
      <c r="AV341"/>
      <c r="AY341" s="35">
        <v>6580.152747197023</v>
      </c>
      <c r="AZ341" s="46">
        <v>-2436.9775028082277</v>
      </c>
      <c r="BA341" s="47">
        <v>3257.4903585794705</v>
      </c>
    </row>
    <row r="342" spans="42:53" x14ac:dyDescent="0.5">
      <c r="AP342"/>
      <c r="AQ342"/>
      <c r="AT342"/>
      <c r="AU342"/>
      <c r="AV342"/>
      <c r="AY342" s="35">
        <v>6641.1475215880819</v>
      </c>
      <c r="AZ342" s="46">
        <v>-3237.0113585465469</v>
      </c>
      <c r="BA342" s="47">
        <v>4980.4224993830458</v>
      </c>
    </row>
    <row r="343" spans="42:53" x14ac:dyDescent="0.5">
      <c r="AP343"/>
      <c r="AQ343"/>
      <c r="AT343"/>
      <c r="AU343"/>
      <c r="AV343"/>
      <c r="AY343" s="35">
        <v>5194.6148610568962</v>
      </c>
      <c r="AZ343" s="46">
        <v>-3073.7961982091406</v>
      </c>
      <c r="BA343" s="47">
        <v>11723.1092231478</v>
      </c>
    </row>
    <row r="344" spans="42:53" x14ac:dyDescent="0.5">
      <c r="AP344"/>
      <c r="AQ344"/>
      <c r="AT344"/>
      <c r="AU344"/>
      <c r="AV344"/>
      <c r="AY344" s="35">
        <v>5129.8685571336728</v>
      </c>
      <c r="AZ344" s="46">
        <v>2562.1043502768493</v>
      </c>
      <c r="BA344" s="47">
        <v>3798.1093752149704</v>
      </c>
    </row>
    <row r="345" spans="42:53" x14ac:dyDescent="0.5">
      <c r="AP345"/>
      <c r="AQ345"/>
      <c r="AT345"/>
      <c r="AU345"/>
      <c r="AV345"/>
      <c r="AY345" s="35">
        <v>2263.8874512074117</v>
      </c>
      <c r="AZ345" s="46">
        <v>-2510.0274459273096</v>
      </c>
      <c r="BA345" s="47">
        <v>5910.9629084284798</v>
      </c>
    </row>
    <row r="346" spans="42:53" x14ac:dyDescent="0.5">
      <c r="AP346"/>
      <c r="AQ346"/>
      <c r="AT346"/>
      <c r="AU346"/>
      <c r="AV346"/>
      <c r="AY346" s="35">
        <v>5811.8669276317469</v>
      </c>
      <c r="AZ346" s="46">
        <v>-1286.1314324174673</v>
      </c>
      <c r="BA346" s="47">
        <v>9248.0012826384282</v>
      </c>
    </row>
    <row r="347" spans="42:53" x14ac:dyDescent="0.5">
      <c r="AP347"/>
      <c r="AQ347"/>
      <c r="AT347"/>
      <c r="AU347"/>
      <c r="AV347"/>
      <c r="AY347" s="35">
        <v>6026.1270106789289</v>
      </c>
      <c r="AZ347" s="46">
        <v>-3708.1071897923266</v>
      </c>
      <c r="BA347" s="47">
        <v>-1600.5921944510167</v>
      </c>
    </row>
    <row r="348" spans="42:53" x14ac:dyDescent="0.5">
      <c r="AP348"/>
      <c r="AQ348"/>
      <c r="AT348"/>
      <c r="AU348"/>
      <c r="AV348"/>
      <c r="AY348" s="35">
        <v>2933.8880517517796</v>
      </c>
      <c r="AZ348" s="46">
        <v>2076.5120740853808</v>
      </c>
      <c r="BA348" s="47">
        <v>3576.3819903087015</v>
      </c>
    </row>
    <row r="349" spans="42:53" x14ac:dyDescent="0.5">
      <c r="AP349"/>
      <c r="AQ349"/>
      <c r="AT349"/>
      <c r="AU349"/>
      <c r="AV349"/>
      <c r="AY349" s="35">
        <v>2107.8178081405613</v>
      </c>
      <c r="AZ349" s="46">
        <v>2674.7555009773191</v>
      </c>
      <c r="BA349" s="47">
        <v>844.78188281316955</v>
      </c>
    </row>
    <row r="350" spans="42:53" x14ac:dyDescent="0.5">
      <c r="AP350"/>
      <c r="AQ350"/>
      <c r="AT350"/>
      <c r="AU350"/>
      <c r="AV350"/>
      <c r="AY350" s="35">
        <v>4320.1114763334326</v>
      </c>
      <c r="AZ350" s="46">
        <v>-3596.4316530749497</v>
      </c>
      <c r="BA350" s="47">
        <v>5486.5387769930885</v>
      </c>
    </row>
    <row r="351" spans="42:53" x14ac:dyDescent="0.5">
      <c r="AP351"/>
      <c r="AQ351"/>
      <c r="AT351"/>
      <c r="AU351"/>
      <c r="AV351"/>
      <c r="AY351" s="35">
        <v>239.47401163848377</v>
      </c>
      <c r="AZ351" s="46">
        <v>-2551.1693388604835</v>
      </c>
      <c r="BA351" s="47">
        <v>-1140.9888837693629</v>
      </c>
    </row>
    <row r="352" spans="42:53" x14ac:dyDescent="0.5">
      <c r="AP352"/>
      <c r="AQ352"/>
      <c r="AT352"/>
      <c r="AU352"/>
      <c r="AV352"/>
      <c r="AY352" s="35">
        <v>-647.93828121136426</v>
      </c>
      <c r="AZ352" s="46">
        <v>-4360.9840569825437</v>
      </c>
      <c r="BA352" s="47">
        <v>607.99106970431126</v>
      </c>
    </row>
    <row r="353" spans="42:53" x14ac:dyDescent="0.5">
      <c r="AP353"/>
      <c r="AQ353"/>
      <c r="AT353"/>
      <c r="AU353"/>
      <c r="AV353"/>
      <c r="AY353" s="35">
        <v>-2249.3669729518306</v>
      </c>
      <c r="AZ353" s="46">
        <v>662.73797335628046</v>
      </c>
      <c r="BA353" s="47">
        <v>1651.6894306149279</v>
      </c>
    </row>
    <row r="354" spans="42:53" x14ac:dyDescent="0.5">
      <c r="AP354"/>
      <c r="AQ354"/>
      <c r="AT354"/>
      <c r="AU354"/>
      <c r="AV354"/>
      <c r="AY354" s="35">
        <v>451.24542946017772</v>
      </c>
      <c r="AZ354" s="46">
        <v>3913.2036956543102</v>
      </c>
      <c r="BA354" s="47">
        <v>6050.0936080437459</v>
      </c>
    </row>
    <row r="355" spans="42:53" x14ac:dyDescent="0.5">
      <c r="AP355"/>
      <c r="AQ355"/>
      <c r="AT355"/>
      <c r="AU355"/>
      <c r="AV355"/>
      <c r="AY355" s="35">
        <v>-409.6235768230228</v>
      </c>
      <c r="AZ355" s="46">
        <v>-2604.0836770530304</v>
      </c>
      <c r="BA355" s="47">
        <v>1466.0862851308484</v>
      </c>
    </row>
    <row r="356" spans="42:53" x14ac:dyDescent="0.5">
      <c r="AP356"/>
      <c r="AQ356"/>
      <c r="AT356"/>
      <c r="AU356"/>
      <c r="AV356"/>
      <c r="AY356" s="35">
        <v>268.96380581886825</v>
      </c>
      <c r="AZ356" s="46">
        <v>-1884.805061722268</v>
      </c>
      <c r="BA356" s="47">
        <v>9230.6446637199806</v>
      </c>
    </row>
    <row r="357" spans="42:53" x14ac:dyDescent="0.5">
      <c r="AP357"/>
      <c r="AQ357"/>
      <c r="AT357"/>
      <c r="AU357"/>
      <c r="AV357"/>
      <c r="AY357" s="35">
        <v>6066.4894256573352</v>
      </c>
      <c r="AZ357" s="46">
        <v>-1202.6671960221233</v>
      </c>
      <c r="BA357" s="47">
        <v>4620.3006926790194</v>
      </c>
    </row>
    <row r="358" spans="42:53" x14ac:dyDescent="0.5">
      <c r="AP358"/>
      <c r="AQ358"/>
      <c r="AT358"/>
      <c r="AU358"/>
      <c r="AV358"/>
      <c r="AY358" s="35">
        <v>6138.709515906764</v>
      </c>
      <c r="AZ358" s="46">
        <v>-860.88987571028281</v>
      </c>
      <c r="BA358" s="47">
        <v>4445.6052097805477</v>
      </c>
    </row>
    <row r="359" spans="42:53" x14ac:dyDescent="0.5">
      <c r="AP359"/>
      <c r="AQ359"/>
      <c r="AT359"/>
      <c r="AU359"/>
      <c r="AV359"/>
      <c r="AY359" s="35">
        <v>2266.4352439831341</v>
      </c>
      <c r="AZ359" s="46">
        <v>111.45059546701633</v>
      </c>
      <c r="BA359" s="47">
        <v>-828.63564283285928</v>
      </c>
    </row>
    <row r="360" spans="42:53" x14ac:dyDescent="0.5">
      <c r="AP360"/>
      <c r="AQ360"/>
      <c r="AT360"/>
      <c r="AU360"/>
      <c r="AV360"/>
      <c r="AY360" s="35">
        <v>-1518.3272366983997</v>
      </c>
      <c r="AZ360" s="46">
        <v>-4122.6276880333817</v>
      </c>
      <c r="BA360" s="47">
        <v>3747.3480317583917</v>
      </c>
    </row>
    <row r="361" spans="42:53" x14ac:dyDescent="0.5">
      <c r="AP361"/>
      <c r="AQ361"/>
      <c r="AT361"/>
      <c r="AU361"/>
      <c r="AV361"/>
      <c r="AY361" s="35">
        <v>-2234.1056556180333</v>
      </c>
      <c r="AZ361" s="46">
        <v>-3170.8895290994669</v>
      </c>
      <c r="BA361" s="47">
        <v>4781.6904921191008</v>
      </c>
    </row>
    <row r="362" spans="42:53" x14ac:dyDescent="0.5">
      <c r="AP362"/>
      <c r="AQ362"/>
      <c r="AT362"/>
      <c r="AU362"/>
      <c r="AV362"/>
      <c r="AY362" s="35">
        <v>2741.6534760288691</v>
      </c>
      <c r="AZ362" s="46">
        <v>-691.53380895854377</v>
      </c>
      <c r="BA362" s="47">
        <v>4347.9463786521192</v>
      </c>
    </row>
    <row r="363" spans="42:53" x14ac:dyDescent="0.5">
      <c r="AP363"/>
      <c r="AQ363"/>
      <c r="AT363"/>
      <c r="AU363"/>
      <c r="AV363"/>
      <c r="AY363" s="35">
        <v>7352.3123094230314</v>
      </c>
      <c r="AZ363" s="46">
        <v>1310.1216997082333</v>
      </c>
      <c r="BA363" s="47">
        <v>4175.7688628289807</v>
      </c>
    </row>
    <row r="364" spans="42:53" x14ac:dyDescent="0.5">
      <c r="AP364"/>
      <c r="AQ364"/>
      <c r="AT364"/>
      <c r="AU364"/>
      <c r="AV364"/>
      <c r="AY364" s="35">
        <v>6881.3248122630912</v>
      </c>
      <c r="AZ364" s="46">
        <v>-709.68271578884412</v>
      </c>
      <c r="BA364" s="47">
        <v>2781.7749778465709</v>
      </c>
    </row>
    <row r="365" spans="42:53" x14ac:dyDescent="0.5">
      <c r="AP365"/>
      <c r="AQ365"/>
      <c r="AT365"/>
      <c r="AU365"/>
      <c r="AV365"/>
      <c r="AY365" s="35">
        <v>3921.2991472451436</v>
      </c>
      <c r="AZ365" s="46">
        <v>-295.67805014247404</v>
      </c>
      <c r="BA365" s="47">
        <v>1062.9457671706116</v>
      </c>
    </row>
    <row r="366" spans="42:53" x14ac:dyDescent="0.5">
      <c r="AP366"/>
      <c r="AQ366"/>
      <c r="AT366"/>
      <c r="AU366"/>
      <c r="AV366"/>
      <c r="AY366" s="35">
        <v>-1323.9440312923903</v>
      </c>
      <c r="AZ366" s="46">
        <v>-1208.2981166620896</v>
      </c>
      <c r="BA366" s="47">
        <v>3440.0504711042195</v>
      </c>
    </row>
    <row r="367" spans="42:53" x14ac:dyDescent="0.5">
      <c r="AP367"/>
      <c r="AQ367"/>
      <c r="AT367"/>
      <c r="AU367"/>
      <c r="AV367"/>
      <c r="AY367" s="35">
        <v>-156.45416559394971</v>
      </c>
      <c r="AZ367" s="46">
        <v>4319.3708935755731</v>
      </c>
      <c r="BA367" s="47">
        <v>1839.7727729111434</v>
      </c>
    </row>
    <row r="368" spans="42:53" x14ac:dyDescent="0.5">
      <c r="AP368"/>
      <c r="AQ368"/>
      <c r="AT368"/>
      <c r="AU368"/>
      <c r="AV368"/>
      <c r="AY368" s="35">
        <v>2970.1358470092705</v>
      </c>
      <c r="AZ368" s="46">
        <v>-2045.3041989038309</v>
      </c>
      <c r="BA368" s="47">
        <v>4469.1719769622723</v>
      </c>
    </row>
    <row r="369" spans="42:53" x14ac:dyDescent="0.5">
      <c r="AP369"/>
      <c r="AQ369"/>
      <c r="AT369"/>
      <c r="AU369"/>
      <c r="AV369"/>
      <c r="AY369" s="35">
        <v>-282.27155771447457</v>
      </c>
      <c r="AZ369" s="46">
        <v>-3585.7415094481412</v>
      </c>
      <c r="BA369" s="47">
        <v>17365.030769579447</v>
      </c>
    </row>
    <row r="370" spans="42:53" x14ac:dyDescent="0.5">
      <c r="AP370"/>
      <c r="AQ370"/>
      <c r="AT370"/>
      <c r="AU370"/>
      <c r="AV370"/>
      <c r="AY370" s="35">
        <v>-2335.1399390993611</v>
      </c>
      <c r="AZ370" s="46">
        <v>2058.9759914896299</v>
      </c>
      <c r="BA370" s="47">
        <v>5795.1983538037312</v>
      </c>
    </row>
    <row r="371" spans="42:53" x14ac:dyDescent="0.5">
      <c r="AP371"/>
      <c r="AQ371"/>
      <c r="AT371"/>
      <c r="AU371"/>
      <c r="AV371"/>
      <c r="AY371" s="35">
        <v>-1856.5937535893015</v>
      </c>
      <c r="AZ371" s="46">
        <v>-1966.1977698191868</v>
      </c>
      <c r="BA371" s="47">
        <v>14152.163231531276</v>
      </c>
    </row>
    <row r="372" spans="42:53" x14ac:dyDescent="0.5">
      <c r="AP372"/>
      <c r="AQ372"/>
      <c r="AT372"/>
      <c r="AU372"/>
      <c r="AV372"/>
      <c r="AY372" s="35">
        <v>2550.6462452491151</v>
      </c>
      <c r="AZ372" s="46">
        <v>4001.0011435832444</v>
      </c>
      <c r="BA372" s="47">
        <v>903.56609429315643</v>
      </c>
    </row>
    <row r="373" spans="42:53" x14ac:dyDescent="0.5">
      <c r="AP373"/>
      <c r="AQ373"/>
      <c r="AT373"/>
      <c r="AU373"/>
      <c r="AV373"/>
      <c r="AY373" s="35">
        <v>7074.4036180380372</v>
      </c>
      <c r="AZ373" s="46">
        <v>-1184.5091282454509</v>
      </c>
      <c r="BA373" s="47">
        <v>4377.2849040170777</v>
      </c>
    </row>
    <row r="374" spans="42:53" x14ac:dyDescent="0.5">
      <c r="AP374"/>
      <c r="AQ374"/>
      <c r="AT374"/>
      <c r="AU374"/>
      <c r="AV374"/>
      <c r="AY374" s="35">
        <v>4134.0656882583571</v>
      </c>
      <c r="AZ374" s="46">
        <v>-1900.2148451325525</v>
      </c>
      <c r="BA374" s="47">
        <v>6814.4763027074141</v>
      </c>
    </row>
    <row r="375" spans="42:53" x14ac:dyDescent="0.5">
      <c r="AP375"/>
      <c r="AQ375"/>
      <c r="AT375"/>
      <c r="AU375"/>
      <c r="AV375"/>
      <c r="AY375" s="35">
        <v>-2200.5854477977118</v>
      </c>
      <c r="AZ375" s="46">
        <v>2600.1626222451346</v>
      </c>
      <c r="BA375" s="47">
        <v>973.90325023310243</v>
      </c>
    </row>
    <row r="376" spans="42:53" x14ac:dyDescent="0.5">
      <c r="AP376"/>
      <c r="AQ376"/>
      <c r="AT376"/>
      <c r="AU376"/>
      <c r="AV376"/>
      <c r="AY376" s="35">
        <v>3530.5315162164079</v>
      </c>
      <c r="AZ376" s="46">
        <v>-756.06390244210093</v>
      </c>
      <c r="BA376" s="47">
        <v>-89.542213968820079</v>
      </c>
    </row>
    <row r="377" spans="42:53" x14ac:dyDescent="0.5">
      <c r="AP377"/>
      <c r="AQ377"/>
      <c r="AT377"/>
      <c r="AU377"/>
      <c r="AV377"/>
      <c r="AY377" s="35">
        <v>6156.0063990271865</v>
      </c>
      <c r="AZ377" s="46">
        <v>-334.92695386936225</v>
      </c>
      <c r="BA377" s="47">
        <v>5390.3286337278041</v>
      </c>
    </row>
    <row r="378" spans="42:53" x14ac:dyDescent="0.5">
      <c r="AP378"/>
      <c r="AQ378"/>
      <c r="AT378"/>
      <c r="AU378"/>
      <c r="AV378"/>
      <c r="AY378" s="35">
        <v>6835.5081853291504</v>
      </c>
      <c r="AZ378" s="46">
        <v>-1421.8854288300884</v>
      </c>
      <c r="BA378" s="47">
        <v>1516.6832200771451</v>
      </c>
    </row>
    <row r="379" spans="42:53" x14ac:dyDescent="0.5">
      <c r="AP379"/>
      <c r="AQ379"/>
      <c r="AT379"/>
      <c r="AU379"/>
      <c r="AV379"/>
      <c r="AY379" s="35">
        <v>6351.9025411359935</v>
      </c>
      <c r="AZ379" s="46">
        <v>-3580.098766133654</v>
      </c>
      <c r="BA379" s="47">
        <v>7779.5309925292249</v>
      </c>
    </row>
    <row r="380" spans="42:53" x14ac:dyDescent="0.5">
      <c r="AP380"/>
      <c r="AQ380"/>
      <c r="AT380"/>
      <c r="AU380"/>
      <c r="AV380"/>
      <c r="AY380" s="35">
        <v>3796.593066265747</v>
      </c>
      <c r="AZ380" s="46">
        <v>-1658.2234542524229</v>
      </c>
      <c r="BA380" s="47">
        <v>4274.550184223729</v>
      </c>
    </row>
    <row r="381" spans="42:53" x14ac:dyDescent="0.5">
      <c r="AP381"/>
      <c r="AQ381"/>
      <c r="AT381"/>
      <c r="AU381"/>
      <c r="AV381"/>
      <c r="AY381" s="35">
        <v>-867.40049916128123</v>
      </c>
      <c r="AZ381" s="46">
        <v>9979.9525363635821</v>
      </c>
      <c r="BA381" s="47">
        <v>7918.2698418144046</v>
      </c>
    </row>
    <row r="382" spans="42:53" x14ac:dyDescent="0.5">
      <c r="AP382"/>
      <c r="AQ382"/>
      <c r="AT382"/>
      <c r="AU382"/>
      <c r="AV382"/>
      <c r="AY382" s="35">
        <v>3314.3440850231332</v>
      </c>
      <c r="AZ382" s="46">
        <v>-4562.5294688913327</v>
      </c>
      <c r="BA382" s="47">
        <v>5646.7148048596064</v>
      </c>
    </row>
    <row r="383" spans="42:53" x14ac:dyDescent="0.5">
      <c r="AP383"/>
      <c r="AQ383"/>
      <c r="AT383"/>
      <c r="AU383"/>
      <c r="AV383"/>
      <c r="AY383" s="35">
        <v>2861.9782214412721</v>
      </c>
      <c r="AZ383" s="46">
        <v>3490.8032539740748</v>
      </c>
      <c r="BA383" s="47">
        <v>15946.057826084832</v>
      </c>
    </row>
    <row r="384" spans="42:53" x14ac:dyDescent="0.5">
      <c r="AP384"/>
      <c r="AQ384"/>
      <c r="AT384"/>
      <c r="AU384"/>
      <c r="AV384"/>
      <c r="AY384" s="35">
        <v>6573.5149302573491</v>
      </c>
      <c r="AZ384" s="46">
        <v>-2705.8912613876669</v>
      </c>
      <c r="BA384" s="47">
        <v>-1637.2511268018695</v>
      </c>
    </row>
    <row r="385" spans="42:53" x14ac:dyDescent="0.5">
      <c r="AP385"/>
      <c r="AQ385"/>
      <c r="AT385"/>
      <c r="AU385"/>
      <c r="AV385"/>
      <c r="AY385" s="35">
        <v>589.19839745135107</v>
      </c>
      <c r="AZ385" s="46">
        <v>-1531.6591786588524</v>
      </c>
      <c r="BA385" s="47">
        <v>3673.3054413635846</v>
      </c>
    </row>
    <row r="386" spans="42:53" x14ac:dyDescent="0.5">
      <c r="AP386"/>
      <c r="AQ386"/>
      <c r="AT386"/>
      <c r="AU386"/>
      <c r="AV386"/>
      <c r="AY386" s="35">
        <v>4247.5070955298734</v>
      </c>
      <c r="AZ386" s="46">
        <v>226.95510873066974</v>
      </c>
      <c r="BA386" s="47">
        <v>2640.6511020674352</v>
      </c>
    </row>
    <row r="387" spans="42:53" x14ac:dyDescent="0.5">
      <c r="AP387"/>
      <c r="AQ387"/>
      <c r="AT387"/>
      <c r="AU387"/>
      <c r="AV387"/>
      <c r="AY387" s="35">
        <v>2654.6425719351068</v>
      </c>
      <c r="AZ387" s="46">
        <v>-3800.5480261438888</v>
      </c>
      <c r="BA387" s="47">
        <v>3262.5702760929657</v>
      </c>
    </row>
    <row r="388" spans="42:53" x14ac:dyDescent="0.5">
      <c r="AP388"/>
      <c r="AQ388"/>
      <c r="AT388"/>
      <c r="AU388"/>
      <c r="AV388"/>
      <c r="AY388" s="35">
        <v>5286.7716566619847</v>
      </c>
      <c r="AZ388" s="46">
        <v>-970.47414826632155</v>
      </c>
      <c r="BA388" s="47">
        <v>2811.9870066760454</v>
      </c>
    </row>
    <row r="389" spans="42:53" x14ac:dyDescent="0.5">
      <c r="AP389"/>
      <c r="AQ389"/>
      <c r="AT389"/>
      <c r="AU389"/>
      <c r="AV389"/>
      <c r="AY389" s="35">
        <v>6257.8997750704475</v>
      </c>
      <c r="AZ389" s="46">
        <v>2752.6382961472177</v>
      </c>
      <c r="BA389" s="47">
        <v>5684.3501358513622</v>
      </c>
    </row>
    <row r="390" spans="42:53" x14ac:dyDescent="0.5">
      <c r="AP390"/>
      <c r="AQ390"/>
      <c r="AT390"/>
      <c r="AU390"/>
      <c r="AV390"/>
      <c r="AY390" s="35">
        <v>2966.654125213925</v>
      </c>
      <c r="AZ390" s="46">
        <v>241.45173477222471</v>
      </c>
      <c r="BA390" s="47">
        <v>1668.6624706413554</v>
      </c>
    </row>
    <row r="391" spans="42:53" x14ac:dyDescent="0.5">
      <c r="AP391"/>
      <c r="AQ391"/>
      <c r="AT391"/>
      <c r="AU391"/>
      <c r="AV391"/>
      <c r="AY391" s="35">
        <v>1478.2463550971534</v>
      </c>
      <c r="AZ391" s="46">
        <v>2868.6221152678982</v>
      </c>
      <c r="BA391" s="47">
        <v>5820.30127268465</v>
      </c>
    </row>
    <row r="392" spans="42:53" x14ac:dyDescent="0.5">
      <c r="AP392"/>
      <c r="AQ392"/>
      <c r="AT392"/>
      <c r="AU392"/>
      <c r="AV392"/>
      <c r="AY392" s="35">
        <v>-72.108769235143825</v>
      </c>
      <c r="AZ392" s="46">
        <v>-2291.1747501770715</v>
      </c>
      <c r="BA392" s="47">
        <v>1602.1927189662404</v>
      </c>
    </row>
    <row r="393" spans="42:53" x14ac:dyDescent="0.5">
      <c r="AP393"/>
      <c r="AQ393"/>
      <c r="AT393"/>
      <c r="AU393"/>
      <c r="AV393"/>
      <c r="AY393" s="35">
        <v>4039.5155997981306</v>
      </c>
      <c r="AZ393" s="46">
        <v>-1783.9636951578857</v>
      </c>
      <c r="BA393" s="47">
        <v>10226.638634233876</v>
      </c>
    </row>
    <row r="394" spans="42:53" x14ac:dyDescent="0.5">
      <c r="AP394"/>
      <c r="AQ394"/>
      <c r="AT394"/>
      <c r="AU394"/>
      <c r="AV394"/>
      <c r="AY394" s="35">
        <v>4358.1803851594323</v>
      </c>
      <c r="AZ394" s="46">
        <v>-79.643485873034876</v>
      </c>
      <c r="BA394" s="47">
        <v>595.80160613122757</v>
      </c>
    </row>
    <row r="395" spans="42:53" x14ac:dyDescent="0.5">
      <c r="AP395"/>
      <c r="AQ395"/>
      <c r="AT395"/>
      <c r="AU395"/>
      <c r="AV395"/>
      <c r="AY395" s="35">
        <v>4171.0561908462823</v>
      </c>
      <c r="AZ395" s="46">
        <v>2144.8639584667203</v>
      </c>
      <c r="BA395" s="47">
        <v>-142.96179505764604</v>
      </c>
    </row>
    <row r="396" spans="42:53" x14ac:dyDescent="0.5">
      <c r="AP396"/>
      <c r="AQ396"/>
      <c r="AT396"/>
      <c r="AU396"/>
      <c r="AV396"/>
      <c r="AY396" s="35">
        <v>4976.3661604894151</v>
      </c>
      <c r="AZ396" s="46">
        <v>3142.0085507297376</v>
      </c>
      <c r="BA396" s="47">
        <v>2170.1309151529304</v>
      </c>
    </row>
    <row r="397" spans="42:53" x14ac:dyDescent="0.5">
      <c r="AP397"/>
      <c r="AQ397"/>
      <c r="AT397"/>
      <c r="AU397"/>
      <c r="AV397"/>
      <c r="AY397" s="35">
        <v>-791.27953163637153</v>
      </c>
      <c r="AZ397" s="46">
        <v>782.58920437188181</v>
      </c>
      <c r="BA397" s="47">
        <v>7326.2937152710565</v>
      </c>
    </row>
    <row r="398" spans="42:53" x14ac:dyDescent="0.5">
      <c r="AP398"/>
      <c r="AQ398"/>
      <c r="AT398"/>
      <c r="AU398"/>
      <c r="AV398"/>
      <c r="AY398" s="35">
        <v>3068.5370275236291</v>
      </c>
      <c r="AZ398" s="46">
        <v>-2167.0489248423178</v>
      </c>
      <c r="BA398" s="47">
        <v>396.60330350209102</v>
      </c>
    </row>
    <row r="399" spans="42:53" x14ac:dyDescent="0.5">
      <c r="AP399"/>
      <c r="AQ399"/>
      <c r="AT399"/>
      <c r="AU399"/>
      <c r="AV399"/>
      <c r="AY399" s="35">
        <v>-305.19370512983392</v>
      </c>
      <c r="AZ399" s="46">
        <v>757.60037475469562</v>
      </c>
      <c r="BA399" s="47">
        <v>-2388.8049289218411</v>
      </c>
    </row>
    <row r="400" spans="42:53" x14ac:dyDescent="0.5">
      <c r="AP400"/>
      <c r="AQ400"/>
      <c r="AT400"/>
      <c r="AU400"/>
      <c r="AV400"/>
      <c r="AY400" s="35">
        <v>-1406.1374281092242</v>
      </c>
      <c r="AZ400" s="46">
        <v>-2198.3825118486538</v>
      </c>
      <c r="BA400" s="47">
        <v>-621.23846308247255</v>
      </c>
    </row>
    <row r="401" spans="42:53" x14ac:dyDescent="0.5">
      <c r="AP401"/>
      <c r="AQ401"/>
      <c r="AT401"/>
      <c r="AU401"/>
      <c r="AV401"/>
      <c r="AY401" s="35">
        <v>-1266.8374552112957</v>
      </c>
      <c r="AZ401" s="46">
        <v>20741.729137894188</v>
      </c>
      <c r="BA401" s="47">
        <v>3675.9765192431746</v>
      </c>
    </row>
    <row r="402" spans="42:53" x14ac:dyDescent="0.5">
      <c r="AP402"/>
      <c r="AQ402"/>
      <c r="AT402"/>
      <c r="AU402"/>
      <c r="AV402"/>
      <c r="AY402" s="35">
        <v>6614.2394634747498</v>
      </c>
      <c r="AZ402" s="46">
        <v>-941.98177274161367</v>
      </c>
      <c r="BA402" s="47">
        <v>4158.7640015642146</v>
      </c>
    </row>
    <row r="403" spans="42:53" x14ac:dyDescent="0.5">
      <c r="AP403"/>
      <c r="AQ403"/>
      <c r="AT403"/>
      <c r="AU403"/>
      <c r="AV403"/>
      <c r="AY403" s="35">
        <v>-2316.5724491481869</v>
      </c>
      <c r="AZ403" s="46">
        <v>-665.51540583648148</v>
      </c>
      <c r="BA403" s="47">
        <v>3346.0347253703749</v>
      </c>
    </row>
    <row r="404" spans="42:53" x14ac:dyDescent="0.5">
      <c r="AP404"/>
      <c r="AQ404"/>
      <c r="AT404"/>
      <c r="AU404"/>
      <c r="AV404"/>
      <c r="AY404" s="35">
        <v>4349.9164489047935</v>
      </c>
      <c r="AZ404" s="46">
        <v>-1727.0039100239521</v>
      </c>
      <c r="BA404" s="47">
        <v>-1476.1406978600176</v>
      </c>
    </row>
    <row r="405" spans="42:53" x14ac:dyDescent="0.5">
      <c r="AP405"/>
      <c r="AQ405"/>
      <c r="AT405"/>
      <c r="AU405"/>
      <c r="AV405"/>
      <c r="AY405" s="35">
        <v>2608.8505572548111</v>
      </c>
      <c r="AZ405" s="46">
        <v>3403.5625853987735</v>
      </c>
      <c r="BA405" s="47">
        <v>4905.2701946172692</v>
      </c>
    </row>
    <row r="406" spans="42:53" x14ac:dyDescent="0.5">
      <c r="AP406"/>
      <c r="AQ406"/>
      <c r="AT406"/>
      <c r="AU406"/>
      <c r="AV406"/>
      <c r="AY406" s="35">
        <v>-357.57259811201658</v>
      </c>
      <c r="AZ406" s="46">
        <v>-3031.9166923848106</v>
      </c>
      <c r="BA406" s="47">
        <v>2249.7984358064114</v>
      </c>
    </row>
    <row r="407" spans="42:53" x14ac:dyDescent="0.5">
      <c r="AP407"/>
      <c r="AQ407"/>
      <c r="AT407"/>
      <c r="AU407"/>
      <c r="AV407"/>
      <c r="AY407" s="35">
        <v>-1501.1724905909493</v>
      </c>
      <c r="AZ407" s="46">
        <v>-1396.5684864900416</v>
      </c>
      <c r="BA407" s="47">
        <v>3442.6986349339832</v>
      </c>
    </row>
    <row r="408" spans="42:53" x14ac:dyDescent="0.5">
      <c r="AP408"/>
      <c r="AQ408"/>
      <c r="AT408"/>
      <c r="AU408"/>
      <c r="AV408"/>
      <c r="AY408" s="35">
        <v>3723.6343935729797</v>
      </c>
      <c r="AZ408" s="46">
        <v>-1553.9387039833416</v>
      </c>
      <c r="BA408" s="47">
        <v>23.691697658666854</v>
      </c>
    </row>
    <row r="409" spans="42:53" x14ac:dyDescent="0.5">
      <c r="AP409"/>
      <c r="AQ409"/>
      <c r="AT409"/>
      <c r="AU409"/>
      <c r="AV409"/>
      <c r="AY409" s="35">
        <v>-309.27671416641311</v>
      </c>
      <c r="AZ409" s="46">
        <v>2443.6589636880708</v>
      </c>
      <c r="BA409" s="47">
        <v>477.00712143165157</v>
      </c>
    </row>
    <row r="410" spans="42:53" x14ac:dyDescent="0.5">
      <c r="AP410"/>
      <c r="AQ410"/>
      <c r="AT410"/>
      <c r="AU410"/>
      <c r="AV410"/>
      <c r="AY410" s="35">
        <v>420.09145963745237</v>
      </c>
      <c r="AZ410" s="46">
        <v>2706.166548728384</v>
      </c>
      <c r="BA410" s="47">
        <v>-2123.7766102032865</v>
      </c>
    </row>
    <row r="411" spans="42:53" x14ac:dyDescent="0.5">
      <c r="AP411"/>
      <c r="AQ411"/>
      <c r="AT411"/>
      <c r="AU411"/>
      <c r="AV411"/>
      <c r="AY411" s="35">
        <v>-968.17045535622333</v>
      </c>
      <c r="AZ411" s="46">
        <v>-2665.8404778603958</v>
      </c>
      <c r="BA411" s="47">
        <v>266.45695826719754</v>
      </c>
    </row>
    <row r="412" spans="42:53" x14ac:dyDescent="0.5">
      <c r="AP412"/>
      <c r="AQ412"/>
      <c r="AT412"/>
      <c r="AU412"/>
      <c r="AV412"/>
      <c r="AY412" s="35">
        <v>-1674.4775000183242</v>
      </c>
      <c r="AZ412" s="46">
        <v>1159.2225297671923</v>
      </c>
      <c r="BA412" s="47">
        <v>9002.9492004058902</v>
      </c>
    </row>
    <row r="413" spans="42:53" x14ac:dyDescent="0.5">
      <c r="AP413"/>
      <c r="AQ413"/>
      <c r="AT413"/>
      <c r="AU413"/>
      <c r="AV413"/>
      <c r="AY413" s="35">
        <v>1862.8602323484008</v>
      </c>
      <c r="AZ413" s="46">
        <v>-960.39737686420949</v>
      </c>
      <c r="BA413" s="47">
        <v>5132.034275356903</v>
      </c>
    </row>
    <row r="414" spans="42:53" x14ac:dyDescent="0.5">
      <c r="AP414"/>
      <c r="AQ414"/>
      <c r="AT414"/>
      <c r="AU414"/>
      <c r="AV414"/>
      <c r="AY414" s="35">
        <v>4395.6097508985704</v>
      </c>
      <c r="AZ414" s="46">
        <v>-2169.4414675733283</v>
      </c>
      <c r="BA414" s="47">
        <v>792.10920570792746</v>
      </c>
    </row>
    <row r="415" spans="42:53" x14ac:dyDescent="0.5">
      <c r="AP415"/>
      <c r="AQ415"/>
      <c r="AT415"/>
      <c r="AU415"/>
      <c r="AV415"/>
      <c r="AY415" s="35">
        <v>6600.2546521138447</v>
      </c>
      <c r="AZ415" s="46">
        <v>570.6312508261326</v>
      </c>
      <c r="BA415" s="47">
        <v>-472.52114100032748</v>
      </c>
    </row>
    <row r="416" spans="42:53" x14ac:dyDescent="0.5">
      <c r="AP416"/>
      <c r="AQ416"/>
      <c r="AT416"/>
      <c r="AU416"/>
      <c r="AV416"/>
      <c r="AY416" s="35">
        <v>6790.8611585822537</v>
      </c>
      <c r="AZ416" s="46">
        <v>6244.1844739527887</v>
      </c>
      <c r="BA416" s="47">
        <v>3734.0558445028696</v>
      </c>
    </row>
    <row r="417" spans="42:53" x14ac:dyDescent="0.5">
      <c r="AP417"/>
      <c r="AQ417"/>
      <c r="AT417"/>
      <c r="AU417"/>
      <c r="AV417"/>
      <c r="AY417" s="35">
        <v>5180.3533295593452</v>
      </c>
      <c r="AZ417" s="46">
        <v>-702.65604202677582</v>
      </c>
      <c r="BA417" s="47">
        <v>3610.7203450525185</v>
      </c>
    </row>
    <row r="418" spans="42:53" x14ac:dyDescent="0.5">
      <c r="AP418"/>
      <c r="AQ418"/>
      <c r="AT418"/>
      <c r="AU418"/>
      <c r="AV418"/>
      <c r="AY418" s="35">
        <v>-1564.4290993519935</v>
      </c>
      <c r="AZ418" s="46">
        <v>644.56560872618104</v>
      </c>
      <c r="BA418" s="47">
        <v>1545.0311294644525</v>
      </c>
    </row>
    <row r="419" spans="42:53" x14ac:dyDescent="0.5">
      <c r="AP419"/>
      <c r="AQ419"/>
      <c r="AT419"/>
      <c r="AU419"/>
      <c r="AV419"/>
      <c r="AY419" s="35">
        <v>3626.4328263344755</v>
      </c>
      <c r="AZ419" s="46">
        <v>1107.5985120770076</v>
      </c>
      <c r="BA419" s="47">
        <v>1499.2028054653813</v>
      </c>
    </row>
    <row r="420" spans="42:53" x14ac:dyDescent="0.5">
      <c r="AP420"/>
      <c r="AQ420"/>
      <c r="AT420"/>
      <c r="AU420"/>
      <c r="AV420"/>
      <c r="AY420" s="35">
        <v>259.30253824318555</v>
      </c>
      <c r="AZ420" s="46">
        <v>-3635.6269243887141</v>
      </c>
      <c r="BA420" s="47">
        <v>1146.9492201296457</v>
      </c>
    </row>
    <row r="421" spans="42:53" x14ac:dyDescent="0.5">
      <c r="AP421"/>
      <c r="AQ421"/>
      <c r="AT421"/>
      <c r="AU421"/>
      <c r="AV421"/>
      <c r="AY421" s="35">
        <v>6719.9325140700657</v>
      </c>
      <c r="AZ421" s="46">
        <v>-1415.541927092476</v>
      </c>
      <c r="BA421" s="47">
        <v>1358.0580199721333</v>
      </c>
    </row>
    <row r="422" spans="42:53" x14ac:dyDescent="0.5">
      <c r="AP422"/>
      <c r="AQ422"/>
      <c r="AT422"/>
      <c r="AU422"/>
      <c r="AV422"/>
      <c r="AY422" s="35">
        <v>4219.77180853341</v>
      </c>
      <c r="AZ422" s="46">
        <v>2129.1456578869111</v>
      </c>
      <c r="BA422" s="47">
        <v>2613.3864811258486</v>
      </c>
    </row>
    <row r="423" spans="42:53" x14ac:dyDescent="0.5">
      <c r="AP423"/>
      <c r="AQ423"/>
      <c r="AT423"/>
      <c r="AU423"/>
      <c r="AV423"/>
      <c r="AY423" s="35">
        <v>4031.8953845617675</v>
      </c>
      <c r="AZ423" s="46">
        <v>4204.4599378875755</v>
      </c>
      <c r="BA423" s="47">
        <v>1863.5194389992582</v>
      </c>
    </row>
    <row r="424" spans="42:53" x14ac:dyDescent="0.5">
      <c r="AP424"/>
      <c r="AQ424"/>
      <c r="AT424"/>
      <c r="AU424"/>
      <c r="AV424"/>
      <c r="AY424" s="35">
        <v>920.9753710555583</v>
      </c>
      <c r="AZ424" s="46">
        <v>-708.88261225933377</v>
      </c>
      <c r="BA424" s="47">
        <v>-103.3680850725377</v>
      </c>
    </row>
    <row r="425" spans="42:53" x14ac:dyDescent="0.5">
      <c r="AP425"/>
      <c r="AQ425"/>
      <c r="AT425"/>
      <c r="AU425"/>
      <c r="AV425"/>
      <c r="AY425" s="35">
        <v>2920.7218250305773</v>
      </c>
      <c r="AZ425" s="46">
        <v>1351.0232595346363</v>
      </c>
      <c r="BA425" s="47">
        <v>4975.5987010909721</v>
      </c>
    </row>
    <row r="426" spans="42:53" x14ac:dyDescent="0.5">
      <c r="AP426"/>
      <c r="AQ426"/>
      <c r="AT426"/>
      <c r="AU426"/>
      <c r="AV426"/>
      <c r="AY426" s="35">
        <v>-985.5463653237623</v>
      </c>
      <c r="AZ426" s="46">
        <v>-1708.5645601700714</v>
      </c>
      <c r="BA426" s="47">
        <v>5819.1328555174296</v>
      </c>
    </row>
    <row r="427" spans="42:53" x14ac:dyDescent="0.5">
      <c r="AP427"/>
      <c r="AQ427"/>
      <c r="AT427"/>
      <c r="AU427"/>
      <c r="AV427"/>
      <c r="AY427" s="35">
        <v>4785.6665824610545</v>
      </c>
      <c r="AZ427" s="46">
        <v>-1969.7616785697439</v>
      </c>
      <c r="BA427" s="47">
        <v>2832.2001440634649</v>
      </c>
    </row>
    <row r="428" spans="42:53" x14ac:dyDescent="0.5">
      <c r="AP428"/>
      <c r="AQ428"/>
      <c r="AT428"/>
      <c r="AU428"/>
      <c r="AV428"/>
      <c r="AY428" s="35">
        <v>4343.2425193439722</v>
      </c>
      <c r="AZ428" s="46">
        <v>5271.5459285735069</v>
      </c>
      <c r="BA428" s="47">
        <v>1701.3806493685479</v>
      </c>
    </row>
    <row r="429" spans="42:53" x14ac:dyDescent="0.5">
      <c r="AP429"/>
      <c r="AQ429"/>
      <c r="AT429"/>
      <c r="AU429"/>
      <c r="AV429"/>
      <c r="AY429" s="35">
        <v>-302.48382645939785</v>
      </c>
      <c r="AZ429" s="46">
        <v>416.88019131975085</v>
      </c>
      <c r="BA429" s="47">
        <v>3473.612106655125</v>
      </c>
    </row>
    <row r="430" spans="42:53" x14ac:dyDescent="0.5">
      <c r="AP430"/>
      <c r="AQ430"/>
      <c r="AT430"/>
      <c r="AU430"/>
      <c r="AV430"/>
      <c r="AY430" s="35">
        <v>3289.3729919200323</v>
      </c>
      <c r="AZ430" s="46">
        <v>-2851.4803482452012</v>
      </c>
      <c r="BA430" s="47">
        <v>2546.6258452578727</v>
      </c>
    </row>
    <row r="431" spans="42:53" x14ac:dyDescent="0.5">
      <c r="AP431"/>
      <c r="AQ431"/>
      <c r="AT431"/>
      <c r="AU431"/>
      <c r="AV431"/>
      <c r="AY431" s="35">
        <v>679.64469499628115</v>
      </c>
      <c r="AZ431" s="46">
        <v>1391.496619035021</v>
      </c>
      <c r="BA431" s="47">
        <v>8533.5811637824008</v>
      </c>
    </row>
    <row r="432" spans="42:53" x14ac:dyDescent="0.5">
      <c r="AP432"/>
      <c r="AQ432"/>
      <c r="AT432"/>
      <c r="AU432"/>
      <c r="AV432"/>
      <c r="AY432" s="35">
        <v>4652.2521704428473</v>
      </c>
      <c r="AZ432" s="46">
        <v>-2713.8950863017203</v>
      </c>
      <c r="BA432" s="47">
        <v>11587.957964764506</v>
      </c>
    </row>
    <row r="433" spans="42:53" x14ac:dyDescent="0.5">
      <c r="AP433"/>
      <c r="AQ433"/>
      <c r="AT433"/>
      <c r="AU433"/>
      <c r="AV433"/>
      <c r="AY433" s="35">
        <v>-1077.5004676631852</v>
      </c>
      <c r="AZ433" s="46">
        <v>919.37660580830243</v>
      </c>
      <c r="BA433" s="47">
        <v>974.76357204467763</v>
      </c>
    </row>
    <row r="434" spans="42:53" x14ac:dyDescent="0.5">
      <c r="AP434"/>
      <c r="AQ434"/>
      <c r="AT434"/>
      <c r="AU434"/>
      <c r="AV434"/>
      <c r="AY434" s="35">
        <v>1798.2835973995043</v>
      </c>
      <c r="AZ434" s="46">
        <v>2374.5860102106312</v>
      </c>
      <c r="BA434" s="47">
        <v>2692.1893924171159</v>
      </c>
    </row>
    <row r="435" spans="42:53" x14ac:dyDescent="0.5">
      <c r="AP435"/>
      <c r="AQ435"/>
      <c r="AT435"/>
      <c r="AU435"/>
      <c r="AV435"/>
      <c r="AY435" s="35">
        <v>-1193.854262810293</v>
      </c>
      <c r="AZ435" s="46">
        <v>1286.598160666792</v>
      </c>
      <c r="BA435" s="47">
        <v>2955.7487074254873</v>
      </c>
    </row>
    <row r="436" spans="42:53" x14ac:dyDescent="0.5">
      <c r="AP436"/>
      <c r="AQ436"/>
      <c r="AT436"/>
      <c r="AU436"/>
      <c r="AV436"/>
      <c r="AY436" s="35">
        <v>2932.4242663927475</v>
      </c>
      <c r="AZ436" s="46">
        <v>2793.964393366181</v>
      </c>
      <c r="BA436" s="47">
        <v>5490.9768998788804</v>
      </c>
    </row>
    <row r="437" spans="42:53" x14ac:dyDescent="0.5">
      <c r="AP437"/>
      <c r="AQ437"/>
      <c r="AT437"/>
      <c r="AU437"/>
      <c r="AV437"/>
      <c r="AY437" s="35">
        <v>4315.4809817099749</v>
      </c>
      <c r="AZ437" s="46">
        <v>691.01347489968703</v>
      </c>
      <c r="BA437" s="47">
        <v>1314.8602218757801</v>
      </c>
    </row>
    <row r="438" spans="42:53" x14ac:dyDescent="0.5">
      <c r="AP438"/>
      <c r="AQ438"/>
      <c r="AT438"/>
      <c r="AU438"/>
      <c r="AV438"/>
      <c r="AY438" s="35">
        <v>6357.1309518061908</v>
      </c>
      <c r="AZ438" s="46">
        <v>-422.92167328140346</v>
      </c>
      <c r="BA438" s="47">
        <v>881.55321538746557</v>
      </c>
    </row>
    <row r="439" spans="42:53" x14ac:dyDescent="0.5">
      <c r="AP439"/>
      <c r="AQ439"/>
      <c r="AT439"/>
      <c r="AU439"/>
      <c r="AV439"/>
      <c r="AY439" s="35">
        <v>7641.1451635637477</v>
      </c>
      <c r="AZ439" s="46">
        <v>-2558.6644720541499</v>
      </c>
      <c r="BA439" s="47">
        <v>7036.9562324313483</v>
      </c>
    </row>
    <row r="440" spans="42:53" x14ac:dyDescent="0.5">
      <c r="AP440"/>
      <c r="AQ440"/>
      <c r="AT440"/>
      <c r="AU440"/>
      <c r="AV440"/>
      <c r="AY440" s="35">
        <v>-482.77105824583072</v>
      </c>
      <c r="AZ440" s="46">
        <v>-570.41252491780415</v>
      </c>
      <c r="BA440" s="47">
        <v>994.42625683018173</v>
      </c>
    </row>
    <row r="441" spans="42:53" x14ac:dyDescent="0.5">
      <c r="AP441"/>
      <c r="AQ441"/>
      <c r="AT441"/>
      <c r="AU441"/>
      <c r="AV441"/>
      <c r="AY441" s="35">
        <v>7453.29301349664</v>
      </c>
      <c r="AZ441" s="46">
        <v>1098.5259846767021</v>
      </c>
      <c r="BA441" s="47">
        <v>7958.6833284850418</v>
      </c>
    </row>
    <row r="442" spans="42:53" x14ac:dyDescent="0.5">
      <c r="AP442"/>
      <c r="AQ442"/>
      <c r="AT442"/>
      <c r="AU442"/>
      <c r="AV442"/>
      <c r="AY442" s="35">
        <v>881.75032946480655</v>
      </c>
      <c r="AZ442" s="46">
        <v>-525.74163174164755</v>
      </c>
      <c r="BA442" s="47">
        <v>19036.724670573985</v>
      </c>
    </row>
    <row r="443" spans="42:53" x14ac:dyDescent="0.5">
      <c r="AP443"/>
      <c r="AQ443"/>
      <c r="AT443"/>
      <c r="AU443"/>
      <c r="AV443"/>
      <c r="AY443" s="35">
        <v>5772.1830999472022</v>
      </c>
      <c r="AZ443" s="46">
        <v>-1521.2248932124232</v>
      </c>
      <c r="BA443" s="47">
        <v>770.95552632601823</v>
      </c>
    </row>
    <row r="444" spans="42:53" x14ac:dyDescent="0.5">
      <c r="AP444"/>
      <c r="AQ444"/>
      <c r="AT444"/>
      <c r="AU444"/>
      <c r="AV444"/>
      <c r="AY444" s="35">
        <v>850.25349100825144</v>
      </c>
      <c r="AZ444" s="46">
        <v>-4352.5329694755055</v>
      </c>
      <c r="BA444" s="47">
        <v>10522.498464161214</v>
      </c>
    </row>
    <row r="445" spans="42:53" x14ac:dyDescent="0.5">
      <c r="AP445"/>
      <c r="AQ445"/>
      <c r="AT445"/>
      <c r="AU445"/>
      <c r="AV445"/>
      <c r="AY445" s="35">
        <v>5258.231688635733</v>
      </c>
      <c r="AZ445" s="46">
        <v>-4114.8987438637059</v>
      </c>
      <c r="BA445" s="47">
        <v>7010.5705149094183</v>
      </c>
    </row>
    <row r="446" spans="42:53" x14ac:dyDescent="0.5">
      <c r="AP446"/>
      <c r="AQ446"/>
      <c r="AT446"/>
      <c r="AU446"/>
      <c r="AV446"/>
      <c r="AY446" s="35">
        <v>-1472.8689982172809</v>
      </c>
      <c r="AZ446" s="46">
        <v>-2679.3112300857574</v>
      </c>
      <c r="BA446" s="47">
        <v>5820.8261053737897</v>
      </c>
    </row>
    <row r="447" spans="42:53" x14ac:dyDescent="0.5">
      <c r="AP447"/>
      <c r="AQ447"/>
      <c r="AT447"/>
      <c r="AU447"/>
      <c r="AV447"/>
      <c r="AY447" s="35">
        <v>6228.223625950217</v>
      </c>
      <c r="AZ447" s="46">
        <v>-950.46777799824179</v>
      </c>
      <c r="BA447" s="47">
        <v>2409.4382153462643</v>
      </c>
    </row>
    <row r="448" spans="42:53" x14ac:dyDescent="0.5">
      <c r="AP448"/>
      <c r="AQ448"/>
      <c r="AT448"/>
      <c r="AU448"/>
      <c r="AV448"/>
      <c r="AY448" s="35">
        <v>-846.93778676635884</v>
      </c>
      <c r="AZ448" s="46">
        <v>9014.5208200558427</v>
      </c>
      <c r="BA448" s="47">
        <v>8164.9105690087299</v>
      </c>
    </row>
    <row r="449" spans="42:53" x14ac:dyDescent="0.5">
      <c r="AP449"/>
      <c r="AQ449"/>
      <c r="AT449"/>
      <c r="AU449"/>
      <c r="AV449"/>
      <c r="AY449" s="35">
        <v>-137.64437401259204</v>
      </c>
      <c r="AZ449" s="46">
        <v>-3440.1453966450563</v>
      </c>
      <c r="BA449" s="47">
        <v>2894.2041427933973</v>
      </c>
    </row>
    <row r="450" spans="42:53" x14ac:dyDescent="0.5">
      <c r="AP450"/>
      <c r="AQ450"/>
      <c r="AT450"/>
      <c r="AU450"/>
      <c r="AV450"/>
      <c r="AY450" s="35">
        <v>6676.8125503185074</v>
      </c>
      <c r="AZ450" s="46">
        <v>3127.8997220227634</v>
      </c>
      <c r="BA450" s="47">
        <v>1081.5543571855042</v>
      </c>
    </row>
    <row r="451" spans="42:53" x14ac:dyDescent="0.5">
      <c r="AP451"/>
      <c r="AQ451"/>
      <c r="AT451"/>
      <c r="AU451"/>
      <c r="AV451"/>
      <c r="AY451" s="35">
        <v>693.82790291726246</v>
      </c>
      <c r="AZ451" s="46">
        <v>4961.1594413190051</v>
      </c>
      <c r="BA451" s="47">
        <v>5068.0966057351852</v>
      </c>
    </row>
    <row r="452" spans="42:53" x14ac:dyDescent="0.5">
      <c r="AP452"/>
      <c r="AQ452"/>
      <c r="AT452"/>
      <c r="AU452"/>
      <c r="AV452"/>
      <c r="AY452" s="35">
        <v>1984.0833804125043</v>
      </c>
      <c r="AZ452" s="46">
        <v>-1586.8087929733467</v>
      </c>
      <c r="BA452" s="47">
        <v>-858.87317579349792</v>
      </c>
    </row>
    <row r="453" spans="42:53" x14ac:dyDescent="0.5">
      <c r="AP453"/>
      <c r="AQ453"/>
      <c r="AT453"/>
      <c r="AU453"/>
      <c r="AV453"/>
      <c r="AY453" s="35">
        <v>5939.2901156014423</v>
      </c>
      <c r="AZ453" s="46">
        <v>2401.3006087766621</v>
      </c>
      <c r="BA453" s="47">
        <v>8085.8106549899376</v>
      </c>
    </row>
    <row r="454" spans="42:53" x14ac:dyDescent="0.5">
      <c r="AP454"/>
      <c r="AQ454"/>
      <c r="AT454"/>
      <c r="AU454"/>
      <c r="AV454"/>
      <c r="AY454" s="35">
        <v>2067.2622254508838</v>
      </c>
      <c r="AZ454" s="46">
        <v>9155.4431569627632</v>
      </c>
      <c r="BA454" s="47">
        <v>3368.2696380582056</v>
      </c>
    </row>
    <row r="455" spans="42:53" x14ac:dyDescent="0.5">
      <c r="AP455"/>
      <c r="AQ455"/>
      <c r="AT455"/>
      <c r="AU455"/>
      <c r="AV455"/>
      <c r="AY455" s="35">
        <v>154.58828656051145</v>
      </c>
      <c r="AZ455" s="46">
        <v>-2829.7143609326267</v>
      </c>
      <c r="BA455" s="47">
        <v>4407.6241482091928</v>
      </c>
    </row>
    <row r="456" spans="42:53" x14ac:dyDescent="0.5">
      <c r="AP456"/>
      <c r="AQ456"/>
      <c r="AT456"/>
      <c r="AU456"/>
      <c r="AV456"/>
      <c r="AY456" s="35">
        <v>1623.2821101320069</v>
      </c>
      <c r="AZ456" s="46">
        <v>-4186.9075314103666</v>
      </c>
      <c r="BA456" s="47">
        <v>5704.6131586612855</v>
      </c>
    </row>
    <row r="457" spans="42:53" x14ac:dyDescent="0.5">
      <c r="AP457"/>
      <c r="AQ457"/>
      <c r="AT457"/>
      <c r="AU457"/>
      <c r="AV457"/>
      <c r="AY457" s="35">
        <v>6666.2280677634972</v>
      </c>
      <c r="AZ457" s="46">
        <v>-3544.0744896609035</v>
      </c>
      <c r="BA457" s="47">
        <v>3756.92002548966</v>
      </c>
    </row>
    <row r="458" spans="42:53" x14ac:dyDescent="0.5">
      <c r="AP458"/>
      <c r="AQ458"/>
      <c r="AT458"/>
      <c r="AU458"/>
      <c r="AV458"/>
      <c r="AY458" s="35">
        <v>-1137.592861054372</v>
      </c>
      <c r="AZ458" s="46">
        <v>-1434.6811350367977</v>
      </c>
      <c r="BA458" s="47">
        <v>3848.6101210235165</v>
      </c>
    </row>
    <row r="459" spans="42:53" x14ac:dyDescent="0.5">
      <c r="AP459"/>
      <c r="AQ459"/>
      <c r="AT459"/>
      <c r="AU459"/>
      <c r="AV459"/>
      <c r="AY459" s="35">
        <v>-1958.9134574287248</v>
      </c>
      <c r="AZ459" s="46">
        <v>-3663.7393665214809</v>
      </c>
      <c r="BA459" s="47">
        <v>1166.437932146097</v>
      </c>
    </row>
    <row r="460" spans="42:53" x14ac:dyDescent="0.5">
      <c r="AP460"/>
      <c r="AQ460"/>
      <c r="AT460"/>
      <c r="AU460"/>
      <c r="AV460"/>
      <c r="AY460" s="35">
        <v>1688.6042294723736</v>
      </c>
      <c r="AZ460" s="46">
        <v>-5093.2943655358968</v>
      </c>
      <c r="BA460" s="47">
        <v>-2001.3136209007801</v>
      </c>
    </row>
    <row r="461" spans="42:53" x14ac:dyDescent="0.5">
      <c r="AP461"/>
      <c r="AQ461"/>
      <c r="AT461"/>
      <c r="AU461"/>
      <c r="AV461"/>
      <c r="AY461" s="35">
        <v>5798.7672470129428</v>
      </c>
      <c r="AZ461" s="46">
        <v>-3797.4707003964154</v>
      </c>
      <c r="BA461" s="47">
        <v>3391.3817683047751</v>
      </c>
    </row>
    <row r="462" spans="42:53" x14ac:dyDescent="0.5">
      <c r="AP462"/>
      <c r="AQ462"/>
      <c r="AT462"/>
      <c r="AU462"/>
      <c r="AV462"/>
      <c r="AY462" s="35">
        <v>3015.8878341356703</v>
      </c>
      <c r="AZ462" s="46">
        <v>568.50253921105377</v>
      </c>
      <c r="BA462" s="47">
        <v>2525.6130456456503</v>
      </c>
    </row>
    <row r="463" spans="42:53" x14ac:dyDescent="0.5">
      <c r="AP463"/>
      <c r="AQ463"/>
      <c r="AT463"/>
      <c r="AU463"/>
      <c r="AV463"/>
      <c r="AY463" s="35">
        <v>-36.477401374639946</v>
      </c>
      <c r="AZ463" s="46">
        <v>-3910.6789766073866</v>
      </c>
      <c r="BA463" s="47">
        <v>1597.9927527295658</v>
      </c>
    </row>
    <row r="464" spans="42:53" x14ac:dyDescent="0.5">
      <c r="AP464"/>
      <c r="AQ464"/>
      <c r="AT464"/>
      <c r="AU464"/>
      <c r="AV464"/>
      <c r="AY464" s="35">
        <v>259.16028773270597</v>
      </c>
      <c r="AZ464" s="46">
        <v>3297.0889827651417</v>
      </c>
      <c r="BA464" s="47">
        <v>548.73176052389499</v>
      </c>
    </row>
    <row r="465" spans="42:53" x14ac:dyDescent="0.5">
      <c r="AP465"/>
      <c r="AQ465"/>
      <c r="AT465"/>
      <c r="AU465"/>
      <c r="AV465"/>
      <c r="AY465" s="35">
        <v>6260.7951638829627</v>
      </c>
      <c r="AZ465" s="46">
        <v>3271.1225889355669</v>
      </c>
      <c r="BA465" s="47">
        <v>4654.6295645175578</v>
      </c>
    </row>
    <row r="466" spans="42:53" x14ac:dyDescent="0.5">
      <c r="AP466"/>
      <c r="AQ466"/>
      <c r="AT466"/>
      <c r="AU466"/>
      <c r="AV466"/>
      <c r="AY466" s="35">
        <v>-699.25202461945889</v>
      </c>
      <c r="AZ466" s="46">
        <v>2876.0681044762132</v>
      </c>
      <c r="BA466" s="47">
        <v>8389.3036727492108</v>
      </c>
    </row>
    <row r="467" spans="42:53" x14ac:dyDescent="0.5">
      <c r="AP467"/>
      <c r="AQ467"/>
      <c r="AT467"/>
      <c r="AU467"/>
      <c r="AV467"/>
      <c r="AY467" s="35">
        <v>3969.2658968537266</v>
      </c>
      <c r="AZ467" s="46">
        <v>2641.5011678563901</v>
      </c>
      <c r="BA467" s="47">
        <v>5324.2758552303394</v>
      </c>
    </row>
    <row r="468" spans="42:53" x14ac:dyDescent="0.5">
      <c r="AP468"/>
      <c r="AQ468"/>
      <c r="AT468"/>
      <c r="AU468"/>
      <c r="AV468"/>
      <c r="AY468" s="35">
        <v>4587.2212170546773</v>
      </c>
      <c r="AZ468" s="46">
        <v>-2186.5269211828195</v>
      </c>
      <c r="BA468" s="47">
        <v>-2913.4530966802408</v>
      </c>
    </row>
    <row r="469" spans="42:53" x14ac:dyDescent="0.5">
      <c r="AP469"/>
      <c r="AQ469"/>
      <c r="AT469"/>
      <c r="AU469"/>
      <c r="AV469"/>
      <c r="AY469" s="35">
        <v>2020.9664452516577</v>
      </c>
      <c r="AZ469" s="46">
        <v>3496.444205212847</v>
      </c>
      <c r="BA469" s="47">
        <v>1006.8236748131569</v>
      </c>
    </row>
    <row r="470" spans="42:53" x14ac:dyDescent="0.5">
      <c r="AP470"/>
      <c r="AQ470"/>
      <c r="AT470"/>
      <c r="AU470"/>
      <c r="AV470"/>
      <c r="AY470" s="35">
        <v>688.07507702944974</v>
      </c>
      <c r="AZ470" s="46">
        <v>-4872.7655571093755</v>
      </c>
      <c r="BA470" s="47">
        <v>3086.1365754977069</v>
      </c>
    </row>
    <row r="471" spans="42:53" x14ac:dyDescent="0.5">
      <c r="AP471"/>
      <c r="AQ471"/>
      <c r="AT471"/>
      <c r="AU471"/>
      <c r="AV471"/>
      <c r="AY471" s="35">
        <v>7063.4695208992662</v>
      </c>
      <c r="AZ471" s="46">
        <v>-968.48850658581273</v>
      </c>
      <c r="BA471" s="47">
        <v>225.27173891029878</v>
      </c>
    </row>
    <row r="472" spans="42:53" x14ac:dyDescent="0.5">
      <c r="AP472"/>
      <c r="AQ472"/>
      <c r="AT472"/>
      <c r="AU472"/>
      <c r="AV472"/>
      <c r="AY472" s="35">
        <v>4958.7190214034408</v>
      </c>
      <c r="AZ472" s="46">
        <v>-3358.8685795769156</v>
      </c>
      <c r="BA472" s="47">
        <v>5824.8651307852206</v>
      </c>
    </row>
    <row r="473" spans="42:53" x14ac:dyDescent="0.5">
      <c r="AP473"/>
      <c r="AQ473"/>
      <c r="AT473"/>
      <c r="AU473"/>
      <c r="AV473"/>
      <c r="AY473" s="35">
        <v>1907.5337090885043</v>
      </c>
      <c r="AZ473" s="46">
        <v>-3740.5062510650891</v>
      </c>
      <c r="BA473" s="47">
        <v>4234.5558533057001</v>
      </c>
    </row>
    <row r="474" spans="42:53" x14ac:dyDescent="0.5">
      <c r="AP474"/>
      <c r="AQ474"/>
      <c r="AT474"/>
      <c r="AU474"/>
      <c r="AV474"/>
      <c r="AY474" s="35">
        <v>6994.8837803714259</v>
      </c>
      <c r="AZ474" s="46">
        <v>-1796.8969185021333</v>
      </c>
      <c r="BA474" s="47">
        <v>1780.0519798440996</v>
      </c>
    </row>
    <row r="475" spans="42:53" x14ac:dyDescent="0.5">
      <c r="AP475"/>
      <c r="AQ475"/>
      <c r="AT475"/>
      <c r="AU475"/>
      <c r="AV475"/>
      <c r="AY475" s="35">
        <v>4460.2237926846392</v>
      </c>
      <c r="AZ475" s="46">
        <v>4415.6738812293688</v>
      </c>
      <c r="BA475" s="47">
        <v>5448.1875408232236</v>
      </c>
    </row>
    <row r="476" spans="42:53" x14ac:dyDescent="0.5">
      <c r="AP476"/>
      <c r="AQ476"/>
      <c r="AT476"/>
      <c r="AU476"/>
      <c r="AV476"/>
      <c r="AY476" s="35">
        <v>-2401.5299604373085</v>
      </c>
      <c r="AZ476" s="46">
        <v>-1986.8967267968835</v>
      </c>
      <c r="BA476" s="47">
        <v>6103.2846479034824</v>
      </c>
    </row>
    <row r="477" spans="42:53" x14ac:dyDescent="0.5">
      <c r="AP477"/>
      <c r="AQ477"/>
      <c r="AT477"/>
      <c r="AU477"/>
      <c r="AV477"/>
      <c r="AY477" s="35">
        <v>1248.3175748155261</v>
      </c>
      <c r="AZ477" s="46">
        <v>-2584.5340242471916</v>
      </c>
      <c r="BA477" s="47">
        <v>9909.0785856460589</v>
      </c>
    </row>
    <row r="478" spans="42:53" x14ac:dyDescent="0.5">
      <c r="AP478"/>
      <c r="AQ478"/>
      <c r="AT478"/>
      <c r="AU478"/>
      <c r="AV478"/>
      <c r="AY478" s="35">
        <v>4269.2352043184364</v>
      </c>
      <c r="AZ478" s="46">
        <v>-436.55362141378083</v>
      </c>
      <c r="BA478" s="47">
        <v>7515.7934056892409</v>
      </c>
    </row>
    <row r="479" spans="42:53" x14ac:dyDescent="0.5">
      <c r="AP479"/>
      <c r="AQ479"/>
      <c r="AT479"/>
      <c r="AU479"/>
      <c r="AV479"/>
      <c r="AY479" s="35">
        <v>6921.4168634497237</v>
      </c>
      <c r="AZ479" s="46">
        <v>-22.325155674285121</v>
      </c>
      <c r="BA479" s="47">
        <v>1387.1229457525747</v>
      </c>
    </row>
    <row r="480" spans="42:53" x14ac:dyDescent="0.5">
      <c r="AP480"/>
      <c r="AQ480"/>
      <c r="AT480"/>
      <c r="AU480"/>
      <c r="AV480"/>
      <c r="AY480" s="35">
        <v>3365.0400584134168</v>
      </c>
      <c r="AZ480" s="46">
        <v>274.0202414543208</v>
      </c>
      <c r="BA480" s="47">
        <v>6527.7021604611509</v>
      </c>
    </row>
    <row r="481" spans="42:53" x14ac:dyDescent="0.5">
      <c r="AP481"/>
      <c r="AQ481"/>
      <c r="AT481"/>
      <c r="AU481"/>
      <c r="AV481"/>
      <c r="AY481" s="35">
        <v>1744.5014152564634</v>
      </c>
      <c r="AZ481" s="46">
        <v>-3470.0612248156658</v>
      </c>
      <c r="BA481" s="47">
        <v>378.97075776731521</v>
      </c>
    </row>
    <row r="482" spans="42:53" x14ac:dyDescent="0.5">
      <c r="AP482"/>
      <c r="AQ482"/>
      <c r="AT482"/>
      <c r="AU482"/>
      <c r="AV482"/>
      <c r="AY482" s="35">
        <v>7358.8517229010722</v>
      </c>
      <c r="AZ482" s="46">
        <v>5974.536437689605</v>
      </c>
      <c r="BA482" s="47">
        <v>7402.8833128642018</v>
      </c>
    </row>
    <row r="483" spans="42:53" x14ac:dyDescent="0.5">
      <c r="AP483"/>
      <c r="AQ483"/>
      <c r="AT483"/>
      <c r="AU483"/>
      <c r="AV483"/>
      <c r="AY483" s="35">
        <v>6333.8470037690977</v>
      </c>
      <c r="AZ483" s="46">
        <v>764.03663934761857</v>
      </c>
      <c r="BA483" s="47">
        <v>3284.8567338904691</v>
      </c>
    </row>
    <row r="484" spans="42:53" x14ac:dyDescent="0.5">
      <c r="AP484"/>
      <c r="AQ484"/>
      <c r="AT484"/>
      <c r="AU484"/>
      <c r="AV484"/>
      <c r="AY484" s="35">
        <v>348.36043092891435</v>
      </c>
      <c r="AZ484" s="46">
        <v>-1458.3001011598785</v>
      </c>
      <c r="BA484" s="47">
        <v>5152.7428377837896</v>
      </c>
    </row>
    <row r="485" spans="42:53" x14ac:dyDescent="0.5">
      <c r="AP485"/>
      <c r="AQ485"/>
      <c r="AT485"/>
      <c r="AU485"/>
      <c r="AV485"/>
      <c r="AY485" s="35">
        <v>4148.8876990165272</v>
      </c>
      <c r="AZ485" s="46">
        <v>2483.6549194263162</v>
      </c>
      <c r="BA485" s="47">
        <v>-111.98011889425172</v>
      </c>
    </row>
    <row r="486" spans="42:53" x14ac:dyDescent="0.5">
      <c r="AP486"/>
      <c r="AQ486"/>
      <c r="AT486"/>
      <c r="AU486"/>
      <c r="AV486"/>
      <c r="AY486" s="35">
        <v>-1529.3909016690454</v>
      </c>
      <c r="AZ486" s="46">
        <v>-782.77863202540163</v>
      </c>
      <c r="BA486" s="47">
        <v>5705.9382515913503</v>
      </c>
    </row>
    <row r="487" spans="42:53" x14ac:dyDescent="0.5">
      <c r="AP487"/>
      <c r="AQ487"/>
      <c r="AT487"/>
      <c r="AU487"/>
      <c r="AV487"/>
      <c r="AY487" s="35">
        <v>5296.3166282891771</v>
      </c>
      <c r="AZ487" s="46">
        <v>-3043.0837722378369</v>
      </c>
      <c r="BA487" s="47">
        <v>-214.22669901945648</v>
      </c>
    </row>
    <row r="488" spans="42:53" x14ac:dyDescent="0.5">
      <c r="AP488"/>
      <c r="AQ488"/>
      <c r="AT488"/>
      <c r="AU488"/>
      <c r="AV488"/>
      <c r="AY488" s="35">
        <v>6178.6664670508626</v>
      </c>
      <c r="AZ488" s="46">
        <v>11395.459175078984</v>
      </c>
      <c r="BA488" s="47">
        <v>2232.512044250399</v>
      </c>
    </row>
    <row r="489" spans="42:53" x14ac:dyDescent="0.5">
      <c r="AP489"/>
      <c r="AQ489"/>
      <c r="AT489"/>
      <c r="AU489"/>
      <c r="AV489"/>
      <c r="AY489" s="35">
        <v>5542.2166225375786</v>
      </c>
      <c r="AZ489" s="46">
        <v>307.90614740923905</v>
      </c>
      <c r="BA489" s="47">
        <v>2677.9241517593946</v>
      </c>
    </row>
    <row r="490" spans="42:53" x14ac:dyDescent="0.5">
      <c r="AP490"/>
      <c r="AQ490"/>
      <c r="AT490"/>
      <c r="AU490"/>
      <c r="AV490"/>
      <c r="AY490" s="35">
        <v>3972.6437601348221</v>
      </c>
      <c r="AZ490" s="46">
        <v>-3418.9831809669613</v>
      </c>
      <c r="BA490" s="47">
        <v>-1453.5805751324961</v>
      </c>
    </row>
    <row r="491" spans="42:53" x14ac:dyDescent="0.5">
      <c r="AP491"/>
      <c r="AQ491"/>
      <c r="AT491"/>
      <c r="AU491"/>
      <c r="AV491"/>
      <c r="AY491" s="35">
        <v>3525.3054487139493</v>
      </c>
      <c r="AZ491" s="46">
        <v>-464.34955202825228</v>
      </c>
      <c r="BA491" s="47">
        <v>14740.192362998254</v>
      </c>
    </row>
    <row r="492" spans="42:53" x14ac:dyDescent="0.5">
      <c r="AP492"/>
      <c r="AQ492"/>
      <c r="AT492"/>
      <c r="AU492"/>
      <c r="AV492"/>
      <c r="AY492" s="35">
        <v>6548.4684642555267</v>
      </c>
      <c r="AZ492" s="46">
        <v>-2402.8624699471129</v>
      </c>
      <c r="BA492" s="47">
        <v>-725.00904043338642</v>
      </c>
    </row>
    <row r="493" spans="42:53" x14ac:dyDescent="0.5">
      <c r="AP493"/>
      <c r="AQ493"/>
      <c r="AT493"/>
      <c r="AU493"/>
      <c r="AV493"/>
      <c r="AY493" s="35">
        <v>-2020.7926985248832</v>
      </c>
      <c r="AZ493" s="46">
        <v>-609.87474302337318</v>
      </c>
      <c r="BA493" s="47">
        <v>-180.6178081173764</v>
      </c>
    </row>
    <row r="494" spans="42:53" x14ac:dyDescent="0.5">
      <c r="AP494"/>
      <c r="AQ494"/>
      <c r="AT494"/>
      <c r="AU494"/>
      <c r="AV494"/>
      <c r="AY494" s="35">
        <v>5909.8816398550616</v>
      </c>
      <c r="AZ494" s="46">
        <v>-105.25068753137674</v>
      </c>
      <c r="BA494" s="47">
        <v>2026.1721008925279</v>
      </c>
    </row>
    <row r="495" spans="42:53" x14ac:dyDescent="0.5">
      <c r="AP495"/>
      <c r="AQ495"/>
      <c r="AT495"/>
      <c r="AU495"/>
      <c r="AV495"/>
      <c r="AY495" s="35">
        <v>-823.08593896649006</v>
      </c>
      <c r="AZ495" s="46">
        <v>4738.0881079813171</v>
      </c>
      <c r="BA495" s="47">
        <v>-1208.6490772202214</v>
      </c>
    </row>
    <row r="496" spans="42:53" x14ac:dyDescent="0.5">
      <c r="AP496"/>
      <c r="AQ496"/>
      <c r="AT496"/>
      <c r="AU496"/>
      <c r="AV496"/>
      <c r="AY496" s="35">
        <v>-302.9949532787416</v>
      </c>
      <c r="AZ496" s="46">
        <v>-496.7301340821943</v>
      </c>
      <c r="BA496" s="47">
        <v>618.55001663891119</v>
      </c>
    </row>
    <row r="497" spans="42:53" x14ac:dyDescent="0.5">
      <c r="AP497"/>
      <c r="AQ497"/>
      <c r="AT497"/>
      <c r="AU497"/>
      <c r="AV497"/>
      <c r="AY497" s="35">
        <v>6587.1051832702087</v>
      </c>
      <c r="AZ497" s="46">
        <v>14299.71023220867</v>
      </c>
      <c r="BA497" s="47">
        <v>1934.1091924848026</v>
      </c>
    </row>
    <row r="498" spans="42:53" x14ac:dyDescent="0.5">
      <c r="AP498"/>
      <c r="AQ498"/>
      <c r="AT498"/>
      <c r="AU498"/>
      <c r="AV498"/>
      <c r="AY498" s="35">
        <v>1354.2089132541178</v>
      </c>
      <c r="AZ498" s="46">
        <v>1419.6558978011212</v>
      </c>
      <c r="BA498" s="47">
        <v>5850.6024249288821</v>
      </c>
    </row>
    <row r="499" spans="42:53" x14ac:dyDescent="0.5">
      <c r="AP499"/>
      <c r="AQ499"/>
      <c r="AT499"/>
      <c r="AU499"/>
      <c r="AV499"/>
      <c r="AY499" s="35">
        <v>4938.6434738427724</v>
      </c>
      <c r="AZ499" s="46">
        <v>-3394.9144626657776</v>
      </c>
      <c r="BA499" s="47">
        <v>3666.4858132214008</v>
      </c>
    </row>
    <row r="500" spans="42:53" x14ac:dyDescent="0.5">
      <c r="AP500"/>
      <c r="AQ500"/>
      <c r="AT500"/>
      <c r="AU500"/>
      <c r="AV500"/>
      <c r="AY500" s="35">
        <v>5010.7796107109007</v>
      </c>
      <c r="AZ500" s="46">
        <v>2990.175910571932</v>
      </c>
      <c r="BA500" s="47">
        <v>1064.4629999182368</v>
      </c>
    </row>
    <row r="501" spans="42:53" x14ac:dyDescent="0.5">
      <c r="AP501"/>
      <c r="AQ501"/>
      <c r="AT501"/>
      <c r="AU501"/>
      <c r="AV501"/>
      <c r="AY501" s="35">
        <v>-151.66771500921897</v>
      </c>
      <c r="AZ501" s="46">
        <v>1135.1163132311158</v>
      </c>
      <c r="BA501" s="47">
        <v>4141.4536089360181</v>
      </c>
    </row>
    <row r="502" spans="42:53" x14ac:dyDescent="0.5">
      <c r="AP502"/>
      <c r="AQ502"/>
      <c r="AT502"/>
      <c r="AU502"/>
      <c r="AV502"/>
      <c r="AY502" s="35">
        <v>-51.847567999813997</v>
      </c>
      <c r="AZ502" s="46">
        <v>6409.3363951025722</v>
      </c>
      <c r="BA502" s="47">
        <v>4730.9041173709975</v>
      </c>
    </row>
    <row r="503" spans="42:53" x14ac:dyDescent="0.5">
      <c r="AP503"/>
      <c r="AQ503"/>
      <c r="AT503"/>
      <c r="AU503"/>
      <c r="AV503"/>
      <c r="AY503" s="35">
        <v>-36.990783672667838</v>
      </c>
      <c r="AZ503" s="46">
        <v>-4985.1745584640203</v>
      </c>
      <c r="BA503" s="47">
        <v>1073.9092663099691</v>
      </c>
    </row>
    <row r="504" spans="42:53" x14ac:dyDescent="0.5">
      <c r="AP504"/>
      <c r="AQ504"/>
      <c r="AT504"/>
      <c r="AU504"/>
      <c r="AV504"/>
      <c r="AY504" s="35">
        <v>6094.6109570826529</v>
      </c>
      <c r="AZ504" s="46">
        <v>916.02248702232464</v>
      </c>
      <c r="BA504" s="47">
        <v>4567.5893978602471</v>
      </c>
    </row>
    <row r="505" spans="42:53" x14ac:dyDescent="0.5">
      <c r="AP505"/>
      <c r="AQ505"/>
      <c r="AT505"/>
      <c r="AU505"/>
      <c r="AV505"/>
      <c r="AY505" s="35">
        <v>-306.44909294093367</v>
      </c>
      <c r="AZ505" s="46">
        <v>9364.4226329357389</v>
      </c>
      <c r="BA505" s="47">
        <v>2994.8771259577388</v>
      </c>
    </row>
    <row r="506" spans="42:53" x14ac:dyDescent="0.5">
      <c r="AP506"/>
      <c r="AQ506"/>
      <c r="AT506"/>
      <c r="AU506"/>
      <c r="AV506"/>
      <c r="AY506" s="35">
        <v>539.31052883355835</v>
      </c>
      <c r="AZ506" s="46">
        <v>-842.86241361800285</v>
      </c>
      <c r="BA506" s="47">
        <v>5812.5721987616962</v>
      </c>
    </row>
    <row r="507" spans="42:53" x14ac:dyDescent="0.5">
      <c r="AP507"/>
      <c r="AQ507"/>
      <c r="AT507"/>
      <c r="AU507"/>
      <c r="AV507"/>
      <c r="AY507" s="35">
        <v>4787.4062397378393</v>
      </c>
      <c r="AZ507" s="46">
        <v>1183.0142827264528</v>
      </c>
      <c r="BA507" s="47">
        <v>9469.653746765649</v>
      </c>
    </row>
    <row r="508" spans="42:53" x14ac:dyDescent="0.5">
      <c r="AP508"/>
      <c r="AQ508"/>
      <c r="AT508"/>
      <c r="AU508"/>
      <c r="AV508"/>
      <c r="AY508" s="35">
        <v>5113.1725023533581</v>
      </c>
      <c r="AZ508" s="46">
        <v>-4166.0073291807403</v>
      </c>
      <c r="BA508" s="47">
        <v>6285.6347954068724</v>
      </c>
    </row>
    <row r="509" spans="42:53" x14ac:dyDescent="0.5">
      <c r="AP509"/>
      <c r="AQ509"/>
      <c r="AT509"/>
      <c r="AU509"/>
      <c r="AV509"/>
      <c r="AY509" s="35">
        <v>6065.2511775187777</v>
      </c>
      <c r="AZ509" s="46">
        <v>-1923.2118234363681</v>
      </c>
      <c r="BA509" s="47">
        <v>11578.658747364721</v>
      </c>
    </row>
    <row r="510" spans="42:53" x14ac:dyDescent="0.5">
      <c r="AP510"/>
      <c r="AQ510"/>
      <c r="AT510"/>
      <c r="AU510"/>
      <c r="AV510"/>
      <c r="AY510" s="35">
        <v>4951.0666163307178</v>
      </c>
      <c r="AZ510" s="46">
        <v>-5045.9268357536257</v>
      </c>
      <c r="BA510" s="47">
        <v>-1605.8856856979278</v>
      </c>
    </row>
    <row r="511" spans="42:53" x14ac:dyDescent="0.5">
      <c r="AP511"/>
      <c r="AQ511"/>
      <c r="AT511"/>
      <c r="AU511"/>
      <c r="AV511"/>
      <c r="AY511" s="35">
        <v>7750.1906018135933</v>
      </c>
      <c r="AZ511" s="46">
        <v>-483.71002833562744</v>
      </c>
      <c r="BA511" s="47">
        <v>2074.5642339418814</v>
      </c>
    </row>
    <row r="512" spans="42:53" x14ac:dyDescent="0.5">
      <c r="AP512"/>
      <c r="AQ512"/>
      <c r="AT512"/>
      <c r="AU512"/>
      <c r="AV512"/>
      <c r="AY512" s="35">
        <v>-801.47658870782016</v>
      </c>
      <c r="AZ512" s="46">
        <v>8213.9698526507982</v>
      </c>
      <c r="BA512" s="47">
        <v>7545.8651429081228</v>
      </c>
    </row>
    <row r="513" spans="42:53" x14ac:dyDescent="0.5">
      <c r="AP513"/>
      <c r="AQ513"/>
      <c r="AT513"/>
      <c r="AU513"/>
      <c r="AV513"/>
      <c r="AY513" s="35">
        <v>3141.7422161309819</v>
      </c>
      <c r="AZ513" s="46">
        <v>-1120.2718529191407</v>
      </c>
      <c r="BA513" s="47">
        <v>4102.4861637760268</v>
      </c>
    </row>
    <row r="514" spans="42:53" x14ac:dyDescent="0.5">
      <c r="AP514"/>
      <c r="AQ514"/>
      <c r="AT514"/>
      <c r="AU514"/>
      <c r="AV514"/>
      <c r="AY514" s="35">
        <v>4398.8135302097162</v>
      </c>
      <c r="AZ514" s="46">
        <v>2018.2114897283141</v>
      </c>
      <c r="BA514" s="47">
        <v>1463.7896111057182</v>
      </c>
    </row>
    <row r="515" spans="42:53" x14ac:dyDescent="0.5">
      <c r="AP515"/>
      <c r="AQ515"/>
      <c r="AT515"/>
      <c r="AU515"/>
      <c r="AV515"/>
      <c r="AY515" s="35">
        <v>7640.6407779872043</v>
      </c>
      <c r="AZ515" s="46">
        <v>-3137.5399154677248</v>
      </c>
      <c r="BA515" s="47">
        <v>4252.9449127174021</v>
      </c>
    </row>
    <row r="516" spans="42:53" x14ac:dyDescent="0.5">
      <c r="AP516"/>
      <c r="AQ516"/>
      <c r="AT516"/>
      <c r="AU516"/>
      <c r="AV516"/>
      <c r="AY516" s="35">
        <v>3196.6005529778122</v>
      </c>
      <c r="AZ516" s="46">
        <v>2767.0262289280045</v>
      </c>
      <c r="BA516" s="47">
        <v>1873.9299277064017</v>
      </c>
    </row>
    <row r="517" spans="42:53" x14ac:dyDescent="0.5">
      <c r="AP517"/>
      <c r="AQ517"/>
      <c r="AT517"/>
      <c r="AU517"/>
      <c r="AV517"/>
      <c r="AY517" s="35">
        <v>5863.3883419314825</v>
      </c>
      <c r="AZ517" s="46">
        <v>7703.0950932719606</v>
      </c>
      <c r="BA517" s="47">
        <v>7799.9173472363036</v>
      </c>
    </row>
    <row r="518" spans="42:53" x14ac:dyDescent="0.5">
      <c r="AP518"/>
      <c r="AQ518"/>
      <c r="AT518"/>
      <c r="AU518"/>
      <c r="AV518"/>
      <c r="AY518" s="35">
        <v>2509.1366536607138</v>
      </c>
      <c r="AZ518" s="46">
        <v>-4513.9693786383641</v>
      </c>
      <c r="BA518" s="47">
        <v>5906.0026444804162</v>
      </c>
    </row>
    <row r="519" spans="42:53" x14ac:dyDescent="0.5">
      <c r="AP519"/>
      <c r="AQ519"/>
      <c r="AT519"/>
      <c r="AU519"/>
      <c r="AV519"/>
      <c r="AY519" s="35">
        <v>2599.5217881663639</v>
      </c>
      <c r="AZ519" s="46">
        <v>9197.1336127071681</v>
      </c>
      <c r="BA519" s="47">
        <v>694.51258039609888</v>
      </c>
    </row>
    <row r="520" spans="42:53" x14ac:dyDescent="0.5">
      <c r="AP520"/>
      <c r="AQ520"/>
      <c r="AT520"/>
      <c r="AU520"/>
      <c r="AV520"/>
      <c r="AY520" s="35">
        <v>-1471.6728376101221</v>
      </c>
      <c r="AZ520" s="46">
        <v>-3817.9808588107057</v>
      </c>
      <c r="BA520" s="47">
        <v>11920.442149259121</v>
      </c>
    </row>
    <row r="521" spans="42:53" x14ac:dyDescent="0.5">
      <c r="AP521"/>
      <c r="AQ521"/>
      <c r="AT521"/>
      <c r="AU521"/>
      <c r="AV521"/>
      <c r="AY521" s="35">
        <v>456.56371273617555</v>
      </c>
      <c r="AZ521" s="46">
        <v>-525.82744983164616</v>
      </c>
      <c r="BA521" s="47">
        <v>11822.573930028455</v>
      </c>
    </row>
    <row r="522" spans="42:53" x14ac:dyDescent="0.5">
      <c r="AP522"/>
      <c r="AQ522"/>
      <c r="AT522"/>
      <c r="AU522"/>
      <c r="AV522"/>
      <c r="AY522" s="35">
        <v>-237.52853990896227</v>
      </c>
      <c r="AZ522" s="46">
        <v>14548.484712084824</v>
      </c>
      <c r="BA522" s="47">
        <v>2126.6141164070864</v>
      </c>
    </row>
    <row r="523" spans="42:53" x14ac:dyDescent="0.5">
      <c r="AP523"/>
      <c r="AQ523"/>
      <c r="AT523"/>
      <c r="AU523"/>
      <c r="AV523"/>
      <c r="AY523" s="35">
        <v>1683.0711342253494</v>
      </c>
      <c r="AZ523" s="46">
        <v>-217.07898821820169</v>
      </c>
      <c r="BA523" s="47">
        <v>1090.6605374082067</v>
      </c>
    </row>
    <row r="524" spans="42:53" x14ac:dyDescent="0.5">
      <c r="AP524"/>
      <c r="AQ524"/>
      <c r="AT524"/>
      <c r="AU524"/>
      <c r="AV524"/>
      <c r="AY524" s="35">
        <v>6820.7563363057598</v>
      </c>
      <c r="AZ524" s="46">
        <v>-1397.6919068730906</v>
      </c>
      <c r="BA524" s="47">
        <v>7706.7398863060325</v>
      </c>
    </row>
    <row r="525" spans="42:53" x14ac:dyDescent="0.5">
      <c r="AP525"/>
      <c r="AQ525"/>
      <c r="AT525"/>
      <c r="AU525"/>
      <c r="AV525"/>
      <c r="AY525" s="35">
        <v>783.20753802066235</v>
      </c>
      <c r="AZ525" s="46">
        <v>14517.684182617601</v>
      </c>
      <c r="BA525" s="47">
        <v>2291.8293045207138</v>
      </c>
    </row>
    <row r="526" spans="42:53" x14ac:dyDescent="0.5">
      <c r="AP526"/>
      <c r="AQ526"/>
      <c r="AT526"/>
      <c r="AU526"/>
      <c r="AV526"/>
      <c r="AY526" s="35">
        <v>3301.1244760415689</v>
      </c>
      <c r="AZ526" s="46">
        <v>12648.391509591565</v>
      </c>
      <c r="BA526" s="47">
        <v>1364.1378223736426</v>
      </c>
    </row>
    <row r="527" spans="42:53" x14ac:dyDescent="0.5">
      <c r="AP527"/>
      <c r="AQ527"/>
      <c r="AT527"/>
      <c r="AU527"/>
      <c r="AV527"/>
      <c r="AY527" s="35">
        <v>4336.76970156677</v>
      </c>
      <c r="AZ527" s="46">
        <v>-3431.7060076468333</v>
      </c>
      <c r="BA527" s="47">
        <v>2152.5369608172882</v>
      </c>
    </row>
    <row r="528" spans="42:53" x14ac:dyDescent="0.5">
      <c r="AP528"/>
      <c r="AQ528"/>
      <c r="AT528"/>
      <c r="AU528"/>
      <c r="AV528"/>
      <c r="AY528" s="35">
        <v>7653.6185501630234</v>
      </c>
      <c r="AZ528" s="46">
        <v>-3737.0285019914031</v>
      </c>
      <c r="BA528" s="47">
        <v>8850.7103975944647</v>
      </c>
    </row>
    <row r="529" spans="42:53" x14ac:dyDescent="0.5">
      <c r="AP529"/>
      <c r="AQ529"/>
      <c r="AT529"/>
      <c r="AU529"/>
      <c r="AV529"/>
      <c r="AY529" s="35">
        <v>-1273.6639427743473</v>
      </c>
      <c r="AZ529" s="46">
        <v>-2370.6388541029824</v>
      </c>
      <c r="BA529" s="47">
        <v>-1188.5606564756417</v>
      </c>
    </row>
    <row r="530" spans="42:53" x14ac:dyDescent="0.5">
      <c r="AP530"/>
      <c r="AQ530"/>
      <c r="AT530"/>
      <c r="AU530"/>
      <c r="AV530"/>
      <c r="AY530" s="35">
        <v>5636.9884835214625</v>
      </c>
      <c r="AZ530" s="46">
        <v>-1106.9518423599252</v>
      </c>
      <c r="BA530" s="47">
        <v>5307.6234791833122</v>
      </c>
    </row>
    <row r="531" spans="42:53" x14ac:dyDescent="0.5">
      <c r="AP531"/>
      <c r="AQ531"/>
      <c r="AT531"/>
      <c r="AU531"/>
      <c r="AV531"/>
      <c r="AY531" s="35">
        <v>5081.9110408077431</v>
      </c>
      <c r="AZ531" s="46">
        <v>-732.35099921345363</v>
      </c>
      <c r="BA531" s="47">
        <v>3027.1907390120073</v>
      </c>
    </row>
    <row r="532" spans="42:53" x14ac:dyDescent="0.5">
      <c r="AP532"/>
      <c r="AQ532"/>
      <c r="AT532"/>
      <c r="AU532"/>
      <c r="AV532"/>
      <c r="AY532" s="35">
        <v>2237.4737509240763</v>
      </c>
      <c r="AZ532" s="46">
        <v>-2851.5583612406685</v>
      </c>
      <c r="BA532" s="47">
        <v>5866.4306324247045</v>
      </c>
    </row>
    <row r="533" spans="42:53" x14ac:dyDescent="0.5">
      <c r="AP533"/>
      <c r="AQ533"/>
      <c r="AT533"/>
      <c r="AU533"/>
      <c r="AV533"/>
      <c r="AY533" s="35">
        <v>1323.0232330850795</v>
      </c>
      <c r="AZ533" s="46">
        <v>-3455.6931121093112</v>
      </c>
      <c r="BA533" s="47">
        <v>1875.0613579625563</v>
      </c>
    </row>
    <row r="534" spans="42:53" x14ac:dyDescent="0.5">
      <c r="AP534"/>
      <c r="AQ534"/>
      <c r="AT534"/>
      <c r="AU534"/>
      <c r="AV534"/>
      <c r="AY534" s="35">
        <v>3023.5993193040968</v>
      </c>
      <c r="AZ534" s="46">
        <v>-2555.34350232014</v>
      </c>
      <c r="BA534" s="47">
        <v>5324.7536271565223</v>
      </c>
    </row>
    <row r="535" spans="42:53" x14ac:dyDescent="0.5">
      <c r="AP535"/>
      <c r="AQ535"/>
      <c r="AT535"/>
      <c r="AU535"/>
      <c r="AV535"/>
      <c r="AY535" s="35">
        <v>5924.8066385893917</v>
      </c>
      <c r="AZ535" s="46">
        <v>-2819.0073724752779</v>
      </c>
      <c r="BA535" s="47">
        <v>5354.3325112509356</v>
      </c>
    </row>
    <row r="536" spans="42:53" x14ac:dyDescent="0.5">
      <c r="AP536"/>
      <c r="AQ536"/>
      <c r="AT536"/>
      <c r="AU536"/>
      <c r="AV536"/>
      <c r="AY536" s="35">
        <v>4170.9944946013702</v>
      </c>
      <c r="AZ536" s="46">
        <v>9444.3031691883771</v>
      </c>
      <c r="BA536" s="47">
        <v>18605.755277616081</v>
      </c>
    </row>
    <row r="537" spans="42:53" x14ac:dyDescent="0.5">
      <c r="AP537"/>
      <c r="AQ537"/>
      <c r="AT537"/>
      <c r="AU537"/>
      <c r="AV537"/>
      <c r="AY537" s="35">
        <v>5591.4938956931373</v>
      </c>
      <c r="AZ537" s="46">
        <v>-1760.1850962587757</v>
      </c>
      <c r="BA537" s="47">
        <v>23269.922751188511</v>
      </c>
    </row>
    <row r="538" spans="42:53" x14ac:dyDescent="0.5">
      <c r="AP538"/>
      <c r="AQ538"/>
      <c r="AT538"/>
      <c r="AU538"/>
      <c r="AV538"/>
      <c r="AY538" s="35">
        <v>2934.547942730313</v>
      </c>
      <c r="AZ538" s="46">
        <v>-5216.204886132402</v>
      </c>
      <c r="BA538" s="47">
        <v>3452.8135897983962</v>
      </c>
    </row>
    <row r="539" spans="42:53" x14ac:dyDescent="0.5">
      <c r="AP539"/>
      <c r="AQ539"/>
      <c r="AT539"/>
      <c r="AU539"/>
      <c r="AV539"/>
      <c r="AY539" s="35">
        <v>946.82132988064791</v>
      </c>
      <c r="AZ539" s="46">
        <v>1176.6819117242239</v>
      </c>
      <c r="BA539" s="47">
        <v>3580.5717297810529</v>
      </c>
    </row>
    <row r="540" spans="42:53" x14ac:dyDescent="0.5">
      <c r="AP540"/>
      <c r="AQ540"/>
      <c r="AT540"/>
      <c r="AU540"/>
      <c r="AV540"/>
      <c r="AY540" s="35">
        <v>4695.9783227787411</v>
      </c>
      <c r="AZ540" s="46">
        <v>2443.759385349636</v>
      </c>
      <c r="BA540" s="47">
        <v>4837.4146640813988</v>
      </c>
    </row>
    <row r="541" spans="42:53" x14ac:dyDescent="0.5">
      <c r="AP541"/>
      <c r="AQ541"/>
      <c r="AT541"/>
      <c r="AU541"/>
      <c r="AV541"/>
      <c r="AY541" s="35">
        <v>-2184.8801294645073</v>
      </c>
      <c r="AZ541" s="46">
        <v>9553.8619313920408</v>
      </c>
      <c r="BA541" s="47">
        <v>10498.976741772334</v>
      </c>
    </row>
    <row r="542" spans="42:53" x14ac:dyDescent="0.5">
      <c r="AP542"/>
      <c r="AQ542"/>
      <c r="AT542"/>
      <c r="AU542"/>
      <c r="AV542"/>
      <c r="AY542" s="35">
        <v>4120.7848432223618</v>
      </c>
      <c r="AZ542" s="46">
        <v>-2340.6394942608499</v>
      </c>
      <c r="BA542" s="47">
        <v>2124.2480587389941</v>
      </c>
    </row>
    <row r="543" spans="42:53" x14ac:dyDescent="0.5">
      <c r="AP543"/>
      <c r="AQ543"/>
      <c r="AT543"/>
      <c r="AU543"/>
      <c r="AV543"/>
      <c r="AY543" s="35">
        <v>4794.2512957080571</v>
      </c>
      <c r="AZ543" s="46">
        <v>-4042.4515640232603</v>
      </c>
      <c r="BA543" s="47">
        <v>1935.3917510721378</v>
      </c>
    </row>
    <row r="544" spans="42:53" x14ac:dyDescent="0.5">
      <c r="AP544"/>
      <c r="AQ544"/>
      <c r="AT544"/>
      <c r="AU544"/>
      <c r="AV544"/>
      <c r="AY544" s="35">
        <v>-15.23031894600873</v>
      </c>
      <c r="AZ544" s="46">
        <v>2415.9260658220292</v>
      </c>
      <c r="BA544" s="47">
        <v>2775.7779538858904</v>
      </c>
    </row>
    <row r="545" spans="42:53" x14ac:dyDescent="0.5">
      <c r="AP545"/>
      <c r="AQ545"/>
      <c r="AT545"/>
      <c r="AU545"/>
      <c r="AV545"/>
      <c r="AY545" s="35">
        <v>2382.9370549016608</v>
      </c>
      <c r="AZ545" s="46">
        <v>-1840.092282492481</v>
      </c>
      <c r="BA545" s="47">
        <v>2038.8329064313584</v>
      </c>
    </row>
    <row r="546" spans="42:53" x14ac:dyDescent="0.5">
      <c r="AP546"/>
      <c r="AQ546"/>
      <c r="AT546"/>
      <c r="AU546"/>
      <c r="AV546"/>
      <c r="AY546" s="35">
        <v>3414.5583153014049</v>
      </c>
      <c r="AZ546" s="46">
        <v>-2849.5633390600783</v>
      </c>
      <c r="BA546" s="47">
        <v>2376.482040972744</v>
      </c>
    </row>
    <row r="547" spans="42:53" x14ac:dyDescent="0.5">
      <c r="AP547"/>
      <c r="AQ547"/>
      <c r="AT547"/>
      <c r="AU547"/>
      <c r="AV547"/>
      <c r="AY547" s="35">
        <v>6020.8328631971908</v>
      </c>
      <c r="AZ547" s="46">
        <v>13.808348901197533</v>
      </c>
      <c r="BA547" s="47">
        <v>720.8005667902396</v>
      </c>
    </row>
    <row r="548" spans="42:53" x14ac:dyDescent="0.5">
      <c r="AP548"/>
      <c r="AQ548"/>
      <c r="AT548"/>
      <c r="AU548"/>
      <c r="AV548"/>
      <c r="AY548" s="35">
        <v>6038.2941011001512</v>
      </c>
      <c r="AZ548" s="46">
        <v>3955.9931256990881</v>
      </c>
      <c r="BA548" s="47">
        <v>7912.3003037561757</v>
      </c>
    </row>
    <row r="549" spans="42:53" x14ac:dyDescent="0.5">
      <c r="AP549"/>
      <c r="AQ549"/>
      <c r="AT549"/>
      <c r="AU549"/>
      <c r="AV549"/>
      <c r="AY549" s="35">
        <v>7377.1391485607564</v>
      </c>
      <c r="AZ549" s="46">
        <v>-648.37961699312154</v>
      </c>
      <c r="BA549" s="47">
        <v>4394.8638518448388</v>
      </c>
    </row>
    <row r="550" spans="42:53" x14ac:dyDescent="0.5">
      <c r="AP550"/>
      <c r="AQ550"/>
      <c r="AT550"/>
      <c r="AU550"/>
      <c r="AV550"/>
      <c r="AY550" s="35">
        <v>-1495.5869952019382</v>
      </c>
      <c r="AZ550" s="46">
        <v>1365.7898257135282</v>
      </c>
      <c r="BA550" s="47">
        <v>6834.3690574440207</v>
      </c>
    </row>
    <row r="551" spans="42:53" x14ac:dyDescent="0.5">
      <c r="AP551"/>
      <c r="AQ551"/>
      <c r="AT551"/>
      <c r="AU551"/>
      <c r="AV551"/>
      <c r="AY551" s="35">
        <v>6016.9242530475522</v>
      </c>
      <c r="AZ551" s="46">
        <v>-438.57061304926305</v>
      </c>
      <c r="BA551" s="47">
        <v>5594.7145163773957</v>
      </c>
    </row>
    <row r="552" spans="42:53" x14ac:dyDescent="0.5">
      <c r="AP552"/>
      <c r="AQ552"/>
      <c r="AT552"/>
      <c r="AU552"/>
      <c r="AV552"/>
      <c r="AY552" s="35">
        <v>232.83964185011916</v>
      </c>
      <c r="AZ552" s="46">
        <v>-189.03306279814404</v>
      </c>
      <c r="BA552" s="47">
        <v>9981.6863507873368</v>
      </c>
    </row>
    <row r="553" spans="42:53" x14ac:dyDescent="0.5">
      <c r="AP553"/>
      <c r="AQ553"/>
      <c r="AT553"/>
      <c r="AU553"/>
      <c r="AV553"/>
      <c r="AY553" s="35">
        <v>7581.813576828572</v>
      </c>
      <c r="AZ553" s="46">
        <v>-4557.3398094320828</v>
      </c>
      <c r="BA553" s="47">
        <v>7954.234200530851</v>
      </c>
    </row>
    <row r="554" spans="42:53" x14ac:dyDescent="0.5">
      <c r="AP554"/>
      <c r="AQ554"/>
      <c r="AT554"/>
      <c r="AU554"/>
      <c r="AV554"/>
      <c r="AY554" s="35">
        <v>567.48464155573379</v>
      </c>
      <c r="AZ554" s="46">
        <v>-1148.6940174396618</v>
      </c>
      <c r="BA554" s="47">
        <v>6964.0430176827158</v>
      </c>
    </row>
    <row r="555" spans="42:53" x14ac:dyDescent="0.5">
      <c r="AP555"/>
      <c r="AQ555"/>
      <c r="AT555"/>
      <c r="AU555"/>
      <c r="AV555"/>
      <c r="AY555" s="35">
        <v>2882.4744478221196</v>
      </c>
      <c r="AZ555" s="46">
        <v>-1467.1479232460363</v>
      </c>
      <c r="BA555" s="47">
        <v>3167.6520432307198</v>
      </c>
    </row>
    <row r="556" spans="42:53" x14ac:dyDescent="0.5">
      <c r="AP556"/>
      <c r="AQ556"/>
      <c r="AT556"/>
      <c r="AU556"/>
      <c r="AV556"/>
      <c r="AY556" s="35">
        <v>479.80279759722811</v>
      </c>
      <c r="AZ556" s="46">
        <v>115.35462785406652</v>
      </c>
      <c r="BA556" s="47">
        <v>4590.866835314594</v>
      </c>
    </row>
    <row r="557" spans="42:53" x14ac:dyDescent="0.5">
      <c r="AP557"/>
      <c r="AQ557"/>
      <c r="AT557"/>
      <c r="AU557"/>
      <c r="AV557"/>
      <c r="AY557" s="35">
        <v>639.92648517540806</v>
      </c>
      <c r="AZ557" s="46">
        <v>-1151.0406952267435</v>
      </c>
      <c r="BA557" s="47">
        <v>8266.2894074773976</v>
      </c>
    </row>
    <row r="558" spans="42:53" x14ac:dyDescent="0.5">
      <c r="AP558"/>
      <c r="AQ558"/>
      <c r="AT558"/>
      <c r="AU558"/>
      <c r="AV558"/>
      <c r="AY558" s="35">
        <v>1325.0371209215009</v>
      </c>
      <c r="AZ558" s="46">
        <v>-3202.4697408709544</v>
      </c>
      <c r="BA558" s="47">
        <v>1510.1451133073738</v>
      </c>
    </row>
    <row r="559" spans="42:53" x14ac:dyDescent="0.5">
      <c r="AP559"/>
      <c r="AQ559"/>
      <c r="AT559"/>
      <c r="AU559"/>
      <c r="AV559"/>
      <c r="AY559" s="35">
        <v>2847.5100799027559</v>
      </c>
      <c r="AZ559" s="46">
        <v>-772.6791442095074</v>
      </c>
      <c r="BA559" s="47">
        <v>1655.3403106238411</v>
      </c>
    </row>
    <row r="560" spans="42:53" x14ac:dyDescent="0.5">
      <c r="AP560"/>
      <c r="AQ560"/>
      <c r="AT560"/>
      <c r="AU560"/>
      <c r="AV560"/>
      <c r="AY560" s="35">
        <v>7662.2953229592877</v>
      </c>
      <c r="AZ560" s="46">
        <v>-431.85029406988843</v>
      </c>
      <c r="BA560" s="47">
        <v>1813.0605146164619</v>
      </c>
    </row>
    <row r="561" spans="42:53" x14ac:dyDescent="0.5">
      <c r="AP561"/>
      <c r="AQ561"/>
      <c r="AT561"/>
      <c r="AU561"/>
      <c r="AV561"/>
      <c r="AY561" s="35">
        <v>2996.3952438580495</v>
      </c>
      <c r="AZ561" s="46">
        <v>1982.9252585690595</v>
      </c>
      <c r="BA561" s="47">
        <v>36.018463299933856</v>
      </c>
    </row>
    <row r="562" spans="42:53" x14ac:dyDescent="0.5">
      <c r="AP562"/>
      <c r="AQ562"/>
      <c r="AT562"/>
      <c r="AU562"/>
      <c r="AV562"/>
      <c r="AY562" s="35">
        <v>6407.1935553513194</v>
      </c>
      <c r="AZ562" s="46">
        <v>-2408.1189663774908</v>
      </c>
      <c r="BA562" s="47">
        <v>-1218.7497111950188</v>
      </c>
    </row>
    <row r="563" spans="42:53" x14ac:dyDescent="0.5">
      <c r="AP563"/>
      <c r="AQ563"/>
      <c r="AT563"/>
      <c r="AU563"/>
      <c r="AV563"/>
      <c r="AY563" s="35">
        <v>3491.6930239274716</v>
      </c>
      <c r="AZ563" s="46">
        <v>-1820.7689512766306</v>
      </c>
      <c r="BA563" s="47">
        <v>-965.97188895692989</v>
      </c>
    </row>
    <row r="564" spans="42:53" x14ac:dyDescent="0.5">
      <c r="AP564"/>
      <c r="AQ564"/>
      <c r="AT564"/>
      <c r="AU564"/>
      <c r="AV564"/>
      <c r="AY564" s="35">
        <v>-509.45717624760829</v>
      </c>
      <c r="AZ564" s="46">
        <v>7536.1994681582446</v>
      </c>
      <c r="BA564" s="47">
        <v>3045.7233078068839</v>
      </c>
    </row>
    <row r="565" spans="42:53" x14ac:dyDescent="0.5">
      <c r="AP565"/>
      <c r="AQ565"/>
      <c r="AT565"/>
      <c r="AU565"/>
      <c r="AV565"/>
      <c r="AY565" s="35">
        <v>469.76376122516371</v>
      </c>
      <c r="AZ565" s="46">
        <v>-3877.5560538743121</v>
      </c>
      <c r="BA565" s="47">
        <v>11150.660682801676</v>
      </c>
    </row>
    <row r="566" spans="42:53" x14ac:dyDescent="0.5">
      <c r="AP566"/>
      <c r="AQ566"/>
      <c r="AT566"/>
      <c r="AU566"/>
      <c r="AV566"/>
      <c r="AY566" s="35">
        <v>397.03921836237686</v>
      </c>
      <c r="AZ566" s="46">
        <v>-925.33518529393132</v>
      </c>
      <c r="BA566" s="47">
        <v>720.55271493626708</v>
      </c>
    </row>
    <row r="567" spans="42:53" x14ac:dyDescent="0.5">
      <c r="AP567"/>
      <c r="AQ567"/>
      <c r="AT567"/>
      <c r="AU567"/>
      <c r="AV567"/>
      <c r="AY567" s="35">
        <v>1418.7360043491419</v>
      </c>
      <c r="AZ567" s="46">
        <v>-1978.0057114163005</v>
      </c>
      <c r="BA567" s="47">
        <v>2254.9752181872313</v>
      </c>
    </row>
    <row r="568" spans="42:53" x14ac:dyDescent="0.5">
      <c r="AP568"/>
      <c r="AQ568"/>
      <c r="AT568"/>
      <c r="AU568"/>
      <c r="AV568"/>
      <c r="AY568" s="35">
        <v>4838.9446145290131</v>
      </c>
      <c r="AZ568" s="46">
        <v>6265.6670083080135</v>
      </c>
      <c r="BA568" s="47">
        <v>817.95548530389112</v>
      </c>
    </row>
    <row r="569" spans="42:53" x14ac:dyDescent="0.5">
      <c r="AP569"/>
      <c r="AQ569"/>
      <c r="AT569"/>
      <c r="AU569"/>
      <c r="AV569"/>
      <c r="AY569" s="35">
        <v>3981.2059412335666</v>
      </c>
      <c r="AZ569" s="46">
        <v>-22.548911632587583</v>
      </c>
      <c r="BA569" s="47">
        <v>-976.55066089733805</v>
      </c>
    </row>
    <row r="570" spans="42:53" x14ac:dyDescent="0.5">
      <c r="AP570"/>
      <c r="AQ570"/>
      <c r="AT570"/>
      <c r="AU570"/>
      <c r="AV570"/>
      <c r="AY570" s="35">
        <v>4935.4914751514152</v>
      </c>
      <c r="AZ570" s="46">
        <v>1453.8690605084737</v>
      </c>
      <c r="BA570" s="47">
        <v>1408.809390238076</v>
      </c>
    </row>
    <row r="571" spans="42:53" x14ac:dyDescent="0.5">
      <c r="AP571"/>
      <c r="AQ571"/>
      <c r="AT571"/>
      <c r="AU571"/>
      <c r="AV571"/>
      <c r="AY571" s="35">
        <v>4556.7894981923509</v>
      </c>
      <c r="AZ571" s="46">
        <v>-1553.2725583568474</v>
      </c>
      <c r="BA571" s="47">
        <v>13886.600299956574</v>
      </c>
    </row>
    <row r="572" spans="42:53" x14ac:dyDescent="0.5">
      <c r="AP572"/>
      <c r="AQ572"/>
      <c r="AT572"/>
      <c r="AU572"/>
      <c r="AV572"/>
      <c r="AY572" s="35">
        <v>166.89544451883847</v>
      </c>
      <c r="AZ572" s="46">
        <v>1380.8585255858454</v>
      </c>
      <c r="BA572" s="47">
        <v>1642.4187988393808</v>
      </c>
    </row>
    <row r="573" spans="42:53" x14ac:dyDescent="0.5">
      <c r="AP573"/>
      <c r="AQ573"/>
      <c r="AT573"/>
      <c r="AU573"/>
      <c r="AV573"/>
      <c r="AY573" s="35">
        <v>2484.4419203543143</v>
      </c>
      <c r="AZ573" s="46">
        <v>-4290.8071410416242</v>
      </c>
      <c r="BA573" s="47">
        <v>3558.9723539114666</v>
      </c>
    </row>
    <row r="574" spans="42:53" x14ac:dyDescent="0.5">
      <c r="AP574"/>
      <c r="AQ574"/>
      <c r="AT574"/>
      <c r="AU574"/>
      <c r="AV574"/>
      <c r="AY574" s="35">
        <v>254.22988030316486</v>
      </c>
      <c r="AZ574" s="46">
        <v>2280.9585648943107</v>
      </c>
      <c r="BA574" s="47">
        <v>-767.70967695187687</v>
      </c>
    </row>
    <row r="575" spans="42:53" x14ac:dyDescent="0.5">
      <c r="AP575"/>
      <c r="AQ575"/>
      <c r="AT575"/>
      <c r="AU575"/>
      <c r="AV575"/>
      <c r="AY575" s="35">
        <v>878.01949724935889</v>
      </c>
      <c r="AZ575" s="46">
        <v>-5045.4311108816291</v>
      </c>
      <c r="BA575" s="47">
        <v>5606.3952520361354</v>
      </c>
    </row>
    <row r="576" spans="42:53" x14ac:dyDescent="0.5">
      <c r="AP576"/>
      <c r="AQ576"/>
      <c r="AT576"/>
      <c r="AU576"/>
      <c r="AV576"/>
      <c r="AY576" s="35">
        <v>3375.4931551330947</v>
      </c>
      <c r="AZ576" s="46">
        <v>-3752.3005266843306</v>
      </c>
      <c r="BA576" s="47">
        <v>10417.627334045163</v>
      </c>
    </row>
    <row r="577" spans="42:53" x14ac:dyDescent="0.5">
      <c r="AP577"/>
      <c r="AQ577"/>
      <c r="AT577"/>
      <c r="AU577"/>
      <c r="AV577"/>
      <c r="AY577" s="35">
        <v>2451.0459779576286</v>
      </c>
      <c r="AZ577" s="46">
        <v>-837.5574537473442</v>
      </c>
      <c r="BA577" s="47">
        <v>10689.543206575625</v>
      </c>
    </row>
    <row r="578" spans="42:53" x14ac:dyDescent="0.5">
      <c r="AP578"/>
      <c r="AQ578"/>
      <c r="AT578"/>
      <c r="AU578"/>
      <c r="AV578"/>
      <c r="AY578" s="35">
        <v>2284.2595946006127</v>
      </c>
      <c r="AZ578" s="46">
        <v>-5005.2148733817139</v>
      </c>
      <c r="BA578" s="47">
        <v>7862.5034442859633</v>
      </c>
    </row>
    <row r="579" spans="42:53" x14ac:dyDescent="0.5">
      <c r="AP579"/>
      <c r="AQ579"/>
      <c r="AT579"/>
      <c r="AU579"/>
      <c r="AV579"/>
      <c r="AY579" s="35">
        <v>6370.3248546665445</v>
      </c>
      <c r="AZ579" s="46">
        <v>-5105.6184368437116</v>
      </c>
      <c r="BA579" s="47">
        <v>7147.0465586341797</v>
      </c>
    </row>
    <row r="580" spans="42:53" x14ac:dyDescent="0.5">
      <c r="AP580"/>
      <c r="AQ580"/>
      <c r="AT580"/>
      <c r="AU580"/>
      <c r="AV580"/>
      <c r="AY580" s="35">
        <v>6751.5141434413126</v>
      </c>
      <c r="AZ580" s="46">
        <v>-4174.2110003804646</v>
      </c>
      <c r="BA580" s="47">
        <v>10272.077022027908</v>
      </c>
    </row>
    <row r="581" spans="42:53" x14ac:dyDescent="0.5">
      <c r="AP581"/>
      <c r="AQ581"/>
      <c r="AT581"/>
      <c r="AU581"/>
      <c r="AV581"/>
      <c r="AY581" s="35">
        <v>4557.6485768041493</v>
      </c>
      <c r="AZ581" s="46">
        <v>-1796.9437797837863</v>
      </c>
      <c r="BA581" s="47">
        <v>-1553.1902933706513</v>
      </c>
    </row>
    <row r="582" spans="42:53" x14ac:dyDescent="0.5">
      <c r="AP582"/>
      <c r="AQ582"/>
      <c r="AT582"/>
      <c r="AU582"/>
      <c r="AV582"/>
      <c r="AY582" s="35">
        <v>6244.7149267259847</v>
      </c>
      <c r="AZ582" s="46">
        <v>-746.31611399748988</v>
      </c>
      <c r="BA582" s="47">
        <v>-2542.9584817918303</v>
      </c>
    </row>
    <row r="583" spans="42:53" x14ac:dyDescent="0.5">
      <c r="AP583"/>
      <c r="AQ583"/>
      <c r="AT583"/>
      <c r="AU583"/>
      <c r="AV583"/>
      <c r="AY583" s="35">
        <v>903.74909609832014</v>
      </c>
      <c r="AZ583" s="46">
        <v>-888.6380898505123</v>
      </c>
      <c r="BA583" s="47">
        <v>614.08260634354565</v>
      </c>
    </row>
    <row r="584" spans="42:53" x14ac:dyDescent="0.5">
      <c r="AP584"/>
      <c r="AQ584"/>
      <c r="AT584"/>
      <c r="AU584"/>
      <c r="AV584"/>
      <c r="AY584" s="35">
        <v>-1377.9423733009476</v>
      </c>
      <c r="AZ584" s="46">
        <v>-4186.4538370735772</v>
      </c>
      <c r="BA584" s="47">
        <v>3103.1983934860514</v>
      </c>
    </row>
    <row r="585" spans="42:53" x14ac:dyDescent="0.5">
      <c r="AP585"/>
      <c r="AQ585"/>
      <c r="AT585"/>
      <c r="AU585"/>
      <c r="AV585"/>
      <c r="AY585" s="35">
        <v>-1634.3812849918243</v>
      </c>
      <c r="AZ585" s="46">
        <v>-1261.6541356058503</v>
      </c>
      <c r="BA585" s="47">
        <v>218.42830203870545</v>
      </c>
    </row>
    <row r="586" spans="42:53" x14ac:dyDescent="0.5">
      <c r="AP586"/>
      <c r="AQ586"/>
      <c r="AT586"/>
      <c r="AU586"/>
      <c r="AV586"/>
      <c r="AY586" s="35">
        <v>819.21321665938763</v>
      </c>
      <c r="AZ586" s="46">
        <v>1548.4408074811131</v>
      </c>
      <c r="BA586" s="47">
        <v>8781.8513035017877</v>
      </c>
    </row>
    <row r="587" spans="42:53" x14ac:dyDescent="0.5">
      <c r="AP587"/>
      <c r="AQ587"/>
      <c r="AT587"/>
      <c r="AU587"/>
      <c r="AV587"/>
      <c r="AY587" s="35">
        <v>6659.5482545006471</v>
      </c>
      <c r="AZ587" s="46">
        <v>7077.4606648868585</v>
      </c>
      <c r="BA587" s="47">
        <v>946.20844567204927</v>
      </c>
    </row>
    <row r="588" spans="42:53" x14ac:dyDescent="0.5">
      <c r="AP588"/>
      <c r="AQ588"/>
      <c r="AT588"/>
      <c r="AU588"/>
      <c r="AV588"/>
      <c r="AY588" s="35">
        <v>-847.11483838681079</v>
      </c>
      <c r="AZ588" s="46">
        <v>3513.7873314235403</v>
      </c>
      <c r="BA588" s="47">
        <v>2851.0658424289863</v>
      </c>
    </row>
    <row r="589" spans="42:53" x14ac:dyDescent="0.5">
      <c r="AP589"/>
      <c r="AQ589"/>
      <c r="AT589"/>
      <c r="AU589"/>
      <c r="AV589"/>
      <c r="AY589" s="35">
        <v>6211.8727634355291</v>
      </c>
      <c r="AZ589" s="46">
        <v>-3038.5108168347492</v>
      </c>
      <c r="BA589" s="47">
        <v>-1182.8000986513027</v>
      </c>
    </row>
    <row r="590" spans="42:53" x14ac:dyDescent="0.5">
      <c r="AP590"/>
      <c r="AQ590"/>
      <c r="AT590"/>
      <c r="AU590"/>
      <c r="AV590"/>
      <c r="AY590" s="35">
        <v>527.84644155070453</v>
      </c>
      <c r="AZ590" s="46">
        <v>-1184.504352455315</v>
      </c>
      <c r="BA590" s="47">
        <v>2645.6176606111198</v>
      </c>
    </row>
    <row r="591" spans="42:53" x14ac:dyDescent="0.5">
      <c r="AP591"/>
      <c r="AQ591"/>
      <c r="AT591"/>
      <c r="AU591"/>
      <c r="AV591"/>
      <c r="AY591" s="35">
        <v>225.77664513164876</v>
      </c>
      <c r="AZ591" s="46">
        <v>817.65735317940721</v>
      </c>
      <c r="BA591" s="47">
        <v>4277.4601362922804</v>
      </c>
    </row>
    <row r="592" spans="42:53" x14ac:dyDescent="0.5">
      <c r="AP592"/>
      <c r="AQ592"/>
      <c r="AT592"/>
      <c r="AU592"/>
      <c r="AV592"/>
      <c r="AY592" s="35">
        <v>246.36816482505964</v>
      </c>
      <c r="AZ592" s="46">
        <v>2863.1709828518883</v>
      </c>
      <c r="BA592" s="47">
        <v>3453.6763541077125</v>
      </c>
    </row>
    <row r="593" spans="42:53" x14ac:dyDescent="0.5">
      <c r="AP593"/>
      <c r="AQ593"/>
      <c r="AT593"/>
      <c r="AU593"/>
      <c r="AV593"/>
      <c r="AY593" s="35">
        <v>7451.6345306515832</v>
      </c>
      <c r="AZ593" s="46">
        <v>-936.20070335448702</v>
      </c>
      <c r="BA593" s="47">
        <v>969.53760517454225</v>
      </c>
    </row>
    <row r="594" spans="42:53" x14ac:dyDescent="0.5">
      <c r="AP594"/>
      <c r="AQ594"/>
      <c r="AT594"/>
      <c r="AU594"/>
      <c r="AV594"/>
      <c r="AY594" s="35">
        <v>1807.882360007465</v>
      </c>
      <c r="AZ594" s="46">
        <v>7634.9568703873374</v>
      </c>
      <c r="BA594" s="47">
        <v>1116.8448002620487</v>
      </c>
    </row>
    <row r="595" spans="42:53" x14ac:dyDescent="0.5">
      <c r="AP595"/>
      <c r="AQ595"/>
      <c r="AT595"/>
      <c r="AU595"/>
      <c r="AV595"/>
      <c r="AY595" s="35">
        <v>2602.0790950195919</v>
      </c>
      <c r="AZ595" s="46">
        <v>-1001.0635737451846</v>
      </c>
      <c r="BA595" s="47">
        <v>3076.4729999894412</v>
      </c>
    </row>
    <row r="596" spans="42:53" x14ac:dyDescent="0.5">
      <c r="AP596"/>
      <c r="AQ596"/>
      <c r="AT596"/>
      <c r="AU596"/>
      <c r="AV596"/>
      <c r="AY596" s="35">
        <v>-721.14510157403811</v>
      </c>
      <c r="AZ596" s="46">
        <v>-1655.5406586025902</v>
      </c>
      <c r="BA596" s="47">
        <v>826.1815229140318</v>
      </c>
    </row>
    <row r="597" spans="42:53" x14ac:dyDescent="0.5">
      <c r="AP597"/>
      <c r="AQ597"/>
      <c r="AT597"/>
      <c r="AU597"/>
      <c r="AV597"/>
      <c r="AY597" s="35">
        <v>6142.2983965492995</v>
      </c>
      <c r="AZ597" s="46">
        <v>2135.2481604573345</v>
      </c>
      <c r="BA597" s="47">
        <v>1398.6982010467671</v>
      </c>
    </row>
    <row r="598" spans="42:53" x14ac:dyDescent="0.5">
      <c r="AP598"/>
      <c r="AQ598"/>
      <c r="AT598"/>
      <c r="AU598"/>
      <c r="AV598"/>
      <c r="AY598" s="35">
        <v>4344.6407158959073</v>
      </c>
      <c r="AZ598" s="46">
        <v>204.94990775604919</v>
      </c>
      <c r="BA598" s="47">
        <v>5672.8345905449496</v>
      </c>
    </row>
    <row r="599" spans="42:53" x14ac:dyDescent="0.5">
      <c r="AP599"/>
      <c r="AQ599"/>
      <c r="AT599"/>
      <c r="AU599"/>
      <c r="AV599"/>
      <c r="AY599" s="35">
        <v>5203.8670961172184</v>
      </c>
      <c r="AZ599" s="46">
        <v>3543.4846264335333</v>
      </c>
      <c r="BA599" s="47">
        <v>2562.5073179598721</v>
      </c>
    </row>
    <row r="600" spans="42:53" x14ac:dyDescent="0.5">
      <c r="AP600"/>
      <c r="AQ600"/>
      <c r="AT600"/>
      <c r="AU600"/>
      <c r="AV600"/>
      <c r="AY600" s="35">
        <v>6100.9654943508385</v>
      </c>
      <c r="AZ600" s="46">
        <v>-193.75266702722558</v>
      </c>
      <c r="BA600" s="47">
        <v>1694.2240608917259</v>
      </c>
    </row>
    <row r="601" spans="42:53" x14ac:dyDescent="0.5">
      <c r="AP601"/>
      <c r="AQ601"/>
      <c r="AT601"/>
      <c r="AU601"/>
      <c r="AV601"/>
      <c r="AY601" s="35">
        <v>6893.8681101811735</v>
      </c>
      <c r="AZ601" s="46">
        <v>13016.310539587994</v>
      </c>
      <c r="BA601" s="47">
        <v>274.2859052530759</v>
      </c>
    </row>
    <row r="602" spans="42:53" x14ac:dyDescent="0.5">
      <c r="AP602"/>
      <c r="AQ602"/>
      <c r="AT602"/>
      <c r="AU602"/>
      <c r="AV602"/>
      <c r="AY602" s="35">
        <v>1659.9276805700204</v>
      </c>
      <c r="AZ602" s="46">
        <v>-1930.4661877710853</v>
      </c>
      <c r="BA602" s="47">
        <v>12610.711236397005</v>
      </c>
    </row>
    <row r="603" spans="42:53" x14ac:dyDescent="0.5">
      <c r="AP603"/>
      <c r="AQ603"/>
      <c r="AT603"/>
      <c r="AU603"/>
      <c r="AV603"/>
      <c r="AY603" s="35">
        <v>3819.6420032513183</v>
      </c>
      <c r="AZ603" s="46">
        <v>-901.00439410070658</v>
      </c>
      <c r="BA603" s="47">
        <v>2362.0411930868659</v>
      </c>
    </row>
    <row r="604" spans="42:53" x14ac:dyDescent="0.5">
      <c r="AP604"/>
      <c r="AQ604"/>
      <c r="AT604"/>
      <c r="AU604"/>
      <c r="AV604"/>
      <c r="AY604" s="35">
        <v>4980.6567557506933</v>
      </c>
      <c r="AZ604" s="46">
        <v>3212.2256746438225</v>
      </c>
      <c r="BA604" s="47">
        <v>5806.2218521040068</v>
      </c>
    </row>
    <row r="605" spans="42:53" x14ac:dyDescent="0.5">
      <c r="AP605"/>
      <c r="AQ605"/>
      <c r="AT605"/>
      <c r="AU605"/>
      <c r="AV605"/>
      <c r="AY605" s="35">
        <v>129.47939992601061</v>
      </c>
      <c r="AZ605" s="46">
        <v>-3051.4036395254902</v>
      </c>
      <c r="BA605" s="47">
        <v>16923.570842873502</v>
      </c>
    </row>
    <row r="606" spans="42:53" x14ac:dyDescent="0.5">
      <c r="AP606"/>
      <c r="AQ606"/>
      <c r="AT606"/>
      <c r="AU606"/>
      <c r="AV606"/>
      <c r="AY606" s="35">
        <v>4650.8969902185672</v>
      </c>
      <c r="AZ606" s="46">
        <v>-3956.9293759249322</v>
      </c>
      <c r="BA606" s="47">
        <v>8358.2872498462602</v>
      </c>
    </row>
    <row r="607" spans="42:53" x14ac:dyDescent="0.5">
      <c r="AP607"/>
      <c r="AQ607"/>
      <c r="AT607"/>
      <c r="AU607"/>
      <c r="AV607"/>
      <c r="AY607" s="35">
        <v>5238.0116316787116</v>
      </c>
      <c r="AZ607" s="46">
        <v>-2869.6144469674527</v>
      </c>
      <c r="BA607" s="47">
        <v>7287.7635008800789</v>
      </c>
    </row>
    <row r="608" spans="42:53" x14ac:dyDescent="0.5">
      <c r="AP608"/>
      <c r="AQ608"/>
      <c r="AT608"/>
      <c r="AU608"/>
      <c r="AV608"/>
      <c r="AY608" s="35">
        <v>2050.5342804293587</v>
      </c>
      <c r="AZ608" s="46">
        <v>-871.20367286950079</v>
      </c>
      <c r="BA608" s="47">
        <v>12251.793887536662</v>
      </c>
    </row>
    <row r="609" spans="42:53" x14ac:dyDescent="0.5">
      <c r="AP609"/>
      <c r="AQ609"/>
      <c r="AT609"/>
      <c r="AU609"/>
      <c r="AV609"/>
      <c r="AY609" s="35">
        <v>4213.1263598387959</v>
      </c>
      <c r="AZ609" s="46">
        <v>-1901.6307004201481</v>
      </c>
      <c r="BA609" s="47">
        <v>9309.6305600389442</v>
      </c>
    </row>
    <row r="610" spans="42:53" x14ac:dyDescent="0.5">
      <c r="AP610"/>
      <c r="AQ610"/>
      <c r="AT610"/>
      <c r="AU610"/>
      <c r="AV610"/>
      <c r="AY610" s="35">
        <v>-219.92150998927406</v>
      </c>
      <c r="AZ610" s="46">
        <v>3855.4106687788762</v>
      </c>
      <c r="BA610" s="47">
        <v>5549.6117904580087</v>
      </c>
    </row>
    <row r="611" spans="42:53" x14ac:dyDescent="0.5">
      <c r="AP611"/>
      <c r="AQ611"/>
      <c r="AT611"/>
      <c r="AU611"/>
      <c r="AV611"/>
      <c r="AY611" s="35">
        <v>4207.8219490817028</v>
      </c>
      <c r="AZ611" s="46">
        <v>-2750.4000278938524</v>
      </c>
      <c r="BA611" s="47">
        <v>-75.238625558631128</v>
      </c>
    </row>
    <row r="612" spans="42:53" x14ac:dyDescent="0.5">
      <c r="AP612"/>
      <c r="AQ612"/>
      <c r="AT612"/>
      <c r="AU612"/>
      <c r="AV612"/>
      <c r="AY612" s="35">
        <v>-1027.9557077365691</v>
      </c>
      <c r="AZ612" s="46">
        <v>253.31184640057097</v>
      </c>
      <c r="BA612" s="47">
        <v>1114.7223132900231</v>
      </c>
    </row>
    <row r="613" spans="42:53" x14ac:dyDescent="0.5">
      <c r="AP613"/>
      <c r="AQ613"/>
      <c r="AT613"/>
      <c r="AU613"/>
      <c r="AV613"/>
      <c r="AY613" s="35">
        <v>1698.2158049194079</v>
      </c>
      <c r="AZ613" s="46">
        <v>-1942.0832610058658</v>
      </c>
      <c r="BA613" s="47">
        <v>2460.205610075307</v>
      </c>
    </row>
    <row r="614" spans="42:53" x14ac:dyDescent="0.5">
      <c r="AP614"/>
      <c r="AQ614"/>
      <c r="AT614"/>
      <c r="AU614"/>
      <c r="AV614"/>
      <c r="AY614" s="35">
        <v>6923.3605865656873</v>
      </c>
      <c r="AZ614" s="46">
        <v>4187.1333794915763</v>
      </c>
      <c r="BA614" s="47">
        <v>12673.862366843481</v>
      </c>
    </row>
    <row r="615" spans="42:53" x14ac:dyDescent="0.5">
      <c r="AP615"/>
      <c r="AQ615"/>
      <c r="AT615"/>
      <c r="AU615"/>
      <c r="AV615"/>
      <c r="AY615" s="35">
        <v>2945.6741454376474</v>
      </c>
      <c r="AZ615" s="46">
        <v>1099.8456183588585</v>
      </c>
      <c r="BA615" s="47">
        <v>1717.1523679675779</v>
      </c>
    </row>
    <row r="616" spans="42:53" x14ac:dyDescent="0.5">
      <c r="AP616"/>
      <c r="AQ616"/>
      <c r="AT616"/>
      <c r="AU616"/>
      <c r="AV616"/>
      <c r="AY616" s="35">
        <v>7633.9063808651845</v>
      </c>
      <c r="AZ616" s="46">
        <v>20102.923168117053</v>
      </c>
      <c r="BA616" s="47">
        <v>5249.1793421325738</v>
      </c>
    </row>
    <row r="617" spans="42:53" x14ac:dyDescent="0.5">
      <c r="AP617"/>
      <c r="AQ617"/>
      <c r="AT617"/>
      <c r="AU617"/>
      <c r="AV617"/>
      <c r="AY617" s="35">
        <v>3259.1736014622234</v>
      </c>
      <c r="AZ617" s="46">
        <v>-1763.3010381098491</v>
      </c>
      <c r="BA617" s="47">
        <v>461.13164462692504</v>
      </c>
    </row>
    <row r="618" spans="42:53" x14ac:dyDescent="0.5">
      <c r="AP618"/>
      <c r="AQ618"/>
      <c r="AT618"/>
      <c r="AU618"/>
      <c r="AV618"/>
      <c r="AY618" s="35">
        <v>-288.02157378498902</v>
      </c>
      <c r="AZ618" s="46">
        <v>-935.55594283370363</v>
      </c>
      <c r="BA618" s="47">
        <v>-1129.5868563298297</v>
      </c>
    </row>
    <row r="619" spans="42:53" x14ac:dyDescent="0.5">
      <c r="AP619"/>
      <c r="AQ619"/>
      <c r="AT619"/>
      <c r="AU619"/>
      <c r="AV619"/>
      <c r="AY619" s="35">
        <v>2752.6593415097436</v>
      </c>
      <c r="AZ619" s="46">
        <v>-2564.7466290941898</v>
      </c>
      <c r="BA619" s="47">
        <v>8268.4045261050833</v>
      </c>
    </row>
    <row r="620" spans="42:53" x14ac:dyDescent="0.5">
      <c r="AP620"/>
      <c r="AQ620"/>
      <c r="AT620"/>
      <c r="AU620"/>
      <c r="AV620"/>
      <c r="AY620" s="35">
        <v>5600.9465996293111</v>
      </c>
      <c r="AZ620" s="46">
        <v>-4383.6289825371005</v>
      </c>
      <c r="BA620" s="47">
        <v>4530.9321562480136</v>
      </c>
    </row>
    <row r="621" spans="42:53" x14ac:dyDescent="0.5">
      <c r="AP621"/>
      <c r="AQ621"/>
      <c r="AT621"/>
      <c r="AU621"/>
      <c r="AV621"/>
      <c r="AY621" s="35">
        <v>-115.3966570272091</v>
      </c>
      <c r="AZ621" s="46">
        <v>-2786.2473592182532</v>
      </c>
      <c r="BA621" s="47">
        <v>-1897.4849309177639</v>
      </c>
    </row>
    <row r="622" spans="42:53" x14ac:dyDescent="0.5">
      <c r="AP622"/>
      <c r="AQ622"/>
      <c r="AT622"/>
      <c r="AU622"/>
      <c r="AV622"/>
      <c r="AY622" s="35">
        <v>-2490.4146644903353</v>
      </c>
      <c r="AZ622" s="46">
        <v>2292.7391124768496</v>
      </c>
      <c r="BA622" s="47">
        <v>1533.1140712106608</v>
      </c>
    </row>
    <row r="623" spans="42:53" x14ac:dyDescent="0.5">
      <c r="AP623"/>
      <c r="AQ623"/>
      <c r="AT623"/>
      <c r="AU623"/>
      <c r="AV623"/>
      <c r="AY623" s="35">
        <v>2073.0994141215251</v>
      </c>
      <c r="AZ623" s="46">
        <v>-3778.2284198291659</v>
      </c>
      <c r="BA623" s="47">
        <v>3341.5285810627975</v>
      </c>
    </row>
    <row r="624" spans="42:53" x14ac:dyDescent="0.5">
      <c r="AP624"/>
      <c r="AQ624"/>
      <c r="AT624"/>
      <c r="AU624"/>
      <c r="AV624"/>
      <c r="AY624" s="35">
        <v>-1416.1707337882349</v>
      </c>
      <c r="AZ624" s="46">
        <v>-3250.1066714357594</v>
      </c>
      <c r="BA624" s="47">
        <v>8973.2326922361572</v>
      </c>
    </row>
    <row r="625" spans="42:53" x14ac:dyDescent="0.5">
      <c r="AP625"/>
      <c r="AQ625"/>
      <c r="AT625"/>
      <c r="AU625"/>
      <c r="AV625"/>
      <c r="AY625" s="35">
        <v>-871.570212849673</v>
      </c>
      <c r="AZ625" s="46">
        <v>-3960.5237400110627</v>
      </c>
      <c r="BA625" s="47">
        <v>4148.1469573722889</v>
      </c>
    </row>
    <row r="626" spans="42:53" x14ac:dyDescent="0.5">
      <c r="AP626"/>
      <c r="AQ626"/>
      <c r="AT626"/>
      <c r="AU626"/>
      <c r="AV626"/>
      <c r="AY626" s="35">
        <v>1357.9727475794132</v>
      </c>
      <c r="AZ626" s="46">
        <v>3451.147409682032</v>
      </c>
      <c r="BA626" s="47">
        <v>724.29821926874251</v>
      </c>
    </row>
    <row r="627" spans="42:53" x14ac:dyDescent="0.5">
      <c r="AP627"/>
      <c r="AQ627"/>
      <c r="AT627"/>
      <c r="AU627"/>
      <c r="AV627"/>
      <c r="AY627" s="35">
        <v>3771.8012805027515</v>
      </c>
      <c r="AZ627" s="46">
        <v>267.80163440299316</v>
      </c>
      <c r="BA627" s="47">
        <v>6867.1072902349952</v>
      </c>
    </row>
    <row r="628" spans="42:53" x14ac:dyDescent="0.5">
      <c r="AP628"/>
      <c r="AQ628"/>
      <c r="AT628"/>
      <c r="AU628"/>
      <c r="AV628"/>
      <c r="AY628" s="35">
        <v>1887.9530851823315</v>
      </c>
      <c r="AZ628" s="46">
        <v>957.46732956950564</v>
      </c>
      <c r="BA628" s="47">
        <v>3444.665477106566</v>
      </c>
    </row>
    <row r="629" spans="42:53" x14ac:dyDescent="0.5">
      <c r="AP629"/>
      <c r="AQ629"/>
      <c r="AT629"/>
      <c r="AU629"/>
      <c r="AV629"/>
      <c r="AY629" s="35">
        <v>2034.8404439453343</v>
      </c>
      <c r="AZ629" s="46">
        <v>10264.131224928233</v>
      </c>
      <c r="BA629" s="47">
        <v>10672.828923850626</v>
      </c>
    </row>
    <row r="630" spans="42:53" x14ac:dyDescent="0.5">
      <c r="AP630"/>
      <c r="AQ630"/>
      <c r="AT630"/>
      <c r="AU630"/>
      <c r="AV630"/>
      <c r="AY630" s="35">
        <v>-847.41061696840245</v>
      </c>
      <c r="AZ630" s="46">
        <v>5038.5370304100397</v>
      </c>
      <c r="BA630" s="47">
        <v>8374.8339402744441</v>
      </c>
    </row>
    <row r="631" spans="42:53" x14ac:dyDescent="0.5">
      <c r="AP631"/>
      <c r="AQ631"/>
      <c r="AT631"/>
      <c r="AU631"/>
      <c r="AV631"/>
      <c r="AY631" s="35">
        <v>1776.6549674403063</v>
      </c>
      <c r="AZ631" s="46">
        <v>-3434.2844156833262</v>
      </c>
      <c r="BA631" s="47">
        <v>3266.5400412451936</v>
      </c>
    </row>
    <row r="632" spans="42:53" x14ac:dyDescent="0.5">
      <c r="AP632"/>
      <c r="AQ632"/>
      <c r="AT632"/>
      <c r="AU632"/>
      <c r="AV632"/>
      <c r="AY632" s="35">
        <v>4546.9449977505683</v>
      </c>
      <c r="AZ632" s="46">
        <v>-2549.036971317079</v>
      </c>
      <c r="BA632" s="47">
        <v>3092.123486080272</v>
      </c>
    </row>
    <row r="633" spans="42:53" x14ac:dyDescent="0.5">
      <c r="AP633"/>
      <c r="AQ633"/>
      <c r="AT633"/>
      <c r="AU633"/>
      <c r="AV633"/>
      <c r="AY633" s="35">
        <v>2400.3247905063895</v>
      </c>
      <c r="AZ633" s="46">
        <v>-1700.2170058679533</v>
      </c>
      <c r="BA633" s="47">
        <v>8656.1870551042502</v>
      </c>
    </row>
    <row r="634" spans="42:53" x14ac:dyDescent="0.5">
      <c r="AP634"/>
      <c r="AQ634"/>
      <c r="AT634"/>
      <c r="AU634"/>
      <c r="AV634"/>
      <c r="AY634" s="35">
        <v>5950.7383243052582</v>
      </c>
      <c r="AZ634" s="46">
        <v>837.31428893670363</v>
      </c>
      <c r="BA634" s="47">
        <v>4405.0119481934671</v>
      </c>
    </row>
    <row r="635" spans="42:53" x14ac:dyDescent="0.5">
      <c r="AP635"/>
      <c r="AQ635"/>
      <c r="AT635"/>
      <c r="AU635"/>
      <c r="AV635"/>
      <c r="AY635" s="35">
        <v>3452.591205793969</v>
      </c>
      <c r="AZ635" s="46">
        <v>-1973.3764417055606</v>
      </c>
      <c r="BA635" s="47">
        <v>6917.7354246736977</v>
      </c>
    </row>
    <row r="636" spans="42:53" x14ac:dyDescent="0.5">
      <c r="AP636"/>
      <c r="AQ636"/>
      <c r="AT636"/>
      <c r="AU636"/>
      <c r="AV636"/>
      <c r="AY636" s="35">
        <v>-1651.3590034297133</v>
      </c>
      <c r="AZ636" s="46">
        <v>-1898.1691674878957</v>
      </c>
      <c r="BA636" s="47">
        <v>10110.801080985981</v>
      </c>
    </row>
    <row r="637" spans="42:53" x14ac:dyDescent="0.5">
      <c r="AP637"/>
      <c r="AQ637"/>
      <c r="AT637"/>
      <c r="AU637"/>
      <c r="AV637"/>
      <c r="AY637" s="35">
        <v>4580.2107752230268</v>
      </c>
      <c r="AZ637" s="46">
        <v>2321.4034678745702</v>
      </c>
      <c r="BA637" s="47">
        <v>3688.4778977167548</v>
      </c>
    </row>
    <row r="638" spans="42:53" x14ac:dyDescent="0.5">
      <c r="AP638"/>
      <c r="AQ638"/>
      <c r="AT638"/>
      <c r="AU638"/>
      <c r="AV638"/>
      <c r="AY638" s="35">
        <v>962.00159317326893</v>
      </c>
      <c r="AZ638" s="46">
        <v>2582.738602982638</v>
      </c>
      <c r="BA638" s="47">
        <v>7516.4079328905746</v>
      </c>
    </row>
    <row r="639" spans="42:53" x14ac:dyDescent="0.5">
      <c r="AP639"/>
      <c r="AQ639"/>
      <c r="AT639"/>
      <c r="AU639"/>
      <c r="AV639"/>
      <c r="AY639" s="35">
        <v>3627.6489557409923</v>
      </c>
      <c r="AZ639" s="46">
        <v>-696.49044629588025</v>
      </c>
      <c r="BA639" s="47">
        <v>11568.494616728352</v>
      </c>
    </row>
    <row r="640" spans="42:53" x14ac:dyDescent="0.5">
      <c r="AP640"/>
      <c r="AQ640"/>
      <c r="AT640"/>
      <c r="AU640"/>
      <c r="AV640"/>
      <c r="AY640" s="35">
        <v>4699.053277336473</v>
      </c>
      <c r="AZ640" s="46">
        <v>-3778.5334355609775</v>
      </c>
      <c r="BA640" s="47">
        <v>2094.0081930036927</v>
      </c>
    </row>
    <row r="641" spans="42:53" x14ac:dyDescent="0.5">
      <c r="AP641"/>
      <c r="AQ641"/>
      <c r="AT641"/>
      <c r="AU641"/>
      <c r="AV641"/>
      <c r="AY641" s="35">
        <v>6911.8657953944958</v>
      </c>
      <c r="AZ641" s="46">
        <v>5080.3812364309206</v>
      </c>
      <c r="BA641" s="47">
        <v>1899.9421786812807</v>
      </c>
    </row>
    <row r="642" spans="42:53" x14ac:dyDescent="0.5">
      <c r="AP642"/>
      <c r="AQ642"/>
      <c r="AT642"/>
      <c r="AU642"/>
      <c r="AV642"/>
      <c r="AY642" s="35">
        <v>-867.98722114839597</v>
      </c>
      <c r="AZ642" s="46">
        <v>5341.7023347983586</v>
      </c>
      <c r="BA642" s="47">
        <v>5294.0128037404511</v>
      </c>
    </row>
    <row r="643" spans="42:53" x14ac:dyDescent="0.5">
      <c r="AP643"/>
      <c r="AQ643"/>
      <c r="AT643"/>
      <c r="AU643"/>
      <c r="AV643"/>
      <c r="AY643" s="35">
        <v>6854.545567399613</v>
      </c>
      <c r="AZ643" s="46">
        <v>-3849.2018773630316</v>
      </c>
      <c r="BA643" s="47">
        <v>-1451.194663379101</v>
      </c>
    </row>
    <row r="644" spans="42:53" x14ac:dyDescent="0.5">
      <c r="AP644"/>
      <c r="AQ644"/>
      <c r="AT644"/>
      <c r="AU644"/>
      <c r="AV644"/>
      <c r="AY644" s="35">
        <v>6872.2436900612374</v>
      </c>
      <c r="AZ644" s="46">
        <v>-4041.9592565747403</v>
      </c>
      <c r="BA644" s="47">
        <v>13011.524834638383</v>
      </c>
    </row>
    <row r="645" spans="42:53" x14ac:dyDescent="0.5">
      <c r="AP645"/>
      <c r="AQ645"/>
      <c r="AT645"/>
      <c r="AU645"/>
      <c r="AV645"/>
      <c r="AY645" s="35">
        <v>663.99173456142194</v>
      </c>
      <c r="AZ645" s="46">
        <v>-2114.6579895838945</v>
      </c>
      <c r="BA645" s="47">
        <v>11146.604437231519</v>
      </c>
    </row>
    <row r="646" spans="42:53" x14ac:dyDescent="0.5">
      <c r="AP646"/>
      <c r="AQ646"/>
      <c r="AT646"/>
      <c r="AU646"/>
      <c r="AV646"/>
      <c r="AY646" s="35">
        <v>5895.8522746498593</v>
      </c>
      <c r="AZ646" s="46">
        <v>1275.0833736665693</v>
      </c>
      <c r="BA646" s="47">
        <v>-2973.1765612328404</v>
      </c>
    </row>
    <row r="647" spans="42:53" x14ac:dyDescent="0.5">
      <c r="AP647"/>
      <c r="AQ647"/>
      <c r="AT647"/>
      <c r="AU647"/>
      <c r="AV647"/>
      <c r="AY647" s="35">
        <v>1475.2148800988223</v>
      </c>
      <c r="AZ647" s="46">
        <v>-4704.1037032381992</v>
      </c>
      <c r="BA647" s="47">
        <v>9651.7925410300631</v>
      </c>
    </row>
    <row r="648" spans="42:53" x14ac:dyDescent="0.5">
      <c r="AP648"/>
      <c r="AQ648"/>
      <c r="AT648"/>
      <c r="AU648"/>
      <c r="AV648"/>
      <c r="AY648" s="35">
        <v>-1984.6294126241585</v>
      </c>
      <c r="AZ648" s="46">
        <v>3085.4748904302337</v>
      </c>
      <c r="BA648" s="47">
        <v>-712.59194257161153</v>
      </c>
    </row>
    <row r="649" spans="42:53" x14ac:dyDescent="0.5">
      <c r="AP649"/>
      <c r="AQ649"/>
      <c r="AT649"/>
      <c r="AU649"/>
      <c r="AV649"/>
      <c r="AY649" s="35">
        <v>-902.76224883228065</v>
      </c>
      <c r="AZ649" s="46">
        <v>4181.572031669255</v>
      </c>
      <c r="BA649" s="47">
        <v>606.353731433598</v>
      </c>
    </row>
    <row r="650" spans="42:53" x14ac:dyDescent="0.5">
      <c r="AP650"/>
      <c r="AQ650"/>
      <c r="AT650"/>
      <c r="AU650"/>
      <c r="AV650"/>
      <c r="AY650" s="35">
        <v>1904.8521700829147</v>
      </c>
      <c r="AZ650" s="46">
        <v>-3178.7924337354607</v>
      </c>
      <c r="BA650" s="47">
        <v>4483.0119566913518</v>
      </c>
    </row>
    <row r="651" spans="42:53" x14ac:dyDescent="0.5">
      <c r="AP651"/>
      <c r="AQ651"/>
      <c r="AT651"/>
      <c r="AU651"/>
      <c r="AV651"/>
      <c r="AY651" s="35">
        <v>-233.64553745230916</v>
      </c>
      <c r="AZ651" s="46">
        <v>-2389.5630154763289</v>
      </c>
      <c r="BA651" s="47">
        <v>8081.8595361096122</v>
      </c>
    </row>
    <row r="652" spans="42:53" x14ac:dyDescent="0.5">
      <c r="AP652"/>
      <c r="AQ652"/>
      <c r="AT652"/>
      <c r="AU652"/>
      <c r="AV652"/>
      <c r="AY652" s="35">
        <v>-242.04312692279581</v>
      </c>
      <c r="AZ652" s="46">
        <v>-1059.6674719425043</v>
      </c>
      <c r="BA652" s="47">
        <v>2844.4451184121367</v>
      </c>
    </row>
    <row r="653" spans="42:53" x14ac:dyDescent="0.5">
      <c r="AP653"/>
      <c r="AQ653"/>
      <c r="AT653"/>
      <c r="AU653"/>
      <c r="AV653"/>
      <c r="AY653" s="35">
        <v>3779.5184637487419</v>
      </c>
      <c r="AZ653" s="46">
        <v>2068.8312144460533</v>
      </c>
      <c r="BA653" s="47">
        <v>8054.1347285303991</v>
      </c>
    </row>
    <row r="654" spans="42:53" x14ac:dyDescent="0.5">
      <c r="AP654"/>
      <c r="AQ654"/>
      <c r="AT654"/>
      <c r="AU654"/>
      <c r="AV654"/>
      <c r="AY654" s="35">
        <v>-1165.5974642602494</v>
      </c>
      <c r="AZ654" s="46">
        <v>3636.5716763867385</v>
      </c>
      <c r="BA654" s="47">
        <v>1597.6844630826772</v>
      </c>
    </row>
    <row r="655" spans="42:53" x14ac:dyDescent="0.5">
      <c r="AP655"/>
      <c r="AQ655"/>
      <c r="AT655"/>
      <c r="AU655"/>
      <c r="AV655"/>
      <c r="AY655" s="35">
        <v>2959.5922597274052</v>
      </c>
      <c r="AZ655" s="46">
        <v>220.28528144432079</v>
      </c>
      <c r="BA655" s="47">
        <v>7385.8586372589052</v>
      </c>
    </row>
    <row r="656" spans="42:53" x14ac:dyDescent="0.5">
      <c r="AP656"/>
      <c r="AQ656"/>
      <c r="AT656"/>
      <c r="AU656"/>
      <c r="AV656"/>
      <c r="AY656" s="35">
        <v>2056.8633840971679</v>
      </c>
      <c r="AZ656" s="46">
        <v>-4239.0059992302758</v>
      </c>
      <c r="BA656" s="47">
        <v>4.584061542818155</v>
      </c>
    </row>
    <row r="657" spans="42:53" x14ac:dyDescent="0.5">
      <c r="AP657"/>
      <c r="AQ657"/>
      <c r="AT657"/>
      <c r="AU657"/>
      <c r="AV657"/>
      <c r="AY657" s="35">
        <v>-1241.6840090835221</v>
      </c>
      <c r="AZ657" s="46">
        <v>-3595.2677652937959</v>
      </c>
      <c r="BA657" s="47">
        <v>7843.9989985438378</v>
      </c>
    </row>
    <row r="658" spans="42:53" x14ac:dyDescent="0.5">
      <c r="AP658"/>
      <c r="AQ658"/>
      <c r="AT658"/>
      <c r="AU658"/>
      <c r="AV658"/>
      <c r="AY658" s="35">
        <v>1838.3078852498527</v>
      </c>
      <c r="AZ658" s="46">
        <v>2527.6202711502301</v>
      </c>
      <c r="BA658" s="47">
        <v>3440.5157318166521</v>
      </c>
    </row>
    <row r="659" spans="42:53" x14ac:dyDescent="0.5">
      <c r="AP659"/>
      <c r="AQ659"/>
      <c r="AT659"/>
      <c r="AU659"/>
      <c r="AV659"/>
      <c r="AY659" s="35">
        <v>3053.4883932873408</v>
      </c>
      <c r="AZ659" s="46">
        <v>4479.6116765234601</v>
      </c>
      <c r="BA659" s="47">
        <v>9912.6558808030841</v>
      </c>
    </row>
    <row r="660" spans="42:53" x14ac:dyDescent="0.5">
      <c r="AP660"/>
      <c r="AQ660"/>
      <c r="AT660"/>
      <c r="AU660"/>
      <c r="AV660"/>
      <c r="AY660" s="35">
        <v>34.607347120407368</v>
      </c>
      <c r="AZ660" s="46">
        <v>-1115.4484292803127</v>
      </c>
      <c r="BA660" s="47">
        <v>6283.2776198702613</v>
      </c>
    </row>
    <row r="661" spans="42:53" x14ac:dyDescent="0.5">
      <c r="AP661"/>
      <c r="AQ661"/>
      <c r="AT661"/>
      <c r="AU661"/>
      <c r="AV661"/>
      <c r="AY661" s="35">
        <v>197.17251432385245</v>
      </c>
      <c r="AZ661" s="46">
        <v>-4220.456469888155</v>
      </c>
      <c r="BA661" s="47">
        <v>-141.9561179908485</v>
      </c>
    </row>
    <row r="662" spans="42:53" x14ac:dyDescent="0.5">
      <c r="AP662"/>
      <c r="AQ662"/>
      <c r="AT662"/>
      <c r="AU662"/>
      <c r="AV662"/>
      <c r="AY662" s="35">
        <v>-1831.015031778596</v>
      </c>
      <c r="AZ662" s="46">
        <v>-4088.7287508936447</v>
      </c>
      <c r="BA662" s="47">
        <v>5326.5017506614686</v>
      </c>
    </row>
    <row r="663" spans="42:53" x14ac:dyDescent="0.5">
      <c r="AP663"/>
      <c r="AQ663"/>
      <c r="AT663"/>
      <c r="AU663"/>
      <c r="AV663"/>
      <c r="AY663" s="35">
        <v>3546.2056732195902</v>
      </c>
      <c r="AZ663" s="46">
        <v>-2052.3122793101707</v>
      </c>
      <c r="BA663" s="47">
        <v>5646.105302150223</v>
      </c>
    </row>
    <row r="664" spans="42:53" x14ac:dyDescent="0.5">
      <c r="AP664"/>
      <c r="AQ664"/>
      <c r="AT664"/>
      <c r="AU664"/>
      <c r="AV664"/>
      <c r="AY664" s="35">
        <v>5577.8204322374795</v>
      </c>
      <c r="AZ664" s="46">
        <v>-1965.6123432418819</v>
      </c>
      <c r="BA664" s="47">
        <v>5258.1945912364145</v>
      </c>
    </row>
    <row r="665" spans="42:53" x14ac:dyDescent="0.5">
      <c r="AP665"/>
      <c r="AQ665"/>
      <c r="AT665"/>
      <c r="AU665"/>
      <c r="AV665"/>
      <c r="AY665" s="35">
        <v>2909.2381757800226</v>
      </c>
      <c r="AZ665" s="46">
        <v>-2088.1829065759512</v>
      </c>
      <c r="BA665" s="47">
        <v>5493.6126872559653</v>
      </c>
    </row>
    <row r="666" spans="42:53" x14ac:dyDescent="0.5">
      <c r="AP666"/>
      <c r="AQ666"/>
      <c r="AT666"/>
      <c r="AU666"/>
      <c r="AV666"/>
      <c r="AY666" s="35">
        <v>1681.4587186969766</v>
      </c>
      <c r="AZ666" s="46">
        <v>331.67791202370967</v>
      </c>
      <c r="BA666" s="47">
        <v>1503.6849456066836</v>
      </c>
    </row>
    <row r="667" spans="42:53" x14ac:dyDescent="0.5">
      <c r="AP667"/>
      <c r="AQ667"/>
      <c r="AT667"/>
      <c r="AU667"/>
      <c r="AV667"/>
      <c r="AY667" s="35">
        <v>-293.25702495895115</v>
      </c>
      <c r="AZ667" s="46">
        <v>-235.90414631993724</v>
      </c>
      <c r="BA667" s="47">
        <v>4260.5784515119904</v>
      </c>
    </row>
    <row r="668" spans="42:53" x14ac:dyDescent="0.5">
      <c r="AP668"/>
      <c r="AQ668"/>
      <c r="AT668"/>
      <c r="AU668"/>
      <c r="AV668"/>
      <c r="AY668" s="35">
        <v>3522.2245378895423</v>
      </c>
      <c r="AZ668" s="46">
        <v>7844.1293422011158</v>
      </c>
      <c r="BA668" s="47">
        <v>15494.70492140309</v>
      </c>
    </row>
    <row r="669" spans="42:53" x14ac:dyDescent="0.5">
      <c r="AP669"/>
      <c r="AQ669"/>
      <c r="AT669"/>
      <c r="AU669"/>
      <c r="AV669"/>
      <c r="AY669" s="35">
        <v>1151.1772669119507</v>
      </c>
      <c r="AZ669" s="46">
        <v>3798.2498421933342</v>
      </c>
      <c r="BA669" s="47">
        <v>-580.77163350955539</v>
      </c>
    </row>
    <row r="670" spans="42:53" x14ac:dyDescent="0.5">
      <c r="AP670"/>
      <c r="AQ670"/>
      <c r="AT670"/>
      <c r="AU670"/>
      <c r="AV670"/>
      <c r="AY670" s="35">
        <v>4865.2645061438461</v>
      </c>
      <c r="AZ670" s="46">
        <v>-845.00039959327091</v>
      </c>
      <c r="BA670" s="47">
        <v>4766.1940009942318</v>
      </c>
    </row>
    <row r="671" spans="42:53" x14ac:dyDescent="0.5">
      <c r="AP671"/>
      <c r="AQ671"/>
      <c r="AT671"/>
      <c r="AU671"/>
      <c r="AV671"/>
      <c r="AY671" s="35">
        <v>2186.0699267382906</v>
      </c>
      <c r="AZ671" s="46">
        <v>-1465.2758500070497</v>
      </c>
      <c r="BA671" s="47">
        <v>7838.8356826260115</v>
      </c>
    </row>
    <row r="672" spans="42:53" x14ac:dyDescent="0.5">
      <c r="AP672"/>
      <c r="AQ672"/>
      <c r="AT672"/>
      <c r="AU672"/>
      <c r="AV672"/>
      <c r="AY672" s="35">
        <v>-1640.3248501298258</v>
      </c>
      <c r="AZ672" s="46">
        <v>378.78474741320196</v>
      </c>
      <c r="BA672" s="47">
        <v>5145.550854834285</v>
      </c>
    </row>
    <row r="673" spans="42:53" x14ac:dyDescent="0.5">
      <c r="AP673"/>
      <c r="AQ673"/>
      <c r="AT673"/>
      <c r="AU673"/>
      <c r="AV673"/>
      <c r="AY673" s="35">
        <v>1735.0372855222715</v>
      </c>
      <c r="AZ673" s="46">
        <v>692.85296635899931</v>
      </c>
      <c r="BA673" s="47">
        <v>-997.88200266901219</v>
      </c>
    </row>
    <row r="674" spans="42:53" x14ac:dyDescent="0.5">
      <c r="AP674"/>
      <c r="AQ674"/>
      <c r="AT674"/>
      <c r="AU674"/>
      <c r="AV674"/>
      <c r="AY674" s="35">
        <v>7295.9641304284305</v>
      </c>
      <c r="AZ674" s="46">
        <v>-2705.7312150598423</v>
      </c>
      <c r="BA674" s="47">
        <v>5407.2399338281048</v>
      </c>
    </row>
    <row r="675" spans="42:53" x14ac:dyDescent="0.5">
      <c r="AP675"/>
      <c r="AQ675"/>
      <c r="AT675"/>
      <c r="AU675"/>
      <c r="AV675"/>
      <c r="AY675" s="35">
        <v>-1025.9398102367234</v>
      </c>
      <c r="AZ675" s="46">
        <v>-2776.5814142507693</v>
      </c>
      <c r="BA675" s="47">
        <v>11438.999156382091</v>
      </c>
    </row>
    <row r="676" spans="42:53" x14ac:dyDescent="0.5">
      <c r="AP676"/>
      <c r="AQ676"/>
      <c r="AT676"/>
      <c r="AU676"/>
      <c r="AV676"/>
      <c r="AY676" s="35">
        <v>4396.745090791148</v>
      </c>
      <c r="AZ676" s="46">
        <v>-436.40001377400176</v>
      </c>
      <c r="BA676" s="47">
        <v>2703.2683829519178</v>
      </c>
    </row>
    <row r="677" spans="42:53" x14ac:dyDescent="0.5">
      <c r="AP677"/>
      <c r="AQ677"/>
      <c r="AT677"/>
      <c r="AU677"/>
      <c r="AV677"/>
      <c r="AY677" s="35">
        <v>5513.181889796786</v>
      </c>
      <c r="AZ677" s="46">
        <v>-1455.8453648332491</v>
      </c>
      <c r="BA677" s="47">
        <v>2627.7828805966892</v>
      </c>
    </row>
    <row r="678" spans="42:53" x14ac:dyDescent="0.5">
      <c r="AP678"/>
      <c r="AQ678"/>
      <c r="AT678"/>
      <c r="AU678"/>
      <c r="AV678"/>
      <c r="AY678" s="35">
        <v>-1473.046952696616</v>
      </c>
      <c r="AZ678" s="46">
        <v>-4503.0679839394779</v>
      </c>
      <c r="BA678" s="47">
        <v>1424.4175259264532</v>
      </c>
    </row>
    <row r="679" spans="42:53" x14ac:dyDescent="0.5">
      <c r="AP679"/>
      <c r="AQ679"/>
      <c r="AT679"/>
      <c r="AU679"/>
      <c r="AV679"/>
      <c r="AY679" s="35">
        <v>846.97295058960174</v>
      </c>
      <c r="AZ679" s="46">
        <v>2785.4676749939904</v>
      </c>
      <c r="BA679" s="47">
        <v>244.68708704821637</v>
      </c>
    </row>
    <row r="680" spans="42:53" x14ac:dyDescent="0.5">
      <c r="AP680"/>
      <c r="AQ680"/>
      <c r="AT680"/>
      <c r="AU680"/>
      <c r="AV680"/>
      <c r="AY680" s="35">
        <v>6109.5008836105053</v>
      </c>
      <c r="AZ680" s="46">
        <v>-4252.7625805542602</v>
      </c>
      <c r="BA680" s="47">
        <v>-685.26972698802206</v>
      </c>
    </row>
    <row r="681" spans="42:53" x14ac:dyDescent="0.5">
      <c r="AP681"/>
      <c r="AQ681"/>
      <c r="AT681"/>
      <c r="AU681"/>
      <c r="AV681"/>
      <c r="AY681" s="35">
        <v>2263.547127094967</v>
      </c>
      <c r="AZ681" s="46">
        <v>4264.0464664668398</v>
      </c>
      <c r="BA681" s="47">
        <v>7179.205732171833</v>
      </c>
    </row>
    <row r="682" spans="42:53" x14ac:dyDescent="0.5">
      <c r="AP682"/>
      <c r="AQ682"/>
      <c r="AT682"/>
      <c r="AU682"/>
      <c r="AV682"/>
      <c r="AY682" s="35">
        <v>5568.7515578070052</v>
      </c>
      <c r="AZ682" s="46">
        <v>-1514.9122579043446</v>
      </c>
      <c r="BA682" s="47">
        <v>1480.577228219546</v>
      </c>
    </row>
    <row r="683" spans="42:53" x14ac:dyDescent="0.5">
      <c r="AP683"/>
      <c r="AQ683"/>
      <c r="AT683"/>
      <c r="AU683"/>
      <c r="AV683"/>
      <c r="AY683" s="35">
        <v>3863.3985242903882</v>
      </c>
      <c r="AZ683" s="46">
        <v>518.53005282178469</v>
      </c>
      <c r="BA683" s="47">
        <v>1436.0476983705612</v>
      </c>
    </row>
    <row r="684" spans="42:53" x14ac:dyDescent="0.5">
      <c r="AP684"/>
      <c r="AQ684"/>
      <c r="AT684"/>
      <c r="AU684"/>
      <c r="AV684"/>
      <c r="AY684" s="35">
        <v>-2393.1400983043081</v>
      </c>
      <c r="AZ684" s="46">
        <v>-4233.4843623863126</v>
      </c>
      <c r="BA684" s="47">
        <v>1802.2838399527334</v>
      </c>
    </row>
    <row r="685" spans="42:53" x14ac:dyDescent="0.5">
      <c r="AP685"/>
      <c r="AQ685"/>
      <c r="AT685"/>
      <c r="AU685"/>
      <c r="AV685"/>
      <c r="AY685" s="35">
        <v>4588.7577190785742</v>
      </c>
      <c r="AZ685" s="46">
        <v>3703.1623504885933</v>
      </c>
      <c r="BA685" s="47">
        <v>6687.8701512014923</v>
      </c>
    </row>
    <row r="686" spans="42:53" x14ac:dyDescent="0.5">
      <c r="AP686"/>
      <c r="AQ686"/>
      <c r="AT686"/>
      <c r="AU686"/>
      <c r="AV686"/>
      <c r="AY686" s="35">
        <v>1813.6058421984735</v>
      </c>
      <c r="AZ686" s="46">
        <v>1883.5290761282233</v>
      </c>
      <c r="BA686" s="47">
        <v>685.10472999719718</v>
      </c>
    </row>
    <row r="687" spans="42:53" x14ac:dyDescent="0.5">
      <c r="AP687"/>
      <c r="AQ687"/>
      <c r="AT687"/>
      <c r="AU687"/>
      <c r="AV687"/>
      <c r="AY687" s="35">
        <v>3622.2076855290916</v>
      </c>
      <c r="AZ687" s="46">
        <v>392.68619665314719</v>
      </c>
      <c r="BA687" s="47">
        <v>-1279.8651398256113</v>
      </c>
    </row>
    <row r="688" spans="42:53" x14ac:dyDescent="0.5">
      <c r="AP688"/>
      <c r="AQ688"/>
      <c r="AT688"/>
      <c r="AU688"/>
      <c r="AV688"/>
      <c r="AY688" s="35">
        <v>7248.224226904641</v>
      </c>
      <c r="AZ688" s="46">
        <v>-2466.2367743503542</v>
      </c>
      <c r="BA688" s="47">
        <v>5586.7065377295585</v>
      </c>
    </row>
    <row r="689" spans="42:53" x14ac:dyDescent="0.5">
      <c r="AP689"/>
      <c r="AQ689"/>
      <c r="AT689"/>
      <c r="AU689"/>
      <c r="AV689"/>
      <c r="AY689" s="35">
        <v>5258.0959476836269</v>
      </c>
      <c r="AZ689" s="46">
        <v>-123.77706960864357</v>
      </c>
      <c r="BA689" s="47">
        <v>1649.8395975586427</v>
      </c>
    </row>
    <row r="690" spans="42:53" x14ac:dyDescent="0.5">
      <c r="AP690"/>
      <c r="AQ690"/>
      <c r="AT690"/>
      <c r="AU690"/>
      <c r="AV690"/>
      <c r="AY690" s="35">
        <v>7058.9320415570292</v>
      </c>
      <c r="AZ690" s="46">
        <v>1052.4343762602477</v>
      </c>
      <c r="BA690" s="47">
        <v>3556.3087299839185</v>
      </c>
    </row>
    <row r="691" spans="42:53" x14ac:dyDescent="0.5">
      <c r="AP691"/>
      <c r="AQ691"/>
      <c r="AT691"/>
      <c r="AU691"/>
      <c r="AV691"/>
      <c r="AY691" s="35">
        <v>2395.394192321427</v>
      </c>
      <c r="AZ691" s="46">
        <v>2327.8388992753148</v>
      </c>
      <c r="BA691" s="47">
        <v>4290.2192571020196</v>
      </c>
    </row>
    <row r="692" spans="42:53" x14ac:dyDescent="0.5">
      <c r="AP692"/>
      <c r="AQ692"/>
      <c r="AT692"/>
      <c r="AU692"/>
      <c r="AV692"/>
      <c r="AY692" s="35">
        <v>4719.1121670336934</v>
      </c>
      <c r="AZ692" s="46">
        <v>-1842.0684590674518</v>
      </c>
      <c r="BA692" s="47">
        <v>6822.2385465035768</v>
      </c>
    </row>
    <row r="693" spans="42:53" x14ac:dyDescent="0.5">
      <c r="AP693"/>
      <c r="AQ693"/>
      <c r="AT693"/>
      <c r="AU693"/>
      <c r="AV693"/>
      <c r="AY693" s="35">
        <v>7720.7226416987878</v>
      </c>
      <c r="AZ693" s="46">
        <v>-2242.5375168880273</v>
      </c>
      <c r="BA693" s="47">
        <v>-2887.2005962630674</v>
      </c>
    </row>
    <row r="694" spans="42:53" x14ac:dyDescent="0.5">
      <c r="AP694"/>
      <c r="AQ694"/>
      <c r="AT694"/>
      <c r="AU694"/>
      <c r="AV694"/>
      <c r="AY694" s="35">
        <v>3813.8596995744479</v>
      </c>
      <c r="AZ694" s="46">
        <v>-1455.6762456126771</v>
      </c>
      <c r="BA694" s="47">
        <v>4846.5332253228098</v>
      </c>
    </row>
    <row r="695" spans="42:53" x14ac:dyDescent="0.5">
      <c r="AP695"/>
      <c r="AQ695"/>
      <c r="AT695"/>
      <c r="AU695"/>
      <c r="AV695"/>
      <c r="AY695" s="35">
        <v>6697.5428534856628</v>
      </c>
      <c r="AZ695" s="46">
        <v>71.310580802325561</v>
      </c>
      <c r="BA695" s="47">
        <v>4147.9628162406307</v>
      </c>
    </row>
    <row r="696" spans="42:53" x14ac:dyDescent="0.5">
      <c r="AP696"/>
      <c r="AQ696"/>
      <c r="AT696"/>
      <c r="AU696"/>
      <c r="AV696"/>
      <c r="AY696" s="35">
        <v>396.56773491068867</v>
      </c>
      <c r="AZ696" s="46">
        <v>1724.1486233751227</v>
      </c>
      <c r="BA696" s="47">
        <v>-1063.0551920086757</v>
      </c>
    </row>
    <row r="697" spans="42:53" x14ac:dyDescent="0.5">
      <c r="AP697"/>
      <c r="AQ697"/>
      <c r="AT697"/>
      <c r="AU697"/>
      <c r="AV697"/>
      <c r="AY697" s="35">
        <v>6037.9757196770452</v>
      </c>
      <c r="AZ697" s="46">
        <v>1402.608707368656</v>
      </c>
      <c r="BA697" s="47">
        <v>20194.122736767426</v>
      </c>
    </row>
    <row r="698" spans="42:53" x14ac:dyDescent="0.5">
      <c r="AP698"/>
      <c r="AQ698"/>
      <c r="AT698"/>
      <c r="AU698"/>
      <c r="AV698"/>
      <c r="AY698" s="35">
        <v>-399.80910463480302</v>
      </c>
      <c r="AZ698" s="46">
        <v>5292.9028488182776</v>
      </c>
      <c r="BA698" s="47">
        <v>5403.8248428066399</v>
      </c>
    </row>
    <row r="699" spans="42:53" x14ac:dyDescent="0.5">
      <c r="AP699"/>
      <c r="AQ699"/>
      <c r="AT699"/>
      <c r="AU699"/>
      <c r="AV699"/>
      <c r="AY699" s="35">
        <v>3790.6460595915732</v>
      </c>
      <c r="AZ699" s="46">
        <v>-2862.0732500946124</v>
      </c>
      <c r="BA699" s="47">
        <v>6085.2910290073942</v>
      </c>
    </row>
    <row r="700" spans="42:53" x14ac:dyDescent="0.5">
      <c r="AP700"/>
      <c r="AQ700"/>
      <c r="AT700"/>
      <c r="AU700"/>
      <c r="AV700"/>
      <c r="AY700" s="35">
        <v>-1098.3697780060897</v>
      </c>
      <c r="AZ700" s="46">
        <v>13014.023622402199</v>
      </c>
      <c r="BA700" s="47">
        <v>6543.5636511274861</v>
      </c>
    </row>
    <row r="701" spans="42:53" x14ac:dyDescent="0.5">
      <c r="AP701"/>
      <c r="AQ701"/>
      <c r="AT701"/>
      <c r="AU701"/>
      <c r="AV701"/>
      <c r="AY701" s="35">
        <v>7143.1533033445266</v>
      </c>
      <c r="AZ701" s="46">
        <v>-585.74237104458211</v>
      </c>
      <c r="BA701" s="47">
        <v>300.52681524001071</v>
      </c>
    </row>
    <row r="702" spans="42:53" x14ac:dyDescent="0.5">
      <c r="AP702"/>
      <c r="AQ702"/>
      <c r="AT702"/>
      <c r="AU702"/>
      <c r="AV702"/>
      <c r="AY702" s="35">
        <v>2226.2068346600263</v>
      </c>
      <c r="AZ702" s="46">
        <v>910.58036350961493</v>
      </c>
      <c r="BA702" s="47">
        <v>5337.1802433469484</v>
      </c>
    </row>
    <row r="703" spans="42:53" x14ac:dyDescent="0.5">
      <c r="AP703"/>
      <c r="AQ703"/>
      <c r="AT703"/>
      <c r="AU703"/>
      <c r="AV703"/>
      <c r="AY703" s="35">
        <v>3232.9683446038098</v>
      </c>
      <c r="AZ703" s="46">
        <v>-1409.9160874543684</v>
      </c>
      <c r="BA703" s="47">
        <v>1394.4971869483645</v>
      </c>
    </row>
    <row r="704" spans="42:53" x14ac:dyDescent="0.5">
      <c r="AP704"/>
      <c r="AQ704"/>
      <c r="AT704"/>
      <c r="AU704"/>
      <c r="AV704"/>
      <c r="AY704" s="35">
        <v>7671.9379886428942</v>
      </c>
      <c r="AZ704" s="46">
        <v>19263.500597199476</v>
      </c>
      <c r="BA704" s="47">
        <v>636.74454258084074</v>
      </c>
    </row>
    <row r="705" spans="42:53" x14ac:dyDescent="0.5">
      <c r="AP705"/>
      <c r="AQ705"/>
      <c r="AT705"/>
      <c r="AU705"/>
      <c r="AV705"/>
      <c r="AY705" s="35">
        <v>5968.7367900029649</v>
      </c>
      <c r="AZ705" s="46">
        <v>3358.1410535338809</v>
      </c>
      <c r="BA705" s="47">
        <v>1878.3414464043503</v>
      </c>
    </row>
    <row r="706" spans="42:53" x14ac:dyDescent="0.5">
      <c r="AP706"/>
      <c r="AQ706"/>
      <c r="AT706"/>
      <c r="AU706"/>
      <c r="AV706"/>
      <c r="AY706" s="35">
        <v>2189.2110541817137</v>
      </c>
      <c r="AZ706" s="46">
        <v>-2978.0947739881699</v>
      </c>
      <c r="BA706" s="47">
        <v>3669.0638436964537</v>
      </c>
    </row>
    <row r="707" spans="42:53" x14ac:dyDescent="0.5">
      <c r="AP707"/>
      <c r="AQ707"/>
      <c r="AT707"/>
      <c r="AU707"/>
      <c r="AV707"/>
      <c r="AY707" s="35">
        <v>7471.6972329693717</v>
      </c>
      <c r="AZ707" s="46">
        <v>7851.8278791153698</v>
      </c>
      <c r="BA707" s="47">
        <v>10511.313667622824</v>
      </c>
    </row>
    <row r="708" spans="42:53" x14ac:dyDescent="0.5">
      <c r="AP708"/>
      <c r="AQ708"/>
      <c r="AT708"/>
      <c r="AU708"/>
      <c r="AV708"/>
      <c r="AY708" s="35">
        <v>281.47041616183526</v>
      </c>
      <c r="AZ708" s="46">
        <v>-544.49562128322987</v>
      </c>
      <c r="BA708" s="47">
        <v>2360.0991107126365</v>
      </c>
    </row>
    <row r="709" spans="42:53" x14ac:dyDescent="0.5">
      <c r="AP709"/>
      <c r="AQ709"/>
      <c r="AT709"/>
      <c r="AU709"/>
      <c r="AV709"/>
      <c r="AY709" s="35">
        <v>-634.08182043939462</v>
      </c>
      <c r="AZ709" s="46">
        <v>-1581.2750048964401</v>
      </c>
      <c r="BA709" s="47">
        <v>22409.039561573882</v>
      </c>
    </row>
    <row r="710" spans="42:53" x14ac:dyDescent="0.5">
      <c r="AP710"/>
      <c r="AQ710"/>
      <c r="AT710"/>
      <c r="AU710"/>
      <c r="AV710"/>
      <c r="AY710" s="35">
        <v>6875.445709306443</v>
      </c>
      <c r="AZ710" s="46">
        <v>9797.4339620727933</v>
      </c>
      <c r="BA710" s="47">
        <v>9987.9381703806921</v>
      </c>
    </row>
    <row r="711" spans="42:53" x14ac:dyDescent="0.5">
      <c r="AP711"/>
      <c r="AQ711"/>
      <c r="AT711"/>
      <c r="AU711"/>
      <c r="AV711"/>
      <c r="AY711" s="35">
        <v>4910.4938736174809</v>
      </c>
      <c r="AZ711" s="46">
        <v>137.30595067556305</v>
      </c>
      <c r="BA711" s="47">
        <v>1665.7950781834045</v>
      </c>
    </row>
    <row r="712" spans="42:53" x14ac:dyDescent="0.5">
      <c r="AP712"/>
      <c r="AQ712"/>
      <c r="AT712"/>
      <c r="AU712"/>
      <c r="AV712"/>
      <c r="AY712" s="35">
        <v>5242.8863680490458</v>
      </c>
      <c r="AZ712" s="46">
        <v>-4298.6328551413781</v>
      </c>
      <c r="BA712" s="47">
        <v>-1200.5005194423472</v>
      </c>
    </row>
    <row r="713" spans="42:53" x14ac:dyDescent="0.5">
      <c r="AP713"/>
      <c r="AQ713"/>
      <c r="AT713"/>
      <c r="AU713"/>
      <c r="AV713"/>
      <c r="AY713" s="35">
        <v>6975.3925237582089</v>
      </c>
      <c r="AZ713" s="46">
        <v>2447.0637761201556</v>
      </c>
      <c r="BA713" s="47">
        <v>4919.7460964533484</v>
      </c>
    </row>
    <row r="714" spans="42:53" x14ac:dyDescent="0.5">
      <c r="AP714"/>
      <c r="AQ714"/>
      <c r="AT714"/>
      <c r="AU714"/>
      <c r="AV714"/>
      <c r="AY714" s="35">
        <v>-840.9653480948964</v>
      </c>
      <c r="AZ714" s="46">
        <v>-480.17640191071683</v>
      </c>
      <c r="BA714" s="47">
        <v>1901.0161591095966</v>
      </c>
    </row>
    <row r="715" spans="42:53" x14ac:dyDescent="0.5">
      <c r="AP715"/>
      <c r="AQ715"/>
      <c r="AT715"/>
      <c r="AU715"/>
      <c r="AV715"/>
      <c r="AY715" s="35">
        <v>3845.6161047745582</v>
      </c>
      <c r="AZ715" s="46">
        <v>-2931.867460270505</v>
      </c>
      <c r="BA715" s="47">
        <v>-1083.4445936049867</v>
      </c>
    </row>
    <row r="716" spans="42:53" x14ac:dyDescent="0.5">
      <c r="AP716"/>
      <c r="AQ716"/>
      <c r="AT716"/>
      <c r="AU716"/>
      <c r="AV716"/>
      <c r="AY716" s="35">
        <v>1605.2086164736165</v>
      </c>
      <c r="AZ716" s="46">
        <v>-3976.5470013816844</v>
      </c>
      <c r="BA716" s="47">
        <v>18.468426773035404</v>
      </c>
    </row>
    <row r="717" spans="42:53" x14ac:dyDescent="0.5">
      <c r="AP717"/>
      <c r="AQ717"/>
      <c r="AT717"/>
      <c r="AU717"/>
      <c r="AV717"/>
      <c r="AY717" s="35">
        <v>2127.5364166519744</v>
      </c>
      <c r="AZ717" s="46">
        <v>-1359.4166503612125</v>
      </c>
      <c r="BA717" s="47">
        <v>13011.178060178599</v>
      </c>
    </row>
    <row r="718" spans="42:53" x14ac:dyDescent="0.5">
      <c r="AP718"/>
      <c r="AQ718"/>
      <c r="AT718"/>
      <c r="AU718"/>
      <c r="AV718"/>
      <c r="AY718" s="35">
        <v>3147.6715034120275</v>
      </c>
      <c r="AZ718" s="46">
        <v>-2440.8466762106168</v>
      </c>
      <c r="BA718" s="47">
        <v>6699.3229757083564</v>
      </c>
    </row>
    <row r="719" spans="42:53" x14ac:dyDescent="0.5">
      <c r="AP719"/>
      <c r="AQ719"/>
      <c r="AT719"/>
      <c r="AU719"/>
      <c r="AV719"/>
      <c r="AY719" s="35">
        <v>2959.8439183632136</v>
      </c>
      <c r="AZ719" s="46">
        <v>-1748.4601297305805</v>
      </c>
      <c r="BA719" s="47">
        <v>516.93527117869519</v>
      </c>
    </row>
    <row r="720" spans="42:53" x14ac:dyDescent="0.5">
      <c r="AP720"/>
      <c r="AQ720"/>
      <c r="AT720"/>
      <c r="AU720"/>
      <c r="AV720"/>
      <c r="AY720" s="35">
        <v>768.75771009107439</v>
      </c>
      <c r="AZ720" s="46">
        <v>65.807882477086409</v>
      </c>
      <c r="BA720" s="47">
        <v>4635.0099242381839</v>
      </c>
    </row>
    <row r="721" spans="42:53" x14ac:dyDescent="0.5">
      <c r="AP721"/>
      <c r="AQ721"/>
      <c r="AT721"/>
      <c r="AU721"/>
      <c r="AV721"/>
      <c r="AY721" s="35">
        <v>2731.2098969794779</v>
      </c>
      <c r="AZ721" s="46">
        <v>-540.02689124529047</v>
      </c>
      <c r="BA721" s="47">
        <v>5786.3005893921736</v>
      </c>
    </row>
    <row r="722" spans="42:53" x14ac:dyDescent="0.5">
      <c r="AP722"/>
      <c r="AQ722"/>
      <c r="AT722"/>
      <c r="AU722"/>
      <c r="AV722"/>
      <c r="AY722" s="35">
        <v>-1232.8437396001132</v>
      </c>
      <c r="AZ722" s="46">
        <v>3712.6913524731513</v>
      </c>
      <c r="BA722" s="47">
        <v>469.9785593060322</v>
      </c>
    </row>
    <row r="723" spans="42:53" x14ac:dyDescent="0.5">
      <c r="AP723"/>
      <c r="AQ723"/>
      <c r="AT723"/>
      <c r="AU723"/>
      <c r="AV723"/>
      <c r="AY723" s="35">
        <v>7296.3194790262596</v>
      </c>
      <c r="AZ723" s="46">
        <v>872.83807275177958</v>
      </c>
      <c r="BA723" s="47">
        <v>984.81265037360686</v>
      </c>
    </row>
    <row r="724" spans="42:53" x14ac:dyDescent="0.5">
      <c r="AP724"/>
      <c r="AQ724"/>
      <c r="AT724"/>
      <c r="AU724"/>
      <c r="AV724"/>
      <c r="AY724" s="35">
        <v>952.6118652353457</v>
      </c>
      <c r="AZ724" s="46">
        <v>11745.609875369086</v>
      </c>
      <c r="BA724" s="47">
        <v>204.32046273113099</v>
      </c>
    </row>
    <row r="725" spans="42:53" x14ac:dyDescent="0.5">
      <c r="AP725"/>
      <c r="AQ725"/>
      <c r="AT725"/>
      <c r="AU725"/>
      <c r="AV725"/>
      <c r="AY725" s="35">
        <v>7719.4056343091179</v>
      </c>
      <c r="AZ725" s="46">
        <v>-234.22303834740183</v>
      </c>
      <c r="BA725" s="47">
        <v>-984.28058114514647</v>
      </c>
    </row>
    <row r="726" spans="42:53" x14ac:dyDescent="0.5">
      <c r="AP726"/>
      <c r="AQ726"/>
      <c r="AT726"/>
      <c r="AU726"/>
      <c r="AV726"/>
      <c r="AY726" s="35">
        <v>3539.756207193233</v>
      </c>
      <c r="AZ726" s="46">
        <v>312.92453230334451</v>
      </c>
      <c r="BA726" s="47">
        <v>3640.2695836926518</v>
      </c>
    </row>
    <row r="727" spans="42:53" x14ac:dyDescent="0.5">
      <c r="AP727"/>
      <c r="AQ727"/>
      <c r="AT727"/>
      <c r="AU727"/>
      <c r="AV727"/>
      <c r="AY727" s="35">
        <v>4442.6473731515989</v>
      </c>
      <c r="AZ727" s="46">
        <v>-1546.1260693587242</v>
      </c>
      <c r="BA727" s="47">
        <v>2721.01395845262</v>
      </c>
    </row>
    <row r="728" spans="42:53" x14ac:dyDescent="0.5">
      <c r="AP728"/>
      <c r="AQ728"/>
      <c r="AT728"/>
      <c r="AU728"/>
      <c r="AV728"/>
      <c r="AY728" s="35">
        <v>4638.864939049583</v>
      </c>
      <c r="AZ728" s="46">
        <v>-1692.3801291587808</v>
      </c>
      <c r="BA728" s="47">
        <v>11653.923611024989</v>
      </c>
    </row>
    <row r="729" spans="42:53" x14ac:dyDescent="0.5">
      <c r="AP729"/>
      <c r="AQ729"/>
      <c r="AT729"/>
      <c r="AU729"/>
      <c r="AV729"/>
      <c r="AY729" s="35">
        <v>7522.1706726592656</v>
      </c>
      <c r="AZ729" s="46">
        <v>3040.0615983273078</v>
      </c>
      <c r="BA729" s="47">
        <v>2278.6566421765488</v>
      </c>
    </row>
    <row r="730" spans="42:53" x14ac:dyDescent="0.5">
      <c r="AP730"/>
      <c r="AQ730"/>
      <c r="AT730"/>
      <c r="AU730"/>
      <c r="AV730"/>
      <c r="AY730" s="35">
        <v>6219.5081459593512</v>
      </c>
      <c r="AZ730" s="46">
        <v>-2141.0295514138688</v>
      </c>
      <c r="BA730" s="47">
        <v>6993.9064418553608</v>
      </c>
    </row>
    <row r="731" spans="42:53" x14ac:dyDescent="0.5">
      <c r="AP731"/>
      <c r="AQ731"/>
      <c r="AT731"/>
      <c r="AU731"/>
      <c r="AV731"/>
      <c r="AY731" s="35">
        <v>4865.1713842633371</v>
      </c>
      <c r="AZ731" s="46">
        <v>-578.22786323171943</v>
      </c>
      <c r="BA731" s="47">
        <v>12426.741905367928</v>
      </c>
    </row>
    <row r="732" spans="42:53" x14ac:dyDescent="0.5">
      <c r="AP732"/>
      <c r="AQ732"/>
      <c r="AT732"/>
      <c r="AU732"/>
      <c r="AV732"/>
      <c r="AY732" s="35">
        <v>3128.354087030837</v>
      </c>
      <c r="AZ732" s="46">
        <v>-5.9680942008539475</v>
      </c>
      <c r="BA732" s="47">
        <v>4107.9144693519174</v>
      </c>
    </row>
    <row r="733" spans="42:53" x14ac:dyDescent="0.5">
      <c r="AP733"/>
      <c r="AQ733"/>
      <c r="AT733"/>
      <c r="AU733"/>
      <c r="AV733"/>
      <c r="AY733" s="35">
        <v>5262.5757616409064</v>
      </c>
      <c r="AZ733" s="46">
        <v>5384.3705547782038</v>
      </c>
      <c r="BA733" s="47">
        <v>846.39938083927473</v>
      </c>
    </row>
    <row r="734" spans="42:53" x14ac:dyDescent="0.5">
      <c r="AP734"/>
      <c r="AQ734"/>
      <c r="AT734"/>
      <c r="AU734"/>
      <c r="AV734"/>
      <c r="AY734" s="35">
        <v>-1359.5650690704456</v>
      </c>
      <c r="AZ734" s="46">
        <v>88.506549720801914</v>
      </c>
      <c r="BA734" s="47">
        <v>2852.9737407492812</v>
      </c>
    </row>
    <row r="735" spans="42:53" x14ac:dyDescent="0.5">
      <c r="AP735"/>
      <c r="AQ735"/>
      <c r="AT735"/>
      <c r="AU735"/>
      <c r="AV735"/>
      <c r="AY735" s="35">
        <v>-989.78317524868396</v>
      </c>
      <c r="AZ735" s="46">
        <v>-4176.1145435704875</v>
      </c>
      <c r="BA735" s="47">
        <v>2434.1133556612176</v>
      </c>
    </row>
    <row r="736" spans="42:53" x14ac:dyDescent="0.5">
      <c r="AP736"/>
      <c r="AQ736"/>
      <c r="AT736"/>
      <c r="AU736"/>
      <c r="AV736"/>
      <c r="AY736" s="35">
        <v>2522.0671735755682</v>
      </c>
      <c r="AZ736" s="46">
        <v>656.33493472891746</v>
      </c>
      <c r="BA736" s="47">
        <v>10699.713020065054</v>
      </c>
    </row>
    <row r="737" spans="42:53" x14ac:dyDescent="0.5">
      <c r="AP737"/>
      <c r="AQ737"/>
      <c r="AT737"/>
      <c r="AU737"/>
      <c r="AV737"/>
      <c r="AY737" s="35">
        <v>6152.5996818491985</v>
      </c>
      <c r="AZ737" s="46">
        <v>6126.4835806953033</v>
      </c>
      <c r="BA737" s="47">
        <v>5144.4235333915221</v>
      </c>
    </row>
    <row r="738" spans="42:53" x14ac:dyDescent="0.5">
      <c r="AP738"/>
      <c r="AQ738"/>
      <c r="AT738"/>
      <c r="AU738"/>
      <c r="AV738"/>
      <c r="AY738" s="35">
        <v>5269.8100083470026</v>
      </c>
      <c r="AZ738" s="46">
        <v>-3644.0867954677547</v>
      </c>
      <c r="BA738" s="47">
        <v>1834.096939878335</v>
      </c>
    </row>
    <row r="739" spans="42:53" x14ac:dyDescent="0.5">
      <c r="AP739"/>
      <c r="AQ739"/>
      <c r="AT739"/>
      <c r="AU739"/>
      <c r="AV739"/>
      <c r="AY739" s="35">
        <v>-2090.3120019140742</v>
      </c>
      <c r="AZ739" s="46">
        <v>-4504.9717025687478</v>
      </c>
      <c r="BA739" s="47">
        <v>1278.0565705271101</v>
      </c>
    </row>
    <row r="740" spans="42:53" x14ac:dyDescent="0.5">
      <c r="AP740"/>
      <c r="AQ740"/>
      <c r="AT740"/>
      <c r="AU740"/>
      <c r="AV740"/>
      <c r="AY740" s="35">
        <v>-478.76621115060078</v>
      </c>
      <c r="AZ740" s="46">
        <v>-653.68779714563448</v>
      </c>
      <c r="BA740" s="47">
        <v>10803.584997393156</v>
      </c>
    </row>
    <row r="741" spans="42:53" x14ac:dyDescent="0.5">
      <c r="AP741"/>
      <c r="AQ741"/>
      <c r="AT741"/>
      <c r="AU741"/>
      <c r="AV741"/>
      <c r="AY741" s="35">
        <v>7291.2824564749835</v>
      </c>
      <c r="AZ741" s="46">
        <v>-3967.9227239722741</v>
      </c>
      <c r="BA741" s="47">
        <v>599.19623299097759</v>
      </c>
    </row>
    <row r="742" spans="42:53" x14ac:dyDescent="0.5">
      <c r="AP742"/>
      <c r="AQ742"/>
      <c r="AT742"/>
      <c r="AU742"/>
      <c r="AV742"/>
      <c r="AY742" s="35">
        <v>4615.0826067517592</v>
      </c>
      <c r="AZ742" s="46">
        <v>-1814.7241322587527</v>
      </c>
      <c r="BA742" s="47">
        <v>170.35100820858185</v>
      </c>
    </row>
    <row r="743" spans="42:53" x14ac:dyDescent="0.5">
      <c r="AP743"/>
      <c r="AQ743"/>
      <c r="AT743"/>
      <c r="AU743"/>
      <c r="AV743"/>
      <c r="AY743" s="35">
        <v>940.14265883071789</v>
      </c>
      <c r="AZ743" s="46">
        <v>463.70782620031395</v>
      </c>
      <c r="BA743" s="47">
        <v>153.9833508234654</v>
      </c>
    </row>
    <row r="744" spans="42:53" x14ac:dyDescent="0.5">
      <c r="AP744"/>
      <c r="AQ744"/>
      <c r="AT744"/>
      <c r="AU744"/>
      <c r="AV744"/>
      <c r="AY744" s="35">
        <v>427.56897257967631</v>
      </c>
      <c r="AZ744" s="46">
        <v>-374.26088854006468</v>
      </c>
      <c r="BA744" s="47">
        <v>1663.1517346484591</v>
      </c>
    </row>
    <row r="745" spans="42:53" x14ac:dyDescent="0.5">
      <c r="AP745"/>
      <c r="AQ745"/>
      <c r="AT745"/>
      <c r="AU745"/>
      <c r="AV745"/>
      <c r="AY745" s="35">
        <v>1386.1848525356588</v>
      </c>
      <c r="AZ745" s="46">
        <v>-1617.5956018159964</v>
      </c>
      <c r="BA745" s="47">
        <v>6241.2911350160384</v>
      </c>
    </row>
    <row r="746" spans="42:53" x14ac:dyDescent="0.5">
      <c r="AP746"/>
      <c r="AQ746"/>
      <c r="AT746"/>
      <c r="AU746"/>
      <c r="AV746"/>
      <c r="AY746" s="35">
        <v>4306.4330084514113</v>
      </c>
      <c r="AZ746" s="46">
        <v>-3993.054994683881</v>
      </c>
      <c r="BA746" s="47">
        <v>563.93653604917699</v>
      </c>
    </row>
    <row r="747" spans="42:53" x14ac:dyDescent="0.5">
      <c r="AP747"/>
      <c r="AQ747"/>
      <c r="AT747"/>
      <c r="AU747"/>
      <c r="AV747"/>
      <c r="AY747" s="35">
        <v>7152.7913958269428</v>
      </c>
      <c r="AZ747" s="46">
        <v>8038.0157200900894</v>
      </c>
      <c r="BA747" s="47">
        <v>7078.0039248097455</v>
      </c>
    </row>
    <row r="748" spans="42:53" x14ac:dyDescent="0.5">
      <c r="AP748"/>
      <c r="AQ748"/>
      <c r="AT748"/>
      <c r="AU748"/>
      <c r="AV748"/>
      <c r="AY748" s="35">
        <v>-619.49492766198784</v>
      </c>
      <c r="AZ748" s="46">
        <v>1906.7963351034359</v>
      </c>
      <c r="BA748" s="47">
        <v>329.27025389566319</v>
      </c>
    </row>
    <row r="749" spans="42:53" x14ac:dyDescent="0.5">
      <c r="AP749"/>
      <c r="AQ749"/>
      <c r="AT749"/>
      <c r="AU749"/>
      <c r="AV749"/>
      <c r="AY749" s="35">
        <v>1380.2852239953511</v>
      </c>
      <c r="AZ749" s="46">
        <v>4408.383368018548</v>
      </c>
      <c r="BA749" s="47">
        <v>12729.095595035262</v>
      </c>
    </row>
    <row r="750" spans="42:53" x14ac:dyDescent="0.5">
      <c r="AP750"/>
      <c r="AQ750"/>
      <c r="AT750"/>
      <c r="AU750"/>
      <c r="AV750"/>
      <c r="AY750" s="35">
        <v>4211.0737570005604</v>
      </c>
      <c r="AZ750" s="46">
        <v>-101.39257119959004</v>
      </c>
      <c r="BA750" s="47">
        <v>8408.1741165059811</v>
      </c>
    </row>
    <row r="751" spans="42:53" x14ac:dyDescent="0.5">
      <c r="AP751"/>
      <c r="AQ751"/>
      <c r="AT751"/>
      <c r="AU751"/>
      <c r="AV751"/>
      <c r="AY751" s="35">
        <v>6237.2477585690576</v>
      </c>
      <c r="AZ751" s="46">
        <v>-3638.8227818683604</v>
      </c>
      <c r="BA751" s="47">
        <v>2293.6921971940769</v>
      </c>
    </row>
    <row r="752" spans="42:53" x14ac:dyDescent="0.5">
      <c r="AP752"/>
      <c r="AQ752"/>
      <c r="AT752"/>
      <c r="AU752"/>
      <c r="AV752"/>
      <c r="AY752" s="35">
        <v>3748.776887074564</v>
      </c>
      <c r="AZ752" s="46">
        <v>-705.29415247082738</v>
      </c>
      <c r="BA752" s="47">
        <v>9114.9265370458234</v>
      </c>
    </row>
    <row r="753" spans="42:53" x14ac:dyDescent="0.5">
      <c r="AP753"/>
      <c r="AQ753"/>
      <c r="AT753"/>
      <c r="AU753"/>
      <c r="AV753"/>
      <c r="AY753" s="35">
        <v>2521.9269502110938</v>
      </c>
      <c r="AZ753" s="46">
        <v>3946.3392525287004</v>
      </c>
      <c r="BA753" s="47">
        <v>1252.5042801068653</v>
      </c>
    </row>
    <row r="754" spans="42:53" x14ac:dyDescent="0.5">
      <c r="AP754"/>
      <c r="AQ754"/>
      <c r="AT754"/>
      <c r="AU754"/>
      <c r="AV754"/>
      <c r="AY754" s="35">
        <v>3695.6300978764211</v>
      </c>
      <c r="AZ754" s="46">
        <v>-1345.9130388700792</v>
      </c>
      <c r="BA754" s="47">
        <v>1927.3849022362426</v>
      </c>
    </row>
    <row r="755" spans="42:53" x14ac:dyDescent="0.5">
      <c r="AP755"/>
      <c r="AQ755"/>
      <c r="AT755"/>
      <c r="AU755"/>
      <c r="AV755"/>
      <c r="AY755" s="35">
        <v>714.25165241080799</v>
      </c>
      <c r="AZ755" s="46">
        <v>-1252.8916661967826</v>
      </c>
      <c r="BA755" s="47">
        <v>2980.7800694369507</v>
      </c>
    </row>
    <row r="756" spans="42:53" x14ac:dyDescent="0.5">
      <c r="AP756"/>
      <c r="AQ756"/>
      <c r="AT756"/>
      <c r="AU756"/>
      <c r="AV756"/>
      <c r="AY756" s="35">
        <v>1743.8661688881025</v>
      </c>
      <c r="AZ756" s="46">
        <v>-654.22747145057247</v>
      </c>
      <c r="BA756" s="47">
        <v>-71.866711808530908</v>
      </c>
    </row>
    <row r="757" spans="42:53" x14ac:dyDescent="0.5">
      <c r="AP757"/>
      <c r="AQ757"/>
      <c r="AT757"/>
      <c r="AU757"/>
      <c r="AV757"/>
      <c r="AY757" s="35">
        <v>6970.6909823462129</v>
      </c>
      <c r="AZ757" s="46">
        <v>-2107.3908010195682</v>
      </c>
      <c r="BA757" s="47">
        <v>3255.4052612863925</v>
      </c>
    </row>
    <row r="758" spans="42:53" x14ac:dyDescent="0.5">
      <c r="AP758"/>
      <c r="AQ758"/>
      <c r="AT758"/>
      <c r="AU758"/>
      <c r="AV758"/>
      <c r="AY758" s="35">
        <v>5507.6719217270156</v>
      </c>
      <c r="AZ758" s="46">
        <v>-2222.1043424991194</v>
      </c>
      <c r="BA758" s="47">
        <v>1740.1394761158435</v>
      </c>
    </row>
    <row r="759" spans="42:53" x14ac:dyDescent="0.5">
      <c r="AP759"/>
      <c r="AQ759"/>
      <c r="AT759"/>
      <c r="AU759"/>
      <c r="AV759"/>
      <c r="AY759" s="35">
        <v>851.5464591528978</v>
      </c>
      <c r="AZ759" s="46">
        <v>-348.04837789692698</v>
      </c>
      <c r="BA759" s="47">
        <v>5999.0521827181201</v>
      </c>
    </row>
    <row r="760" spans="42:53" x14ac:dyDescent="0.5">
      <c r="AP760"/>
      <c r="AQ760"/>
      <c r="AT760"/>
      <c r="AU760"/>
      <c r="AV760"/>
      <c r="AY760" s="35">
        <v>4911.2705642204455</v>
      </c>
      <c r="AZ760" s="46">
        <v>-1637.8588614719663</v>
      </c>
      <c r="BA760" s="47">
        <v>1928.2398288258034</v>
      </c>
    </row>
    <row r="761" spans="42:53" x14ac:dyDescent="0.5">
      <c r="AP761"/>
      <c r="AQ761"/>
      <c r="AT761"/>
      <c r="AU761"/>
      <c r="AV761"/>
      <c r="AY761" s="35">
        <v>-496.93753471257406</v>
      </c>
      <c r="AZ761" s="46">
        <v>-1615.304982199347</v>
      </c>
      <c r="BA761" s="47">
        <v>724.33180711229556</v>
      </c>
    </row>
    <row r="762" spans="42:53" x14ac:dyDescent="0.5">
      <c r="AP762"/>
      <c r="AQ762"/>
      <c r="AT762"/>
      <c r="AU762"/>
      <c r="AV762"/>
      <c r="AY762" s="35">
        <v>1448.9323618848489</v>
      </c>
      <c r="AZ762" s="46">
        <v>-2797.0586335685061</v>
      </c>
      <c r="BA762" s="47">
        <v>3674.4675755220796</v>
      </c>
    </row>
    <row r="763" spans="42:53" x14ac:dyDescent="0.5">
      <c r="AP763"/>
      <c r="AQ763"/>
      <c r="AT763"/>
      <c r="AU763"/>
      <c r="AV763"/>
      <c r="AY763" s="35">
        <v>2349.7827724202989</v>
      </c>
      <c r="AZ763" s="46">
        <v>41.240101298669813</v>
      </c>
      <c r="BA763" s="47">
        <v>6893.0353714208859</v>
      </c>
    </row>
    <row r="764" spans="42:53" x14ac:dyDescent="0.5">
      <c r="AP764"/>
      <c r="AQ764"/>
      <c r="AT764"/>
      <c r="AU764"/>
      <c r="AV764"/>
      <c r="AY764" s="35">
        <v>694.46131737816995</v>
      </c>
      <c r="AZ764" s="46">
        <v>-927.54106796970052</v>
      </c>
      <c r="BA764" s="47">
        <v>-263.43470689604857</v>
      </c>
    </row>
    <row r="765" spans="42:53" x14ac:dyDescent="0.5">
      <c r="AP765"/>
      <c r="AQ765"/>
      <c r="AT765"/>
      <c r="AU765"/>
      <c r="AV765"/>
      <c r="AY765" s="35">
        <v>3175.3640748835969</v>
      </c>
      <c r="AZ765" s="46">
        <v>623.05247486659675</v>
      </c>
      <c r="BA765" s="47">
        <v>6618.439760365618</v>
      </c>
    </row>
    <row r="766" spans="42:53" x14ac:dyDescent="0.5">
      <c r="AP766"/>
      <c r="AQ766"/>
      <c r="AT766"/>
      <c r="AU766"/>
      <c r="AV766"/>
      <c r="AY766" s="35">
        <v>7484.2546642434936</v>
      </c>
      <c r="AZ766" s="46">
        <v>21308.189605834334</v>
      </c>
      <c r="BA766" s="47">
        <v>2127.9522575332098</v>
      </c>
    </row>
    <row r="767" spans="42:53" x14ac:dyDescent="0.5">
      <c r="AP767"/>
      <c r="AQ767"/>
      <c r="AT767"/>
      <c r="AU767"/>
      <c r="AV767"/>
      <c r="AY767" s="35">
        <v>5569.9192958530812</v>
      </c>
      <c r="AZ767" s="46">
        <v>-291.57795892144827</v>
      </c>
      <c r="BA767" s="47">
        <v>8543.7518143913985</v>
      </c>
    </row>
    <row r="768" spans="42:53" x14ac:dyDescent="0.5">
      <c r="AP768"/>
      <c r="AQ768"/>
      <c r="AT768"/>
      <c r="AU768"/>
      <c r="AV768"/>
      <c r="AY768" s="35">
        <v>4048.3215966271387</v>
      </c>
      <c r="AZ768" s="46">
        <v>3194.8828713202779</v>
      </c>
      <c r="BA768" s="47">
        <v>8500.399436105914</v>
      </c>
    </row>
    <row r="769" spans="42:53" x14ac:dyDescent="0.5">
      <c r="AP769"/>
      <c r="AQ769"/>
      <c r="AT769"/>
      <c r="AU769"/>
      <c r="AV769"/>
      <c r="AY769" s="35">
        <v>4101.1195080632597</v>
      </c>
      <c r="AZ769" s="46">
        <v>-1646.4908002656719</v>
      </c>
      <c r="BA769" s="47">
        <v>793.98659525051096</v>
      </c>
    </row>
    <row r="770" spans="42:53" x14ac:dyDescent="0.5">
      <c r="AP770"/>
      <c r="AQ770"/>
      <c r="AT770"/>
      <c r="AU770"/>
      <c r="AV770"/>
      <c r="AY770" s="35">
        <v>1326.2558442609836</v>
      </c>
      <c r="AZ770" s="46">
        <v>5796.9648329354541</v>
      </c>
      <c r="BA770" s="47">
        <v>3109.9579225942157</v>
      </c>
    </row>
    <row r="771" spans="42:53" x14ac:dyDescent="0.5">
      <c r="AP771"/>
      <c r="AQ771"/>
      <c r="AT771"/>
      <c r="AU771"/>
      <c r="AV771"/>
      <c r="AY771" s="35">
        <v>3552.9211442969763</v>
      </c>
      <c r="AZ771" s="46">
        <v>1276.2602767849298</v>
      </c>
      <c r="BA771" s="47">
        <v>2378.5295237152404</v>
      </c>
    </row>
    <row r="772" spans="42:53" x14ac:dyDescent="0.5">
      <c r="AP772"/>
      <c r="AQ772"/>
      <c r="AT772"/>
      <c r="AU772"/>
      <c r="AV772"/>
      <c r="AY772" s="35">
        <v>1742.1926465797219</v>
      </c>
      <c r="AZ772" s="46">
        <v>-178.8036018870306</v>
      </c>
      <c r="BA772" s="47">
        <v>6148.2820232190124</v>
      </c>
    </row>
    <row r="773" spans="42:53" x14ac:dyDescent="0.5">
      <c r="AP773"/>
      <c r="AQ773"/>
      <c r="AT773"/>
      <c r="AU773"/>
      <c r="AV773"/>
      <c r="AY773" s="35">
        <v>629.92328586525832</v>
      </c>
      <c r="AZ773" s="46">
        <v>-1852.7850801573554</v>
      </c>
      <c r="BA773" s="47">
        <v>546.48833867187329</v>
      </c>
    </row>
    <row r="774" spans="42:53" x14ac:dyDescent="0.5">
      <c r="AP774"/>
      <c r="AQ774"/>
      <c r="AT774"/>
      <c r="AU774"/>
      <c r="AV774"/>
      <c r="AY774" s="35">
        <v>7284.9317769250392</v>
      </c>
      <c r="AZ774" s="46">
        <v>2716.2373813389067</v>
      </c>
      <c r="BA774" s="47">
        <v>2288.6673148597752</v>
      </c>
    </row>
    <row r="775" spans="42:53" x14ac:dyDescent="0.5">
      <c r="AP775"/>
      <c r="AQ775"/>
      <c r="AT775"/>
      <c r="AU775"/>
      <c r="AV775"/>
      <c r="AY775" s="35">
        <v>4916.1159994094533</v>
      </c>
      <c r="AZ775" s="46">
        <v>-2181.8664624181338</v>
      </c>
      <c r="BA775" s="47">
        <v>7511.1119149701262</v>
      </c>
    </row>
    <row r="776" spans="42:53" x14ac:dyDescent="0.5">
      <c r="AP776"/>
      <c r="AQ776"/>
      <c r="AT776"/>
      <c r="AU776"/>
      <c r="AV776"/>
      <c r="AY776" s="35">
        <v>-623.69812932248885</v>
      </c>
      <c r="AZ776" s="46">
        <v>-298.08899540996089</v>
      </c>
      <c r="BA776" s="47">
        <v>939.1404145535214</v>
      </c>
    </row>
    <row r="777" spans="42:53" x14ac:dyDescent="0.5">
      <c r="AP777"/>
      <c r="AQ777"/>
      <c r="AT777"/>
      <c r="AU777"/>
      <c r="AV777"/>
      <c r="AY777" s="35">
        <v>5803.7921164792515</v>
      </c>
      <c r="AZ777" s="46">
        <v>-3113.677720323542</v>
      </c>
      <c r="BA777" s="47">
        <v>5913.8805430166585</v>
      </c>
    </row>
    <row r="778" spans="42:53" x14ac:dyDescent="0.5">
      <c r="AP778"/>
      <c r="AQ778"/>
      <c r="AT778"/>
      <c r="AU778"/>
      <c r="AV778"/>
      <c r="AY778" s="35">
        <v>81.535688917938032</v>
      </c>
      <c r="AZ778" s="46">
        <v>753.5129161863224</v>
      </c>
      <c r="BA778" s="47">
        <v>-222.20354650070726</v>
      </c>
    </row>
    <row r="779" spans="42:53" x14ac:dyDescent="0.5">
      <c r="AP779"/>
      <c r="AQ779"/>
      <c r="AT779"/>
      <c r="AU779"/>
      <c r="AV779"/>
      <c r="AY779" s="35">
        <v>4287.9747528488124</v>
      </c>
      <c r="AZ779" s="46">
        <v>-2056.5526884814035</v>
      </c>
      <c r="BA779" s="47">
        <v>3605.6788274629903</v>
      </c>
    </row>
    <row r="780" spans="42:53" x14ac:dyDescent="0.5">
      <c r="AP780"/>
      <c r="AQ780"/>
      <c r="AT780"/>
      <c r="AU780"/>
      <c r="AV780"/>
      <c r="AY780" s="35">
        <v>-147.44797406993439</v>
      </c>
      <c r="AZ780" s="46">
        <v>604.51450301084799</v>
      </c>
      <c r="BA780" s="47">
        <v>7823.4325657637564</v>
      </c>
    </row>
    <row r="781" spans="42:53" x14ac:dyDescent="0.5">
      <c r="AP781"/>
      <c r="AQ781"/>
      <c r="AT781"/>
      <c r="AU781"/>
      <c r="AV781"/>
      <c r="AY781" s="35">
        <v>4719.7641903593749</v>
      </c>
      <c r="AZ781" s="46">
        <v>-1231.7194091752767</v>
      </c>
      <c r="BA781" s="47">
        <v>-708.51381547455185</v>
      </c>
    </row>
    <row r="782" spans="42:53" x14ac:dyDescent="0.5">
      <c r="AP782"/>
      <c r="AQ782"/>
      <c r="AT782"/>
      <c r="AU782"/>
      <c r="AV782"/>
      <c r="AY782" s="35">
        <v>5419.7551318764281</v>
      </c>
      <c r="AZ782" s="46">
        <v>24.424281639961336</v>
      </c>
      <c r="BA782" s="47">
        <v>8796.1876797087552</v>
      </c>
    </row>
    <row r="783" spans="42:53" x14ac:dyDescent="0.5">
      <c r="AP783"/>
      <c r="AQ783"/>
      <c r="AT783"/>
      <c r="AU783"/>
      <c r="AV783"/>
      <c r="AY783" s="35">
        <v>2800.4563385637648</v>
      </c>
      <c r="AZ783" s="46">
        <v>-3466.768657123017</v>
      </c>
      <c r="BA783" s="47">
        <v>3394.1892990006099</v>
      </c>
    </row>
    <row r="784" spans="42:53" x14ac:dyDescent="0.5">
      <c r="AP784"/>
      <c r="AQ784"/>
      <c r="AT784"/>
      <c r="AU784"/>
      <c r="AV784"/>
      <c r="AY784" s="35">
        <v>7306.7513160285798</v>
      </c>
      <c r="AZ784" s="46">
        <v>379.56875757957533</v>
      </c>
      <c r="BA784" s="47">
        <v>9086.4206379998686</v>
      </c>
    </row>
    <row r="785" spans="42:53" x14ac:dyDescent="0.5">
      <c r="AP785"/>
      <c r="AQ785"/>
      <c r="AT785"/>
      <c r="AU785"/>
      <c r="AV785"/>
      <c r="AY785" s="35">
        <v>-675.08012325131369</v>
      </c>
      <c r="AZ785" s="46">
        <v>6442.5790282778862</v>
      </c>
      <c r="BA785" s="47">
        <v>4894.9613747384819</v>
      </c>
    </row>
    <row r="786" spans="42:53" x14ac:dyDescent="0.5">
      <c r="AP786"/>
      <c r="AQ786"/>
      <c r="AT786"/>
      <c r="AU786"/>
      <c r="AV786"/>
      <c r="AY786" s="35">
        <v>1662.2722786421859</v>
      </c>
      <c r="AZ786" s="46">
        <v>-2849.869177980846</v>
      </c>
      <c r="BA786" s="47">
        <v>6377.9129895119177</v>
      </c>
    </row>
    <row r="787" spans="42:53" x14ac:dyDescent="0.5">
      <c r="AP787"/>
      <c r="AQ787"/>
      <c r="AT787"/>
      <c r="AU787"/>
      <c r="AV787"/>
      <c r="AY787" s="35">
        <v>-1956.0524774505891</v>
      </c>
      <c r="AZ787" s="46">
        <v>5174.2190461991167</v>
      </c>
      <c r="BA787" s="47">
        <v>-566.3732795124439</v>
      </c>
    </row>
    <row r="788" spans="42:53" x14ac:dyDescent="0.5">
      <c r="AP788"/>
      <c r="AQ788"/>
      <c r="AT788"/>
      <c r="AU788"/>
      <c r="AV788"/>
      <c r="AY788" s="35">
        <v>6372.5289245559798</v>
      </c>
      <c r="AZ788" s="46">
        <v>4439.4519325563479</v>
      </c>
      <c r="BA788" s="47">
        <v>-532.0099732607913</v>
      </c>
    </row>
    <row r="789" spans="42:53" x14ac:dyDescent="0.5">
      <c r="AP789"/>
      <c r="AQ789"/>
      <c r="AT789"/>
      <c r="AU789"/>
      <c r="AV789"/>
      <c r="AY789" s="35">
        <v>7458.1911408535561</v>
      </c>
      <c r="AZ789" s="46">
        <v>3334.5607194685736</v>
      </c>
      <c r="BA789" s="47">
        <v>-301.15625993444735</v>
      </c>
    </row>
    <row r="790" spans="42:53" x14ac:dyDescent="0.5">
      <c r="AP790"/>
      <c r="AQ790"/>
      <c r="AT790"/>
      <c r="AU790"/>
      <c r="AV790"/>
      <c r="AY790" s="35">
        <v>3049.751586725577</v>
      </c>
      <c r="AZ790" s="46">
        <v>2517.5476238687138</v>
      </c>
      <c r="BA790" s="47">
        <v>-277.21478917333604</v>
      </c>
    </row>
    <row r="791" spans="42:53" x14ac:dyDescent="0.5">
      <c r="AP791"/>
      <c r="AQ791"/>
      <c r="AT791"/>
      <c r="AU791"/>
      <c r="AV791"/>
      <c r="AY791" s="35">
        <v>6690.3424019002205</v>
      </c>
      <c r="AZ791" s="46">
        <v>-1486.4564670160937</v>
      </c>
      <c r="BA791" s="47">
        <v>860.70149226238243</v>
      </c>
    </row>
    <row r="792" spans="42:53" x14ac:dyDescent="0.5">
      <c r="AP792"/>
      <c r="AQ792"/>
      <c r="AT792"/>
      <c r="AU792"/>
      <c r="AV792"/>
      <c r="AY792" s="35">
        <v>347.15636250713561</v>
      </c>
      <c r="AZ792" s="46">
        <v>-56.774896644486226</v>
      </c>
      <c r="BA792" s="47">
        <v>5754.6851340552712</v>
      </c>
    </row>
    <row r="793" spans="42:53" x14ac:dyDescent="0.5">
      <c r="AP793"/>
      <c r="AQ793"/>
      <c r="AT793"/>
      <c r="AU793"/>
      <c r="AV793"/>
      <c r="AY793" s="35">
        <v>5360.0628572375826</v>
      </c>
      <c r="AZ793" s="46">
        <v>-3392.652208284374</v>
      </c>
      <c r="BA793" s="47">
        <v>4021.903836000753</v>
      </c>
    </row>
    <row r="794" spans="42:53" x14ac:dyDescent="0.5">
      <c r="AP794"/>
      <c r="AQ794"/>
      <c r="AT794"/>
      <c r="AU794"/>
      <c r="AV794"/>
      <c r="AY794" s="35">
        <v>-1081.1001359152781</v>
      </c>
      <c r="AZ794" s="46">
        <v>-2870.8251885817344</v>
      </c>
      <c r="BA794" s="47">
        <v>2916.4874055785017</v>
      </c>
    </row>
    <row r="795" spans="42:53" x14ac:dyDescent="0.5">
      <c r="AP795"/>
      <c r="AQ795"/>
      <c r="AT795"/>
      <c r="AU795"/>
      <c r="AV795"/>
      <c r="AY795" s="35">
        <v>1839.1715339470966</v>
      </c>
      <c r="AZ795" s="46">
        <v>64.698050591919824</v>
      </c>
      <c r="BA795" s="47">
        <v>-1333.7011406861286</v>
      </c>
    </row>
    <row r="796" spans="42:53" x14ac:dyDescent="0.5">
      <c r="AP796"/>
      <c r="AQ796"/>
      <c r="AT796"/>
      <c r="AU796"/>
      <c r="AV796"/>
      <c r="AY796" s="35">
        <v>3665.3511804695622</v>
      </c>
      <c r="AZ796" s="46">
        <v>137.14311060837741</v>
      </c>
      <c r="BA796" s="47">
        <v>18267.66348559891</v>
      </c>
    </row>
    <row r="797" spans="42:53" x14ac:dyDescent="0.5">
      <c r="AP797"/>
      <c r="AQ797"/>
      <c r="AT797"/>
      <c r="AU797"/>
      <c r="AV797"/>
      <c r="AY797" s="35">
        <v>2136.6312702667178</v>
      </c>
      <c r="AZ797" s="46">
        <v>-1424.0981549277142</v>
      </c>
      <c r="BA797" s="47">
        <v>3537.46279814437</v>
      </c>
    </row>
    <row r="798" spans="42:53" x14ac:dyDescent="0.5">
      <c r="AP798"/>
      <c r="AQ798"/>
      <c r="AT798"/>
      <c r="AU798"/>
      <c r="AV798"/>
      <c r="AY798" s="35">
        <v>-821.2054176908332</v>
      </c>
      <c r="AZ798" s="46">
        <v>-4577.9993110750011</v>
      </c>
      <c r="BA798" s="47">
        <v>1890.2610254405777</v>
      </c>
    </row>
    <row r="799" spans="42:53" x14ac:dyDescent="0.5">
      <c r="AP799"/>
      <c r="AQ799"/>
      <c r="AT799"/>
      <c r="AU799"/>
      <c r="AV799"/>
      <c r="AY799" s="35">
        <v>4343.5493115351628</v>
      </c>
      <c r="AZ799" s="46">
        <v>4145.2141707607761</v>
      </c>
      <c r="BA799" s="47">
        <v>1203.7465377358847</v>
      </c>
    </row>
    <row r="800" spans="42:53" x14ac:dyDescent="0.5">
      <c r="AP800"/>
      <c r="AQ800"/>
      <c r="AT800"/>
      <c r="AU800"/>
      <c r="AV800"/>
      <c r="AY800" s="35">
        <v>3278.5387045736998</v>
      </c>
      <c r="AZ800" s="46">
        <v>-1772.565172343915</v>
      </c>
      <c r="BA800" s="47">
        <v>1281.898239839747</v>
      </c>
    </row>
    <row r="801" spans="42:53" x14ac:dyDescent="0.5">
      <c r="AP801"/>
      <c r="AQ801"/>
      <c r="AT801"/>
      <c r="AU801"/>
      <c r="AV801"/>
      <c r="AY801" s="35">
        <v>5775.3529949294816</v>
      </c>
      <c r="AZ801" s="46">
        <v>-3508.7545598362412</v>
      </c>
      <c r="BA801" s="47">
        <v>2305.2624670314108</v>
      </c>
    </row>
    <row r="802" spans="42:53" x14ac:dyDescent="0.5">
      <c r="AP802"/>
      <c r="AQ802"/>
      <c r="AT802"/>
      <c r="AU802"/>
      <c r="AV802"/>
      <c r="AY802" s="35">
        <v>365.24010935327033</v>
      </c>
      <c r="AZ802" s="46">
        <v>2464.3399147131918</v>
      </c>
      <c r="BA802" s="47">
        <v>3340.8435177041197</v>
      </c>
    </row>
    <row r="803" spans="42:53" x14ac:dyDescent="0.5">
      <c r="AP803"/>
      <c r="AQ803"/>
      <c r="AT803"/>
      <c r="AU803"/>
      <c r="AV803"/>
      <c r="AY803" s="35">
        <v>-650.83861289464448</v>
      </c>
      <c r="AZ803" s="46">
        <v>-1585.3764177307587</v>
      </c>
      <c r="BA803" s="47">
        <v>-575.12419867611743</v>
      </c>
    </row>
    <row r="804" spans="42:53" x14ac:dyDescent="0.5">
      <c r="AP804"/>
      <c r="AQ804"/>
      <c r="AT804"/>
      <c r="AU804"/>
      <c r="AV804"/>
      <c r="AY804" s="35">
        <v>1224.7599075788655</v>
      </c>
      <c r="AZ804" s="46">
        <v>-1397.707603250986</v>
      </c>
      <c r="BA804" s="47">
        <v>4900.0826839084584</v>
      </c>
    </row>
    <row r="805" spans="42:53" x14ac:dyDescent="0.5">
      <c r="AP805"/>
      <c r="AQ805"/>
      <c r="AT805"/>
      <c r="AU805"/>
      <c r="AV805"/>
      <c r="AY805" s="35">
        <v>-2416.7183603494841</v>
      </c>
      <c r="AZ805" s="46">
        <v>-183.22876094124769</v>
      </c>
      <c r="BA805" s="47">
        <v>4049.8465472202793</v>
      </c>
    </row>
    <row r="806" spans="42:53" x14ac:dyDescent="0.5">
      <c r="AP806"/>
      <c r="AQ806"/>
      <c r="AT806"/>
      <c r="AU806"/>
      <c r="AV806"/>
      <c r="AY806" s="35">
        <v>1840.7764425193673</v>
      </c>
      <c r="AZ806" s="46">
        <v>5597.0146231222661</v>
      </c>
      <c r="BA806" s="47">
        <v>-1620.0160786514762</v>
      </c>
    </row>
    <row r="807" spans="42:53" x14ac:dyDescent="0.5">
      <c r="AP807"/>
      <c r="AQ807"/>
      <c r="AT807"/>
      <c r="AU807"/>
      <c r="AV807"/>
      <c r="AY807" s="35">
        <v>5210.4660041590814</v>
      </c>
      <c r="AZ807" s="46">
        <v>5791.3164581730252</v>
      </c>
      <c r="BA807" s="47">
        <v>6818.9867284649226</v>
      </c>
    </row>
    <row r="808" spans="42:53" x14ac:dyDescent="0.5">
      <c r="AP808"/>
      <c r="AQ808"/>
      <c r="AT808"/>
      <c r="AU808"/>
      <c r="AV808"/>
      <c r="AY808" s="35">
        <v>4927.8647410985723</v>
      </c>
      <c r="AZ808" s="46">
        <v>-3256.6469839008973</v>
      </c>
      <c r="BA808" s="47">
        <v>6963.0953406489798</v>
      </c>
    </row>
    <row r="809" spans="42:53" x14ac:dyDescent="0.5">
      <c r="AP809"/>
      <c r="AQ809"/>
      <c r="AT809"/>
      <c r="AU809"/>
      <c r="AV809"/>
      <c r="AY809" s="35">
        <v>-90.510638562445763</v>
      </c>
      <c r="AZ809" s="46">
        <v>-1204.3503582188287</v>
      </c>
      <c r="BA809" s="47">
        <v>-1716.8365575499529</v>
      </c>
    </row>
    <row r="810" spans="42:53" x14ac:dyDescent="0.5">
      <c r="AP810"/>
      <c r="AQ810"/>
      <c r="AT810"/>
      <c r="AU810"/>
      <c r="AV810"/>
      <c r="AY810" s="35">
        <v>1351.2597324921176</v>
      </c>
      <c r="AZ810" s="46">
        <v>6276.6399046789029</v>
      </c>
      <c r="BA810" s="47">
        <v>-823.24273558279197</v>
      </c>
    </row>
    <row r="811" spans="42:53" x14ac:dyDescent="0.5">
      <c r="AP811"/>
      <c r="AQ811"/>
      <c r="AT811"/>
      <c r="AU811"/>
      <c r="AV811"/>
      <c r="AY811" s="35">
        <v>4177.1768474547425</v>
      </c>
      <c r="AZ811" s="46">
        <v>-2320.0591017309812</v>
      </c>
      <c r="BA811" s="47">
        <v>4644.2846251730698</v>
      </c>
    </row>
    <row r="812" spans="42:53" x14ac:dyDescent="0.5">
      <c r="AP812"/>
      <c r="AQ812"/>
      <c r="AT812"/>
      <c r="AU812"/>
      <c r="AV812"/>
      <c r="AY812" s="35">
        <v>6233.8581577795048</v>
      </c>
      <c r="AZ812" s="46">
        <v>6798.1473876484079</v>
      </c>
      <c r="BA812" s="47">
        <v>1989.7778643833192</v>
      </c>
    </row>
    <row r="813" spans="42:53" x14ac:dyDescent="0.5">
      <c r="AP813"/>
      <c r="AQ813"/>
      <c r="AT813"/>
      <c r="AU813"/>
      <c r="AV813"/>
      <c r="AY813" s="35">
        <v>3635.4443662452991</v>
      </c>
      <c r="AZ813" s="46">
        <v>-3075.1466389185985</v>
      </c>
      <c r="BA813" s="47">
        <v>4203.3671054457345</v>
      </c>
    </row>
    <row r="814" spans="42:53" x14ac:dyDescent="0.5">
      <c r="AP814"/>
      <c r="AQ814"/>
      <c r="AT814"/>
      <c r="AU814"/>
      <c r="AV814"/>
      <c r="AY814" s="35">
        <v>5187.0266643890918</v>
      </c>
      <c r="AZ814" s="46">
        <v>665.52872116088724</v>
      </c>
      <c r="BA814" s="47">
        <v>3391.2911229740098</v>
      </c>
    </row>
    <row r="815" spans="42:53" x14ac:dyDescent="0.5">
      <c r="AP815"/>
      <c r="AQ815"/>
      <c r="AT815"/>
      <c r="AU815"/>
      <c r="AV815"/>
      <c r="AY815" s="35">
        <v>1213.0836198578652</v>
      </c>
      <c r="AZ815" s="46">
        <v>-1866.3163975042271</v>
      </c>
      <c r="BA815" s="47">
        <v>7360.540841594604</v>
      </c>
    </row>
    <row r="816" spans="42:53" x14ac:dyDescent="0.5">
      <c r="AP816"/>
      <c r="AQ816"/>
      <c r="AT816"/>
      <c r="AU816"/>
      <c r="AV816"/>
      <c r="AY816" s="35">
        <v>6697.7220128605268</v>
      </c>
      <c r="AZ816" s="46">
        <v>-3126.0796602392074</v>
      </c>
      <c r="BA816" s="47">
        <v>4436.725676833199</v>
      </c>
    </row>
    <row r="817" spans="42:53" x14ac:dyDescent="0.5">
      <c r="AP817"/>
      <c r="AQ817"/>
      <c r="AT817"/>
      <c r="AU817"/>
      <c r="AV817"/>
      <c r="AY817" s="35">
        <v>2930.7391509061431</v>
      </c>
      <c r="AZ817" s="46">
        <v>-2676.1694781400615</v>
      </c>
      <c r="BA817" s="47">
        <v>832.73228921910356</v>
      </c>
    </row>
    <row r="818" spans="42:53" x14ac:dyDescent="0.5">
      <c r="AP818"/>
      <c r="AQ818"/>
      <c r="AT818"/>
      <c r="AU818"/>
      <c r="AV818"/>
      <c r="AY818" s="35">
        <v>-103.58269871439796</v>
      </c>
      <c r="AZ818" s="46">
        <v>379.61932995397945</v>
      </c>
      <c r="BA818" s="47">
        <v>-613.05122823752981</v>
      </c>
    </row>
    <row r="819" spans="42:53" x14ac:dyDescent="0.5">
      <c r="AP819"/>
      <c r="AQ819"/>
      <c r="AT819"/>
      <c r="AU819"/>
      <c r="AV819"/>
      <c r="AY819" s="35">
        <v>6445.5258299211991</v>
      </c>
      <c r="AZ819" s="46">
        <v>-837.39692192013717</v>
      </c>
      <c r="BA819" s="47">
        <v>-1613.0136790236595</v>
      </c>
    </row>
    <row r="820" spans="42:53" x14ac:dyDescent="0.5">
      <c r="AP820"/>
      <c r="AQ820"/>
      <c r="AT820"/>
      <c r="AU820"/>
      <c r="AV820"/>
      <c r="AY820" s="35">
        <v>-1727.5229463962257</v>
      </c>
      <c r="AZ820" s="46">
        <v>2775.0686914242101</v>
      </c>
      <c r="BA820" s="47">
        <v>609.24170538808858</v>
      </c>
    </row>
    <row r="821" spans="42:53" x14ac:dyDescent="0.5">
      <c r="AP821"/>
      <c r="AQ821"/>
      <c r="AT821"/>
      <c r="AU821"/>
      <c r="AV821"/>
      <c r="AY821" s="35">
        <v>-1717.1064077982082</v>
      </c>
      <c r="AZ821" s="46">
        <v>-1344.7291698187676</v>
      </c>
      <c r="BA821" s="47">
        <v>2658.170092601697</v>
      </c>
    </row>
    <row r="822" spans="42:53" x14ac:dyDescent="0.5">
      <c r="AP822"/>
      <c r="AQ822"/>
      <c r="AT822"/>
      <c r="AU822"/>
      <c r="AV822"/>
      <c r="AY822" s="35">
        <v>-1978.8992769563347</v>
      </c>
      <c r="AZ822" s="46">
        <v>974.28729974203111</v>
      </c>
      <c r="BA822" s="47">
        <v>430.52692660124302</v>
      </c>
    </row>
    <row r="823" spans="42:53" x14ac:dyDescent="0.5">
      <c r="AP823"/>
      <c r="AQ823"/>
      <c r="AT823"/>
      <c r="AU823"/>
      <c r="AV823"/>
      <c r="AY823" s="35">
        <v>-188.51269506837076</v>
      </c>
      <c r="AZ823" s="46">
        <v>-1177.1109766480001</v>
      </c>
      <c r="BA823" s="47">
        <v>-68.870909403037871</v>
      </c>
    </row>
    <row r="824" spans="42:53" x14ac:dyDescent="0.5">
      <c r="AP824"/>
      <c r="AQ824"/>
      <c r="AT824"/>
      <c r="AU824"/>
      <c r="AV824"/>
      <c r="AY824" s="35">
        <v>2084.545245814274</v>
      </c>
      <c r="AZ824" s="46">
        <v>-1885.1338443908471</v>
      </c>
      <c r="BA824" s="47">
        <v>2648.4771657878018</v>
      </c>
    </row>
    <row r="825" spans="42:53" x14ac:dyDescent="0.5">
      <c r="AP825"/>
      <c r="AQ825"/>
      <c r="AT825"/>
      <c r="AU825"/>
      <c r="AV825"/>
      <c r="AY825" s="35">
        <v>-1772.8942171999599</v>
      </c>
      <c r="AZ825" s="46">
        <v>8465.5667007162519</v>
      </c>
      <c r="BA825" s="47">
        <v>5019.3014970600307</v>
      </c>
    </row>
    <row r="826" spans="42:53" x14ac:dyDescent="0.5">
      <c r="AP826"/>
      <c r="AQ826"/>
      <c r="AT826"/>
      <c r="AU826"/>
      <c r="AV826"/>
      <c r="AY826" s="35">
        <v>-943.45144162229326</v>
      </c>
      <c r="AZ826" s="46">
        <v>-849.11476385770879</v>
      </c>
      <c r="BA826" s="47">
        <v>14189.439481881229</v>
      </c>
    </row>
    <row r="827" spans="42:53" x14ac:dyDescent="0.5">
      <c r="AP827"/>
      <c r="AQ827"/>
      <c r="AT827"/>
      <c r="AU827"/>
      <c r="AV827"/>
      <c r="AY827" s="35">
        <v>5972.098993381107</v>
      </c>
      <c r="AZ827" s="46">
        <v>-1517.6732808830827</v>
      </c>
      <c r="BA827" s="47">
        <v>662.29548490040349</v>
      </c>
    </row>
    <row r="828" spans="42:53" x14ac:dyDescent="0.5">
      <c r="AP828"/>
      <c r="AQ828"/>
      <c r="AT828"/>
      <c r="AU828"/>
      <c r="AV828"/>
      <c r="AY828" s="35">
        <v>2814.3846150847917</v>
      </c>
      <c r="AZ828" s="46">
        <v>4975.1364544371027</v>
      </c>
      <c r="BA828" s="47">
        <v>5494.9658906754512</v>
      </c>
    </row>
    <row r="829" spans="42:53" x14ac:dyDescent="0.5">
      <c r="AP829"/>
      <c r="AQ829"/>
      <c r="AT829"/>
      <c r="AU829"/>
      <c r="AV829"/>
      <c r="AY829" s="35">
        <v>4740.7725067961292</v>
      </c>
      <c r="AZ829" s="46">
        <v>616.61956700500377</v>
      </c>
      <c r="BA829" s="47">
        <v>7021.0432403113518</v>
      </c>
    </row>
    <row r="830" spans="42:53" x14ac:dyDescent="0.5">
      <c r="AP830"/>
      <c r="AQ830"/>
      <c r="AT830"/>
      <c r="AU830"/>
      <c r="AV830"/>
      <c r="AY830" s="35">
        <v>595.9575031608822</v>
      </c>
      <c r="AZ830" s="46">
        <v>-1334.7870428559004</v>
      </c>
      <c r="BA830" s="47">
        <v>20364.007042148442</v>
      </c>
    </row>
    <row r="831" spans="42:53" x14ac:dyDescent="0.5">
      <c r="AP831"/>
      <c r="AQ831"/>
      <c r="AT831"/>
      <c r="AU831"/>
      <c r="AV831"/>
      <c r="AY831" s="35">
        <v>1368.008553879459</v>
      </c>
      <c r="AZ831" s="46">
        <v>-2010.070382822199</v>
      </c>
      <c r="BA831" s="47">
        <v>-31.537557397936517</v>
      </c>
    </row>
    <row r="832" spans="42:53" x14ac:dyDescent="0.5">
      <c r="AP832"/>
      <c r="AQ832"/>
      <c r="AT832"/>
      <c r="AU832"/>
      <c r="AV832"/>
      <c r="AY832" s="35">
        <v>3185.0285412157218</v>
      </c>
      <c r="AZ832" s="46">
        <v>3366.1901456998003</v>
      </c>
      <c r="BA832" s="47">
        <v>4822.7277265925522</v>
      </c>
    </row>
    <row r="833" spans="42:53" x14ac:dyDescent="0.5">
      <c r="AP833"/>
      <c r="AQ833"/>
      <c r="AT833"/>
      <c r="AU833"/>
      <c r="AV833"/>
      <c r="AY833" s="35">
        <v>7075.9715421366145</v>
      </c>
      <c r="AZ833" s="46">
        <v>-4554.7631929349145</v>
      </c>
      <c r="BA833" s="47">
        <v>2628.2823406062134</v>
      </c>
    </row>
    <row r="834" spans="42:53" x14ac:dyDescent="0.5">
      <c r="AP834"/>
      <c r="AQ834"/>
      <c r="AT834"/>
      <c r="AU834"/>
      <c r="AV834"/>
      <c r="AY834" s="35">
        <v>3104.8130562995902</v>
      </c>
      <c r="AZ834" s="46">
        <v>2011.7797000872065</v>
      </c>
      <c r="BA834" s="47">
        <v>8873.3309796670419</v>
      </c>
    </row>
    <row r="835" spans="42:53" x14ac:dyDescent="0.5">
      <c r="AP835"/>
      <c r="AQ835"/>
      <c r="AT835"/>
      <c r="AU835"/>
      <c r="AV835"/>
      <c r="AY835" s="35">
        <v>2830.3777847360657</v>
      </c>
      <c r="AZ835" s="46">
        <v>-100.55185870349865</v>
      </c>
      <c r="BA835" s="47">
        <v>3272.9347230639082</v>
      </c>
    </row>
    <row r="836" spans="42:53" x14ac:dyDescent="0.5">
      <c r="AP836"/>
      <c r="AQ836"/>
      <c r="AT836"/>
      <c r="AU836"/>
      <c r="AV836"/>
      <c r="AY836" s="35">
        <v>-2007.5641814153264</v>
      </c>
      <c r="AZ836" s="46">
        <v>-3101.733642174403</v>
      </c>
      <c r="BA836" s="47">
        <v>831.54590448932152</v>
      </c>
    </row>
    <row r="837" spans="42:53" x14ac:dyDescent="0.5">
      <c r="AP837"/>
      <c r="AQ837"/>
      <c r="AT837"/>
      <c r="AU837"/>
      <c r="AV837"/>
      <c r="AY837" s="35">
        <v>3414.785202204283</v>
      </c>
      <c r="AZ837" s="46">
        <v>-87.599220228454527</v>
      </c>
      <c r="BA837" s="47">
        <v>-175.52792811508266</v>
      </c>
    </row>
    <row r="838" spans="42:53" x14ac:dyDescent="0.5">
      <c r="AP838"/>
      <c r="AQ838"/>
      <c r="AT838"/>
      <c r="AU838"/>
      <c r="AV838"/>
      <c r="AY838" s="35">
        <v>-880.01903394036151</v>
      </c>
      <c r="AZ838" s="46">
        <v>6344.7931766683123</v>
      </c>
      <c r="BA838" s="47">
        <v>10631.534178182854</v>
      </c>
    </row>
    <row r="839" spans="42:53" x14ac:dyDescent="0.5">
      <c r="AP839"/>
      <c r="AQ839"/>
      <c r="AT839"/>
      <c r="AU839"/>
      <c r="AV839"/>
      <c r="AY839" s="35">
        <v>-1099.7706247338983</v>
      </c>
      <c r="AZ839" s="46">
        <v>-2725.8676286470459</v>
      </c>
      <c r="BA839" s="47">
        <v>4202.9737471503195</v>
      </c>
    </row>
    <row r="840" spans="42:53" x14ac:dyDescent="0.5">
      <c r="AP840"/>
      <c r="AQ840"/>
      <c r="AT840"/>
      <c r="AU840"/>
      <c r="AV840"/>
      <c r="AY840" s="35">
        <v>-1765.9856884882861</v>
      </c>
      <c r="AZ840" s="46">
        <v>1588.1249923154967</v>
      </c>
      <c r="BA840" s="47">
        <v>4557.5567319643596</v>
      </c>
    </row>
    <row r="841" spans="42:53" x14ac:dyDescent="0.5">
      <c r="AP841"/>
      <c r="AQ841"/>
      <c r="AT841"/>
      <c r="AU841"/>
      <c r="AV841"/>
      <c r="AY841" s="35">
        <v>4247.3135377133622</v>
      </c>
      <c r="AZ841" s="46">
        <v>-1798.4833371367015</v>
      </c>
      <c r="BA841" s="47">
        <v>5402.5853646443638</v>
      </c>
    </row>
    <row r="842" spans="42:53" x14ac:dyDescent="0.5">
      <c r="AP842"/>
      <c r="AQ842"/>
      <c r="AT842"/>
      <c r="AU842"/>
      <c r="AV842"/>
      <c r="AY842" s="35">
        <v>3220.4710367904113</v>
      </c>
      <c r="AZ842" s="46">
        <v>994.64207009898587</v>
      </c>
      <c r="BA842" s="47">
        <v>10700.496314645256</v>
      </c>
    </row>
    <row r="843" spans="42:53" x14ac:dyDescent="0.5">
      <c r="AP843"/>
      <c r="AQ843"/>
      <c r="AT843"/>
      <c r="AU843"/>
      <c r="AV843"/>
      <c r="AY843" s="35">
        <v>2958.6325016500364</v>
      </c>
      <c r="AZ843" s="46">
        <v>6769.8266044473758</v>
      </c>
      <c r="BA843" s="47">
        <v>2607.4765985094496</v>
      </c>
    </row>
    <row r="844" spans="42:53" x14ac:dyDescent="0.5">
      <c r="AP844"/>
      <c r="AQ844"/>
      <c r="AT844"/>
      <c r="AU844"/>
      <c r="AV844"/>
      <c r="AY844" s="35">
        <v>1547.9662607712901</v>
      </c>
      <c r="AZ844" s="46">
        <v>-4590.386070300814</v>
      </c>
      <c r="BA844" s="47">
        <v>1590.8094054254148</v>
      </c>
    </row>
    <row r="845" spans="42:53" x14ac:dyDescent="0.5">
      <c r="AP845"/>
      <c r="AQ845"/>
      <c r="AT845"/>
      <c r="AU845"/>
      <c r="AV845"/>
      <c r="AY845" s="35">
        <v>6027.6921024236408</v>
      </c>
      <c r="AZ845" s="46">
        <v>-3916.9213344832647</v>
      </c>
      <c r="BA845" s="47">
        <v>760.66109641022115</v>
      </c>
    </row>
    <row r="846" spans="42:53" x14ac:dyDescent="0.5">
      <c r="AP846"/>
      <c r="AQ846"/>
      <c r="AT846"/>
      <c r="AU846"/>
      <c r="AV846"/>
      <c r="AY846" s="35">
        <v>835.29840886633781</v>
      </c>
      <c r="AZ846" s="46">
        <v>868.86680665003871</v>
      </c>
      <c r="BA846" s="47">
        <v>-41.054066935803853</v>
      </c>
    </row>
    <row r="847" spans="42:53" x14ac:dyDescent="0.5">
      <c r="AP847"/>
      <c r="AQ847"/>
      <c r="AT847"/>
      <c r="AU847"/>
      <c r="AV847"/>
      <c r="AY847" s="35">
        <v>-1590.0816137624852</v>
      </c>
      <c r="AZ847" s="46">
        <v>-2671.874828667605</v>
      </c>
      <c r="BA847" s="47">
        <v>3584.164494273909</v>
      </c>
    </row>
    <row r="848" spans="42:53" x14ac:dyDescent="0.5">
      <c r="AP848"/>
      <c r="AQ848"/>
      <c r="AT848"/>
      <c r="AU848"/>
      <c r="AV848"/>
      <c r="AY848" s="35">
        <v>818.59006120855042</v>
      </c>
      <c r="AZ848" s="46">
        <v>2761.4853572444313</v>
      </c>
      <c r="BA848" s="47">
        <v>1981.2430060022577</v>
      </c>
    </row>
    <row r="849" spans="42:53" x14ac:dyDescent="0.5">
      <c r="AP849"/>
      <c r="AQ849"/>
      <c r="AT849"/>
      <c r="AU849"/>
      <c r="AV849"/>
      <c r="AY849" s="35">
        <v>5107.8890681456023</v>
      </c>
      <c r="AZ849" s="46">
        <v>-2782.4559322162131</v>
      </c>
      <c r="BA849" s="47">
        <v>23550.180924691605</v>
      </c>
    </row>
    <row r="850" spans="42:53" x14ac:dyDescent="0.5">
      <c r="AP850"/>
      <c r="AQ850"/>
      <c r="AT850"/>
      <c r="AU850"/>
      <c r="AV850"/>
      <c r="AY850" s="35">
        <v>4683.7099963478631</v>
      </c>
      <c r="AZ850" s="46">
        <v>-1534.0845051247904</v>
      </c>
      <c r="BA850" s="47">
        <v>-3719.7196051823689</v>
      </c>
    </row>
    <row r="851" spans="42:53" x14ac:dyDescent="0.5">
      <c r="AP851"/>
      <c r="AQ851"/>
      <c r="AT851"/>
      <c r="AU851"/>
      <c r="AV851"/>
      <c r="AY851" s="35">
        <v>4097.0333657849724</v>
      </c>
      <c r="AZ851" s="46">
        <v>-1910.6779622896188</v>
      </c>
      <c r="BA851" s="47">
        <v>1006.5802775401191</v>
      </c>
    </row>
    <row r="852" spans="42:53" x14ac:dyDescent="0.5">
      <c r="AP852"/>
      <c r="AQ852"/>
      <c r="AT852"/>
      <c r="AU852"/>
      <c r="AV852"/>
      <c r="AY852" s="35">
        <v>-879.13677642442087</v>
      </c>
      <c r="AZ852" s="46">
        <v>10641.554607441387</v>
      </c>
      <c r="BA852" s="47">
        <v>735.99389107829745</v>
      </c>
    </row>
    <row r="853" spans="42:53" x14ac:dyDescent="0.5">
      <c r="AP853"/>
      <c r="AQ853"/>
      <c r="AT853"/>
      <c r="AU853"/>
      <c r="AV853"/>
      <c r="AY853" s="35">
        <v>-2050.4759685956014</v>
      </c>
      <c r="AZ853" s="46">
        <v>807.97536119704523</v>
      </c>
      <c r="BA853" s="47">
        <v>12880.024213734358</v>
      </c>
    </row>
    <row r="854" spans="42:53" x14ac:dyDescent="0.5">
      <c r="AP854"/>
      <c r="AQ854"/>
      <c r="AT854"/>
      <c r="AU854"/>
      <c r="AV854"/>
      <c r="AY854" s="35">
        <v>1952.1648362417261</v>
      </c>
      <c r="AZ854" s="46">
        <v>-2943.0237140392396</v>
      </c>
      <c r="BA854" s="47">
        <v>4189.1279643322878</v>
      </c>
    </row>
    <row r="855" spans="42:53" x14ac:dyDescent="0.5">
      <c r="AP855"/>
      <c r="AQ855"/>
      <c r="AT855"/>
      <c r="AU855"/>
      <c r="AV855"/>
      <c r="AY855" s="35">
        <v>3652.7937983051042</v>
      </c>
      <c r="AZ855" s="46">
        <v>-1509.3898856243179</v>
      </c>
      <c r="BA855" s="47">
        <v>10319.875888380249</v>
      </c>
    </row>
    <row r="856" spans="42:53" x14ac:dyDescent="0.5">
      <c r="AP856"/>
      <c r="AQ856"/>
      <c r="AT856"/>
      <c r="AU856"/>
      <c r="AV856"/>
      <c r="AY856" s="35">
        <v>3077.9185072124878</v>
      </c>
      <c r="AZ856" s="46">
        <v>-2163.5038283552994</v>
      </c>
      <c r="BA856" s="47">
        <v>11116.654197054631</v>
      </c>
    </row>
    <row r="857" spans="42:53" x14ac:dyDescent="0.5">
      <c r="AP857"/>
      <c r="AQ857"/>
      <c r="AT857"/>
      <c r="AU857"/>
      <c r="AV857"/>
      <c r="AY857" s="35">
        <v>7726.3542754390774</v>
      </c>
      <c r="AZ857" s="46">
        <v>-797.62511983609591</v>
      </c>
      <c r="BA857" s="47">
        <v>2748.350302617444</v>
      </c>
    </row>
    <row r="858" spans="42:53" x14ac:dyDescent="0.5">
      <c r="AP858"/>
      <c r="AQ858"/>
      <c r="AT858"/>
      <c r="AU858"/>
      <c r="AV858"/>
      <c r="AY858" s="35">
        <v>7431.5686371789816</v>
      </c>
      <c r="AZ858" s="46">
        <v>-329.31290131410333</v>
      </c>
      <c r="BA858" s="47">
        <v>4699.1329183595708</v>
      </c>
    </row>
    <row r="859" spans="42:53" x14ac:dyDescent="0.5">
      <c r="AP859"/>
      <c r="AQ859"/>
      <c r="AT859"/>
      <c r="AU859"/>
      <c r="AV859"/>
      <c r="AY859" s="35">
        <v>7624.843352699334</v>
      </c>
      <c r="AZ859" s="46">
        <v>-73.014073800709355</v>
      </c>
      <c r="BA859" s="47">
        <v>238.13512668958663</v>
      </c>
    </row>
    <row r="860" spans="42:53" x14ac:dyDescent="0.5">
      <c r="AP860"/>
      <c r="AQ860"/>
      <c r="AT860"/>
      <c r="AU860"/>
      <c r="AV860"/>
      <c r="AY860" s="35">
        <v>7656.5700523824171</v>
      </c>
      <c r="AZ860" s="46">
        <v>-640.5118409291465</v>
      </c>
      <c r="BA860" s="47">
        <v>4624.652704517649</v>
      </c>
    </row>
    <row r="861" spans="42:53" x14ac:dyDescent="0.5">
      <c r="AP861"/>
      <c r="AQ861"/>
      <c r="AT861"/>
      <c r="AU861"/>
      <c r="AV861"/>
      <c r="AY861" s="35">
        <v>3221.8460092537885</v>
      </c>
      <c r="AZ861" s="46">
        <v>-2230.0928666534305</v>
      </c>
      <c r="BA861" s="47">
        <v>4634.2293242497472</v>
      </c>
    </row>
    <row r="862" spans="42:53" x14ac:dyDescent="0.5">
      <c r="AP862"/>
      <c r="AQ862"/>
      <c r="AT862"/>
      <c r="AU862"/>
      <c r="AV862"/>
      <c r="AY862" s="35">
        <v>2139.574600735898</v>
      </c>
      <c r="AZ862" s="46">
        <v>7266.8956721526538</v>
      </c>
      <c r="BA862" s="47">
        <v>2518.7738220737133</v>
      </c>
    </row>
    <row r="863" spans="42:53" x14ac:dyDescent="0.5">
      <c r="AP863"/>
      <c r="AQ863"/>
      <c r="AT863"/>
      <c r="AU863"/>
      <c r="AV863"/>
      <c r="AY863" s="35">
        <v>-1274.1854183846883</v>
      </c>
      <c r="AZ863" s="46">
        <v>904.86530356926153</v>
      </c>
      <c r="BA863" s="47">
        <v>12432.638434308616</v>
      </c>
    </row>
    <row r="864" spans="42:53" x14ac:dyDescent="0.5">
      <c r="AP864"/>
      <c r="AQ864"/>
      <c r="AT864"/>
      <c r="AU864"/>
      <c r="AV864"/>
      <c r="AY864" s="35">
        <v>-333.09528723796927</v>
      </c>
      <c r="AZ864" s="46">
        <v>1170.6786774781701</v>
      </c>
      <c r="BA864" s="47">
        <v>2308.8672197795759</v>
      </c>
    </row>
    <row r="865" spans="42:53" x14ac:dyDescent="0.5">
      <c r="AP865"/>
      <c r="AQ865"/>
      <c r="AT865"/>
      <c r="AU865"/>
      <c r="AV865"/>
      <c r="AY865" s="35">
        <v>7023.8133987989495</v>
      </c>
      <c r="AZ865" s="46">
        <v>425.80939888918221</v>
      </c>
      <c r="BA865" s="47">
        <v>406.98399673736884</v>
      </c>
    </row>
    <row r="866" spans="42:53" x14ac:dyDescent="0.5">
      <c r="AP866"/>
      <c r="AQ866"/>
      <c r="AT866"/>
      <c r="AU866"/>
      <c r="AV866"/>
      <c r="AY866" s="35">
        <v>4610.3923732294843</v>
      </c>
      <c r="AZ866" s="46">
        <v>668.45313133616662</v>
      </c>
      <c r="BA866" s="47">
        <v>14297.081611861058</v>
      </c>
    </row>
    <row r="867" spans="42:53" x14ac:dyDescent="0.5">
      <c r="AP867"/>
      <c r="AQ867"/>
      <c r="AT867"/>
      <c r="AU867"/>
      <c r="AV867"/>
      <c r="AY867" s="35">
        <v>3158.2043377153018</v>
      </c>
      <c r="AZ867" s="46">
        <v>-3819.0048244251225</v>
      </c>
      <c r="BA867" s="47">
        <v>-158.00104914871457</v>
      </c>
    </row>
    <row r="868" spans="42:53" x14ac:dyDescent="0.5">
      <c r="AP868"/>
      <c r="AQ868"/>
      <c r="AT868"/>
      <c r="AU868"/>
      <c r="AV868"/>
      <c r="AY868" s="35">
        <v>3626.2868869977988</v>
      </c>
      <c r="AZ868" s="46">
        <v>-4994.3037672957298</v>
      </c>
      <c r="BA868" s="47">
        <v>-275.58729868269535</v>
      </c>
    </row>
    <row r="869" spans="42:53" x14ac:dyDescent="0.5">
      <c r="AP869"/>
      <c r="AQ869"/>
      <c r="AT869"/>
      <c r="AU869"/>
      <c r="AV869"/>
      <c r="AY869" s="35">
        <v>804.54961850328868</v>
      </c>
      <c r="AZ869" s="46">
        <v>-764.95144668796456</v>
      </c>
      <c r="BA869" s="47">
        <v>16918.691901902439</v>
      </c>
    </row>
    <row r="870" spans="42:53" x14ac:dyDescent="0.5">
      <c r="AP870"/>
      <c r="AQ870"/>
      <c r="AT870"/>
      <c r="AU870"/>
      <c r="AV870"/>
      <c r="AY870" s="35">
        <v>610.71820102853997</v>
      </c>
      <c r="AZ870" s="46">
        <v>-2783.683494985411</v>
      </c>
      <c r="BA870" s="47">
        <v>3760.5635394788874</v>
      </c>
    </row>
    <row r="871" spans="42:53" x14ac:dyDescent="0.5">
      <c r="AP871"/>
      <c r="AQ871"/>
      <c r="AT871"/>
      <c r="AU871"/>
      <c r="AV871"/>
      <c r="AY871" s="35">
        <v>-76.367711514703757</v>
      </c>
      <c r="AZ871" s="46">
        <v>-891.09684774496691</v>
      </c>
      <c r="BA871" s="47">
        <v>2800.8567726692158</v>
      </c>
    </row>
    <row r="872" spans="42:53" x14ac:dyDescent="0.5">
      <c r="AP872"/>
      <c r="AQ872"/>
      <c r="AT872"/>
      <c r="AU872"/>
      <c r="AV872"/>
      <c r="AY872" s="35">
        <v>6824.1175081469664</v>
      </c>
      <c r="AZ872" s="46">
        <v>1746.5001993393555</v>
      </c>
      <c r="BA872" s="47">
        <v>5249.5279970004458</v>
      </c>
    </row>
    <row r="873" spans="42:53" x14ac:dyDescent="0.5">
      <c r="AP873"/>
      <c r="AQ873"/>
      <c r="AT873"/>
      <c r="AU873"/>
      <c r="AV873"/>
      <c r="AY873" s="35">
        <v>6563.4537746522392</v>
      </c>
      <c r="AZ873" s="46">
        <v>-2141.4422270303849</v>
      </c>
      <c r="BA873" s="47">
        <v>6193.5721285452455</v>
      </c>
    </row>
    <row r="874" spans="42:53" x14ac:dyDescent="0.5">
      <c r="AP874"/>
      <c r="AQ874"/>
      <c r="AT874"/>
      <c r="AU874"/>
      <c r="AV874"/>
      <c r="AY874" s="35">
        <v>-1923.4822268523856</v>
      </c>
      <c r="AZ874" s="46">
        <v>-980.43612899953973</v>
      </c>
      <c r="BA874" s="47">
        <v>6364.0788854381044</v>
      </c>
    </row>
    <row r="875" spans="42:53" x14ac:dyDescent="0.5">
      <c r="AP875"/>
      <c r="AQ875"/>
      <c r="AT875"/>
      <c r="AU875"/>
      <c r="AV875"/>
      <c r="AY875" s="35">
        <v>-1404.8226954346981</v>
      </c>
      <c r="AZ875" s="46">
        <v>-1124.702485515116</v>
      </c>
      <c r="BA875" s="47">
        <v>-344.51568691137021</v>
      </c>
    </row>
    <row r="876" spans="42:53" x14ac:dyDescent="0.5">
      <c r="AP876"/>
      <c r="AQ876"/>
      <c r="AT876"/>
      <c r="AU876"/>
      <c r="AV876"/>
      <c r="AY876" s="35">
        <v>5457.6901571739763</v>
      </c>
      <c r="AZ876" s="46">
        <v>4011.1970648126785</v>
      </c>
      <c r="BA876" s="47">
        <v>3325.701920609898</v>
      </c>
    </row>
    <row r="877" spans="42:53" x14ac:dyDescent="0.5">
      <c r="AP877"/>
      <c r="AQ877"/>
      <c r="AT877"/>
      <c r="AU877"/>
      <c r="AV877"/>
      <c r="AY877" s="35">
        <v>-121.0096571100048</v>
      </c>
      <c r="AZ877" s="46">
        <v>2472.0252109631524</v>
      </c>
      <c r="BA877" s="47">
        <v>2916.8097248764557</v>
      </c>
    </row>
    <row r="878" spans="42:53" x14ac:dyDescent="0.5">
      <c r="AP878"/>
      <c r="AQ878"/>
      <c r="AT878"/>
      <c r="AU878"/>
      <c r="AV878"/>
      <c r="AY878" s="35">
        <v>-1251.9280937683347</v>
      </c>
      <c r="AZ878" s="46">
        <v>-1554.980783441267</v>
      </c>
      <c r="BA878" s="47">
        <v>-24.457990071466519</v>
      </c>
    </row>
    <row r="879" spans="42:53" x14ac:dyDescent="0.5">
      <c r="AP879"/>
      <c r="AQ879"/>
      <c r="AT879"/>
      <c r="AU879"/>
      <c r="AV879"/>
      <c r="AY879" s="35">
        <v>4410.5833128048562</v>
      </c>
      <c r="AZ879" s="46">
        <v>-1033.848710141734</v>
      </c>
      <c r="BA879" s="47">
        <v>3239.1731297814836</v>
      </c>
    </row>
    <row r="880" spans="42:53" x14ac:dyDescent="0.5">
      <c r="AP880"/>
      <c r="AQ880"/>
      <c r="AT880"/>
      <c r="AU880"/>
      <c r="AV880"/>
      <c r="AY880" s="35">
        <v>1716.2168372597623</v>
      </c>
      <c r="AZ880" s="46">
        <v>2752.3087569105369</v>
      </c>
      <c r="BA880" s="47">
        <v>7860.7858944652316</v>
      </c>
    </row>
    <row r="881" spans="42:53" x14ac:dyDescent="0.5">
      <c r="AP881"/>
      <c r="AQ881"/>
      <c r="AT881"/>
      <c r="AU881"/>
      <c r="AV881"/>
      <c r="AY881" s="35">
        <v>6100.4526407594094</v>
      </c>
      <c r="AZ881" s="46">
        <v>-107.10445290083481</v>
      </c>
      <c r="BA881" s="47">
        <v>5830.1730703600269</v>
      </c>
    </row>
    <row r="882" spans="42:53" x14ac:dyDescent="0.5">
      <c r="AP882"/>
      <c r="AQ882"/>
      <c r="AT882"/>
      <c r="AU882"/>
      <c r="AV882"/>
      <c r="AY882" s="35">
        <v>-1513.6285791593323</v>
      </c>
      <c r="AZ882" s="46">
        <v>1669.1453619270446</v>
      </c>
      <c r="BA882" s="47">
        <v>3278.4540302792739</v>
      </c>
    </row>
    <row r="883" spans="42:53" x14ac:dyDescent="0.5">
      <c r="AP883"/>
      <c r="AQ883"/>
      <c r="AT883"/>
      <c r="AU883"/>
      <c r="AV883"/>
      <c r="AY883" s="35">
        <v>240.32674944399724</v>
      </c>
      <c r="AZ883" s="46">
        <v>-1189.6260626233152</v>
      </c>
      <c r="BA883" s="47">
        <v>9111.8040328183106</v>
      </c>
    </row>
    <row r="884" spans="42:53" x14ac:dyDescent="0.5">
      <c r="AP884"/>
      <c r="AQ884"/>
      <c r="AT884"/>
      <c r="AU884"/>
      <c r="AV884"/>
      <c r="AY884" s="35">
        <v>3411.0394209684346</v>
      </c>
      <c r="AZ884" s="46">
        <v>-1523.9936054616867</v>
      </c>
      <c r="BA884" s="47">
        <v>5811.7244782020771</v>
      </c>
    </row>
    <row r="885" spans="42:53" x14ac:dyDescent="0.5">
      <c r="AP885"/>
      <c r="AQ885"/>
      <c r="AT885"/>
      <c r="AU885"/>
      <c r="AV885"/>
      <c r="AY885" s="35">
        <v>4312.7502480305557</v>
      </c>
      <c r="AZ885" s="46">
        <v>-182.06577010947007</v>
      </c>
      <c r="BA885" s="47">
        <v>288.23753841230098</v>
      </c>
    </row>
    <row r="886" spans="42:53" x14ac:dyDescent="0.5">
      <c r="AP886"/>
      <c r="AQ886"/>
      <c r="AT886"/>
      <c r="AU886"/>
      <c r="AV886"/>
      <c r="AY886" s="35">
        <v>5675.2733378117673</v>
      </c>
      <c r="AZ886" s="46">
        <v>-3238.6402092834574</v>
      </c>
      <c r="BA886" s="47">
        <v>4635.5652079351275</v>
      </c>
    </row>
    <row r="887" spans="42:53" x14ac:dyDescent="0.5">
      <c r="AP887"/>
      <c r="AQ887"/>
      <c r="AT887"/>
      <c r="AU887"/>
      <c r="AV887"/>
      <c r="AY887" s="35">
        <v>7125.0346777891109</v>
      </c>
      <c r="AZ887" s="46">
        <v>3640.3791201686604</v>
      </c>
      <c r="BA887" s="47">
        <v>11386.189579992968</v>
      </c>
    </row>
    <row r="888" spans="42:53" x14ac:dyDescent="0.5">
      <c r="AP888"/>
      <c r="AQ888"/>
      <c r="AT888"/>
      <c r="AU888"/>
      <c r="AV888"/>
      <c r="AY888" s="35">
        <v>7064.4661323039063</v>
      </c>
      <c r="AZ888" s="46">
        <v>-3993.555723216085</v>
      </c>
      <c r="BA888" s="47">
        <v>-739.3457958544484</v>
      </c>
    </row>
    <row r="889" spans="42:53" x14ac:dyDescent="0.5">
      <c r="AP889"/>
      <c r="AQ889"/>
      <c r="AT889"/>
      <c r="AU889"/>
      <c r="AV889"/>
      <c r="AY889" s="35">
        <v>6029.7751841061745</v>
      </c>
      <c r="AZ889" s="46">
        <v>-4579.4490832499687</v>
      </c>
      <c r="BA889" s="47">
        <v>15533.911852134834</v>
      </c>
    </row>
    <row r="890" spans="42:53" x14ac:dyDescent="0.5">
      <c r="AP890"/>
      <c r="AQ890"/>
      <c r="AT890"/>
      <c r="AU890"/>
      <c r="AV890"/>
      <c r="AY890" s="35">
        <v>7589.4182260672487</v>
      </c>
      <c r="AZ890" s="46">
        <v>-696.57626075446319</v>
      </c>
      <c r="BA890" s="47">
        <v>7688.7652995044409</v>
      </c>
    </row>
    <row r="891" spans="42:53" x14ac:dyDescent="0.5">
      <c r="AP891"/>
      <c r="AQ891"/>
      <c r="AT891"/>
      <c r="AU891"/>
      <c r="AV891"/>
      <c r="AY891" s="35">
        <v>422.75807475338814</v>
      </c>
      <c r="AZ891" s="46">
        <v>-5148.9626988150658</v>
      </c>
      <c r="BA891" s="47">
        <v>1585.8196569031447</v>
      </c>
    </row>
    <row r="892" spans="42:53" x14ac:dyDescent="0.5">
      <c r="AP892"/>
      <c r="AQ892"/>
      <c r="AT892"/>
      <c r="AU892"/>
      <c r="AV892"/>
      <c r="AY892" s="35">
        <v>3993.0139661898443</v>
      </c>
      <c r="AZ892" s="46">
        <v>-1547.2156774009143</v>
      </c>
      <c r="BA892" s="47">
        <v>3076.1117886596589</v>
      </c>
    </row>
    <row r="893" spans="42:53" x14ac:dyDescent="0.5">
      <c r="AP893"/>
      <c r="AQ893"/>
      <c r="AT893"/>
      <c r="AU893"/>
      <c r="AV893"/>
      <c r="AY893" s="35">
        <v>5483.0193764895339</v>
      </c>
      <c r="AZ893" s="46">
        <v>-518.6131257884399</v>
      </c>
      <c r="BA893" s="47">
        <v>207.82727556239871</v>
      </c>
    </row>
    <row r="894" spans="42:53" x14ac:dyDescent="0.5">
      <c r="AP894"/>
      <c r="AQ894"/>
      <c r="AT894"/>
      <c r="AU894"/>
      <c r="AV894"/>
      <c r="AY894" s="35">
        <v>1242.8278102545223</v>
      </c>
      <c r="AZ894" s="46">
        <v>-4333.0500744189158</v>
      </c>
      <c r="BA894" s="47">
        <v>867.98964350857841</v>
      </c>
    </row>
    <row r="895" spans="42:53" x14ac:dyDescent="0.5">
      <c r="AP895"/>
      <c r="AQ895"/>
      <c r="AT895"/>
      <c r="AU895"/>
      <c r="AV895"/>
      <c r="AY895" s="35">
        <v>-214.56185065010351</v>
      </c>
      <c r="AZ895" s="46">
        <v>-145.1028309809858</v>
      </c>
      <c r="BA895" s="47">
        <v>19092.521197763974</v>
      </c>
    </row>
    <row r="896" spans="42:53" x14ac:dyDescent="0.5">
      <c r="AP896"/>
      <c r="AQ896"/>
      <c r="AT896"/>
      <c r="AU896"/>
      <c r="AV896"/>
      <c r="AY896" s="35">
        <v>1257.3986753983793</v>
      </c>
      <c r="AZ896" s="46">
        <v>-3483.3914198688458</v>
      </c>
      <c r="BA896" s="47">
        <v>4498.5647175310605</v>
      </c>
    </row>
    <row r="897" spans="42:53" x14ac:dyDescent="0.5">
      <c r="AP897"/>
      <c r="AQ897"/>
      <c r="AT897"/>
      <c r="AU897"/>
      <c r="AV897"/>
      <c r="AY897" s="35">
        <v>6411.9854504263685</v>
      </c>
      <c r="AZ897" s="46">
        <v>-842.7929453943558</v>
      </c>
      <c r="BA897" s="47">
        <v>4412.006427667131</v>
      </c>
    </row>
    <row r="898" spans="42:53" x14ac:dyDescent="0.5">
      <c r="AP898"/>
      <c r="AQ898"/>
      <c r="AT898"/>
      <c r="AU898"/>
      <c r="AV898"/>
      <c r="AY898" s="35">
        <v>3005.8376055206968</v>
      </c>
      <c r="AZ898" s="46">
        <v>-2024.118652351593</v>
      </c>
      <c r="BA898" s="47">
        <v>9775.9731681694029</v>
      </c>
    </row>
    <row r="899" spans="42:53" x14ac:dyDescent="0.5">
      <c r="AP899"/>
      <c r="AQ899"/>
      <c r="AT899"/>
      <c r="AU899"/>
      <c r="AV899"/>
      <c r="AY899" s="35">
        <v>4483.4501161855751</v>
      </c>
      <c r="AZ899" s="46">
        <v>-2345.3852161565242</v>
      </c>
      <c r="BA899" s="47">
        <v>4160.9860641848672</v>
      </c>
    </row>
    <row r="900" spans="42:53" x14ac:dyDescent="0.5">
      <c r="AP900"/>
      <c r="AQ900"/>
      <c r="AT900"/>
      <c r="AU900"/>
      <c r="AV900"/>
      <c r="AY900" s="35">
        <v>3798.4843289658102</v>
      </c>
      <c r="AZ900" s="46">
        <v>-1614.9675969529603</v>
      </c>
      <c r="BA900" s="47">
        <v>3612.3562977885022</v>
      </c>
    </row>
    <row r="901" spans="42:53" x14ac:dyDescent="0.5">
      <c r="AP901"/>
      <c r="AQ901"/>
      <c r="AT901"/>
      <c r="AU901"/>
      <c r="AV901"/>
      <c r="AY901" s="35">
        <v>7301.9799828149216</v>
      </c>
      <c r="AZ901" s="46">
        <v>2146.652708399442</v>
      </c>
      <c r="BA901" s="47">
        <v>338.42287790129473</v>
      </c>
    </row>
    <row r="902" spans="42:53" x14ac:dyDescent="0.5">
      <c r="AP902"/>
      <c r="AQ902"/>
      <c r="AT902"/>
      <c r="AU902"/>
      <c r="AV902"/>
      <c r="AY902" s="35">
        <v>7750.4322391192391</v>
      </c>
      <c r="AZ902" s="46">
        <v>-2453.0639102354444</v>
      </c>
      <c r="BA902" s="47">
        <v>2110.3800016056371</v>
      </c>
    </row>
    <row r="903" spans="42:53" x14ac:dyDescent="0.5">
      <c r="AP903"/>
      <c r="AQ903"/>
      <c r="AT903"/>
      <c r="AU903"/>
      <c r="AV903"/>
      <c r="AY903" s="35">
        <v>-838.40221173145869</v>
      </c>
      <c r="AZ903" s="46">
        <v>4761.1349727246334</v>
      </c>
      <c r="BA903" s="47">
        <v>2290.8413447299667</v>
      </c>
    </row>
    <row r="904" spans="42:53" x14ac:dyDescent="0.5">
      <c r="AP904"/>
      <c r="AQ904"/>
      <c r="AT904"/>
      <c r="AU904"/>
      <c r="AV904"/>
      <c r="AY904" s="35">
        <v>9.693141221156516</v>
      </c>
      <c r="AZ904" s="46">
        <v>280.71520105330472</v>
      </c>
      <c r="BA904" s="47">
        <v>-413.01326973556189</v>
      </c>
    </row>
    <row r="905" spans="42:53" x14ac:dyDescent="0.5">
      <c r="AP905"/>
      <c r="AQ905"/>
      <c r="AT905"/>
      <c r="AU905"/>
      <c r="AV905"/>
      <c r="AY905" s="35">
        <v>4114.87748778901</v>
      </c>
      <c r="AZ905" s="46">
        <v>-115.00173266328693</v>
      </c>
      <c r="BA905" s="47">
        <v>2351.8176751125175</v>
      </c>
    </row>
    <row r="906" spans="42:53" x14ac:dyDescent="0.5">
      <c r="AP906"/>
      <c r="AQ906"/>
      <c r="AT906"/>
      <c r="AU906"/>
      <c r="AV906"/>
      <c r="AY906" s="35">
        <v>3409.9734037172398</v>
      </c>
      <c r="AZ906" s="46">
        <v>-5328.497136241268</v>
      </c>
      <c r="BA906" s="47">
        <v>7085.8521099502268</v>
      </c>
    </row>
    <row r="907" spans="42:53" x14ac:dyDescent="0.5">
      <c r="AP907"/>
      <c r="AQ907"/>
      <c r="AT907"/>
      <c r="AU907"/>
      <c r="AV907"/>
      <c r="AY907" s="35">
        <v>591.90443736952511</v>
      </c>
      <c r="AZ907" s="46">
        <v>886.44007490689114</v>
      </c>
      <c r="BA907" s="47">
        <v>972.26793910998731</v>
      </c>
    </row>
    <row r="908" spans="42:53" x14ac:dyDescent="0.5">
      <c r="AP908"/>
      <c r="AQ908"/>
      <c r="AT908"/>
      <c r="AU908"/>
      <c r="AV908"/>
      <c r="AY908" s="35">
        <v>6729.3865993204172</v>
      </c>
      <c r="AZ908" s="46">
        <v>106.50335437495569</v>
      </c>
      <c r="BA908" s="47">
        <v>740.70271629901367</v>
      </c>
    </row>
    <row r="909" spans="42:53" x14ac:dyDescent="0.5">
      <c r="AP909"/>
      <c r="AQ909"/>
      <c r="AT909"/>
      <c r="AU909"/>
      <c r="AV909"/>
      <c r="AY909" s="35">
        <v>6683.9286010511778</v>
      </c>
      <c r="AZ909" s="46">
        <v>2292.1594445060837</v>
      </c>
      <c r="BA909" s="47">
        <v>7686.9298468642728</v>
      </c>
    </row>
    <row r="910" spans="42:53" x14ac:dyDescent="0.5">
      <c r="AP910"/>
      <c r="AQ910"/>
      <c r="AT910"/>
      <c r="AU910"/>
      <c r="AV910"/>
      <c r="AY910" s="35">
        <v>-1707.2815999076688</v>
      </c>
      <c r="AZ910" s="46">
        <v>-1703.2409842123543</v>
      </c>
      <c r="BA910" s="47">
        <v>-2082.9397167986626</v>
      </c>
    </row>
    <row r="911" spans="42:53" x14ac:dyDescent="0.5">
      <c r="AP911"/>
      <c r="AQ911"/>
      <c r="AT911"/>
      <c r="AU911"/>
      <c r="AV911"/>
      <c r="AY911" s="35">
        <v>3565.7266529624826</v>
      </c>
      <c r="AZ911" s="46">
        <v>-246.77772840808558</v>
      </c>
      <c r="BA911" s="47">
        <v>2434.5316765203852</v>
      </c>
    </row>
    <row r="912" spans="42:53" x14ac:dyDescent="0.5">
      <c r="AP912"/>
      <c r="AQ912"/>
      <c r="AT912"/>
      <c r="AU912"/>
      <c r="AV912"/>
      <c r="AY912" s="35">
        <v>7224.2123202803832</v>
      </c>
      <c r="AZ912" s="46">
        <v>-4698.3294043517835</v>
      </c>
      <c r="BA912" s="47">
        <v>1555.1194163709483</v>
      </c>
    </row>
    <row r="913" spans="42:53" x14ac:dyDescent="0.5">
      <c r="AP913"/>
      <c r="AQ913"/>
      <c r="AT913"/>
      <c r="AU913"/>
      <c r="AV913"/>
      <c r="AY913" s="35">
        <v>-1541.9976525019219</v>
      </c>
      <c r="AZ913" s="46">
        <v>-2269.5169633953456</v>
      </c>
      <c r="BA913" s="47">
        <v>5782.2625843356409</v>
      </c>
    </row>
    <row r="914" spans="42:53" x14ac:dyDescent="0.5">
      <c r="AP914"/>
      <c r="AQ914"/>
      <c r="AT914"/>
      <c r="AU914"/>
      <c r="AV914"/>
      <c r="AY914" s="35">
        <v>-469.0150799515049</v>
      </c>
      <c r="AZ914" s="46">
        <v>-2361.78570237541</v>
      </c>
      <c r="BA914" s="47">
        <v>2853.6889120114438</v>
      </c>
    </row>
    <row r="915" spans="42:53" x14ac:dyDescent="0.5">
      <c r="AP915"/>
      <c r="AQ915"/>
      <c r="AT915"/>
      <c r="AU915"/>
      <c r="AV915"/>
      <c r="AY915" s="35">
        <v>26.313704850289966</v>
      </c>
      <c r="AZ915" s="46">
        <v>-2059.7249985554872</v>
      </c>
      <c r="BA915" s="47">
        <v>-381.67936185252034</v>
      </c>
    </row>
    <row r="916" spans="42:53" x14ac:dyDescent="0.5">
      <c r="AP916"/>
      <c r="AQ916"/>
      <c r="AT916"/>
      <c r="AU916"/>
      <c r="AV916"/>
      <c r="AY916" s="35">
        <v>-2310.7197170465711</v>
      </c>
      <c r="AZ916" s="46">
        <v>7385.9293525823532</v>
      </c>
      <c r="BA916" s="47">
        <v>934.76459712063638</v>
      </c>
    </row>
    <row r="917" spans="42:53" x14ac:dyDescent="0.5">
      <c r="AP917"/>
      <c r="AQ917"/>
      <c r="AT917"/>
      <c r="AU917"/>
      <c r="AV917"/>
      <c r="AY917" s="35">
        <v>3110.6928265253728</v>
      </c>
      <c r="AZ917" s="46">
        <v>-2743.2805606569273</v>
      </c>
      <c r="BA917" s="47">
        <v>9525.7034937143035</v>
      </c>
    </row>
    <row r="918" spans="42:53" x14ac:dyDescent="0.5">
      <c r="AP918"/>
      <c r="AQ918"/>
      <c r="AT918"/>
      <c r="AU918"/>
      <c r="AV918"/>
      <c r="AY918" s="35">
        <v>1168.584488427349</v>
      </c>
      <c r="AZ918" s="46">
        <v>155.93007202933097</v>
      </c>
      <c r="BA918" s="47">
        <v>5403.5030239179096</v>
      </c>
    </row>
    <row r="919" spans="42:53" x14ac:dyDescent="0.5">
      <c r="AP919"/>
      <c r="AQ919"/>
      <c r="AT919"/>
      <c r="AU919"/>
      <c r="AV919"/>
      <c r="AY919" s="35">
        <v>-2183.2954870453773</v>
      </c>
      <c r="AZ919" s="46">
        <v>-3465.8638412575388</v>
      </c>
      <c r="BA919" s="47">
        <v>5334.184327741038</v>
      </c>
    </row>
    <row r="920" spans="42:53" x14ac:dyDescent="0.5">
      <c r="AP920"/>
      <c r="AQ920"/>
      <c r="AT920"/>
      <c r="AU920"/>
      <c r="AV920"/>
      <c r="AY920" s="35">
        <v>3964.4550766108778</v>
      </c>
      <c r="AZ920" s="46">
        <v>-4041.3216363222132</v>
      </c>
      <c r="BA920" s="47">
        <v>-384.49720386499251</v>
      </c>
    </row>
    <row r="921" spans="42:53" x14ac:dyDescent="0.5">
      <c r="AP921"/>
      <c r="AQ921"/>
      <c r="AT921"/>
      <c r="AU921"/>
      <c r="AV921"/>
      <c r="AY921" s="35">
        <v>-1868.4597652445902</v>
      </c>
      <c r="AZ921" s="46">
        <v>-2426.4505561951037</v>
      </c>
      <c r="BA921" s="47">
        <v>-1706.3314995600449</v>
      </c>
    </row>
    <row r="922" spans="42:53" x14ac:dyDescent="0.5">
      <c r="AP922"/>
      <c r="AQ922"/>
      <c r="AT922"/>
      <c r="AU922"/>
      <c r="AV922"/>
      <c r="AY922" s="35">
        <v>1362.2767825296812</v>
      </c>
      <c r="AZ922" s="46">
        <v>10635.421167133489</v>
      </c>
      <c r="BA922" s="47">
        <v>4069.6436506470886</v>
      </c>
    </row>
    <row r="923" spans="42:53" x14ac:dyDescent="0.5">
      <c r="AP923"/>
      <c r="AQ923"/>
      <c r="AT923"/>
      <c r="AU923"/>
      <c r="AV923"/>
      <c r="AY923" s="35">
        <v>5134.4365319356484</v>
      </c>
      <c r="AZ923" s="46">
        <v>253.02234955612886</v>
      </c>
      <c r="BA923" s="47">
        <v>763.58678304519435</v>
      </c>
    </row>
    <row r="924" spans="42:53" x14ac:dyDescent="0.5">
      <c r="AP924"/>
      <c r="AQ924"/>
      <c r="AT924"/>
      <c r="AU924"/>
      <c r="AV924"/>
      <c r="AY924" s="35">
        <v>-1759.1104948260906</v>
      </c>
      <c r="AZ924" s="46">
        <v>-4160.314921559192</v>
      </c>
      <c r="BA924" s="47">
        <v>572.97612977665631</v>
      </c>
    </row>
    <row r="925" spans="42:53" x14ac:dyDescent="0.5">
      <c r="AP925"/>
      <c r="AQ925"/>
      <c r="AT925"/>
      <c r="AU925"/>
      <c r="AV925"/>
      <c r="AY925" s="35">
        <v>6807.8459115178875</v>
      </c>
      <c r="AZ925" s="46">
        <v>2475.8140895935003</v>
      </c>
      <c r="BA925" s="47">
        <v>25477.321121143839</v>
      </c>
    </row>
    <row r="926" spans="42:53" x14ac:dyDescent="0.5">
      <c r="AP926"/>
      <c r="AQ926"/>
      <c r="AT926"/>
      <c r="AU926"/>
      <c r="AV926"/>
      <c r="AY926" s="35">
        <v>6829.7744372042744</v>
      </c>
      <c r="AZ926" s="46">
        <v>-2763.4707565909607</v>
      </c>
      <c r="BA926" s="47">
        <v>2168.9721719657418</v>
      </c>
    </row>
    <row r="927" spans="42:53" x14ac:dyDescent="0.5">
      <c r="AP927"/>
      <c r="AQ927"/>
      <c r="AT927"/>
      <c r="AU927"/>
      <c r="AV927"/>
      <c r="AY927" s="35">
        <v>1121.9082198497542</v>
      </c>
      <c r="AZ927" s="46">
        <v>-3910.1851875300413</v>
      </c>
      <c r="BA927" s="47">
        <v>11657.895131870797</v>
      </c>
    </row>
    <row r="928" spans="42:53" x14ac:dyDescent="0.5">
      <c r="AP928"/>
      <c r="AQ928"/>
      <c r="AT928"/>
      <c r="AU928"/>
      <c r="AV928"/>
      <c r="AY928" s="35">
        <v>7586.1518153058851</v>
      </c>
      <c r="AZ928" s="46">
        <v>-1759.4620176452142</v>
      </c>
      <c r="BA928" s="47">
        <v>-1589.4827864937888</v>
      </c>
    </row>
    <row r="929" spans="42:53" x14ac:dyDescent="0.5">
      <c r="AP929"/>
      <c r="AQ929"/>
      <c r="AT929"/>
      <c r="AU929"/>
      <c r="AV929"/>
      <c r="AY929" s="35">
        <v>3870.5205977226551</v>
      </c>
      <c r="AZ929" s="46">
        <v>-5210.168279149445</v>
      </c>
      <c r="BA929" s="47">
        <v>-1410.1234352929891</v>
      </c>
    </row>
    <row r="930" spans="42:53" x14ac:dyDescent="0.5">
      <c r="AP930"/>
      <c r="AQ930"/>
      <c r="AT930"/>
      <c r="AU930"/>
      <c r="AV930"/>
      <c r="AY930" s="35">
        <v>6048.4263360629375</v>
      </c>
      <c r="AZ930" s="46">
        <v>4816.3482120287536</v>
      </c>
      <c r="BA930" s="47">
        <v>3702.0173381770396</v>
      </c>
    </row>
    <row r="931" spans="42:53" x14ac:dyDescent="0.5">
      <c r="AP931"/>
      <c r="AQ931"/>
      <c r="AT931"/>
      <c r="AU931"/>
      <c r="AV931"/>
      <c r="AY931" s="35">
        <v>662.30379164421015</v>
      </c>
      <c r="AZ931" s="46">
        <v>-923.57798729330102</v>
      </c>
      <c r="BA931" s="47">
        <v>3928.5940357456175</v>
      </c>
    </row>
    <row r="932" spans="42:53" x14ac:dyDescent="0.5">
      <c r="AP932"/>
      <c r="AQ932"/>
      <c r="AT932"/>
      <c r="AU932"/>
      <c r="AV932"/>
      <c r="AY932" s="35">
        <v>915.91472060263641</v>
      </c>
      <c r="AZ932" s="46">
        <v>367.02671589401461</v>
      </c>
      <c r="BA932" s="47">
        <v>4978.2305977902997</v>
      </c>
    </row>
    <row r="933" spans="42:53" x14ac:dyDescent="0.5">
      <c r="AP933"/>
      <c r="AQ933"/>
      <c r="AT933"/>
      <c r="AU933"/>
      <c r="AV933"/>
      <c r="AY933" s="35">
        <v>-1599.124996223542</v>
      </c>
      <c r="AZ933" s="46">
        <v>-1482.8938815853041</v>
      </c>
      <c r="BA933" s="47">
        <v>3415.2854503624208</v>
      </c>
    </row>
    <row r="934" spans="42:53" x14ac:dyDescent="0.5">
      <c r="AP934"/>
      <c r="AQ934"/>
      <c r="AT934"/>
      <c r="AU934"/>
      <c r="AV934"/>
      <c r="AY934" s="35">
        <v>2988.9274988984121</v>
      </c>
      <c r="AZ934" s="46">
        <v>-786.88243268374777</v>
      </c>
      <c r="BA934" s="47">
        <v>4503.1854956675415</v>
      </c>
    </row>
    <row r="935" spans="42:53" x14ac:dyDescent="0.5">
      <c r="AP935"/>
      <c r="AQ935"/>
      <c r="AT935"/>
      <c r="AU935"/>
      <c r="AV935"/>
      <c r="AY935" s="35">
        <v>-354.21751934944439</v>
      </c>
      <c r="AZ935" s="46">
        <v>-3621.2629115843415</v>
      </c>
      <c r="BA935" s="47">
        <v>5278.047963288328</v>
      </c>
    </row>
    <row r="936" spans="42:53" x14ac:dyDescent="0.5">
      <c r="AP936"/>
      <c r="AQ936"/>
      <c r="AT936"/>
      <c r="AU936"/>
      <c r="AV936"/>
      <c r="AY936" s="35">
        <v>7400.4493059443312</v>
      </c>
      <c r="AZ936" s="46">
        <v>-143.50974898186865</v>
      </c>
      <c r="BA936" s="47">
        <v>-521.87853472143377</v>
      </c>
    </row>
    <row r="937" spans="42:53" x14ac:dyDescent="0.5">
      <c r="AP937"/>
      <c r="AQ937"/>
      <c r="AT937"/>
      <c r="AU937"/>
      <c r="AV937"/>
      <c r="AY937" s="35">
        <v>-2001.3929635467891</v>
      </c>
      <c r="AZ937" s="46">
        <v>-1634.0052794635526</v>
      </c>
      <c r="BA937" s="47">
        <v>3128.3465219502159</v>
      </c>
    </row>
    <row r="938" spans="42:53" x14ac:dyDescent="0.5">
      <c r="AP938"/>
      <c r="AQ938"/>
      <c r="AT938"/>
      <c r="AU938"/>
      <c r="AV938"/>
      <c r="AY938" s="35">
        <v>7367.6469855188498</v>
      </c>
      <c r="AZ938" s="46">
        <v>2284.8909179494754</v>
      </c>
      <c r="BA938" s="47">
        <v>1675.3787234266811</v>
      </c>
    </row>
    <row r="939" spans="42:53" x14ac:dyDescent="0.5">
      <c r="AP939"/>
      <c r="AQ939"/>
      <c r="AT939"/>
      <c r="AU939"/>
      <c r="AV939"/>
      <c r="AY939" s="35">
        <v>-402.24118374175896</v>
      </c>
      <c r="AZ939" s="46">
        <v>-1957.0265869647037</v>
      </c>
      <c r="BA939" s="47">
        <v>4274.2755001750911</v>
      </c>
    </row>
    <row r="940" spans="42:53" x14ac:dyDescent="0.5">
      <c r="AP940"/>
      <c r="AQ940"/>
      <c r="AT940"/>
      <c r="AU940"/>
      <c r="AV940"/>
      <c r="AY940" s="35">
        <v>7345.9024776530687</v>
      </c>
      <c r="AZ940" s="46">
        <v>-738.95554480813939</v>
      </c>
      <c r="BA940" s="47">
        <v>3410.0499553816044</v>
      </c>
    </row>
    <row r="941" spans="42:53" x14ac:dyDescent="0.5">
      <c r="AP941"/>
      <c r="AQ941"/>
      <c r="AT941"/>
      <c r="AU941"/>
      <c r="AV941"/>
      <c r="AY941" s="35">
        <v>-70.730086560339629</v>
      </c>
      <c r="AZ941" s="46">
        <v>-1815.3611673259454</v>
      </c>
      <c r="BA941" s="47">
        <v>4510.3062793246263</v>
      </c>
    </row>
    <row r="942" spans="42:53" x14ac:dyDescent="0.5">
      <c r="AP942"/>
      <c r="AQ942"/>
      <c r="AT942"/>
      <c r="AU942"/>
      <c r="AV942"/>
      <c r="AY942" s="35">
        <v>6960.6995024540856</v>
      </c>
      <c r="AZ942" s="46">
        <v>-2554.8052248563408</v>
      </c>
      <c r="BA942" s="47">
        <v>7257.1885823766406</v>
      </c>
    </row>
    <row r="943" spans="42:53" x14ac:dyDescent="0.5">
      <c r="AP943"/>
      <c r="AQ943"/>
      <c r="AT943"/>
      <c r="AU943"/>
      <c r="AV943"/>
      <c r="AY943" s="35">
        <v>-1807.7917210908142</v>
      </c>
      <c r="AZ943" s="46">
        <v>-1389.1900599080416</v>
      </c>
      <c r="BA943" s="47">
        <v>5532.9010962690036</v>
      </c>
    </row>
    <row r="944" spans="42:53" x14ac:dyDescent="0.5">
      <c r="AP944"/>
      <c r="AQ944"/>
      <c r="AT944"/>
      <c r="AU944"/>
      <c r="AV944"/>
      <c r="AY944" s="35">
        <v>-1011.5816702494549</v>
      </c>
      <c r="AZ944" s="46">
        <v>-3307.1059425725671</v>
      </c>
      <c r="BA944" s="47">
        <v>3887.8364703285888</v>
      </c>
    </row>
    <row r="945" spans="42:53" x14ac:dyDescent="0.5">
      <c r="AP945"/>
      <c r="AQ945"/>
      <c r="AT945"/>
      <c r="AU945"/>
      <c r="AV945"/>
      <c r="AY945" s="35">
        <v>7321.2531161393053</v>
      </c>
      <c r="AZ945" s="46">
        <v>749.19373226758569</v>
      </c>
      <c r="BA945" s="47">
        <v>4081.2705719861638</v>
      </c>
    </row>
    <row r="946" spans="42:53" x14ac:dyDescent="0.5">
      <c r="AP946"/>
      <c r="AQ946"/>
      <c r="AT946"/>
      <c r="AU946"/>
      <c r="AV946"/>
      <c r="AY946" s="35">
        <v>1683.853354041167</v>
      </c>
      <c r="AZ946" s="46">
        <v>13221.653796398656</v>
      </c>
      <c r="BA946" s="47">
        <v>4436.531990896422</v>
      </c>
    </row>
    <row r="947" spans="42:53" x14ac:dyDescent="0.5">
      <c r="AP947"/>
      <c r="AQ947"/>
      <c r="AT947"/>
      <c r="AU947"/>
      <c r="AV947"/>
      <c r="AY947" s="35">
        <v>-523.95352123398834</v>
      </c>
      <c r="AZ947" s="46">
        <v>-3880.0216205021893</v>
      </c>
      <c r="BA947" s="47">
        <v>2743.8865505039844</v>
      </c>
    </row>
    <row r="948" spans="42:53" x14ac:dyDescent="0.5">
      <c r="AP948"/>
      <c r="AQ948"/>
      <c r="AT948"/>
      <c r="AU948"/>
      <c r="AV948"/>
      <c r="AY948" s="35">
        <v>6825.0296103913479</v>
      </c>
      <c r="AZ948" s="46">
        <v>-2324.4825664191462</v>
      </c>
      <c r="BA948" s="47">
        <v>4060.6391205117675</v>
      </c>
    </row>
    <row r="949" spans="42:53" x14ac:dyDescent="0.5">
      <c r="AP949"/>
      <c r="AQ949"/>
      <c r="AT949"/>
      <c r="AU949"/>
      <c r="AV949"/>
      <c r="AY949" s="35">
        <v>3970.1490615796201</v>
      </c>
      <c r="AZ949" s="46">
        <v>1689.4854910785743</v>
      </c>
      <c r="BA949" s="47">
        <v>1494.7098665778917</v>
      </c>
    </row>
    <row r="950" spans="42:53" x14ac:dyDescent="0.5">
      <c r="AP950"/>
      <c r="AQ950"/>
      <c r="AT950"/>
      <c r="AU950"/>
      <c r="AV950"/>
      <c r="AY950" s="35">
        <v>5187.7913009582708</v>
      </c>
      <c r="AZ950" s="46">
        <v>-3028.0425344200657</v>
      </c>
      <c r="BA950" s="47">
        <v>2818.0470389113602</v>
      </c>
    </row>
    <row r="951" spans="42:53" x14ac:dyDescent="0.5">
      <c r="AP951"/>
      <c r="AQ951"/>
      <c r="AT951"/>
      <c r="AU951"/>
      <c r="AV951"/>
      <c r="AY951" s="35">
        <v>2205.97964845361</v>
      </c>
      <c r="AZ951" s="46">
        <v>1780.4632801379266</v>
      </c>
      <c r="BA951" s="47">
        <v>374.55235683592792</v>
      </c>
    </row>
    <row r="952" spans="42:53" x14ac:dyDescent="0.5">
      <c r="AP952"/>
      <c r="AQ952"/>
      <c r="AT952"/>
      <c r="AU952"/>
      <c r="AV952"/>
      <c r="AY952" s="35">
        <v>7138.5344013160011</v>
      </c>
      <c r="AZ952" s="46">
        <v>1403.7052975708311</v>
      </c>
      <c r="BA952" s="47">
        <v>10002.755629125146</v>
      </c>
    </row>
    <row r="953" spans="42:53" x14ac:dyDescent="0.5">
      <c r="AP953"/>
      <c r="AQ953"/>
      <c r="AT953"/>
      <c r="AU953"/>
      <c r="AV953"/>
      <c r="AY953" s="35">
        <v>-925.89944390779942</v>
      </c>
      <c r="AZ953" s="46">
        <v>-1198.0983780213098</v>
      </c>
      <c r="BA953" s="47">
        <v>1840.8552200968256</v>
      </c>
    </row>
    <row r="954" spans="42:53" x14ac:dyDescent="0.5">
      <c r="AP954"/>
      <c r="AQ954"/>
      <c r="AT954"/>
      <c r="AU954"/>
      <c r="AV954"/>
      <c r="AY954" s="35">
        <v>1215.2576879105802</v>
      </c>
      <c r="AZ954" s="46">
        <v>-1531.8565515541025</v>
      </c>
      <c r="BA954" s="47">
        <v>14045.902698762642</v>
      </c>
    </row>
    <row r="955" spans="42:53" x14ac:dyDescent="0.5">
      <c r="AP955"/>
      <c r="AQ955"/>
      <c r="AT955"/>
      <c r="AU955"/>
      <c r="AV955"/>
      <c r="AY955" s="35">
        <v>4668.4438626801721</v>
      </c>
      <c r="AZ955" s="46">
        <v>-980.3486591045471</v>
      </c>
      <c r="BA955" s="47">
        <v>2251.4106972104082</v>
      </c>
    </row>
    <row r="956" spans="42:53" x14ac:dyDescent="0.5">
      <c r="AP956"/>
      <c r="AQ956"/>
      <c r="AT956"/>
      <c r="AU956"/>
      <c r="AV956"/>
      <c r="AY956" s="35">
        <v>4645.5560403484333</v>
      </c>
      <c r="AZ956" s="46">
        <v>884.20068070435468</v>
      </c>
      <c r="BA956" s="47">
        <v>3915.0930017792148</v>
      </c>
    </row>
    <row r="957" spans="42:53" x14ac:dyDescent="0.5">
      <c r="AP957"/>
      <c r="AQ957"/>
      <c r="AT957"/>
      <c r="AU957"/>
      <c r="AV957"/>
      <c r="AY957" s="35">
        <v>1189.3399653740826</v>
      </c>
      <c r="AZ957" s="46">
        <v>-1320.3135902520817</v>
      </c>
      <c r="BA957" s="47">
        <v>1079.0493833360017</v>
      </c>
    </row>
    <row r="958" spans="42:53" x14ac:dyDescent="0.5">
      <c r="AP958"/>
      <c r="AQ958"/>
      <c r="AT958"/>
      <c r="AU958"/>
      <c r="AV958"/>
      <c r="AY958" s="35">
        <v>5685.060895851947</v>
      </c>
      <c r="AZ958" s="46">
        <v>-3778.4328639795021</v>
      </c>
      <c r="BA958" s="47">
        <v>1742.4165422758715</v>
      </c>
    </row>
    <row r="959" spans="42:53" x14ac:dyDescent="0.5">
      <c r="AP959"/>
      <c r="AQ959"/>
      <c r="AT959"/>
      <c r="AU959"/>
      <c r="AV959"/>
      <c r="AY959" s="35">
        <v>-382.2778125772839</v>
      </c>
      <c r="AZ959" s="46">
        <v>906.76487186422503</v>
      </c>
      <c r="BA959" s="47">
        <v>11228.873877752549</v>
      </c>
    </row>
    <row r="960" spans="42:53" x14ac:dyDescent="0.5">
      <c r="AP960"/>
      <c r="AQ960"/>
      <c r="AT960"/>
      <c r="AU960"/>
      <c r="AV960"/>
      <c r="AY960" s="35">
        <v>2309.7335774520716</v>
      </c>
      <c r="AZ960" s="46">
        <v>-1082.0408667280062</v>
      </c>
      <c r="BA960" s="47">
        <v>742.15935738811686</v>
      </c>
    </row>
    <row r="961" spans="42:53" x14ac:dyDescent="0.5">
      <c r="AP961"/>
      <c r="AQ961"/>
      <c r="AT961"/>
      <c r="AU961"/>
      <c r="AV961"/>
      <c r="AY961" s="35">
        <v>-1213.300946413219</v>
      </c>
      <c r="AZ961" s="46">
        <v>-2214.2383304192285</v>
      </c>
      <c r="BA961" s="47">
        <v>18628.080532019376</v>
      </c>
    </row>
    <row r="962" spans="42:53" x14ac:dyDescent="0.5">
      <c r="AP962"/>
      <c r="AQ962"/>
      <c r="AT962"/>
      <c r="AU962"/>
      <c r="AV962"/>
      <c r="AY962" s="35">
        <v>-703.53567612712573</v>
      </c>
      <c r="AZ962" s="46">
        <v>-868.86572393756239</v>
      </c>
      <c r="BA962" s="47">
        <v>7992.245864773301</v>
      </c>
    </row>
    <row r="963" spans="42:53" x14ac:dyDescent="0.5">
      <c r="AP963"/>
      <c r="AQ963"/>
      <c r="AT963"/>
      <c r="AU963"/>
      <c r="AV963"/>
      <c r="AY963" s="35">
        <v>4101.5763243936453</v>
      </c>
      <c r="AZ963" s="46">
        <v>3976.8854575730534</v>
      </c>
      <c r="BA963" s="47">
        <v>4774.3660800685266</v>
      </c>
    </row>
    <row r="964" spans="42:53" x14ac:dyDescent="0.5">
      <c r="AP964"/>
      <c r="AQ964"/>
      <c r="AT964"/>
      <c r="AU964"/>
      <c r="AV964"/>
      <c r="AY964" s="35">
        <v>4158.0155762913264</v>
      </c>
      <c r="AZ964" s="46">
        <v>-1435.0634707359191</v>
      </c>
      <c r="BA964" s="47">
        <v>5557.6885688826824</v>
      </c>
    </row>
    <row r="965" spans="42:53" x14ac:dyDescent="0.5">
      <c r="AP965"/>
      <c r="AQ965"/>
      <c r="AT965"/>
      <c r="AU965"/>
      <c r="AV965"/>
      <c r="AY965" s="35">
        <v>5681.2839072968991</v>
      </c>
      <c r="AZ965" s="46">
        <v>-354.33570061885621</v>
      </c>
      <c r="BA965" s="47">
        <v>-138.73374437182787</v>
      </c>
    </row>
    <row r="966" spans="42:53" x14ac:dyDescent="0.5">
      <c r="AP966"/>
      <c r="AQ966"/>
      <c r="AT966"/>
      <c r="AU966"/>
      <c r="AV966"/>
      <c r="AY966" s="35">
        <v>-1652.2907159571739</v>
      </c>
      <c r="AZ966" s="46">
        <v>-825.28152699904842</v>
      </c>
      <c r="BA966" s="47">
        <v>2093.9803892739096</v>
      </c>
    </row>
    <row r="967" spans="42:53" x14ac:dyDescent="0.5">
      <c r="AP967"/>
      <c r="AQ967"/>
      <c r="AT967"/>
      <c r="AU967"/>
      <c r="AV967"/>
      <c r="AY967" s="35">
        <v>7109.6767434313642</v>
      </c>
      <c r="AZ967" s="46">
        <v>-886.49261972733245</v>
      </c>
      <c r="BA967" s="47">
        <v>3755.4246086829462</v>
      </c>
    </row>
    <row r="968" spans="42:53" x14ac:dyDescent="0.5">
      <c r="AP968"/>
      <c r="AQ968"/>
      <c r="AT968"/>
      <c r="AU968"/>
      <c r="AV968"/>
      <c r="AY968" s="35">
        <v>2551.2111313156788</v>
      </c>
      <c r="AZ968" s="46">
        <v>-3474.5622835464424</v>
      </c>
      <c r="BA968" s="47">
        <v>9570.8451749544602</v>
      </c>
    </row>
    <row r="969" spans="42:53" x14ac:dyDescent="0.5">
      <c r="AP969"/>
      <c r="AQ969"/>
      <c r="AT969"/>
      <c r="AU969"/>
      <c r="AV969"/>
      <c r="AY969" s="35">
        <v>7641.989044062655</v>
      </c>
      <c r="AZ969" s="46">
        <v>-509.35660367486975</v>
      </c>
      <c r="BA969" s="47">
        <v>2726.9072608282754</v>
      </c>
    </row>
    <row r="970" spans="42:53" x14ac:dyDescent="0.5">
      <c r="AP970"/>
      <c r="AQ970"/>
      <c r="AT970"/>
      <c r="AU970"/>
      <c r="AV970"/>
      <c r="AY970" s="35">
        <v>5197.5499768115487</v>
      </c>
      <c r="AZ970" s="46">
        <v>12716.527604664669</v>
      </c>
      <c r="BA970" s="47">
        <v>1921.8847963991695</v>
      </c>
    </row>
    <row r="971" spans="42:53" x14ac:dyDescent="0.5">
      <c r="AP971"/>
      <c r="AQ971"/>
      <c r="AT971"/>
      <c r="AU971"/>
      <c r="AV971"/>
      <c r="AY971" s="35">
        <v>1156.2243503915277</v>
      </c>
      <c r="AZ971" s="46">
        <v>-995.90038330964023</v>
      </c>
      <c r="BA971" s="47">
        <v>3964.2585846578149</v>
      </c>
    </row>
    <row r="972" spans="42:53" x14ac:dyDescent="0.5">
      <c r="AP972"/>
      <c r="AQ972"/>
      <c r="AT972"/>
      <c r="AU972"/>
      <c r="AV972"/>
      <c r="AY972" s="35">
        <v>466.28085900603406</v>
      </c>
      <c r="AZ972" s="46">
        <v>1212.1629360972345</v>
      </c>
      <c r="BA972" s="47">
        <v>5638.9811933681331</v>
      </c>
    </row>
    <row r="973" spans="42:53" x14ac:dyDescent="0.5">
      <c r="AP973"/>
      <c r="AQ973"/>
      <c r="AT973"/>
      <c r="AU973"/>
      <c r="AV973"/>
      <c r="AY973" s="35">
        <v>7171.564771241292</v>
      </c>
      <c r="AZ973" s="46">
        <v>-1430.0375205498258</v>
      </c>
      <c r="BA973" s="47">
        <v>3451.6264137251273</v>
      </c>
    </row>
    <row r="974" spans="42:53" x14ac:dyDescent="0.5">
      <c r="AP974"/>
      <c r="AQ974"/>
      <c r="AT974"/>
      <c r="AU974"/>
      <c r="AV974"/>
      <c r="AY974" s="35">
        <v>670.49075381113812</v>
      </c>
      <c r="AZ974" s="46">
        <v>4054.2067232194609</v>
      </c>
      <c r="BA974" s="47">
        <v>4498.4042667789627</v>
      </c>
    </row>
    <row r="975" spans="42:53" x14ac:dyDescent="0.5">
      <c r="AP975"/>
      <c r="AQ975"/>
      <c r="AT975"/>
      <c r="AU975"/>
      <c r="AV975"/>
      <c r="AY975" s="35">
        <v>-387.81006892309091</v>
      </c>
      <c r="AZ975" s="46">
        <v>3751.6241824192371</v>
      </c>
      <c r="BA975" s="47">
        <v>10008.127461078147</v>
      </c>
    </row>
    <row r="976" spans="42:53" x14ac:dyDescent="0.5">
      <c r="AP976"/>
      <c r="AQ976"/>
      <c r="AT976"/>
      <c r="AU976"/>
      <c r="AV976"/>
      <c r="AY976" s="35">
        <v>6730.6783912488218</v>
      </c>
      <c r="AZ976" s="46">
        <v>-804.99465991808415</v>
      </c>
      <c r="BA976" s="47">
        <v>323.64044013886365</v>
      </c>
    </row>
    <row r="977" spans="42:53" x14ac:dyDescent="0.5">
      <c r="AP977"/>
      <c r="AQ977"/>
      <c r="AT977"/>
      <c r="AU977"/>
      <c r="AV977"/>
      <c r="AY977" s="35">
        <v>4818.8534946023137</v>
      </c>
      <c r="AZ977" s="46">
        <v>-560.84126470204603</v>
      </c>
      <c r="BA977" s="47">
        <v>1670.4173388316972</v>
      </c>
    </row>
    <row r="978" spans="42:53" x14ac:dyDescent="0.5">
      <c r="AP978"/>
      <c r="AQ978"/>
      <c r="AT978"/>
      <c r="AU978"/>
      <c r="AV978"/>
      <c r="AY978" s="35">
        <v>6496.8647062958635</v>
      </c>
      <c r="AZ978" s="46">
        <v>2901.4865285402452</v>
      </c>
      <c r="BA978" s="47">
        <v>3710.4684644252343</v>
      </c>
    </row>
    <row r="979" spans="42:53" x14ac:dyDescent="0.5">
      <c r="AP979"/>
      <c r="AQ979"/>
      <c r="AT979"/>
      <c r="AU979"/>
      <c r="AV979"/>
      <c r="AY979" s="35">
        <v>-2335.1504888774939</v>
      </c>
      <c r="AZ979" s="46">
        <v>6299.4343326120388</v>
      </c>
      <c r="BA979" s="47">
        <v>2131.2146443877232</v>
      </c>
    </row>
    <row r="980" spans="42:53" x14ac:dyDescent="0.5">
      <c r="AP980"/>
      <c r="AQ980"/>
      <c r="AT980"/>
      <c r="AU980"/>
      <c r="AV980"/>
      <c r="AY980" s="35">
        <v>2981.302948522075</v>
      </c>
      <c r="AZ980" s="46">
        <v>-1167.938024003503</v>
      </c>
      <c r="BA980" s="47">
        <v>2008.151199585373</v>
      </c>
    </row>
    <row r="981" spans="42:53" x14ac:dyDescent="0.5">
      <c r="AP981"/>
      <c r="AQ981"/>
      <c r="AT981"/>
      <c r="AU981"/>
      <c r="AV981"/>
      <c r="AY981" s="35">
        <v>-896.71538679319121</v>
      </c>
      <c r="AZ981" s="46">
        <v>-4190.7896522549045</v>
      </c>
      <c r="BA981" s="47">
        <v>3818.4752120883459</v>
      </c>
    </row>
    <row r="982" spans="42:53" x14ac:dyDescent="0.5">
      <c r="AP982"/>
      <c r="AQ982"/>
      <c r="AT982"/>
      <c r="AU982"/>
      <c r="AV982"/>
      <c r="AY982" s="35">
        <v>5768.7222360918804</v>
      </c>
      <c r="AZ982" s="46">
        <v>-3531.3029599701385</v>
      </c>
      <c r="BA982" s="47">
        <v>3326.1357541027501</v>
      </c>
    </row>
    <row r="983" spans="42:53" x14ac:dyDescent="0.5">
      <c r="AP983"/>
      <c r="AQ983"/>
      <c r="AT983"/>
      <c r="AU983"/>
      <c r="AV983"/>
      <c r="AY983" s="35">
        <v>2272.7421593956005</v>
      </c>
      <c r="AZ983" s="46">
        <v>347.10103963108833</v>
      </c>
      <c r="BA983" s="47">
        <v>4313.9393455530208</v>
      </c>
    </row>
    <row r="984" spans="42:53" x14ac:dyDescent="0.5">
      <c r="AP984"/>
      <c r="AQ984"/>
      <c r="AT984"/>
      <c r="AU984"/>
      <c r="AV984"/>
      <c r="AY984" s="35">
        <v>-2119.6421838661854</v>
      </c>
      <c r="AZ984" s="46">
        <v>817.07296981502702</v>
      </c>
      <c r="BA984" s="47">
        <v>9058.8854585983718</v>
      </c>
    </row>
    <row r="985" spans="42:53" x14ac:dyDescent="0.5">
      <c r="AP985"/>
      <c r="AQ985"/>
      <c r="AT985"/>
      <c r="AU985"/>
      <c r="AV985"/>
      <c r="AY985" s="35">
        <v>2103.4540655043656</v>
      </c>
      <c r="AZ985" s="46">
        <v>961.66833239393804</v>
      </c>
      <c r="BA985" s="47">
        <v>2524.8479882600109</v>
      </c>
    </row>
    <row r="986" spans="42:53" x14ac:dyDescent="0.5">
      <c r="AP986"/>
      <c r="AQ986"/>
      <c r="AT986"/>
      <c r="AU986"/>
      <c r="AV986"/>
      <c r="AY986" s="35">
        <v>1180.2227483192455</v>
      </c>
      <c r="AZ986" s="46">
        <v>-5279.9718574437484</v>
      </c>
      <c r="BA986" s="47">
        <v>-6.2671823784411274</v>
      </c>
    </row>
    <row r="987" spans="42:53" x14ac:dyDescent="0.5">
      <c r="AP987"/>
      <c r="AQ987"/>
      <c r="AT987"/>
      <c r="AU987"/>
      <c r="AV987"/>
      <c r="AY987" s="35">
        <v>2618.9364218001933</v>
      </c>
      <c r="AZ987" s="46">
        <v>-1590.1630367881796</v>
      </c>
      <c r="BA987" s="47">
        <v>646.34774202130097</v>
      </c>
    </row>
    <row r="988" spans="42:53" x14ac:dyDescent="0.5">
      <c r="AP988"/>
      <c r="AQ988"/>
      <c r="AT988"/>
      <c r="AU988"/>
      <c r="AV988"/>
      <c r="AY988" s="35">
        <v>5438.8382766430032</v>
      </c>
      <c r="AZ988" s="46">
        <v>10694.344751160206</v>
      </c>
      <c r="BA988" s="47">
        <v>2977.1838163102934</v>
      </c>
    </row>
    <row r="989" spans="42:53" x14ac:dyDescent="0.5">
      <c r="AP989"/>
      <c r="AQ989"/>
      <c r="AT989"/>
      <c r="AU989"/>
      <c r="AV989"/>
      <c r="AY989" s="35">
        <v>7383.3049458816295</v>
      </c>
      <c r="AZ989" s="46">
        <v>1050.8304343762998</v>
      </c>
      <c r="BA989" s="47">
        <v>6874.9218824912396</v>
      </c>
    </row>
    <row r="990" spans="42:53" x14ac:dyDescent="0.5">
      <c r="AP990"/>
      <c r="AQ990"/>
      <c r="AT990"/>
      <c r="AU990"/>
      <c r="AV990"/>
      <c r="AY990" s="35">
        <v>7234.6079784078138</v>
      </c>
      <c r="AZ990" s="46">
        <v>-2621.0571746732335</v>
      </c>
      <c r="BA990" s="47">
        <v>9398.3214794302603</v>
      </c>
    </row>
    <row r="991" spans="42:53" x14ac:dyDescent="0.5">
      <c r="AP991"/>
      <c r="AQ991"/>
      <c r="AT991"/>
      <c r="AU991"/>
      <c r="AV991"/>
      <c r="AY991" s="35">
        <v>5652.3701958769916</v>
      </c>
      <c r="AZ991" s="46">
        <v>12507.085832676916</v>
      </c>
      <c r="BA991" s="47">
        <v>7370.7161548662571</v>
      </c>
    </row>
    <row r="992" spans="42:53" x14ac:dyDescent="0.5">
      <c r="AP992"/>
      <c r="AQ992"/>
      <c r="AT992"/>
      <c r="AU992"/>
      <c r="AV992"/>
      <c r="AY992" s="35">
        <v>390.87763826609967</v>
      </c>
      <c r="AZ992" s="46">
        <v>-843.42009444276255</v>
      </c>
      <c r="BA992" s="47">
        <v>7963.8674767381281</v>
      </c>
    </row>
    <row r="993" spans="42:53" x14ac:dyDescent="0.5">
      <c r="AP993"/>
      <c r="AQ993"/>
      <c r="AT993"/>
      <c r="AU993"/>
      <c r="AV993"/>
      <c r="AY993" s="35">
        <v>2225.6145559781266</v>
      </c>
      <c r="AZ993" s="46">
        <v>-3644.4050545505902</v>
      </c>
      <c r="BA993" s="47">
        <v>5543.238473740922</v>
      </c>
    </row>
    <row r="994" spans="42:53" x14ac:dyDescent="0.5">
      <c r="AP994"/>
      <c r="AQ994"/>
      <c r="AT994"/>
      <c r="AU994"/>
      <c r="AV994"/>
      <c r="AY994" s="35">
        <v>5138.0529960654676</v>
      </c>
      <c r="AZ994" s="46">
        <v>-3976.7573948293748</v>
      </c>
      <c r="BA994" s="47">
        <v>7166.8791406686651</v>
      </c>
    </row>
    <row r="995" spans="42:53" x14ac:dyDescent="0.5">
      <c r="AP995"/>
      <c r="AQ995"/>
      <c r="AT995"/>
      <c r="AU995"/>
      <c r="AV995"/>
      <c r="AY995" s="35">
        <v>297.94103693027586</v>
      </c>
      <c r="AZ995" s="46">
        <v>-2565.5214688993397</v>
      </c>
      <c r="BA995" s="47">
        <v>14825.644178083132</v>
      </c>
    </row>
    <row r="996" spans="42:53" x14ac:dyDescent="0.5">
      <c r="AP996"/>
      <c r="AQ996"/>
      <c r="AT996"/>
      <c r="AU996"/>
      <c r="AV996"/>
      <c r="AY996" s="35">
        <v>7731.805893451281</v>
      </c>
      <c r="AZ996" s="46">
        <v>862.32866525923623</v>
      </c>
      <c r="BA996" s="47">
        <v>1325.7843063521625</v>
      </c>
    </row>
    <row r="997" spans="42:53" x14ac:dyDescent="0.5">
      <c r="AP997"/>
      <c r="AQ997"/>
      <c r="AT997"/>
      <c r="AU997"/>
      <c r="AV997"/>
      <c r="AY997" s="35">
        <v>1134.2511455687845</v>
      </c>
      <c r="AZ997" s="46">
        <v>-3937.9819512387567</v>
      </c>
      <c r="BA997" s="47">
        <v>3451.9185476238281</v>
      </c>
    </row>
    <row r="998" spans="42:53" x14ac:dyDescent="0.5">
      <c r="AP998"/>
      <c r="AQ998"/>
      <c r="AT998"/>
      <c r="AU998"/>
      <c r="AV998"/>
      <c r="AY998" s="35">
        <v>6023.3388341386126</v>
      </c>
      <c r="AZ998" s="46">
        <v>2500.6375678239906</v>
      </c>
      <c r="BA998" s="47">
        <v>8410.7798186411055</v>
      </c>
    </row>
    <row r="999" spans="42:53" x14ac:dyDescent="0.5">
      <c r="AP999"/>
      <c r="AQ999"/>
      <c r="AT999"/>
      <c r="AU999"/>
      <c r="AV999"/>
      <c r="AY999" s="35">
        <v>-1241.3453972096324</v>
      </c>
      <c r="AZ999" s="46">
        <v>-4912.0478061204585</v>
      </c>
      <c r="BA999" s="47">
        <v>4914.4033192496909</v>
      </c>
    </row>
    <row r="1000" spans="42:53" x14ac:dyDescent="0.5">
      <c r="AP1000"/>
      <c r="AQ1000"/>
      <c r="AT1000"/>
      <c r="AU1000"/>
      <c r="AV1000"/>
      <c r="AY1000" s="35">
        <v>-2002.3466508619906</v>
      </c>
      <c r="AZ1000" s="46">
        <v>-1220.858206992172</v>
      </c>
      <c r="BA1000" s="47">
        <v>-293.1529680377015</v>
      </c>
    </row>
    <row r="1001" spans="42:53" x14ac:dyDescent="0.5">
      <c r="AP1001"/>
      <c r="AQ1001"/>
      <c r="AT1001"/>
      <c r="AU1001"/>
      <c r="AV1001"/>
      <c r="AY1001" s="35">
        <v>2055.3869357348999</v>
      </c>
      <c r="AZ1001" s="46">
        <v>-3657.9075480334259</v>
      </c>
      <c r="BA1001" s="47">
        <v>3359.1727166628225</v>
      </c>
    </row>
    <row r="1002" spans="42:53" x14ac:dyDescent="0.5">
      <c r="AP1002"/>
      <c r="AQ1002"/>
      <c r="AT1002"/>
      <c r="AU1002"/>
      <c r="AV1002"/>
      <c r="AY1002" s="35">
        <v>5654.574217313906</v>
      </c>
      <c r="AZ1002" s="46">
        <v>-356.99265570947279</v>
      </c>
      <c r="BA1002" s="47">
        <v>736.75947226544781</v>
      </c>
    </row>
    <row r="1003" spans="42:53" x14ac:dyDescent="0.5">
      <c r="AP1003"/>
      <c r="AQ1003"/>
      <c r="AT1003"/>
      <c r="AU1003"/>
      <c r="AV1003"/>
      <c r="AY1003" s="35">
        <v>-2057.8170530176812</v>
      </c>
      <c r="AZ1003" s="46">
        <v>-405.69868576802361</v>
      </c>
      <c r="BA1003" s="47">
        <v>3333.8995314053182</v>
      </c>
    </row>
    <row r="1004" spans="42:53" x14ac:dyDescent="0.5">
      <c r="AP1004"/>
      <c r="AQ1004"/>
      <c r="AT1004"/>
      <c r="AU1004"/>
      <c r="AV1004"/>
      <c r="AY1004" s="35">
        <v>7141.8998589097228</v>
      </c>
      <c r="AZ1004" s="46">
        <v>889.11065048796524</v>
      </c>
      <c r="BA1004" s="47">
        <v>10747.867760139769</v>
      </c>
    </row>
    <row r="1005" spans="42:53" x14ac:dyDescent="0.5">
      <c r="AP1005"/>
      <c r="AQ1005"/>
      <c r="AT1005"/>
      <c r="AU1005"/>
      <c r="AV1005"/>
    </row>
    <row r="1006" spans="42:53" x14ac:dyDescent="0.5">
      <c r="AP1006"/>
      <c r="AQ1006"/>
      <c r="AT1006"/>
      <c r="AU1006"/>
      <c r="AV1006"/>
    </row>
    <row r="1007" spans="42:53" x14ac:dyDescent="0.5">
      <c r="AP1007"/>
      <c r="AQ1007"/>
      <c r="AT1007"/>
      <c r="AU1007"/>
      <c r="AV1007"/>
    </row>
    <row r="1008" spans="42:53" x14ac:dyDescent="0.5">
      <c r="AP1008"/>
      <c r="AQ1008"/>
      <c r="AT1008"/>
      <c r="AU1008"/>
      <c r="AV1008"/>
    </row>
    <row r="1009" spans="42:48" x14ac:dyDescent="0.5">
      <c r="AP1009"/>
      <c r="AQ1009"/>
      <c r="AT1009"/>
      <c r="AU1009"/>
      <c r="AV1009"/>
    </row>
    <row r="1010" spans="42:48" x14ac:dyDescent="0.5">
      <c r="AP1010"/>
      <c r="AQ1010"/>
      <c r="AT1010"/>
      <c r="AU1010"/>
      <c r="AV1010"/>
    </row>
    <row r="1011" spans="42:48" x14ac:dyDescent="0.5">
      <c r="AP1011"/>
      <c r="AQ1011"/>
      <c r="AT1011"/>
      <c r="AU1011"/>
      <c r="AV1011"/>
    </row>
    <row r="1012" spans="42:48" x14ac:dyDescent="0.5">
      <c r="AP1012"/>
      <c r="AQ1012"/>
      <c r="AU1012"/>
      <c r="AV1012"/>
    </row>
    <row r="1013" spans="42:48" x14ac:dyDescent="0.5">
      <c r="AP1013"/>
      <c r="AQ1013"/>
      <c r="AU1013"/>
      <c r="AV1013"/>
    </row>
    <row r="1014" spans="42:48" x14ac:dyDescent="0.5">
      <c r="AP1014"/>
      <c r="AQ1014"/>
      <c r="AU1014"/>
      <c r="AV1014"/>
    </row>
    <row r="1015" spans="42:48" x14ac:dyDescent="0.5">
      <c r="AP1015"/>
      <c r="AQ1015"/>
      <c r="AU1015"/>
      <c r="AV1015"/>
    </row>
    <row r="1016" spans="42:48" x14ac:dyDescent="0.5">
      <c r="AP1016"/>
      <c r="AQ1016"/>
      <c r="AU1016"/>
      <c r="AV1016"/>
    </row>
    <row r="1017" spans="42:48" x14ac:dyDescent="0.5">
      <c r="AP1017"/>
      <c r="AQ1017"/>
      <c r="AU1017"/>
      <c r="AV1017"/>
    </row>
    <row r="1018" spans="42:48" x14ac:dyDescent="0.5">
      <c r="AP1018"/>
      <c r="AQ1018"/>
      <c r="AU1018"/>
      <c r="AV1018"/>
    </row>
    <row r="1019" spans="42:48" x14ac:dyDescent="0.5">
      <c r="AP1019"/>
      <c r="AQ1019"/>
      <c r="AU1019"/>
      <c r="AV1019"/>
    </row>
    <row r="1020" spans="42:48" x14ac:dyDescent="0.5">
      <c r="AP1020"/>
      <c r="AQ1020"/>
      <c r="AU1020"/>
      <c r="AV1020"/>
    </row>
    <row r="1021" spans="42:48" x14ac:dyDescent="0.5">
      <c r="AP1021"/>
      <c r="AQ1021"/>
      <c r="AU1021"/>
      <c r="AV1021"/>
    </row>
    <row r="1022" spans="42:48" x14ac:dyDescent="0.5">
      <c r="AP1022"/>
      <c r="AQ1022"/>
      <c r="AU1022"/>
      <c r="AV1022"/>
    </row>
    <row r="1023" spans="42:48" x14ac:dyDescent="0.5">
      <c r="AP1023"/>
      <c r="AQ1023"/>
      <c r="AU1023"/>
      <c r="AV1023"/>
    </row>
    <row r="1024" spans="42:48" x14ac:dyDescent="0.5">
      <c r="AP1024"/>
      <c r="AQ1024"/>
      <c r="AU1024"/>
      <c r="AV1024"/>
    </row>
    <row r="1025" spans="42:48" x14ac:dyDescent="0.5">
      <c r="AP1025"/>
      <c r="AQ1025"/>
      <c r="AU1025"/>
      <c r="AV1025"/>
    </row>
    <row r="1026" spans="42:48" x14ac:dyDescent="0.5">
      <c r="AP1026"/>
      <c r="AQ1026"/>
      <c r="AU1026"/>
      <c r="AV1026"/>
    </row>
    <row r="1027" spans="42:48" x14ac:dyDescent="0.5">
      <c r="AP1027"/>
      <c r="AQ1027"/>
      <c r="AU1027"/>
      <c r="AV1027"/>
    </row>
    <row r="1028" spans="42:48" x14ac:dyDescent="0.5">
      <c r="AP1028"/>
      <c r="AQ1028"/>
      <c r="AU1028"/>
      <c r="AV1028"/>
    </row>
    <row r="1029" spans="42:48" x14ac:dyDescent="0.5">
      <c r="AP1029"/>
      <c r="AQ1029"/>
      <c r="AU1029"/>
      <c r="AV1029"/>
    </row>
    <row r="1030" spans="42:48" x14ac:dyDescent="0.5">
      <c r="AP1030"/>
      <c r="AQ1030"/>
      <c r="AU1030"/>
      <c r="AV1030"/>
    </row>
    <row r="1031" spans="42:48" x14ac:dyDescent="0.5">
      <c r="AP1031"/>
      <c r="AQ1031"/>
      <c r="AU1031"/>
      <c r="AV1031"/>
    </row>
    <row r="1032" spans="42:48" x14ac:dyDescent="0.5">
      <c r="AP1032"/>
      <c r="AQ1032"/>
    </row>
    <row r="1033" spans="42:48" x14ac:dyDescent="0.5">
      <c r="AP1033"/>
      <c r="AQ1033"/>
    </row>
    <row r="1034" spans="42:48" x14ac:dyDescent="0.5">
      <c r="AP1034"/>
      <c r="AQ1034"/>
    </row>
    <row r="1035" spans="42:48" x14ac:dyDescent="0.5">
      <c r="AP1035"/>
      <c r="AQ1035"/>
    </row>
    <row r="1036" spans="42:48" x14ac:dyDescent="0.5">
      <c r="AP1036"/>
      <c r="AQ1036"/>
    </row>
    <row r="1037" spans="42:48" x14ac:dyDescent="0.5">
      <c r="AP1037"/>
      <c r="AQ1037"/>
    </row>
    <row r="1038" spans="42:48" x14ac:dyDescent="0.5">
      <c r="AP1038"/>
      <c r="AQ1038"/>
    </row>
    <row r="1039" spans="42:48" x14ac:dyDescent="0.5">
      <c r="AP1039"/>
      <c r="AQ1039"/>
    </row>
    <row r="1040" spans="42:48" x14ac:dyDescent="0.5">
      <c r="AP1040"/>
      <c r="AQ1040"/>
    </row>
    <row r="1041" spans="42:43" x14ac:dyDescent="0.5">
      <c r="AP1041"/>
      <c r="AQ1041"/>
    </row>
    <row r="1042" spans="42:43" x14ac:dyDescent="0.5">
      <c r="AP1042"/>
      <c r="AQ1042"/>
    </row>
    <row r="1043" spans="42:43" x14ac:dyDescent="0.5">
      <c r="AP1043"/>
      <c r="AQ1043"/>
    </row>
    <row r="1044" spans="42:43" x14ac:dyDescent="0.5">
      <c r="AP1044"/>
      <c r="AQ1044"/>
    </row>
    <row r="1045" spans="42:43" x14ac:dyDescent="0.5">
      <c r="AP1045"/>
      <c r="AQ1045"/>
    </row>
    <row r="1046" spans="42:43" x14ac:dyDescent="0.5">
      <c r="AP1046"/>
      <c r="AQ1046"/>
    </row>
    <row r="1047" spans="42:43" x14ac:dyDescent="0.5">
      <c r="AP1047"/>
      <c r="AQ1047"/>
    </row>
    <row r="1048" spans="42:43" x14ac:dyDescent="0.5">
      <c r="AP1048"/>
      <c r="AQ1048"/>
    </row>
    <row r="1049" spans="42:43" x14ac:dyDescent="0.5">
      <c r="AP1049"/>
      <c r="AQ1049"/>
    </row>
    <row r="1050" spans="42:43" x14ac:dyDescent="0.5">
      <c r="AP1050"/>
      <c r="AQ1050"/>
    </row>
    <row r="1051" spans="42:43" x14ac:dyDescent="0.5">
      <c r="AP1051"/>
      <c r="AQ1051"/>
    </row>
    <row r="1052" spans="42:43" x14ac:dyDescent="0.5">
      <c r="AP1052"/>
      <c r="AQ1052"/>
    </row>
    <row r="1053" spans="42:43" x14ac:dyDescent="0.5">
      <c r="AP1053"/>
      <c r="AQ1053"/>
    </row>
  </sheetData>
  <mergeCells count="5">
    <mergeCell ref="C49:AL49"/>
    <mergeCell ref="C2:H4"/>
    <mergeCell ref="I2:AL4"/>
    <mergeCell ref="C6:AL6"/>
    <mergeCell ref="C27:AL27"/>
  </mergeCell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E5129-D271-48AC-82B7-6D5E10FEF91B}">
  <sheetPr>
    <tabColor theme="8"/>
  </sheetPr>
  <dimension ref="B2:AU117"/>
  <sheetViews>
    <sheetView zoomScale="58" zoomScaleNormal="145" workbookViewId="0">
      <selection activeCell="D31" sqref="D31"/>
    </sheetView>
  </sheetViews>
  <sheetFormatPr defaultRowHeight="16.8" x14ac:dyDescent="0.5"/>
  <cols>
    <col min="1" max="2" width="8.88671875" style="5"/>
    <col min="3" max="3" width="29.88671875" style="5" bestFit="1" customWidth="1"/>
    <col min="4" max="4" width="10.109375" style="5" bestFit="1" customWidth="1"/>
    <col min="5" max="6" width="8.88671875" style="5"/>
    <col min="7" max="7" width="4.6640625" style="5" bestFit="1" customWidth="1"/>
    <col min="8" max="8" width="13.77734375" style="5" bestFit="1" customWidth="1"/>
    <col min="9" max="9" width="7.88671875" style="5" bestFit="1" customWidth="1"/>
    <col min="10" max="10" width="12.33203125" style="5" bestFit="1" customWidth="1"/>
    <col min="11" max="11" width="13.33203125" style="5" bestFit="1" customWidth="1"/>
    <col min="12" max="16384" width="8.88671875" style="5"/>
  </cols>
  <sheetData>
    <row r="2" spans="3:47" ht="16.8" customHeight="1" x14ac:dyDescent="0.5">
      <c r="C2" s="128" t="s">
        <v>137</v>
      </c>
      <c r="D2" s="128"/>
      <c r="E2" s="128"/>
      <c r="F2" s="128"/>
      <c r="G2" s="128"/>
      <c r="H2" s="128"/>
      <c r="I2" s="129" t="s">
        <v>207</v>
      </c>
      <c r="J2" s="129"/>
      <c r="K2" s="129"/>
      <c r="L2" s="129"/>
      <c r="M2" s="129"/>
      <c r="N2" s="129"/>
      <c r="O2" s="129"/>
      <c r="P2" s="129"/>
      <c r="Q2" s="129"/>
      <c r="R2" s="129"/>
      <c r="S2" s="129"/>
      <c r="T2" s="129"/>
      <c r="U2" s="129"/>
      <c r="V2" s="129"/>
      <c r="W2" s="129"/>
      <c r="X2" s="129"/>
      <c r="Y2" s="129"/>
      <c r="Z2" s="129"/>
      <c r="AA2" s="129"/>
      <c r="AB2" s="129"/>
      <c r="AC2" s="129"/>
      <c r="AD2" s="129"/>
      <c r="AE2" s="129"/>
      <c r="AF2" s="129"/>
      <c r="AG2" s="129"/>
      <c r="AH2" s="129"/>
      <c r="AI2" s="129"/>
    </row>
    <row r="3" spans="3:47" ht="16.8" customHeight="1" x14ac:dyDescent="0.5">
      <c r="C3" s="128"/>
      <c r="D3" s="128"/>
      <c r="E3" s="128"/>
      <c r="F3" s="128"/>
      <c r="G3" s="128"/>
      <c r="H3" s="128"/>
      <c r="I3" s="129"/>
      <c r="J3" s="129"/>
      <c r="K3" s="129"/>
      <c r="L3" s="129"/>
      <c r="M3" s="129"/>
      <c r="N3" s="129"/>
      <c r="O3" s="129"/>
      <c r="P3" s="129"/>
      <c r="Q3" s="129"/>
      <c r="R3" s="129"/>
      <c r="S3" s="129"/>
      <c r="T3" s="129"/>
      <c r="U3" s="129"/>
      <c r="V3" s="129"/>
      <c r="W3" s="129"/>
      <c r="X3" s="129"/>
      <c r="Y3" s="129"/>
      <c r="Z3" s="129"/>
      <c r="AA3" s="129"/>
      <c r="AB3" s="129"/>
      <c r="AC3" s="129"/>
      <c r="AD3" s="129"/>
      <c r="AE3" s="129"/>
      <c r="AF3" s="129"/>
      <c r="AG3" s="129"/>
      <c r="AH3" s="129"/>
      <c r="AI3" s="129"/>
    </row>
    <row r="4" spans="3:47" ht="16.8" customHeight="1" x14ac:dyDescent="0.5">
      <c r="C4" s="128"/>
      <c r="D4" s="128"/>
      <c r="E4" s="128"/>
      <c r="F4" s="128"/>
      <c r="G4" s="128"/>
      <c r="H4" s="128"/>
      <c r="I4" s="129"/>
      <c r="J4" s="129"/>
      <c r="K4" s="129"/>
      <c r="L4" s="129"/>
      <c r="M4" s="129"/>
      <c r="N4" s="129"/>
      <c r="O4" s="129"/>
      <c r="P4" s="129"/>
      <c r="Q4" s="129"/>
      <c r="R4" s="129"/>
      <c r="S4" s="129"/>
      <c r="T4" s="129"/>
      <c r="U4" s="129"/>
      <c r="V4" s="129"/>
      <c r="W4" s="129"/>
      <c r="X4" s="129"/>
      <c r="Y4" s="129"/>
      <c r="Z4" s="129"/>
      <c r="AA4" s="129"/>
      <c r="AB4" s="129"/>
      <c r="AC4" s="129"/>
      <c r="AD4" s="129"/>
      <c r="AE4" s="129"/>
      <c r="AF4" s="129"/>
      <c r="AG4" s="129"/>
      <c r="AH4" s="129"/>
      <c r="AI4" s="129"/>
    </row>
    <row r="6" spans="3:47" ht="30" x14ac:dyDescent="0.85">
      <c r="C6" s="127" t="s">
        <v>169</v>
      </c>
      <c r="D6" s="127"/>
      <c r="E6" s="127"/>
      <c r="F6" s="127"/>
      <c r="G6" s="127"/>
      <c r="H6" s="127"/>
      <c r="I6" s="127"/>
      <c r="J6" s="127"/>
      <c r="K6" s="127"/>
      <c r="L6" s="127"/>
      <c r="M6" s="127"/>
      <c r="N6" s="127"/>
      <c r="O6" s="127"/>
      <c r="P6" s="127"/>
      <c r="Q6" s="127"/>
      <c r="R6" s="127"/>
      <c r="S6" s="127"/>
      <c r="T6" s="127"/>
      <c r="U6" s="127"/>
      <c r="V6" s="127"/>
      <c r="W6" s="127"/>
      <c r="X6" s="127"/>
      <c r="Y6" s="127"/>
      <c r="Z6" s="127"/>
      <c r="AA6" s="127"/>
      <c r="AB6" s="127"/>
      <c r="AC6" s="127"/>
      <c r="AD6" s="127"/>
      <c r="AE6" s="127"/>
      <c r="AF6" s="127"/>
      <c r="AG6" s="127"/>
      <c r="AH6" s="127"/>
      <c r="AI6" s="127"/>
    </row>
    <row r="7" spans="3:47" ht="17.399999999999999" thickBot="1" x14ac:dyDescent="0.55000000000000004">
      <c r="AT7" s="22" t="s">
        <v>82</v>
      </c>
      <c r="AU7" s="22" t="s">
        <v>154</v>
      </c>
    </row>
    <row r="8" spans="3:47" x14ac:dyDescent="0.5">
      <c r="C8" s="75" t="s">
        <v>168</v>
      </c>
      <c r="D8" s="14"/>
      <c r="G8" s="69" t="s">
        <v>97</v>
      </c>
      <c r="H8" s="69" t="s">
        <v>155</v>
      </c>
      <c r="I8" s="69" t="s">
        <v>94</v>
      </c>
      <c r="J8" s="69" t="s">
        <v>96</v>
      </c>
      <c r="K8" s="69" t="s">
        <v>118</v>
      </c>
    </row>
    <row r="9" spans="3:47" x14ac:dyDescent="0.5">
      <c r="G9" s="91">
        <v>1</v>
      </c>
      <c r="H9" s="94" t="s">
        <v>159</v>
      </c>
      <c r="I9" s="91">
        <v>126</v>
      </c>
      <c r="J9" s="37">
        <f t="shared" ref="J9:J16" si="0">I9/(SUM($I$9:$I$16))</f>
        <v>0.126</v>
      </c>
      <c r="K9" s="37">
        <f>SUM($J9:J$9)</f>
        <v>0.126</v>
      </c>
      <c r="AT9" s="22" t="s">
        <v>141</v>
      </c>
      <c r="AU9" s="22" t="s">
        <v>167</v>
      </c>
    </row>
    <row r="10" spans="3:47" x14ac:dyDescent="0.5">
      <c r="C10" s="5" t="s">
        <v>88</v>
      </c>
      <c r="D10" s="12">
        <v>60.365824733207901</v>
      </c>
      <c r="G10" s="91">
        <v>2</v>
      </c>
      <c r="H10" s="94" t="s">
        <v>160</v>
      </c>
      <c r="I10" s="91">
        <v>126</v>
      </c>
      <c r="J10" s="37">
        <f t="shared" si="0"/>
        <v>0.126</v>
      </c>
      <c r="K10" s="37">
        <f>SUM($J$9:J10)</f>
        <v>0.252</v>
      </c>
      <c r="AT10" s="77" t="s">
        <v>159</v>
      </c>
      <c r="AU10" s="22">
        <v>126</v>
      </c>
    </row>
    <row r="11" spans="3:47" x14ac:dyDescent="0.5">
      <c r="C11" s="5" t="s">
        <v>108</v>
      </c>
      <c r="D11" s="12">
        <v>0.74457398552688059</v>
      </c>
      <c r="G11" s="91">
        <v>3</v>
      </c>
      <c r="H11" s="94" t="s">
        <v>161</v>
      </c>
      <c r="I11" s="91">
        <v>116</v>
      </c>
      <c r="J11" s="37">
        <f t="shared" si="0"/>
        <v>0.11600000000000001</v>
      </c>
      <c r="K11" s="37">
        <f>SUM($J$9:J11)</f>
        <v>0.36799999999999999</v>
      </c>
      <c r="AT11" s="77" t="s">
        <v>160</v>
      </c>
      <c r="AU11" s="22">
        <v>126</v>
      </c>
    </row>
    <row r="12" spans="3:47" x14ac:dyDescent="0.5">
      <c r="C12" s="5" t="s">
        <v>89</v>
      </c>
      <c r="D12" s="12">
        <v>60.757818526235333</v>
      </c>
      <c r="G12" s="91">
        <v>4</v>
      </c>
      <c r="H12" s="94" t="s">
        <v>162</v>
      </c>
      <c r="I12" s="91">
        <v>117</v>
      </c>
      <c r="J12" s="37">
        <f t="shared" si="0"/>
        <v>0.11700000000000001</v>
      </c>
      <c r="K12" s="37">
        <f>SUM($J$9:J12)</f>
        <v>0.48499999999999999</v>
      </c>
      <c r="AT12" s="77" t="s">
        <v>161</v>
      </c>
      <c r="AU12" s="22">
        <v>116</v>
      </c>
    </row>
    <row r="13" spans="3:47" x14ac:dyDescent="0.5">
      <c r="C13" s="5" t="s">
        <v>110</v>
      </c>
      <c r="D13" s="12">
        <v>23.545496807741888</v>
      </c>
      <c r="G13" s="91">
        <v>5</v>
      </c>
      <c r="H13" s="94" t="s">
        <v>163</v>
      </c>
      <c r="I13" s="91">
        <v>123</v>
      </c>
      <c r="J13" s="37">
        <f t="shared" si="0"/>
        <v>0.123</v>
      </c>
      <c r="K13" s="37">
        <f>SUM($J$9:J13)</f>
        <v>0.60799999999999998</v>
      </c>
      <c r="AT13" s="77" t="s">
        <v>162</v>
      </c>
      <c r="AU13" s="22">
        <v>117</v>
      </c>
    </row>
    <row r="14" spans="3:47" x14ac:dyDescent="0.5">
      <c r="C14" s="5" t="s">
        <v>111</v>
      </c>
      <c r="D14" s="12">
        <v>554.39041992338343</v>
      </c>
      <c r="G14" s="91">
        <v>6</v>
      </c>
      <c r="H14" s="94" t="s">
        <v>164</v>
      </c>
      <c r="I14" s="91">
        <v>137</v>
      </c>
      <c r="J14" s="37">
        <f t="shared" si="0"/>
        <v>0.13700000000000001</v>
      </c>
      <c r="K14" s="37">
        <f>SUM($J$9:J14)</f>
        <v>0.745</v>
      </c>
      <c r="AT14" s="77" t="s">
        <v>163</v>
      </c>
      <c r="AU14" s="22">
        <v>123</v>
      </c>
    </row>
    <row r="15" spans="3:47" x14ac:dyDescent="0.5">
      <c r="C15" s="5" t="s">
        <v>112</v>
      </c>
      <c r="D15" s="12">
        <v>-1.2341333371997456</v>
      </c>
      <c r="G15" s="91">
        <v>7</v>
      </c>
      <c r="H15" s="94" t="s">
        <v>165</v>
      </c>
      <c r="I15" s="91">
        <v>117</v>
      </c>
      <c r="J15" s="37">
        <f t="shared" si="0"/>
        <v>0.11700000000000001</v>
      </c>
      <c r="K15" s="37">
        <f>SUM($J$9:J15)</f>
        <v>0.86199999999999999</v>
      </c>
      <c r="AT15" s="77" t="s">
        <v>164</v>
      </c>
      <c r="AU15" s="22">
        <v>137</v>
      </c>
    </row>
    <row r="16" spans="3:47" x14ac:dyDescent="0.5">
      <c r="C16" s="5" t="s">
        <v>113</v>
      </c>
      <c r="D16" s="12">
        <v>-1.2347154718579776E-2</v>
      </c>
      <c r="G16" s="91">
        <v>8</v>
      </c>
      <c r="H16" s="94" t="s">
        <v>166</v>
      </c>
      <c r="I16" s="91">
        <v>138</v>
      </c>
      <c r="J16" s="37">
        <f t="shared" si="0"/>
        <v>0.13800000000000001</v>
      </c>
      <c r="K16" s="37">
        <f>SUM($J$9:J16)</f>
        <v>1</v>
      </c>
      <c r="AT16" s="77" t="s">
        <v>165</v>
      </c>
      <c r="AU16" s="22">
        <v>117</v>
      </c>
    </row>
    <row r="17" spans="2:47" x14ac:dyDescent="0.5">
      <c r="C17" s="5" t="s">
        <v>114</v>
      </c>
      <c r="D17" s="12">
        <v>79.975152096113021</v>
      </c>
      <c r="AT17" s="77" t="s">
        <v>166</v>
      </c>
      <c r="AU17" s="22">
        <v>138</v>
      </c>
    </row>
    <row r="18" spans="2:47" x14ac:dyDescent="0.5">
      <c r="C18" s="5" t="s">
        <v>91</v>
      </c>
      <c r="D18" s="12">
        <v>20.018144707695935</v>
      </c>
      <c r="AT18" s="77" t="s">
        <v>142</v>
      </c>
      <c r="AU18" s="22">
        <v>1000</v>
      </c>
    </row>
    <row r="19" spans="2:47" x14ac:dyDescent="0.5">
      <c r="C19" s="5" t="s">
        <v>90</v>
      </c>
      <c r="D19" s="12">
        <v>99.99329680380896</v>
      </c>
    </row>
    <row r="20" spans="2:47" x14ac:dyDescent="0.5">
      <c r="C20" s="5" t="s">
        <v>115</v>
      </c>
      <c r="D20" s="12">
        <v>60365.824733207905</v>
      </c>
    </row>
    <row r="21" spans="2:47" ht="17.399999999999999" thickBot="1" x14ac:dyDescent="0.55000000000000004">
      <c r="C21" s="13" t="s">
        <v>94</v>
      </c>
      <c r="D21" s="13">
        <v>1000</v>
      </c>
    </row>
    <row r="24" spans="2:47" x14ac:dyDescent="0.5">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row>
    <row r="25" spans="2:47" x14ac:dyDescent="0.5">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row>
    <row r="26" spans="2:47" x14ac:dyDescent="0.5">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row>
    <row r="27" spans="2:47" ht="30" x14ac:dyDescent="0.85">
      <c r="B27" s="2"/>
      <c r="C27" s="127" t="s">
        <v>104</v>
      </c>
      <c r="D27" s="127"/>
      <c r="E27" s="127"/>
      <c r="F27" s="127"/>
      <c r="G27" s="127"/>
      <c r="H27" s="127"/>
      <c r="I27" s="127"/>
      <c r="J27" s="127"/>
      <c r="K27" s="127"/>
      <c r="L27" s="127"/>
      <c r="M27" s="127"/>
      <c r="N27" s="127"/>
      <c r="O27" s="127"/>
      <c r="P27" s="127"/>
      <c r="Q27" s="127"/>
      <c r="R27" s="127"/>
      <c r="S27" s="127"/>
      <c r="T27" s="127"/>
      <c r="U27" s="127"/>
      <c r="V27" s="127"/>
      <c r="W27" s="127"/>
      <c r="X27" s="127"/>
      <c r="Y27" s="127"/>
      <c r="Z27" s="127"/>
      <c r="AA27" s="127"/>
      <c r="AB27" s="127"/>
      <c r="AC27" s="127"/>
      <c r="AD27" s="127"/>
      <c r="AE27" s="127"/>
      <c r="AF27" s="127"/>
      <c r="AG27" s="127"/>
      <c r="AH27" s="127"/>
      <c r="AI27" s="127"/>
      <c r="AJ27" s="2"/>
      <c r="AK27" s="2"/>
      <c r="AL27" s="2"/>
      <c r="AM27" s="2"/>
    </row>
    <row r="28" spans="2:47" ht="17.399999999999999" thickBot="1" x14ac:dyDescent="0.55000000000000004">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row>
    <row r="29" spans="2:47" x14ac:dyDescent="0.5">
      <c r="B29" s="2"/>
      <c r="C29" s="75" t="s">
        <v>122</v>
      </c>
      <c r="D29" s="75"/>
      <c r="E29" s="2"/>
      <c r="F29" s="2"/>
      <c r="G29" s="70" t="s">
        <v>97</v>
      </c>
      <c r="H29" s="71" t="s">
        <v>155</v>
      </c>
      <c r="I29" s="71" t="s">
        <v>94</v>
      </c>
      <c r="J29" s="70" t="s">
        <v>96</v>
      </c>
      <c r="K29" s="70" t="s">
        <v>118</v>
      </c>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row>
    <row r="30" spans="2:47" x14ac:dyDescent="0.5">
      <c r="B30" s="2"/>
      <c r="E30" s="2"/>
      <c r="F30" s="2"/>
      <c r="G30" s="91">
        <v>1</v>
      </c>
      <c r="H30" s="92">
        <v>21.1</v>
      </c>
      <c r="I30" s="91">
        <v>223</v>
      </c>
      <c r="J30" s="37">
        <f t="shared" ref="J30:J39" si="1">I30/(SUM($I$30:$I$39))</f>
        <v>0.37043189368770763</v>
      </c>
      <c r="K30" s="37">
        <f>SUM($J$30:J30)</f>
        <v>0.37043189368770763</v>
      </c>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row>
    <row r="31" spans="2:47" x14ac:dyDescent="0.5">
      <c r="B31" s="2"/>
      <c r="C31" s="5" t="s">
        <v>88</v>
      </c>
      <c r="D31" s="12">
        <v>39.596013289036534</v>
      </c>
      <c r="E31" s="2"/>
      <c r="F31" s="2"/>
      <c r="G31" s="91">
        <v>2</v>
      </c>
      <c r="H31" s="92">
        <v>33.200000000000003</v>
      </c>
      <c r="I31" s="91">
        <v>120</v>
      </c>
      <c r="J31" s="37">
        <f t="shared" si="1"/>
        <v>0.19933554817275748</v>
      </c>
      <c r="K31" s="37">
        <f>SUM($J$30:J31)</f>
        <v>0.56976744186046513</v>
      </c>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row>
    <row r="32" spans="2:47" x14ac:dyDescent="0.5">
      <c r="B32" s="2"/>
      <c r="C32" s="5" t="s">
        <v>108</v>
      </c>
      <c r="D32" s="12">
        <v>1.1405127883451425</v>
      </c>
      <c r="E32" s="2"/>
      <c r="F32" s="2"/>
      <c r="G32" s="91">
        <v>3</v>
      </c>
      <c r="H32" s="92">
        <v>45.3</v>
      </c>
      <c r="I32" s="91">
        <v>64</v>
      </c>
      <c r="J32" s="37">
        <f t="shared" si="1"/>
        <v>0.10631229235880399</v>
      </c>
      <c r="K32" s="37">
        <f>SUM($J$30:J32)</f>
        <v>0.67607973421926915</v>
      </c>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row>
    <row r="33" spans="2:39" x14ac:dyDescent="0.5">
      <c r="B33" s="2"/>
      <c r="C33" s="5" t="s">
        <v>89</v>
      </c>
      <c r="D33" s="12">
        <v>28.795000000000002</v>
      </c>
      <c r="E33" s="2"/>
      <c r="F33" s="2"/>
      <c r="G33" s="91">
        <v>4</v>
      </c>
      <c r="H33" s="92">
        <v>57.4</v>
      </c>
      <c r="I33" s="91">
        <v>50</v>
      </c>
      <c r="J33" s="37">
        <f t="shared" si="1"/>
        <v>8.3056478405315617E-2</v>
      </c>
      <c r="K33" s="37">
        <f>SUM($J$30:J33)</f>
        <v>0.75913621262458475</v>
      </c>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row>
    <row r="34" spans="2:39" x14ac:dyDescent="0.5">
      <c r="B34" s="2"/>
      <c r="C34" s="5" t="s">
        <v>110</v>
      </c>
      <c r="D34" s="12">
        <v>27.98326626875506</v>
      </c>
      <c r="E34" s="2"/>
      <c r="F34" s="2"/>
      <c r="G34" s="91">
        <v>5</v>
      </c>
      <c r="H34" s="92">
        <v>69.5</v>
      </c>
      <c r="I34" s="91">
        <v>42</v>
      </c>
      <c r="J34" s="37">
        <f t="shared" si="1"/>
        <v>6.9767441860465115E-2</v>
      </c>
      <c r="K34" s="37">
        <f>SUM($J$30:J34)</f>
        <v>0.82890365448504988</v>
      </c>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row>
    <row r="35" spans="2:39" x14ac:dyDescent="0.5">
      <c r="B35" s="2"/>
      <c r="C35" s="5" t="s">
        <v>111</v>
      </c>
      <c r="D35" s="12">
        <v>783.06319106804472</v>
      </c>
      <c r="E35" s="2"/>
      <c r="F35" s="2"/>
      <c r="G35" s="91">
        <v>6</v>
      </c>
      <c r="H35" s="92">
        <v>81.599999999999994</v>
      </c>
      <c r="I35" s="91">
        <v>34</v>
      </c>
      <c r="J35" s="37">
        <f t="shared" si="1"/>
        <v>5.647840531561462E-2</v>
      </c>
      <c r="K35" s="37">
        <f>SUM($J$30:J35)</f>
        <v>0.88538205980066453</v>
      </c>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row>
    <row r="36" spans="2:39" x14ac:dyDescent="0.5">
      <c r="B36" s="2"/>
      <c r="C36" s="5" t="s">
        <v>112</v>
      </c>
      <c r="D36" s="12">
        <v>9.9095426304488754E-2</v>
      </c>
      <c r="E36" s="2"/>
      <c r="F36" s="2"/>
      <c r="G36" s="91">
        <v>7</v>
      </c>
      <c r="H36" s="92">
        <v>93.7</v>
      </c>
      <c r="I36" s="91">
        <v>21</v>
      </c>
      <c r="J36" s="37">
        <f t="shared" si="1"/>
        <v>3.4883720930232558E-2</v>
      </c>
      <c r="K36" s="37">
        <f>SUM($J$30:J36)</f>
        <v>0.92026578073089704</v>
      </c>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row>
    <row r="37" spans="2:39" x14ac:dyDescent="0.5">
      <c r="B37" s="2"/>
      <c r="C37" s="5" t="s">
        <v>113</v>
      </c>
      <c r="D37" s="12">
        <v>1.0856081147234382</v>
      </c>
      <c r="E37" s="2"/>
      <c r="F37" s="2"/>
      <c r="G37" s="91">
        <v>8</v>
      </c>
      <c r="H37" s="92">
        <v>105.8</v>
      </c>
      <c r="I37" s="91">
        <v>34</v>
      </c>
      <c r="J37" s="37">
        <f t="shared" si="1"/>
        <v>5.647840531561462E-2</v>
      </c>
      <c r="K37" s="37">
        <f>SUM($J$30:J37)</f>
        <v>0.9767441860465117</v>
      </c>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row>
    <row r="38" spans="2:39" x14ac:dyDescent="0.5">
      <c r="B38" s="2"/>
      <c r="C38" s="5" t="s">
        <v>114</v>
      </c>
      <c r="D38" s="12">
        <v>118.38</v>
      </c>
      <c r="E38" s="2"/>
      <c r="F38" s="2"/>
      <c r="G38" s="91">
        <v>9</v>
      </c>
      <c r="H38" s="92">
        <v>117.9</v>
      </c>
      <c r="I38" s="91">
        <v>12</v>
      </c>
      <c r="J38" s="37">
        <f t="shared" si="1"/>
        <v>1.9933554817275746E-2</v>
      </c>
      <c r="K38" s="37">
        <f>SUM($J$30:J38)</f>
        <v>0.99667774086378746</v>
      </c>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row>
    <row r="39" spans="2:39" x14ac:dyDescent="0.5">
      <c r="B39" s="2"/>
      <c r="C39" s="5" t="s">
        <v>91</v>
      </c>
      <c r="D39" s="12">
        <v>9.39</v>
      </c>
      <c r="E39" s="2"/>
      <c r="F39" s="2"/>
      <c r="G39" s="91">
        <v>10</v>
      </c>
      <c r="H39" s="92">
        <v>130</v>
      </c>
      <c r="I39" s="91">
        <v>2</v>
      </c>
      <c r="J39" s="37">
        <f t="shared" si="1"/>
        <v>3.3222591362126247E-3</v>
      </c>
      <c r="K39" s="37">
        <f>SUM($J$30:J39)</f>
        <v>1</v>
      </c>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row>
    <row r="40" spans="2:39" x14ac:dyDescent="0.5">
      <c r="B40" s="2"/>
      <c r="C40" s="5" t="s">
        <v>90</v>
      </c>
      <c r="D40" s="12">
        <v>127.77</v>
      </c>
      <c r="E40" s="2"/>
      <c r="F40" s="2"/>
      <c r="G40" s="2"/>
      <c r="H40" s="2"/>
      <c r="I40"/>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row>
    <row r="41" spans="2:39" ht="17.399999999999999" thickBot="1" x14ac:dyDescent="0.55000000000000004">
      <c r="B41" s="2"/>
      <c r="C41" s="13" t="s">
        <v>94</v>
      </c>
      <c r="D41" s="23">
        <v>602</v>
      </c>
      <c r="E41" s="2"/>
      <c r="F41" s="2"/>
      <c r="G41" s="22"/>
      <c r="H41" s="22"/>
      <c r="I41"/>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row>
    <row r="42" spans="2:39" x14ac:dyDescent="0.5">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row>
    <row r="43" spans="2:39" x14ac:dyDescent="0.5">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row>
    <row r="44" spans="2:39" x14ac:dyDescent="0.5">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row>
    <row r="45" spans="2:39" x14ac:dyDescent="0.5">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row>
    <row r="46" spans="2:39" x14ac:dyDescent="0.5">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row>
    <row r="47" spans="2:39" x14ac:dyDescent="0.5">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row>
    <row r="48" spans="2:39" x14ac:dyDescent="0.5">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row>
    <row r="49" spans="2:39" ht="30" x14ac:dyDescent="0.85">
      <c r="B49" s="2"/>
      <c r="C49" s="127" t="s">
        <v>156</v>
      </c>
      <c r="D49" s="127"/>
      <c r="E49" s="127"/>
      <c r="F49" s="127"/>
      <c r="G49" s="127"/>
      <c r="H49" s="127"/>
      <c r="I49" s="127"/>
      <c r="J49" s="127"/>
      <c r="K49" s="127"/>
      <c r="L49" s="127"/>
      <c r="M49" s="127"/>
      <c r="N49" s="127"/>
      <c r="O49" s="127"/>
      <c r="P49" s="127"/>
      <c r="Q49" s="127"/>
      <c r="R49" s="127"/>
      <c r="S49" s="127"/>
      <c r="T49" s="127"/>
      <c r="U49" s="127"/>
      <c r="V49" s="127"/>
      <c r="W49" s="127"/>
      <c r="X49" s="127"/>
      <c r="Y49" s="127"/>
      <c r="Z49" s="127"/>
      <c r="AA49" s="127"/>
      <c r="AB49" s="127"/>
      <c r="AC49" s="127"/>
      <c r="AD49" s="127"/>
      <c r="AE49" s="127"/>
      <c r="AF49" s="127"/>
      <c r="AG49" s="127"/>
      <c r="AH49" s="127"/>
      <c r="AI49" s="127"/>
      <c r="AJ49" s="2"/>
      <c r="AK49" s="2"/>
      <c r="AL49" s="2"/>
      <c r="AM49" s="2"/>
    </row>
    <row r="50" spans="2:39" ht="17.399999999999999" thickBot="1" x14ac:dyDescent="0.55000000000000004">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row>
    <row r="51" spans="2:39" x14ac:dyDescent="0.5">
      <c r="B51" s="2"/>
      <c r="C51" s="76" t="s">
        <v>123</v>
      </c>
      <c r="D51" s="76"/>
      <c r="E51" s="2"/>
      <c r="F51" s="2"/>
      <c r="G51" s="70" t="s">
        <v>97</v>
      </c>
      <c r="H51" s="71" t="s">
        <v>155</v>
      </c>
      <c r="I51" s="71" t="s">
        <v>94</v>
      </c>
      <c r="J51" s="70" t="s">
        <v>96</v>
      </c>
      <c r="K51" s="70" t="s">
        <v>118</v>
      </c>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row>
    <row r="52" spans="2:39" x14ac:dyDescent="0.5">
      <c r="B52" s="2"/>
      <c r="C52" s="15"/>
      <c r="D52" s="15"/>
      <c r="E52" s="2"/>
      <c r="F52" s="2"/>
      <c r="G52" s="88">
        <v>1</v>
      </c>
      <c r="H52" s="93">
        <v>25.1</v>
      </c>
      <c r="I52" s="88">
        <v>14</v>
      </c>
      <c r="J52" s="72">
        <f>I52/(SUM($I$52:$I$61))</f>
        <v>2.3255813953488372E-2</v>
      </c>
      <c r="K52" s="72">
        <f>SUM($J$52:J52)</f>
        <v>2.3255813953488372E-2</v>
      </c>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row>
    <row r="53" spans="2:39" x14ac:dyDescent="0.5">
      <c r="B53" s="2"/>
      <c r="C53" s="15" t="s">
        <v>88</v>
      </c>
      <c r="D53" s="27">
        <v>72.146022939727317</v>
      </c>
      <c r="E53" s="2"/>
      <c r="F53" s="2"/>
      <c r="G53" s="88">
        <v>2</v>
      </c>
      <c r="H53" s="93">
        <v>42.5</v>
      </c>
      <c r="I53" s="88">
        <v>127</v>
      </c>
      <c r="J53" s="72">
        <f t="shared" ref="J53:J61" si="2">I53/(SUM($I$30:$I$39))</f>
        <v>0.21096345514950166</v>
      </c>
      <c r="K53" s="72">
        <f>SUM($J$52:J53)</f>
        <v>0.23421926910299001</v>
      </c>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row>
    <row r="54" spans="2:39" x14ac:dyDescent="0.5">
      <c r="B54" s="2"/>
      <c r="C54" s="15" t="s">
        <v>108</v>
      </c>
      <c r="D54" s="27">
        <v>1.3612597089389791</v>
      </c>
      <c r="E54" s="2"/>
      <c r="F54" s="2"/>
      <c r="G54" s="88">
        <v>3</v>
      </c>
      <c r="H54" s="93">
        <v>59.9</v>
      </c>
      <c r="I54" s="88">
        <v>115</v>
      </c>
      <c r="J54" s="72">
        <f t="shared" si="2"/>
        <v>0.19102990033222592</v>
      </c>
      <c r="K54" s="72">
        <f>SUM($J$52:J54)</f>
        <v>0.42524916943521596</v>
      </c>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row>
    <row r="55" spans="2:39" x14ac:dyDescent="0.5">
      <c r="B55" s="2"/>
      <c r="C55" s="15" t="s">
        <v>89</v>
      </c>
      <c r="D55" s="27">
        <v>70.547061632539197</v>
      </c>
      <c r="E55" s="2"/>
      <c r="F55" s="2"/>
      <c r="G55" s="88">
        <v>4</v>
      </c>
      <c r="H55" s="93">
        <v>77.3</v>
      </c>
      <c r="I55" s="88">
        <v>119</v>
      </c>
      <c r="J55" s="72">
        <f t="shared" si="2"/>
        <v>0.19767441860465115</v>
      </c>
      <c r="K55" s="72">
        <f>SUM($J$52:J55)</f>
        <v>0.62292358803986714</v>
      </c>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row>
    <row r="56" spans="2:39" x14ac:dyDescent="0.5">
      <c r="B56" s="2"/>
      <c r="C56" s="15" t="s">
        <v>110</v>
      </c>
      <c r="D56" s="27">
        <v>33.399443904034413</v>
      </c>
      <c r="E56" s="2"/>
      <c r="F56" s="2"/>
      <c r="G56" s="88">
        <v>5</v>
      </c>
      <c r="H56" s="93">
        <v>94.7</v>
      </c>
      <c r="I56" s="88">
        <v>89</v>
      </c>
      <c r="J56" s="72">
        <f t="shared" si="2"/>
        <v>0.14784053156146179</v>
      </c>
      <c r="K56" s="72">
        <f>SUM($J$52:J56)</f>
        <v>0.77076411960132896</v>
      </c>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row>
    <row r="57" spans="2:39" x14ac:dyDescent="0.5">
      <c r="B57" s="2"/>
      <c r="C57" s="15" t="s">
        <v>111</v>
      </c>
      <c r="D57" s="27">
        <v>1115.5228530987415</v>
      </c>
      <c r="E57" s="2"/>
      <c r="F57" s="2"/>
      <c r="G57" s="88">
        <v>6</v>
      </c>
      <c r="H57" s="93">
        <v>112.1</v>
      </c>
      <c r="I57" s="88">
        <v>48</v>
      </c>
      <c r="J57" s="72">
        <f t="shared" si="2"/>
        <v>7.9734219269102985E-2</v>
      </c>
      <c r="K57" s="72">
        <f>SUM($J$52:J57)</f>
        <v>0.85049833887043191</v>
      </c>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row>
    <row r="58" spans="2:39" x14ac:dyDescent="0.5">
      <c r="B58" s="2"/>
      <c r="C58" s="15" t="s">
        <v>112</v>
      </c>
      <c r="D58" s="27">
        <v>-0.29788319529146001</v>
      </c>
      <c r="E58" s="2"/>
      <c r="F58" s="2"/>
      <c r="G58" s="88">
        <v>7</v>
      </c>
      <c r="H58" s="93">
        <v>129.5</v>
      </c>
      <c r="I58" s="88">
        <v>44</v>
      </c>
      <c r="J58" s="72">
        <f t="shared" si="2"/>
        <v>7.3089700996677748E-2</v>
      </c>
      <c r="K58" s="72">
        <f>SUM($J$52:J58)</f>
        <v>0.92358803986710969</v>
      </c>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row>
    <row r="59" spans="2:39" x14ac:dyDescent="0.5">
      <c r="B59" s="2"/>
      <c r="C59" s="15" t="s">
        <v>113</v>
      </c>
      <c r="D59" s="27">
        <v>0.67202660616220811</v>
      </c>
      <c r="E59" s="2"/>
      <c r="F59" s="2"/>
      <c r="G59" s="88">
        <v>8</v>
      </c>
      <c r="H59" s="93">
        <v>146.9</v>
      </c>
      <c r="I59" s="88">
        <v>35</v>
      </c>
      <c r="J59" s="72">
        <f t="shared" si="2"/>
        <v>5.8139534883720929E-2</v>
      </c>
      <c r="K59" s="72">
        <f>SUM($J$52:J59)</f>
        <v>0.98172757475083061</v>
      </c>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row>
    <row r="60" spans="2:39" x14ac:dyDescent="0.5">
      <c r="B60" s="2"/>
      <c r="C60" s="15" t="s">
        <v>114</v>
      </c>
      <c r="D60" s="27">
        <v>163.87036738199441</v>
      </c>
      <c r="E60" s="2"/>
      <c r="F60" s="2"/>
      <c r="G60" s="88">
        <v>9</v>
      </c>
      <c r="H60" s="93">
        <v>164.3</v>
      </c>
      <c r="I60" s="88">
        <v>8</v>
      </c>
      <c r="J60" s="72">
        <f t="shared" si="2"/>
        <v>1.3289036544850499E-2</v>
      </c>
      <c r="K60" s="72">
        <f>SUM($J$52:J60)</f>
        <v>0.99501661129568109</v>
      </c>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row>
    <row r="61" spans="2:39" x14ac:dyDescent="0.5">
      <c r="B61" s="2"/>
      <c r="C61" s="15" t="s">
        <v>91</v>
      </c>
      <c r="D61" s="27">
        <v>17.785231167883214</v>
      </c>
      <c r="E61" s="2"/>
      <c r="F61" s="2"/>
      <c r="G61" s="88">
        <v>10</v>
      </c>
      <c r="H61" s="93">
        <v>181.7</v>
      </c>
      <c r="I61" s="88">
        <v>3</v>
      </c>
      <c r="J61" s="72">
        <f t="shared" si="2"/>
        <v>4.9833887043189366E-3</v>
      </c>
      <c r="K61" s="72">
        <f>SUM($J$52:J61)</f>
        <v>1</v>
      </c>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row>
    <row r="62" spans="2:39" x14ac:dyDescent="0.5">
      <c r="B62" s="2"/>
      <c r="C62" s="15" t="s">
        <v>90</v>
      </c>
      <c r="D62" s="27">
        <v>181.65559854987762</v>
      </c>
      <c r="E62" s="2"/>
      <c r="F62" s="2"/>
      <c r="G62" s="22"/>
      <c r="H62" s="2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row>
    <row r="63" spans="2:39" ht="17.399999999999999" thickBot="1" x14ac:dyDescent="0.55000000000000004">
      <c r="B63" s="2"/>
      <c r="C63" s="28" t="s">
        <v>94</v>
      </c>
      <c r="D63" s="29">
        <v>602</v>
      </c>
      <c r="E63" s="2"/>
      <c r="F63" s="2"/>
      <c r="G63" s="22"/>
      <c r="H63" s="2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row>
    <row r="64" spans="2:39" x14ac:dyDescent="0.5">
      <c r="B64" s="2"/>
      <c r="C64" s="2"/>
      <c r="D64" s="2"/>
      <c r="E64" s="2"/>
      <c r="F64" s="2"/>
      <c r="G64" s="22"/>
      <c r="H64" s="2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row>
    <row r="65" spans="2:39" x14ac:dyDescent="0.5">
      <c r="B65" s="2"/>
      <c r="C65" s="2"/>
      <c r="D65" s="2"/>
      <c r="E65" s="2"/>
      <c r="F65" s="2"/>
      <c r="G65" s="22"/>
      <c r="H65" s="2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row>
    <row r="66" spans="2:39" x14ac:dyDescent="0.5">
      <c r="B66" s="2"/>
      <c r="C66" s="2"/>
      <c r="D66" s="24"/>
      <c r="E66" s="2"/>
      <c r="F66" s="2"/>
      <c r="G66" s="2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row>
    <row r="67" spans="2:39" x14ac:dyDescent="0.5">
      <c r="B67" s="2"/>
      <c r="C67" s="2"/>
      <c r="D67" s="24"/>
      <c r="E67" s="2"/>
      <c r="F67" s="2"/>
      <c r="G67" s="2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row>
    <row r="68" spans="2:39" x14ac:dyDescent="0.5">
      <c r="B68" s="2"/>
      <c r="C68" s="2"/>
      <c r="D68" s="2"/>
      <c r="E68" s="2"/>
      <c r="F68" s="2"/>
      <c r="G68" s="2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row>
    <row r="69" spans="2:39" ht="16.8" customHeight="1" x14ac:dyDescent="0.5">
      <c r="B69" s="2"/>
      <c r="C69" s="2"/>
      <c r="D69" s="2"/>
      <c r="E69" s="2"/>
      <c r="F69" s="2"/>
      <c r="G69" s="2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row>
    <row r="70" spans="2:39" ht="30" x14ac:dyDescent="0.85">
      <c r="B70" s="2"/>
      <c r="C70" s="127" t="s">
        <v>157</v>
      </c>
      <c r="D70" s="127"/>
      <c r="E70" s="127"/>
      <c r="F70" s="127"/>
      <c r="G70" s="127"/>
      <c r="H70" s="127"/>
      <c r="I70" s="127"/>
      <c r="J70" s="127"/>
      <c r="K70" s="127"/>
      <c r="L70" s="127"/>
      <c r="M70" s="127"/>
      <c r="N70" s="127"/>
      <c r="O70" s="127"/>
      <c r="P70" s="127"/>
      <c r="Q70" s="127"/>
      <c r="R70" s="127"/>
      <c r="S70" s="127"/>
      <c r="T70" s="127"/>
      <c r="U70" s="127"/>
      <c r="V70" s="127"/>
      <c r="W70" s="127"/>
      <c r="X70" s="127"/>
      <c r="Y70" s="127"/>
      <c r="Z70" s="127"/>
      <c r="AA70" s="127"/>
      <c r="AB70" s="127"/>
      <c r="AC70" s="127"/>
      <c r="AD70" s="127"/>
      <c r="AE70" s="127"/>
      <c r="AF70" s="127"/>
      <c r="AG70" s="127"/>
      <c r="AH70" s="127"/>
      <c r="AI70" s="127"/>
      <c r="AJ70" s="2"/>
      <c r="AK70" s="2"/>
      <c r="AL70" s="2"/>
      <c r="AM70" s="2"/>
    </row>
    <row r="71" spans="2:39" ht="16.8" customHeight="1" thickBot="1" x14ac:dyDescent="0.55000000000000004"/>
    <row r="72" spans="2:39" x14ac:dyDescent="0.5">
      <c r="B72" s="2"/>
      <c r="C72" s="76" t="s">
        <v>124</v>
      </c>
      <c r="D72" s="25"/>
      <c r="E72" s="15"/>
      <c r="F72" s="2"/>
      <c r="G72" s="70" t="s">
        <v>97</v>
      </c>
      <c r="H72" s="71" t="s">
        <v>155</v>
      </c>
      <c r="I72" s="71" t="s">
        <v>94</v>
      </c>
      <c r="J72" s="70" t="s">
        <v>96</v>
      </c>
      <c r="K72" s="70" t="s">
        <v>118</v>
      </c>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row>
    <row r="73" spans="2:39" x14ac:dyDescent="0.5">
      <c r="B73" s="2"/>
      <c r="C73" s="15"/>
      <c r="D73" s="15"/>
      <c r="E73" s="26"/>
      <c r="F73" s="2"/>
      <c r="G73" s="88">
        <v>1</v>
      </c>
      <c r="H73" s="91">
        <v>3.1040000000000001</v>
      </c>
      <c r="I73" s="88">
        <v>8</v>
      </c>
      <c r="J73" s="72">
        <f t="shared" ref="J73:J82" si="3">I73/(SUM($I$73:$I$82))</f>
        <v>1.3289036544850499E-2</v>
      </c>
      <c r="K73" s="72">
        <f>SUM($J$73:J73)</f>
        <v>1.3289036544850499E-2</v>
      </c>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row>
    <row r="74" spans="2:39" x14ac:dyDescent="0.5">
      <c r="B74" s="2"/>
      <c r="C74" s="15" t="s">
        <v>88</v>
      </c>
      <c r="D74" s="27">
        <v>4.169115720228711</v>
      </c>
      <c r="E74" s="16">
        <f>EXP(D74)</f>
        <v>64.658250836905225</v>
      </c>
      <c r="F74" s="2"/>
      <c r="G74" s="88">
        <v>2</v>
      </c>
      <c r="H74" s="91">
        <v>3.3380000000000001</v>
      </c>
      <c r="I74" s="88">
        <v>15</v>
      </c>
      <c r="J74" s="72">
        <f t="shared" si="3"/>
        <v>2.4916943521594685E-2</v>
      </c>
      <c r="K74" s="72">
        <f>SUM($J$73:J74)</f>
        <v>3.8205980066445183E-2</v>
      </c>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row>
    <row r="75" spans="2:39" x14ac:dyDescent="0.5">
      <c r="B75" s="2"/>
      <c r="C75" s="15" t="s">
        <v>108</v>
      </c>
      <c r="D75" s="27">
        <v>1.9446733374666413E-2</v>
      </c>
      <c r="E75" s="16"/>
      <c r="F75" s="2"/>
      <c r="G75" s="88">
        <v>3</v>
      </c>
      <c r="H75" s="91">
        <v>3.5720000000000001</v>
      </c>
      <c r="I75" s="88">
        <v>43</v>
      </c>
      <c r="J75" s="72">
        <f t="shared" si="3"/>
        <v>7.1428571428571425E-2</v>
      </c>
      <c r="K75" s="72">
        <f>SUM($J$73:J75)</f>
        <v>0.10963455149501661</v>
      </c>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row>
    <row r="76" spans="2:39" x14ac:dyDescent="0.5">
      <c r="B76" s="2"/>
      <c r="C76" s="15" t="s">
        <v>89</v>
      </c>
      <c r="D76" s="27">
        <v>4.256279250022339</v>
      </c>
      <c r="E76" s="16"/>
      <c r="F76" s="2"/>
      <c r="G76" s="88">
        <v>4</v>
      </c>
      <c r="H76" s="91">
        <v>3.806</v>
      </c>
      <c r="I76" s="88">
        <v>103</v>
      </c>
      <c r="J76" s="72">
        <f t="shared" si="3"/>
        <v>0.17109634551495018</v>
      </c>
      <c r="K76" s="72">
        <f>SUM($J$73:J76)</f>
        <v>0.28073089700996678</v>
      </c>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row>
    <row r="77" spans="2:39" x14ac:dyDescent="0.5">
      <c r="B77" s="2"/>
      <c r="C77" s="15" t="s">
        <v>110</v>
      </c>
      <c r="D77" s="27">
        <v>0.47713898839343388</v>
      </c>
      <c r="E77" s="16">
        <f>EXP(D77)</f>
        <v>1.6114574023655193</v>
      </c>
      <c r="F77" s="2"/>
      <c r="G77" s="88">
        <v>5</v>
      </c>
      <c r="H77" s="91">
        <v>4.04</v>
      </c>
      <c r="I77" s="88">
        <v>76</v>
      </c>
      <c r="J77" s="72">
        <f t="shared" si="3"/>
        <v>0.12624584717607973</v>
      </c>
      <c r="K77" s="72">
        <f>SUM($J$73:J77)</f>
        <v>0.40697674418604651</v>
      </c>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row>
    <row r="78" spans="2:39" x14ac:dyDescent="0.5">
      <c r="B78" s="2"/>
      <c r="C78" s="15" t="s">
        <v>111</v>
      </c>
      <c r="D78" s="27">
        <v>0.22766161424510944</v>
      </c>
      <c r="E78" s="26"/>
      <c r="F78" s="2"/>
      <c r="G78" s="88">
        <v>6</v>
      </c>
      <c r="H78" s="91">
        <v>4.274</v>
      </c>
      <c r="I78" s="88">
        <v>69</v>
      </c>
      <c r="J78" s="72">
        <f t="shared" si="3"/>
        <v>0.11461794019933555</v>
      </c>
      <c r="K78" s="72">
        <f>SUM($J$73:J78)</f>
        <v>0.52159468438538203</v>
      </c>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row>
    <row r="79" spans="2:39" x14ac:dyDescent="0.5">
      <c r="B79" s="2"/>
      <c r="C79" s="15" t="s">
        <v>112</v>
      </c>
      <c r="D79" s="27">
        <v>-0.76128574602957499</v>
      </c>
      <c r="E79" s="26"/>
      <c r="F79" s="2"/>
      <c r="G79" s="88">
        <v>7</v>
      </c>
      <c r="H79" s="91">
        <v>4.508</v>
      </c>
      <c r="I79" s="88">
        <v>141</v>
      </c>
      <c r="J79" s="72">
        <f t="shared" si="3"/>
        <v>0.23421926910299004</v>
      </c>
      <c r="K79" s="72">
        <f>SUM($J$73:J79)</f>
        <v>0.7558139534883721</v>
      </c>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row>
    <row r="80" spans="2:39" x14ac:dyDescent="0.5">
      <c r="B80" s="2"/>
      <c r="C80" s="15" t="s">
        <v>113</v>
      </c>
      <c r="D80" s="27">
        <v>-0.14131097276651325</v>
      </c>
      <c r="E80" s="26"/>
      <c r="F80" s="2"/>
      <c r="G80" s="88">
        <v>8</v>
      </c>
      <c r="H80" s="91">
        <v>4.742</v>
      </c>
      <c r="I80" s="88">
        <v>60</v>
      </c>
      <c r="J80" s="72">
        <f t="shared" si="3"/>
        <v>9.9667774086378738E-2</v>
      </c>
      <c r="K80" s="72">
        <f>SUM($J$73:J80)</f>
        <v>0.85548172757475083</v>
      </c>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row>
    <row r="81" spans="2:39" x14ac:dyDescent="0.5">
      <c r="B81" s="2"/>
      <c r="C81" s="15" t="s">
        <v>114</v>
      </c>
      <c r="D81" s="27">
        <v>2.3237441754966128</v>
      </c>
      <c r="E81" s="26"/>
      <c r="F81" s="2"/>
      <c r="G81" s="88">
        <v>9</v>
      </c>
      <c r="H81" s="91">
        <v>4.976</v>
      </c>
      <c r="I81" s="88">
        <v>73</v>
      </c>
      <c r="J81" s="72">
        <f t="shared" si="3"/>
        <v>0.1212624584717608</v>
      </c>
      <c r="K81" s="72">
        <f>SUM($J$73:J81)</f>
        <v>0.97674418604651159</v>
      </c>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row>
    <row r="82" spans="2:39" x14ac:dyDescent="0.5">
      <c r="B82" s="2"/>
      <c r="C82" s="15" t="s">
        <v>91</v>
      </c>
      <c r="D82" s="27">
        <v>2.8783684032289751</v>
      </c>
      <c r="E82" s="26"/>
      <c r="F82" s="2"/>
      <c r="G82" s="88">
        <v>10</v>
      </c>
      <c r="H82" s="91">
        <v>5.21</v>
      </c>
      <c r="I82" s="88">
        <v>14</v>
      </c>
      <c r="J82" s="72">
        <f t="shared" si="3"/>
        <v>2.3255813953488372E-2</v>
      </c>
      <c r="K82" s="72">
        <f>SUM($J$73:J82)</f>
        <v>1</v>
      </c>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row>
    <row r="83" spans="2:39" x14ac:dyDescent="0.5">
      <c r="B83" s="2"/>
      <c r="C83" s="15" t="s">
        <v>90</v>
      </c>
      <c r="D83" s="27">
        <v>5.202112578725588</v>
      </c>
      <c r="E83" s="26"/>
      <c r="F83" s="2"/>
      <c r="G83" s="22"/>
      <c r="H83" s="2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row>
    <row r="84" spans="2:39" ht="17.399999999999999" thickBot="1" x14ac:dyDescent="0.55000000000000004">
      <c r="B84" s="2"/>
      <c r="C84" s="28" t="s">
        <v>94</v>
      </c>
      <c r="D84" s="29">
        <v>602</v>
      </c>
      <c r="E84" s="26"/>
      <c r="F84" s="2"/>
      <c r="G84" s="22"/>
      <c r="H84" s="2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row>
    <row r="85" spans="2:39" x14ac:dyDescent="0.5">
      <c r="B85" s="2"/>
      <c r="F85" s="2"/>
      <c r="G85" s="22"/>
      <c r="H85" s="2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row>
    <row r="86" spans="2:39" x14ac:dyDescent="0.5">
      <c r="B86" s="2"/>
      <c r="C86" s="2"/>
      <c r="D86" s="2"/>
      <c r="E86" s="2"/>
      <c r="F86" s="2"/>
      <c r="G86" s="22"/>
      <c r="H86" s="2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row>
    <row r="87" spans="2:39" x14ac:dyDescent="0.5">
      <c r="B87" s="2"/>
      <c r="C87" s="2"/>
      <c r="D87" s="2"/>
      <c r="E87" s="2"/>
      <c r="F87" s="2"/>
      <c r="G87" s="22"/>
      <c r="H87" s="2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row>
    <row r="88" spans="2:39" x14ac:dyDescent="0.5">
      <c r="B88" s="2"/>
      <c r="C88" s="2"/>
      <c r="D88" s="24"/>
      <c r="E88" s="24"/>
      <c r="F88" s="2"/>
      <c r="G88" s="22"/>
      <c r="H88" s="2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row>
    <row r="89" spans="2:39" x14ac:dyDescent="0.5">
      <c r="B89" s="2"/>
      <c r="C89" s="2"/>
      <c r="D89" s="24"/>
      <c r="E89" s="24"/>
      <c r="F89" s="2"/>
      <c r="G89" s="22"/>
      <c r="H89" s="2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row>
    <row r="90" spans="2:39" x14ac:dyDescent="0.5">
      <c r="B90" s="2"/>
      <c r="C90" s="2"/>
      <c r="D90" s="2"/>
      <c r="E90" s="2"/>
      <c r="F90" s="2"/>
      <c r="G90" s="22"/>
      <c r="H90" s="2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row>
    <row r="91" spans="2:39" x14ac:dyDescent="0.5">
      <c r="B91" s="2"/>
      <c r="C91" s="2"/>
      <c r="D91" s="2"/>
      <c r="E91" s="2"/>
      <c r="F91" s="2"/>
      <c r="G91" s="22"/>
      <c r="H91" s="2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row>
    <row r="92" spans="2:39" ht="30" x14ac:dyDescent="0.85">
      <c r="B92" s="2"/>
      <c r="C92" s="127" t="s">
        <v>158</v>
      </c>
      <c r="D92" s="127"/>
      <c r="E92" s="127"/>
      <c r="F92" s="127"/>
      <c r="G92" s="127"/>
      <c r="H92" s="127"/>
      <c r="I92" s="127"/>
      <c r="J92" s="127"/>
      <c r="K92" s="127"/>
      <c r="L92" s="127"/>
      <c r="M92" s="127"/>
      <c r="N92" s="127"/>
      <c r="O92" s="127"/>
      <c r="P92" s="127"/>
      <c r="Q92" s="127"/>
      <c r="R92" s="127"/>
      <c r="S92" s="127"/>
      <c r="T92" s="127"/>
      <c r="U92" s="127"/>
      <c r="V92" s="127"/>
      <c r="W92" s="127"/>
      <c r="X92" s="127"/>
      <c r="Y92" s="127"/>
      <c r="Z92" s="127"/>
      <c r="AA92" s="127"/>
      <c r="AB92" s="127"/>
      <c r="AC92" s="127"/>
      <c r="AD92" s="127"/>
      <c r="AE92" s="127"/>
      <c r="AF92" s="127"/>
      <c r="AG92" s="127"/>
      <c r="AH92" s="127"/>
      <c r="AI92" s="127"/>
      <c r="AJ92" s="2"/>
      <c r="AK92" s="2"/>
      <c r="AL92" s="2"/>
      <c r="AM92" s="2"/>
    </row>
    <row r="93" spans="2:39" ht="17.399999999999999" thickBot="1" x14ac:dyDescent="0.55000000000000004">
      <c r="B93" s="2"/>
      <c r="C93" s="2"/>
      <c r="D93" s="2"/>
      <c r="E93" s="2"/>
      <c r="F93" s="2"/>
      <c r="G93" s="22"/>
      <c r="H93" s="2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row>
    <row r="94" spans="2:39" x14ac:dyDescent="0.5">
      <c r="B94" s="2"/>
      <c r="C94" s="75" t="s">
        <v>126</v>
      </c>
      <c r="D94" s="14"/>
      <c r="E94" s="15"/>
      <c r="F94" s="2"/>
      <c r="G94" s="70" t="s">
        <v>97</v>
      </c>
      <c r="H94" s="71" t="s">
        <v>155</v>
      </c>
      <c r="I94" s="71" t="s">
        <v>94</v>
      </c>
      <c r="J94" s="70" t="s">
        <v>96</v>
      </c>
      <c r="K94" s="70" t="s">
        <v>118</v>
      </c>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row>
    <row r="95" spans="2:39" x14ac:dyDescent="0.5">
      <c r="B95" s="2"/>
      <c r="E95" s="15"/>
      <c r="F95" s="2"/>
      <c r="G95" s="88">
        <v>1</v>
      </c>
      <c r="H95" s="91">
        <v>2.4929999999999999</v>
      </c>
      <c r="I95" s="88">
        <v>10</v>
      </c>
      <c r="J95" s="72">
        <f t="shared" ref="J95:J104" si="4">I95/(SUM($I$95:$I$104))</f>
        <v>1.6611295681063124E-2</v>
      </c>
      <c r="K95" s="72">
        <f>SUM($J$95:J95)</f>
        <v>1.6611295681063124E-2</v>
      </c>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row>
    <row r="96" spans="2:39" x14ac:dyDescent="0.5">
      <c r="B96" s="2"/>
      <c r="C96" s="5" t="s">
        <v>88</v>
      </c>
      <c r="D96" s="12">
        <v>3.4476415907433382</v>
      </c>
      <c r="E96" s="16">
        <f>EXP(D96)</f>
        <v>31.426189027185359</v>
      </c>
      <c r="F96" s="2"/>
      <c r="G96" s="88">
        <v>2</v>
      </c>
      <c r="H96" s="91">
        <v>2.7559999999999998</v>
      </c>
      <c r="I96" s="88">
        <v>99</v>
      </c>
      <c r="J96" s="72">
        <f t="shared" si="4"/>
        <v>0.16445182724252491</v>
      </c>
      <c r="K96" s="72">
        <f>SUM($J$95:J96)</f>
        <v>0.18106312292358803</v>
      </c>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row>
    <row r="97" spans="2:39" x14ac:dyDescent="0.5">
      <c r="B97" s="2"/>
      <c r="C97" s="5" t="s">
        <v>108</v>
      </c>
      <c r="D97" s="12">
        <v>2.7436187038696727E-2</v>
      </c>
      <c r="E97" s="16"/>
      <c r="F97" s="2"/>
      <c r="G97" s="88">
        <v>3</v>
      </c>
      <c r="H97" s="91">
        <v>3.0190000000000001</v>
      </c>
      <c r="I97" s="88">
        <v>110</v>
      </c>
      <c r="J97" s="72">
        <f t="shared" si="4"/>
        <v>0.18272425249169436</v>
      </c>
      <c r="K97" s="72">
        <f>SUM($J$95:J97)</f>
        <v>0.36378737541528239</v>
      </c>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row>
    <row r="98" spans="2:39" x14ac:dyDescent="0.5">
      <c r="B98" s="2"/>
      <c r="C98" s="5" t="s">
        <v>89</v>
      </c>
      <c r="D98" s="12">
        <v>3.3602017458829923</v>
      </c>
      <c r="E98" s="16"/>
      <c r="F98" s="2"/>
      <c r="G98" s="88">
        <v>4</v>
      </c>
      <c r="H98" s="91">
        <v>3.282</v>
      </c>
      <c r="I98" s="88">
        <v>51</v>
      </c>
      <c r="J98" s="72">
        <f t="shared" si="4"/>
        <v>8.4717607973421927E-2</v>
      </c>
      <c r="K98" s="72">
        <f>SUM($J$95:J98)</f>
        <v>0.44850498338870431</v>
      </c>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row>
    <row r="99" spans="2:39" x14ac:dyDescent="0.5">
      <c r="B99" s="2"/>
      <c r="C99" s="5" t="s">
        <v>110</v>
      </c>
      <c r="D99" s="12">
        <v>0.67316573312361561</v>
      </c>
      <c r="E99" s="16">
        <f>EXP(D99)</f>
        <v>1.9604337173474868</v>
      </c>
      <c r="F99" s="2"/>
      <c r="G99" s="88">
        <v>5</v>
      </c>
      <c r="H99" s="91">
        <v>3.5449999999999999</v>
      </c>
      <c r="I99" s="88">
        <v>87</v>
      </c>
      <c r="J99" s="72">
        <f t="shared" si="4"/>
        <v>0.14451827242524917</v>
      </c>
      <c r="K99" s="72">
        <f>SUM($J$95:J99)</f>
        <v>0.59302325581395343</v>
      </c>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row>
    <row r="100" spans="2:39" x14ac:dyDescent="0.5">
      <c r="B100" s="2"/>
      <c r="C100" s="5" t="s">
        <v>111</v>
      </c>
      <c r="D100" s="12">
        <v>0.45315210425185481</v>
      </c>
      <c r="E100" s="16"/>
      <c r="F100" s="2"/>
      <c r="G100" s="88">
        <v>6</v>
      </c>
      <c r="H100" s="91">
        <v>3.8079999999999998</v>
      </c>
      <c r="I100" s="88">
        <v>49</v>
      </c>
      <c r="J100" s="72">
        <f t="shared" si="4"/>
        <v>8.1395348837209308E-2</v>
      </c>
      <c r="K100" s="72">
        <f>SUM($J$95:J100)</f>
        <v>0.67441860465116277</v>
      </c>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row>
    <row r="101" spans="2:39" x14ac:dyDescent="0.5">
      <c r="B101" s="2"/>
      <c r="C101" s="5" t="s">
        <v>112</v>
      </c>
      <c r="D101" s="12">
        <v>-1.1415829655939123</v>
      </c>
      <c r="E101" s="16"/>
      <c r="F101" s="2"/>
      <c r="G101" s="88">
        <v>7</v>
      </c>
      <c r="H101" s="91">
        <v>4.0709999999999997</v>
      </c>
      <c r="I101" s="88">
        <v>55</v>
      </c>
      <c r="J101" s="72">
        <f t="shared" si="4"/>
        <v>9.1362126245847178E-2</v>
      </c>
      <c r="K101" s="72">
        <f>SUM($J$95:J101)</f>
        <v>0.76578073089700993</v>
      </c>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row>
    <row r="102" spans="2:39" x14ac:dyDescent="0.5">
      <c r="B102" s="2"/>
      <c r="C102" s="5" t="s">
        <v>113</v>
      </c>
      <c r="D102" s="12">
        <v>0.31273825019209445</v>
      </c>
      <c r="E102" s="16"/>
      <c r="F102" s="2"/>
      <c r="G102" s="88">
        <v>8</v>
      </c>
      <c r="H102" s="91">
        <v>4.3339999999999996</v>
      </c>
      <c r="I102" s="88">
        <v>62</v>
      </c>
      <c r="J102" s="72">
        <f t="shared" si="4"/>
        <v>0.10299003322259136</v>
      </c>
      <c r="K102" s="72">
        <f>SUM($J$95:J102)</f>
        <v>0.8687707641196013</v>
      </c>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row>
    <row r="103" spans="2:39" x14ac:dyDescent="0.5">
      <c r="B103" s="2"/>
      <c r="C103" s="5" t="s">
        <v>114</v>
      </c>
      <c r="D103" s="12">
        <v>2.6105864793830604</v>
      </c>
      <c r="E103" s="16"/>
      <c r="F103" s="2"/>
      <c r="G103" s="88">
        <v>9</v>
      </c>
      <c r="H103" s="91">
        <v>4.5970000000000004</v>
      </c>
      <c r="I103" s="88">
        <v>48</v>
      </c>
      <c r="J103" s="72">
        <f t="shared" si="4"/>
        <v>7.9734219269102985E-2</v>
      </c>
      <c r="K103" s="72">
        <f>SUM($J$95:J103)</f>
        <v>0.94850498338870426</v>
      </c>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row>
    <row r="104" spans="2:39" x14ac:dyDescent="0.5">
      <c r="B104" s="2"/>
      <c r="C104" s="5" t="s">
        <v>91</v>
      </c>
      <c r="D104" s="12">
        <v>2.2396452932201716</v>
      </c>
      <c r="E104" s="16"/>
      <c r="F104" s="2"/>
      <c r="G104" s="88">
        <v>10</v>
      </c>
      <c r="H104" s="91">
        <v>4.8600000000000003</v>
      </c>
      <c r="I104" s="88">
        <v>31</v>
      </c>
      <c r="J104" s="72">
        <f t="shared" si="4"/>
        <v>5.1495016611295678E-2</v>
      </c>
      <c r="K104" s="72">
        <f>SUM($J$95:J104)</f>
        <v>0.99999999999999989</v>
      </c>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row>
    <row r="105" spans="2:39" x14ac:dyDescent="0.5">
      <c r="B105" s="2"/>
      <c r="C105" s="5" t="s">
        <v>90</v>
      </c>
      <c r="D105" s="12">
        <v>4.850231772603232</v>
      </c>
      <c r="E105" s="16"/>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row>
    <row r="106" spans="2:39" ht="17.399999999999999" thickBot="1" x14ac:dyDescent="0.55000000000000004">
      <c r="B106" s="2"/>
      <c r="C106" s="13" t="s">
        <v>94</v>
      </c>
      <c r="D106" s="13">
        <v>602</v>
      </c>
      <c r="E106" s="16"/>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row>
    <row r="107" spans="2:39" x14ac:dyDescent="0.5">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row>
    <row r="108" spans="2:39" x14ac:dyDescent="0.5">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row>
    <row r="109" spans="2:39" x14ac:dyDescent="0.5">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row>
    <row r="110" spans="2:39" x14ac:dyDescent="0.5">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row>
    <row r="111" spans="2:39" x14ac:dyDescent="0.5">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row>
    <row r="112" spans="2:39" x14ac:dyDescent="0.5">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row>
    <row r="113" spans="2:39" x14ac:dyDescent="0.5">
      <c r="B113" s="2"/>
      <c r="C113" s="2"/>
      <c r="D113" s="2"/>
      <c r="E113" s="2"/>
      <c r="F113" s="2"/>
      <c r="G113" s="22"/>
      <c r="H113" s="2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row>
    <row r="114" spans="2:39" x14ac:dyDescent="0.5">
      <c r="B114" s="2"/>
      <c r="C114" s="2"/>
      <c r="D114" s="2"/>
      <c r="E114" s="2"/>
      <c r="F114" s="2"/>
      <c r="G114" s="22"/>
      <c r="H114" s="2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row>
    <row r="115" spans="2:39" x14ac:dyDescent="0.5">
      <c r="B115" s="2"/>
      <c r="C115" s="2"/>
      <c r="D115" s="2"/>
      <c r="E115" s="2"/>
      <c r="F115" s="2"/>
      <c r="G115" s="22"/>
      <c r="H115" s="2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row>
    <row r="116" spans="2:39" x14ac:dyDescent="0.5">
      <c r="B116" s="2"/>
      <c r="C116" s="2"/>
      <c r="D116" s="2"/>
      <c r="E116" s="2"/>
      <c r="F116" s="2"/>
      <c r="G116" s="22"/>
      <c r="H116" s="2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row>
    <row r="117" spans="2:39" x14ac:dyDescent="0.5">
      <c r="B117" s="2"/>
      <c r="C117" s="2"/>
      <c r="D117" s="2"/>
      <c r="E117" s="2"/>
      <c r="F117" s="2"/>
      <c r="G117" s="22"/>
      <c r="H117" s="2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row>
  </sheetData>
  <mergeCells count="7">
    <mergeCell ref="C70:AI70"/>
    <mergeCell ref="C92:AI92"/>
    <mergeCell ref="C2:H4"/>
    <mergeCell ref="I2:AI4"/>
    <mergeCell ref="C6:AI6"/>
    <mergeCell ref="C27:AI27"/>
    <mergeCell ref="C49:AI49"/>
  </mergeCell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59999389629810485"/>
  </sheetPr>
  <dimension ref="B2:S40"/>
  <sheetViews>
    <sheetView topLeftCell="A10" zoomScale="99" zoomScaleNormal="123" zoomScalePageLayoutView="85" workbookViewId="0">
      <selection activeCell="C32" sqref="C32"/>
    </sheetView>
  </sheetViews>
  <sheetFormatPr defaultColWidth="8.77734375" defaultRowHeight="16.8" x14ac:dyDescent="0.25"/>
  <cols>
    <col min="1" max="1" width="2.77734375" style="99" customWidth="1"/>
    <col min="2" max="2" width="70.88671875" style="99" customWidth="1"/>
    <col min="3" max="3" width="23.88671875" style="100" bestFit="1" customWidth="1"/>
    <col min="4" max="4" width="9.88671875" style="99" customWidth="1"/>
    <col min="5" max="5" width="145.77734375" style="99" bestFit="1" customWidth="1"/>
    <col min="6" max="6" width="7.77734375" style="99" customWidth="1"/>
    <col min="7" max="7" width="28" style="99" bestFit="1" customWidth="1"/>
    <col min="8" max="8" width="18" style="99" bestFit="1" customWidth="1"/>
    <col min="9" max="9" width="6.88671875" style="99" bestFit="1" customWidth="1"/>
    <col min="10" max="10" width="16.109375" style="99" bestFit="1" customWidth="1"/>
    <col min="11" max="11" width="49.21875" style="99" bestFit="1" customWidth="1"/>
    <col min="12" max="12" width="10.6640625" style="99" bestFit="1" customWidth="1"/>
    <col min="13" max="13" width="11" style="99" bestFit="1" customWidth="1"/>
    <col min="14" max="15" width="7.77734375" style="99" customWidth="1"/>
    <col min="16" max="19" width="7.77734375" style="22" customWidth="1"/>
    <col min="20" max="24" width="7.77734375" style="99" customWidth="1"/>
    <col min="25" max="16384" width="8.77734375" style="99"/>
  </cols>
  <sheetData>
    <row r="2" spans="2:19" ht="16.8" customHeight="1" x14ac:dyDescent="0.25">
      <c r="B2" s="128" t="s">
        <v>137</v>
      </c>
      <c r="C2" s="128"/>
      <c r="D2" s="129" t="s">
        <v>209</v>
      </c>
      <c r="E2" s="129"/>
      <c r="F2" s="129"/>
      <c r="G2" s="129"/>
      <c r="H2" s="129"/>
      <c r="I2" s="129"/>
      <c r="J2" s="129"/>
      <c r="K2" s="129"/>
      <c r="L2" s="129"/>
      <c r="M2" s="129"/>
      <c r="N2" s="129"/>
      <c r="O2" s="129"/>
    </row>
    <row r="3" spans="2:19" ht="16.8" customHeight="1" x14ac:dyDescent="0.25">
      <c r="B3" s="128"/>
      <c r="C3" s="128"/>
      <c r="D3" s="129"/>
      <c r="E3" s="129"/>
      <c r="F3" s="129"/>
      <c r="G3" s="129"/>
      <c r="H3" s="129"/>
      <c r="I3" s="129"/>
      <c r="J3" s="129"/>
      <c r="K3" s="129"/>
      <c r="L3" s="129"/>
      <c r="M3" s="129"/>
      <c r="N3" s="129"/>
      <c r="O3" s="129"/>
    </row>
    <row r="4" spans="2:19" ht="16.8" customHeight="1" x14ac:dyDescent="0.25">
      <c r="B4" s="128"/>
      <c r="C4" s="128"/>
      <c r="D4" s="129"/>
      <c r="E4" s="129"/>
      <c r="F4" s="129"/>
      <c r="G4" s="129"/>
      <c r="H4" s="129"/>
      <c r="I4" s="129"/>
      <c r="J4" s="129"/>
      <c r="K4" s="129"/>
      <c r="L4" s="129"/>
      <c r="M4" s="129"/>
      <c r="N4" s="129"/>
      <c r="O4" s="129"/>
    </row>
    <row r="5" spans="2:19" s="117" customFormat="1" ht="16.8" customHeight="1" x14ac:dyDescent="0.25">
      <c r="B5" s="114"/>
      <c r="C5" s="114"/>
      <c r="D5" s="115"/>
      <c r="E5" s="115"/>
      <c r="F5" s="115"/>
      <c r="G5" s="115"/>
      <c r="H5" s="115"/>
      <c r="I5" s="115"/>
      <c r="J5" s="115"/>
      <c r="K5" s="115"/>
      <c r="L5" s="115"/>
      <c r="M5" s="115"/>
      <c r="N5" s="115"/>
      <c r="O5" s="115"/>
      <c r="P5" s="116"/>
      <c r="Q5" s="116"/>
      <c r="R5" s="116"/>
      <c r="S5" s="116"/>
    </row>
    <row r="6" spans="2:19" x14ac:dyDescent="0.25">
      <c r="B6" s="118" t="s">
        <v>57</v>
      </c>
      <c r="C6" s="119" t="s">
        <v>56</v>
      </c>
      <c r="D6" s="101"/>
      <c r="E6" s="118" t="s">
        <v>18</v>
      </c>
      <c r="G6" s="130" t="s">
        <v>68</v>
      </c>
      <c r="H6" s="130"/>
      <c r="I6" s="22"/>
      <c r="J6" s="102"/>
      <c r="K6" s="130" t="s">
        <v>80</v>
      </c>
      <c r="L6" s="130"/>
      <c r="M6" s="130"/>
      <c r="N6" s="130"/>
      <c r="O6" s="130"/>
    </row>
    <row r="7" spans="2:19" x14ac:dyDescent="0.5">
      <c r="B7" s="103" t="s">
        <v>3</v>
      </c>
      <c r="C7" s="133">
        <v>2025</v>
      </c>
      <c r="E7" s="104" t="s">
        <v>58</v>
      </c>
    </row>
    <row r="8" spans="2:19" ht="16.8" customHeight="1" x14ac:dyDescent="0.5">
      <c r="B8" s="103" t="s">
        <v>65</v>
      </c>
      <c r="C8" s="133">
        <v>2025</v>
      </c>
      <c r="E8" s="104" t="s">
        <v>66</v>
      </c>
      <c r="G8" s="105" t="s">
        <v>63</v>
      </c>
      <c r="H8" s="106" t="s">
        <v>64</v>
      </c>
      <c r="I8" s="106" t="s">
        <v>1</v>
      </c>
      <c r="K8" s="107" t="s">
        <v>76</v>
      </c>
      <c r="L8" s="107" t="s">
        <v>77</v>
      </c>
      <c r="M8" s="107" t="s">
        <v>78</v>
      </c>
      <c r="N8" s="107" t="s">
        <v>88</v>
      </c>
      <c r="O8" s="107" t="s">
        <v>125</v>
      </c>
    </row>
    <row r="9" spans="2:19" x14ac:dyDescent="0.5">
      <c r="B9" s="103" t="s">
        <v>22</v>
      </c>
      <c r="C9" s="133">
        <v>2030</v>
      </c>
      <c r="E9" s="104" t="s">
        <v>59</v>
      </c>
      <c r="G9" s="123">
        <v>0.15</v>
      </c>
      <c r="H9" s="36">
        <f>development_start</f>
        <v>2025</v>
      </c>
      <c r="I9" s="109">
        <f>_xlfn.XLOOKUP(dev_ex_installment_1_cal_year,Calendar_year,Year)</f>
        <v>0</v>
      </c>
      <c r="K9" s="99" t="s">
        <v>79</v>
      </c>
      <c r="L9" s="99">
        <v>20</v>
      </c>
      <c r="M9" s="99">
        <v>100</v>
      </c>
    </row>
    <row r="10" spans="2:19" x14ac:dyDescent="0.5">
      <c r="B10" s="103" t="s">
        <v>23</v>
      </c>
      <c r="C10" s="133">
        <v>2044</v>
      </c>
      <c r="E10" s="104" t="s">
        <v>60</v>
      </c>
      <c r="G10" s="123">
        <v>0.15</v>
      </c>
      <c r="H10" s="36">
        <f>development_start+1</f>
        <v>2026</v>
      </c>
      <c r="I10" s="109">
        <f>_xlfn.XLOOKUP(dev_ex_installment_2_cal_year,Calendar_year,Year)</f>
        <v>1</v>
      </c>
      <c r="K10" s="99" t="s">
        <v>127</v>
      </c>
      <c r="N10" s="99">
        <f>mean_oil_price_nominal_log_transformed</f>
        <v>3.4476415907433382</v>
      </c>
      <c r="O10" s="99">
        <f>std_dev_oil_price_nominal_log_transformed</f>
        <v>0.67316573312361561</v>
      </c>
    </row>
    <row r="11" spans="2:19" x14ac:dyDescent="0.5">
      <c r="B11" s="103" t="s">
        <v>10</v>
      </c>
      <c r="C11" s="135">
        <v>0.08</v>
      </c>
      <c r="E11" s="104" t="s">
        <v>15</v>
      </c>
      <c r="G11" s="123">
        <v>0.2</v>
      </c>
      <c r="H11" s="36">
        <f>development_start+2</f>
        <v>2027</v>
      </c>
      <c r="I11" s="109">
        <f>_xlfn.XLOOKUP(dev_ex_installment_3_cal_year,Calendar_year,Year)</f>
        <v>2</v>
      </c>
      <c r="K11" s="99" t="s">
        <v>129</v>
      </c>
      <c r="N11" s="99">
        <f>mean_oil_price_infl_adj_log_transformed</f>
        <v>4.169115720228711</v>
      </c>
      <c r="O11" s="99">
        <f>std_dev_oil_price_infl_adj_log_transformed</f>
        <v>0.47713898839343388</v>
      </c>
    </row>
    <row r="12" spans="2:19" x14ac:dyDescent="0.5">
      <c r="B12" s="120"/>
      <c r="C12" s="121"/>
      <c r="E12" s="122"/>
      <c r="G12" s="123">
        <v>0.3</v>
      </c>
      <c r="H12" s="36">
        <f>development_start+3</f>
        <v>2028</v>
      </c>
      <c r="I12" s="109">
        <f>_xlfn.XLOOKUP(dev_ex_installment_4_cal_year,Calendar_year,Year)</f>
        <v>3</v>
      </c>
    </row>
    <row r="13" spans="2:19" x14ac:dyDescent="0.5">
      <c r="B13" s="103" t="s">
        <v>6</v>
      </c>
      <c r="C13" s="133">
        <v>300</v>
      </c>
      <c r="E13" s="104" t="s">
        <v>17</v>
      </c>
      <c r="G13" s="123">
        <v>0.1</v>
      </c>
      <c r="H13" s="36">
        <f>development_start+4</f>
        <v>2029</v>
      </c>
      <c r="I13" s="109">
        <f>_xlfn.XLOOKUP(dev_ex_installment_5_cal_year,Calendar_year,Year)</f>
        <v>4</v>
      </c>
    </row>
    <row r="14" spans="2:19" x14ac:dyDescent="0.5">
      <c r="B14" s="120"/>
      <c r="C14" s="121"/>
      <c r="E14" s="122"/>
      <c r="G14" s="123">
        <v>0.1</v>
      </c>
      <c r="H14" s="36">
        <f>development_start+5</f>
        <v>2030</v>
      </c>
      <c r="I14" s="109">
        <f>_xlfn.XLOOKUP(dev_ex_installment_6_cal_year,Calendar_year,Year)</f>
        <v>5</v>
      </c>
    </row>
    <row r="15" spans="2:19" x14ac:dyDescent="0.5">
      <c r="B15" s="103" t="s">
        <v>4</v>
      </c>
      <c r="C15" s="132">
        <v>1.2500000000000001E-2</v>
      </c>
      <c r="E15" s="104" t="s">
        <v>16</v>
      </c>
      <c r="G15" s="123">
        <v>0</v>
      </c>
      <c r="H15" s="36">
        <v>2031</v>
      </c>
      <c r="I15" s="109">
        <f>_xlfn.XLOOKUP(dev_ex_installment_7_cal_year,Calendar_year,Year)</f>
        <v>6</v>
      </c>
    </row>
    <row r="16" spans="2:19" x14ac:dyDescent="0.5">
      <c r="B16" s="103" t="s">
        <v>7</v>
      </c>
      <c r="C16" s="133">
        <v>15</v>
      </c>
      <c r="E16" s="104" t="s">
        <v>14</v>
      </c>
      <c r="G16" s="123">
        <v>0</v>
      </c>
      <c r="H16" s="36">
        <v>2032</v>
      </c>
      <c r="I16" s="109">
        <f>_xlfn.XLOOKUP(dev_ex_installment_8_cal_year,Calendar_year,Year)</f>
        <v>7</v>
      </c>
    </row>
    <row r="17" spans="2:9" x14ac:dyDescent="0.5">
      <c r="B17" s="103" t="s">
        <v>9</v>
      </c>
      <c r="C17" s="134">
        <v>7.0000000000000007E-2</v>
      </c>
      <c r="E17" s="104" t="s">
        <v>13</v>
      </c>
      <c r="I17" s="110"/>
    </row>
    <row r="18" spans="2:9" ht="16.8" customHeight="1" x14ac:dyDescent="0.5">
      <c r="B18" s="103" t="s">
        <v>11</v>
      </c>
      <c r="C18" s="133">
        <v>2</v>
      </c>
      <c r="E18" s="104" t="s">
        <v>12</v>
      </c>
      <c r="G18" s="105" t="s">
        <v>67</v>
      </c>
      <c r="H18" s="106" t="s">
        <v>64</v>
      </c>
      <c r="I18" s="110"/>
    </row>
    <row r="19" spans="2:9" x14ac:dyDescent="0.5">
      <c r="B19" s="120"/>
      <c r="C19" s="121"/>
      <c r="E19" s="122"/>
      <c r="G19" s="124">
        <v>0.11</v>
      </c>
      <c r="H19" s="36">
        <f>production_start</f>
        <v>2030</v>
      </c>
      <c r="I19" s="110"/>
    </row>
    <row r="20" spans="2:9" x14ac:dyDescent="0.25">
      <c r="B20" s="103" t="s">
        <v>70</v>
      </c>
      <c r="C20" s="111">
        <f ca="1">oil_price_infl_adj_MC_log_normal</f>
        <v>53.706954968820042</v>
      </c>
      <c r="G20" s="124">
        <v>0.16</v>
      </c>
      <c r="H20" s="36">
        <f>production_start+1</f>
        <v>2031</v>
      </c>
      <c r="I20" s="110"/>
    </row>
    <row r="21" spans="2:9" x14ac:dyDescent="0.5">
      <c r="B21" s="112" t="s">
        <v>74</v>
      </c>
      <c r="C21" s="131">
        <v>60</v>
      </c>
      <c r="E21" s="104" t="s">
        <v>62</v>
      </c>
      <c r="G21" s="124">
        <v>0.16</v>
      </c>
      <c r="H21" s="36">
        <f>production_start+2</f>
        <v>2032</v>
      </c>
      <c r="I21" s="110"/>
    </row>
    <row r="22" spans="2:9" x14ac:dyDescent="0.25">
      <c r="B22" s="112" t="s">
        <v>75</v>
      </c>
      <c r="C22" s="113">
        <f ca="1">MC_min_oil_price_uniform+((MC_max_oil_price_uniform-MC_min_oil_price_uniform)*RAND())</f>
        <v>34.42506089581989</v>
      </c>
      <c r="E22" s="99" t="s">
        <v>212</v>
      </c>
      <c r="G22" s="124">
        <v>0.13</v>
      </c>
      <c r="H22" s="36">
        <f>production_start+3</f>
        <v>2033</v>
      </c>
      <c r="I22" s="110"/>
    </row>
    <row r="23" spans="2:9" x14ac:dyDescent="0.25">
      <c r="B23" s="112" t="s">
        <v>172</v>
      </c>
      <c r="C23" s="113">
        <f ca="1">EXP(mean_oil_price_nominal_log_transformed+std_dev_oil_price_nominal_log_transformed*(NORMSINV(RAND())))</f>
        <v>59.469231442453285</v>
      </c>
      <c r="E23" s="99" t="s">
        <v>211</v>
      </c>
      <c r="G23" s="124">
        <v>0.1</v>
      </c>
      <c r="H23" s="36">
        <f>production_start+4</f>
        <v>2034</v>
      </c>
      <c r="I23" s="110"/>
    </row>
    <row r="24" spans="2:9" x14ac:dyDescent="0.25">
      <c r="B24" s="112" t="s">
        <v>128</v>
      </c>
      <c r="C24" s="37">
        <f ca="1">EXP(mean_oil_price_infl_adj_log_transformed+std_dev_oil_price_infl_adj_log_transformed*(NORMSINV(RAND())))</f>
        <v>53.706954968820042</v>
      </c>
      <c r="E24" s="99" t="s">
        <v>213</v>
      </c>
      <c r="G24" s="124">
        <v>0.08</v>
      </c>
      <c r="H24" s="36">
        <f>production_start+5</f>
        <v>2035</v>
      </c>
      <c r="I24" s="110"/>
    </row>
    <row r="25" spans="2:9" x14ac:dyDescent="0.5">
      <c r="B25" s="120"/>
      <c r="C25" s="121"/>
      <c r="E25" s="122"/>
      <c r="G25" s="124">
        <v>0.06</v>
      </c>
      <c r="H25" s="36">
        <f>production_start+6</f>
        <v>2036</v>
      </c>
      <c r="I25" s="110"/>
    </row>
    <row r="26" spans="2:9" ht="16.8" customHeight="1" x14ac:dyDescent="0.25">
      <c r="B26" s="103" t="s">
        <v>5</v>
      </c>
      <c r="C26" s="132">
        <v>2.2499999999999999E-2</v>
      </c>
      <c r="E26" s="99" t="s">
        <v>210</v>
      </c>
      <c r="G26" s="124">
        <v>0.05</v>
      </c>
      <c r="H26" s="36">
        <f>production_start+7</f>
        <v>2037</v>
      </c>
      <c r="I26" s="110"/>
    </row>
    <row r="27" spans="2:9" x14ac:dyDescent="0.5">
      <c r="B27" s="120"/>
      <c r="C27" s="121"/>
      <c r="E27" s="122"/>
      <c r="G27" s="124">
        <v>0.04</v>
      </c>
      <c r="H27" s="36">
        <f>production_start+8</f>
        <v>2038</v>
      </c>
      <c r="I27" s="110"/>
    </row>
    <row r="28" spans="2:9" x14ac:dyDescent="0.5">
      <c r="B28" s="99" t="s">
        <v>2</v>
      </c>
      <c r="C28" s="94">
        <v>0.35</v>
      </c>
      <c r="E28" s="104" t="s">
        <v>61</v>
      </c>
      <c r="G28" s="124">
        <v>0.03</v>
      </c>
      <c r="H28" s="36">
        <f>production_start+9</f>
        <v>2039</v>
      </c>
      <c r="I28" s="110"/>
    </row>
    <row r="29" spans="2:9" x14ac:dyDescent="0.25">
      <c r="D29" s="22"/>
      <c r="G29" s="124">
        <v>2.5000000000000001E-2</v>
      </c>
      <c r="H29" s="36">
        <f>production_start+10</f>
        <v>2040</v>
      </c>
      <c r="I29" s="110"/>
    </row>
    <row r="30" spans="2:9" x14ac:dyDescent="0.25">
      <c r="D30" s="22"/>
      <c r="G30" s="124">
        <v>0.02</v>
      </c>
      <c r="H30" s="36">
        <f>production_start+11</f>
        <v>2041</v>
      </c>
      <c r="I30" s="110"/>
    </row>
    <row r="31" spans="2:9" x14ac:dyDescent="0.25">
      <c r="G31" s="124">
        <v>1.8000000000000002E-2</v>
      </c>
      <c r="H31" s="36">
        <f>production_start+12</f>
        <v>2042</v>
      </c>
    </row>
    <row r="32" spans="2:9" x14ac:dyDescent="0.25">
      <c r="G32" s="124">
        <v>1.6E-2</v>
      </c>
      <c r="H32" s="36">
        <f>production_start+13</f>
        <v>2043</v>
      </c>
    </row>
    <row r="33" spans="2:8" x14ac:dyDescent="0.25">
      <c r="G33" s="124">
        <v>1E-3</v>
      </c>
      <c r="H33" s="36">
        <f>production_start+14</f>
        <v>2044</v>
      </c>
    </row>
    <row r="34" spans="2:8" x14ac:dyDescent="0.25">
      <c r="G34" s="108"/>
      <c r="H34" s="36"/>
    </row>
    <row r="35" spans="2:8" x14ac:dyDescent="0.5">
      <c r="B35" s="5"/>
      <c r="G35" s="105" t="s">
        <v>69</v>
      </c>
      <c r="H35" s="106" t="s">
        <v>64</v>
      </c>
    </row>
    <row r="36" spans="2:8" x14ac:dyDescent="0.5">
      <c r="B36" s="5"/>
      <c r="G36" s="124">
        <v>0.33333333333333337</v>
      </c>
      <c r="H36" s="36">
        <f>decommissioning_start</f>
        <v>2044</v>
      </c>
    </row>
    <row r="37" spans="2:8" x14ac:dyDescent="0.5">
      <c r="B37" s="5"/>
      <c r="G37" s="124">
        <v>0.33333333333333337</v>
      </c>
      <c r="H37" s="36">
        <f>decommissioning_start+1</f>
        <v>2045</v>
      </c>
    </row>
    <row r="38" spans="2:8" x14ac:dyDescent="0.25">
      <c r="B38" s="22"/>
      <c r="C38" s="22"/>
      <c r="G38" s="124">
        <v>0.33333333333333337</v>
      </c>
      <c r="H38" s="36">
        <f>decommissioning_start+2</f>
        <v>2046</v>
      </c>
    </row>
    <row r="39" spans="2:8" x14ac:dyDescent="0.25">
      <c r="B39" s="22"/>
      <c r="C39" s="22"/>
    </row>
    <row r="40" spans="2:8" x14ac:dyDescent="0.25">
      <c r="B40" s="22"/>
      <c r="C40" s="22"/>
    </row>
  </sheetData>
  <mergeCells count="4">
    <mergeCell ref="G6:H6"/>
    <mergeCell ref="B2:C4"/>
    <mergeCell ref="D2:O4"/>
    <mergeCell ref="K6:O6"/>
  </mergeCells>
  <conditionalFormatting sqref="G19:G33">
    <cfRule type="containsText" dxfId="38" priority="17" operator="containsText" text="✗">
      <formula>NOT(ISERROR(SEARCH("✗",G19)))</formula>
    </cfRule>
    <cfRule type="containsText" dxfId="37" priority="18" operator="containsText" text="✓">
      <formula>NOT(ISERROR(SEARCH("✓",G19)))</formula>
    </cfRule>
  </conditionalFormatting>
  <conditionalFormatting sqref="G36:G38">
    <cfRule type="containsText" dxfId="36" priority="15" operator="containsText" text="✗">
      <formula>NOT(ISERROR(SEARCH("✗",G36)))</formula>
    </cfRule>
    <cfRule type="containsText" dxfId="35" priority="16" operator="containsText" text="✓">
      <formula>NOT(ISERROR(SEARCH("✓",G36)))</formula>
    </cfRule>
  </conditionalFormatting>
  <dataValidations count="2">
    <dataValidation type="whole" operator="greaterThan" allowBlank="1" showInputMessage="1" showErrorMessage="1" sqref="C8:C10" xr:uid="{D69A8DD8-9119-409A-914B-E1502BF7E5E2}">
      <formula1>2024</formula1>
    </dataValidation>
    <dataValidation type="whole" operator="equal" allowBlank="1" showInputMessage="1" showErrorMessage="1" sqref="C7" xr:uid="{4E3C4794-6DF0-4100-93F1-0EEAF26BAB52}">
      <formula1>2025</formula1>
    </dataValidation>
  </dataValidations>
  <pageMargins left="0.70866141732283472" right="0.70866141732283472" top="0.74803149606299213" bottom="0.74803149606299213" header="0.31496062992125984" footer="0.31496062992125984"/>
  <pageSetup paperSize="9" scale="75" orientation="landscape"/>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88DE7-3358-4656-B168-067BF5FE02C0}">
  <sheetPr>
    <tabColor theme="8" tint="0.59999389629810485"/>
  </sheetPr>
  <dimension ref="B2:AO52"/>
  <sheetViews>
    <sheetView zoomScale="68" zoomScaleNormal="100" workbookViewId="0">
      <selection activeCell="H53" sqref="H53"/>
    </sheetView>
  </sheetViews>
  <sheetFormatPr defaultRowHeight="19.95" customHeight="1" x14ac:dyDescent="0.25"/>
  <cols>
    <col min="1" max="1" width="2.77734375" style="36" customWidth="1"/>
    <col min="2" max="2" width="65.77734375" style="50" bestFit="1" customWidth="1"/>
    <col min="3" max="5" width="10.21875" style="36" bestFit="1" customWidth="1"/>
    <col min="6" max="6" width="10" style="36" bestFit="1" customWidth="1"/>
    <col min="7" max="7" width="10.77734375" style="36" bestFit="1" customWidth="1"/>
    <col min="8" max="8" width="10.21875" style="36" bestFit="1" customWidth="1"/>
    <col min="9" max="9" width="10" style="36" bestFit="1" customWidth="1"/>
    <col min="10" max="11" width="10.21875" style="36" bestFit="1" customWidth="1"/>
    <col min="12" max="12" width="10" style="36" bestFit="1" customWidth="1"/>
    <col min="13" max="13" width="9.6640625" style="36" bestFit="1" customWidth="1"/>
    <col min="14" max="14" width="9.109375" style="36" bestFit="1" customWidth="1"/>
    <col min="15" max="15" width="8.88671875" style="36" bestFit="1" customWidth="1"/>
    <col min="16" max="17" width="9.109375" style="36" bestFit="1" customWidth="1"/>
    <col min="18" max="18" width="8.88671875" style="36" bestFit="1" customWidth="1"/>
    <col min="19" max="19" width="8.44140625" style="36" bestFit="1" customWidth="1"/>
    <col min="20" max="22" width="8.88671875" style="36" bestFit="1" customWidth="1"/>
    <col min="23" max="23" width="9.6640625" style="36" bestFit="1" customWidth="1"/>
    <col min="24" max="24" width="8.88671875" style="36" bestFit="1" customWidth="1"/>
    <col min="25" max="25" width="8.44140625" style="36" bestFit="1" customWidth="1"/>
    <col min="26" max="29" width="7.6640625" style="36" bestFit="1" customWidth="1"/>
    <col min="30" max="16384" width="8.88671875" style="36"/>
  </cols>
  <sheetData>
    <row r="2" spans="2:41" ht="19.95" customHeight="1" x14ac:dyDescent="0.25">
      <c r="B2" s="128" t="s">
        <v>137</v>
      </c>
      <c r="C2" s="128"/>
      <c r="D2" s="128"/>
      <c r="E2" s="128"/>
      <c r="F2" s="129" t="s">
        <v>138</v>
      </c>
      <c r="G2" s="129"/>
      <c r="H2" s="129"/>
      <c r="I2" s="129"/>
      <c r="J2" s="129"/>
      <c r="K2" s="129"/>
      <c r="L2" s="129"/>
      <c r="M2" s="129"/>
      <c r="N2" s="129"/>
      <c r="O2" s="129"/>
      <c r="P2" s="129"/>
      <c r="Q2" s="129"/>
      <c r="R2" s="129"/>
      <c r="S2" s="129"/>
      <c r="T2" s="129"/>
      <c r="U2" s="129"/>
      <c r="V2" s="129"/>
      <c r="W2" s="129"/>
      <c r="X2" s="129"/>
      <c r="Y2" s="129"/>
      <c r="Z2" s="129"/>
      <c r="AA2" s="129"/>
      <c r="AB2" s="129"/>
      <c r="AC2" s="129"/>
    </row>
    <row r="3" spans="2:41" ht="19.95" customHeight="1" x14ac:dyDescent="0.25">
      <c r="B3" s="128"/>
      <c r="C3" s="128"/>
      <c r="D3" s="128"/>
      <c r="E3" s="128"/>
      <c r="F3" s="129"/>
      <c r="G3" s="129"/>
      <c r="H3" s="129"/>
      <c r="I3" s="129"/>
      <c r="J3" s="129"/>
      <c r="K3" s="129"/>
      <c r="L3" s="129"/>
      <c r="M3" s="129"/>
      <c r="N3" s="129"/>
      <c r="O3" s="129"/>
      <c r="P3" s="129"/>
      <c r="Q3" s="129"/>
      <c r="R3" s="129"/>
      <c r="S3" s="129"/>
      <c r="T3" s="129"/>
      <c r="U3" s="129"/>
      <c r="V3" s="129"/>
      <c r="W3" s="129"/>
      <c r="X3" s="129"/>
      <c r="Y3" s="129"/>
      <c r="Z3" s="129"/>
      <c r="AA3" s="129"/>
      <c r="AB3" s="129"/>
      <c r="AC3" s="129"/>
    </row>
    <row r="4" spans="2:41" ht="19.95" customHeight="1" x14ac:dyDescent="0.25">
      <c r="B4" s="128"/>
      <c r="C4" s="128"/>
      <c r="D4" s="128"/>
      <c r="E4" s="128"/>
      <c r="F4" s="129"/>
      <c r="G4" s="129"/>
      <c r="H4" s="129"/>
      <c r="I4" s="129"/>
      <c r="J4" s="129"/>
      <c r="K4" s="129"/>
      <c r="L4" s="129"/>
      <c r="M4" s="129"/>
      <c r="N4" s="129"/>
      <c r="O4" s="129"/>
      <c r="P4" s="129"/>
      <c r="Q4" s="129"/>
      <c r="R4" s="129"/>
      <c r="S4" s="129"/>
      <c r="T4" s="129"/>
      <c r="U4" s="129"/>
      <c r="V4" s="129"/>
      <c r="W4" s="129"/>
      <c r="X4" s="129"/>
      <c r="Y4" s="129"/>
      <c r="Z4" s="129"/>
      <c r="AA4" s="129"/>
      <c r="AB4" s="129"/>
      <c r="AC4" s="129"/>
    </row>
    <row r="6" spans="2:41" ht="19.95" customHeight="1" x14ac:dyDescent="0.25">
      <c r="B6" s="59" t="s">
        <v>1</v>
      </c>
      <c r="C6" s="60"/>
      <c r="D6" s="61">
        <v>0</v>
      </c>
      <c r="E6" s="61">
        <v>1</v>
      </c>
      <c r="F6" s="61">
        <v>2</v>
      </c>
      <c r="G6" s="61">
        <v>3</v>
      </c>
      <c r="H6" s="61">
        <v>4</v>
      </c>
      <c r="I6" s="61">
        <v>5</v>
      </c>
      <c r="J6" s="61">
        <v>6</v>
      </c>
      <c r="K6" s="61">
        <v>7</v>
      </c>
      <c r="L6" s="61">
        <v>8</v>
      </c>
      <c r="M6" s="61">
        <v>9</v>
      </c>
      <c r="N6" s="61">
        <v>10</v>
      </c>
      <c r="O6" s="61">
        <v>11</v>
      </c>
      <c r="P6" s="61">
        <v>12</v>
      </c>
      <c r="Q6" s="61">
        <v>13</v>
      </c>
      <c r="R6" s="61">
        <v>14</v>
      </c>
      <c r="S6" s="61">
        <v>15</v>
      </c>
      <c r="T6" s="61">
        <v>16</v>
      </c>
      <c r="U6" s="61">
        <v>17</v>
      </c>
      <c r="V6" s="61">
        <v>18</v>
      </c>
      <c r="W6" s="61">
        <v>19</v>
      </c>
      <c r="X6" s="61">
        <v>20</v>
      </c>
      <c r="Y6" s="61">
        <v>21</v>
      </c>
      <c r="Z6" s="61">
        <v>22</v>
      </c>
      <c r="AA6" s="61">
        <v>23</v>
      </c>
      <c r="AB6" s="61">
        <v>24</v>
      </c>
      <c r="AC6" s="61">
        <v>25</v>
      </c>
    </row>
    <row r="7" spans="2:41" ht="19.95" customHeight="1" x14ac:dyDescent="0.25">
      <c r="B7" s="62"/>
      <c r="C7" s="63"/>
      <c r="D7" s="125">
        <v>2025</v>
      </c>
      <c r="E7" s="125">
        <v>2026</v>
      </c>
      <c r="F7" s="125">
        <v>2027</v>
      </c>
      <c r="G7" s="125">
        <v>2028</v>
      </c>
      <c r="H7" s="125">
        <v>2029</v>
      </c>
      <c r="I7" s="125">
        <v>2030</v>
      </c>
      <c r="J7" s="125">
        <v>2031</v>
      </c>
      <c r="K7" s="125">
        <v>2032</v>
      </c>
      <c r="L7" s="125">
        <v>2033</v>
      </c>
      <c r="M7" s="125">
        <v>2034</v>
      </c>
      <c r="N7" s="125">
        <v>2035</v>
      </c>
      <c r="O7" s="125">
        <v>2036</v>
      </c>
      <c r="P7" s="125">
        <v>2037</v>
      </c>
      <c r="Q7" s="125">
        <v>2038</v>
      </c>
      <c r="R7" s="125">
        <v>2039</v>
      </c>
      <c r="S7" s="125">
        <v>2040</v>
      </c>
      <c r="T7" s="125">
        <v>2041</v>
      </c>
      <c r="U7" s="125">
        <v>2042</v>
      </c>
      <c r="V7" s="125">
        <v>2043</v>
      </c>
      <c r="W7" s="125">
        <v>2044</v>
      </c>
      <c r="X7" s="125">
        <v>2045</v>
      </c>
      <c r="Y7" s="125">
        <v>2046</v>
      </c>
      <c r="Z7" s="125">
        <v>2047</v>
      </c>
      <c r="AA7" s="125">
        <v>2048</v>
      </c>
      <c r="AB7" s="125">
        <v>2049</v>
      </c>
      <c r="AC7" s="125">
        <v>2050</v>
      </c>
    </row>
    <row r="8" spans="2:41" ht="19.95" customHeight="1" x14ac:dyDescent="0.25">
      <c r="B8" s="62"/>
      <c r="C8" s="63"/>
      <c r="D8" s="63"/>
      <c r="E8" s="63"/>
      <c r="F8" s="63"/>
      <c r="G8" s="63"/>
      <c r="H8" s="63"/>
      <c r="I8" s="63"/>
      <c r="J8" s="63"/>
      <c r="K8" s="63"/>
      <c r="L8" s="63"/>
      <c r="M8" s="63"/>
      <c r="N8" s="63"/>
      <c r="O8" s="63"/>
      <c r="P8" s="63"/>
      <c r="Q8" s="63"/>
      <c r="R8" s="63"/>
      <c r="S8" s="63"/>
      <c r="T8" s="63"/>
      <c r="U8" s="63"/>
      <c r="V8" s="63"/>
      <c r="W8" s="63"/>
      <c r="X8" s="63"/>
      <c r="Y8" s="63"/>
      <c r="Z8" s="63"/>
      <c r="AA8" s="63"/>
      <c r="AB8" s="63"/>
      <c r="AC8" s="63"/>
    </row>
    <row r="9" spans="2:41" ht="19.95" customHeight="1" thickBot="1" x14ac:dyDescent="0.3">
      <c r="B9" s="65" t="s">
        <v>20</v>
      </c>
      <c r="C9" s="66" t="s">
        <v>8</v>
      </c>
      <c r="D9" s="67"/>
      <c r="E9" s="67"/>
      <c r="F9" s="67"/>
      <c r="G9" s="67"/>
      <c r="H9" s="67"/>
      <c r="I9" s="67"/>
      <c r="J9" s="67"/>
      <c r="K9" s="67"/>
      <c r="L9" s="67"/>
      <c r="M9" s="67"/>
      <c r="N9" s="67"/>
      <c r="O9" s="67"/>
      <c r="P9" s="67"/>
      <c r="Q9" s="67"/>
      <c r="R9" s="67"/>
      <c r="S9" s="67"/>
      <c r="T9" s="67"/>
      <c r="U9" s="67"/>
      <c r="V9" s="67"/>
      <c r="W9" s="67"/>
      <c r="X9" s="67"/>
      <c r="Y9" s="67"/>
      <c r="Z9" s="67"/>
      <c r="AA9" s="67"/>
      <c r="AB9" s="67"/>
      <c r="AC9" s="67"/>
    </row>
    <row r="10" spans="2:41" ht="19.95" customHeight="1" x14ac:dyDescent="0.25">
      <c r="B10" s="50" t="s">
        <v>26</v>
      </c>
      <c r="C10" s="36" t="str">
        <f>IF(SUM(DevEx_Perc_Years)=100%, "✓", "✗")</f>
        <v>✓</v>
      </c>
      <c r="D10" s="51">
        <f t="shared" ref="D10:AC10" si="0">_xlfn.XLOOKUP(Calendar_year,DevEx_Timeline,DevEx_Perc_Installments,0)</f>
        <v>0.15</v>
      </c>
      <c r="E10" s="51">
        <f t="shared" si="0"/>
        <v>0.15</v>
      </c>
      <c r="F10" s="51">
        <f t="shared" si="0"/>
        <v>0.2</v>
      </c>
      <c r="G10" s="51">
        <f t="shared" si="0"/>
        <v>0.3</v>
      </c>
      <c r="H10" s="51">
        <f t="shared" si="0"/>
        <v>0.1</v>
      </c>
      <c r="I10" s="51">
        <f t="shared" si="0"/>
        <v>0.1</v>
      </c>
      <c r="J10" s="51">
        <f t="shared" si="0"/>
        <v>0</v>
      </c>
      <c r="K10" s="51">
        <f t="shared" si="0"/>
        <v>0</v>
      </c>
      <c r="L10" s="51">
        <f t="shared" si="0"/>
        <v>0</v>
      </c>
      <c r="M10" s="51">
        <f t="shared" si="0"/>
        <v>0</v>
      </c>
      <c r="N10" s="51">
        <f t="shared" si="0"/>
        <v>0</v>
      </c>
      <c r="O10" s="51">
        <f t="shared" si="0"/>
        <v>0</v>
      </c>
      <c r="P10" s="51">
        <f t="shared" si="0"/>
        <v>0</v>
      </c>
      <c r="Q10" s="51">
        <f t="shared" si="0"/>
        <v>0</v>
      </c>
      <c r="R10" s="51">
        <f t="shared" si="0"/>
        <v>0</v>
      </c>
      <c r="S10" s="51">
        <f t="shared" si="0"/>
        <v>0</v>
      </c>
      <c r="T10" s="51">
        <f t="shared" si="0"/>
        <v>0</v>
      </c>
      <c r="U10" s="51">
        <f t="shared" si="0"/>
        <v>0</v>
      </c>
      <c r="V10" s="51">
        <f t="shared" si="0"/>
        <v>0</v>
      </c>
      <c r="W10" s="51">
        <f t="shared" si="0"/>
        <v>0</v>
      </c>
      <c r="X10" s="51">
        <f t="shared" si="0"/>
        <v>0</v>
      </c>
      <c r="Y10" s="51">
        <f t="shared" si="0"/>
        <v>0</v>
      </c>
      <c r="Z10" s="51">
        <f t="shared" si="0"/>
        <v>0</v>
      </c>
      <c r="AA10" s="51">
        <f t="shared" si="0"/>
        <v>0</v>
      </c>
      <c r="AB10" s="51">
        <f t="shared" si="0"/>
        <v>0</v>
      </c>
      <c r="AC10" s="51">
        <f t="shared" si="0"/>
        <v>0</v>
      </c>
    </row>
    <row r="11" spans="2:41" ht="19.95" customHeight="1" x14ac:dyDescent="0.25">
      <c r="B11" s="50" t="s">
        <v>27</v>
      </c>
      <c r="C11" s="36" t="str">
        <f>IF(SUM(Production_Perc_Per_Year)=100%, "✓", "✗")</f>
        <v>✓</v>
      </c>
      <c r="D11" s="52">
        <f t="shared" ref="D11:AC11" si="1">_xlfn.XLOOKUP(Calendar_year,Production_Timeline,Production_Perc_Installments,0)</f>
        <v>0</v>
      </c>
      <c r="E11" s="52">
        <f t="shared" si="1"/>
        <v>0</v>
      </c>
      <c r="F11" s="52">
        <f t="shared" si="1"/>
        <v>0</v>
      </c>
      <c r="G11" s="52">
        <f t="shared" si="1"/>
        <v>0</v>
      </c>
      <c r="H11" s="52">
        <f t="shared" si="1"/>
        <v>0</v>
      </c>
      <c r="I11" s="52">
        <f t="shared" si="1"/>
        <v>0.11</v>
      </c>
      <c r="J11" s="52">
        <f t="shared" si="1"/>
        <v>0.16</v>
      </c>
      <c r="K11" s="52">
        <f t="shared" si="1"/>
        <v>0.16</v>
      </c>
      <c r="L11" s="52">
        <f t="shared" si="1"/>
        <v>0.13</v>
      </c>
      <c r="M11" s="52">
        <f t="shared" si="1"/>
        <v>0.1</v>
      </c>
      <c r="N11" s="52">
        <f t="shared" si="1"/>
        <v>0.08</v>
      </c>
      <c r="O11" s="52">
        <f t="shared" si="1"/>
        <v>0.06</v>
      </c>
      <c r="P11" s="52">
        <f t="shared" si="1"/>
        <v>0.05</v>
      </c>
      <c r="Q11" s="52">
        <f t="shared" si="1"/>
        <v>0.04</v>
      </c>
      <c r="R11" s="52">
        <f t="shared" si="1"/>
        <v>0.03</v>
      </c>
      <c r="S11" s="52">
        <f t="shared" si="1"/>
        <v>2.5000000000000001E-2</v>
      </c>
      <c r="T11" s="52">
        <f t="shared" si="1"/>
        <v>0.02</v>
      </c>
      <c r="U11" s="52">
        <f t="shared" si="1"/>
        <v>1.8000000000000002E-2</v>
      </c>
      <c r="V11" s="52">
        <f t="shared" si="1"/>
        <v>1.6E-2</v>
      </c>
      <c r="W11" s="52">
        <f t="shared" si="1"/>
        <v>1E-3</v>
      </c>
      <c r="X11" s="52">
        <f t="shared" si="1"/>
        <v>0</v>
      </c>
      <c r="Y11" s="52">
        <f t="shared" si="1"/>
        <v>0</v>
      </c>
      <c r="Z11" s="52">
        <f t="shared" si="1"/>
        <v>0</v>
      </c>
      <c r="AA11" s="52">
        <f t="shared" si="1"/>
        <v>0</v>
      </c>
      <c r="AB11" s="52">
        <f t="shared" si="1"/>
        <v>0</v>
      </c>
      <c r="AC11" s="52">
        <f t="shared" si="1"/>
        <v>0</v>
      </c>
    </row>
    <row r="12" spans="2:41" ht="19.95" customHeight="1" x14ac:dyDescent="0.25">
      <c r="B12" s="54" t="s">
        <v>21</v>
      </c>
      <c r="C12" s="38" t="str">
        <f>IF(SUM(Production_Vol_Per_Year)=total_field_production, "✓", "✗")</f>
        <v>✓</v>
      </c>
      <c r="D12" s="55">
        <f t="shared" ref="D12:AC12" si="2">IFERROR(_xlfn.SINGLE(total_field_production)*_xlfn.SINGLE(Production_Perc_Per_Year),0)</f>
        <v>0</v>
      </c>
      <c r="E12" s="55">
        <f t="shared" si="2"/>
        <v>0</v>
      </c>
      <c r="F12" s="55">
        <f t="shared" si="2"/>
        <v>0</v>
      </c>
      <c r="G12" s="55">
        <f t="shared" si="2"/>
        <v>0</v>
      </c>
      <c r="H12" s="55">
        <f t="shared" si="2"/>
        <v>0</v>
      </c>
      <c r="I12" s="55">
        <f t="shared" si="2"/>
        <v>33</v>
      </c>
      <c r="J12" s="55">
        <f t="shared" si="2"/>
        <v>48</v>
      </c>
      <c r="K12" s="55">
        <f t="shared" si="2"/>
        <v>48</v>
      </c>
      <c r="L12" s="55">
        <f t="shared" si="2"/>
        <v>39</v>
      </c>
      <c r="M12" s="55">
        <f t="shared" si="2"/>
        <v>30</v>
      </c>
      <c r="N12" s="55">
        <f t="shared" si="2"/>
        <v>24</v>
      </c>
      <c r="O12" s="55">
        <f t="shared" si="2"/>
        <v>18</v>
      </c>
      <c r="P12" s="55">
        <f t="shared" si="2"/>
        <v>15</v>
      </c>
      <c r="Q12" s="55">
        <f t="shared" si="2"/>
        <v>12</v>
      </c>
      <c r="R12" s="55">
        <f t="shared" si="2"/>
        <v>9</v>
      </c>
      <c r="S12" s="55">
        <f t="shared" si="2"/>
        <v>7.5</v>
      </c>
      <c r="T12" s="55">
        <f t="shared" si="2"/>
        <v>6</v>
      </c>
      <c r="U12" s="55">
        <f t="shared" si="2"/>
        <v>5.4</v>
      </c>
      <c r="V12" s="55">
        <f t="shared" si="2"/>
        <v>4.8</v>
      </c>
      <c r="W12" s="55">
        <f t="shared" si="2"/>
        <v>0.3</v>
      </c>
      <c r="X12" s="55">
        <f t="shared" si="2"/>
        <v>0</v>
      </c>
      <c r="Y12" s="55">
        <f t="shared" si="2"/>
        <v>0</v>
      </c>
      <c r="Z12" s="55">
        <f t="shared" si="2"/>
        <v>0</v>
      </c>
      <c r="AA12" s="55">
        <f t="shared" si="2"/>
        <v>0</v>
      </c>
      <c r="AB12" s="55">
        <f t="shared" si="2"/>
        <v>0</v>
      </c>
      <c r="AC12" s="55">
        <f t="shared" si="2"/>
        <v>0</v>
      </c>
    </row>
    <row r="13" spans="2:41" ht="19.95" customHeight="1" x14ac:dyDescent="0.25">
      <c r="B13" s="50" t="s">
        <v>28</v>
      </c>
      <c r="C13" s="36" t="str">
        <f>IF(SUM(Decommissioning_Cost_Perc_Years)=100%, "✓", "✗")</f>
        <v>✓</v>
      </c>
      <c r="D13" s="52">
        <f t="shared" ref="D13:AC13" si="3">_xlfn.XLOOKUP(Calendar_year,Decommissioning_Timeline,Decommissioning_Perc_Installments, 0)</f>
        <v>0</v>
      </c>
      <c r="E13" s="52">
        <f t="shared" si="3"/>
        <v>0</v>
      </c>
      <c r="F13" s="52">
        <f t="shared" si="3"/>
        <v>0</v>
      </c>
      <c r="G13" s="52">
        <f t="shared" si="3"/>
        <v>0</v>
      </c>
      <c r="H13" s="52">
        <f t="shared" si="3"/>
        <v>0</v>
      </c>
      <c r="I13" s="52">
        <f t="shared" si="3"/>
        <v>0</v>
      </c>
      <c r="J13" s="52">
        <f t="shared" si="3"/>
        <v>0</v>
      </c>
      <c r="K13" s="52">
        <f t="shared" si="3"/>
        <v>0</v>
      </c>
      <c r="L13" s="52">
        <f t="shared" si="3"/>
        <v>0</v>
      </c>
      <c r="M13" s="52">
        <f t="shared" si="3"/>
        <v>0</v>
      </c>
      <c r="N13" s="52">
        <f t="shared" si="3"/>
        <v>0</v>
      </c>
      <c r="O13" s="52">
        <f t="shared" si="3"/>
        <v>0</v>
      </c>
      <c r="P13" s="52">
        <f t="shared" si="3"/>
        <v>0</v>
      </c>
      <c r="Q13" s="52">
        <f t="shared" si="3"/>
        <v>0</v>
      </c>
      <c r="R13" s="52">
        <f t="shared" si="3"/>
        <v>0</v>
      </c>
      <c r="S13" s="52">
        <f t="shared" si="3"/>
        <v>0</v>
      </c>
      <c r="T13" s="52">
        <f t="shared" si="3"/>
        <v>0</v>
      </c>
      <c r="U13" s="52">
        <f t="shared" si="3"/>
        <v>0</v>
      </c>
      <c r="V13" s="52">
        <f t="shared" si="3"/>
        <v>0</v>
      </c>
      <c r="W13" s="52">
        <f t="shared" si="3"/>
        <v>0.33333333333333337</v>
      </c>
      <c r="X13" s="52">
        <f t="shared" si="3"/>
        <v>0.33333333333333337</v>
      </c>
      <c r="Y13" s="52">
        <f t="shared" si="3"/>
        <v>0.33333333333333337</v>
      </c>
      <c r="Z13" s="52">
        <f t="shared" si="3"/>
        <v>0</v>
      </c>
      <c r="AA13" s="52">
        <f t="shared" si="3"/>
        <v>0</v>
      </c>
      <c r="AB13" s="52">
        <f t="shared" si="3"/>
        <v>0</v>
      </c>
      <c r="AC13" s="52">
        <f t="shared" si="3"/>
        <v>0</v>
      </c>
    </row>
    <row r="15" spans="2:41" ht="19.95" customHeight="1" thickBot="1" x14ac:dyDescent="0.3">
      <c r="B15" s="64" t="s">
        <v>19</v>
      </c>
      <c r="C15" s="67"/>
      <c r="D15" s="67"/>
      <c r="E15" s="67"/>
      <c r="F15" s="67"/>
      <c r="G15" s="67"/>
      <c r="H15" s="67"/>
      <c r="I15" s="67"/>
      <c r="J15" s="67"/>
      <c r="K15" s="67"/>
      <c r="L15" s="67"/>
      <c r="M15" s="67"/>
      <c r="N15" s="67"/>
      <c r="O15" s="67"/>
      <c r="P15" s="67"/>
      <c r="Q15" s="67"/>
      <c r="R15" s="67"/>
      <c r="S15" s="67"/>
      <c r="T15" s="67"/>
      <c r="U15" s="67"/>
      <c r="V15" s="67"/>
      <c r="W15" s="67"/>
      <c r="X15" s="67"/>
      <c r="Y15" s="67"/>
      <c r="Z15" s="67"/>
      <c r="AA15" s="67"/>
      <c r="AB15" s="67"/>
      <c r="AC15" s="67"/>
      <c r="AD15" s="53"/>
      <c r="AE15" s="53"/>
      <c r="AF15" s="53"/>
      <c r="AG15" s="53"/>
      <c r="AH15" s="53"/>
      <c r="AI15" s="53"/>
      <c r="AJ15" s="53"/>
      <c r="AK15" s="53"/>
      <c r="AL15" s="53"/>
      <c r="AM15" s="53"/>
      <c r="AN15" s="53"/>
      <c r="AO15" s="53"/>
    </row>
    <row r="16" spans="2:41" s="38" customFormat="1" ht="19.95" customHeight="1" x14ac:dyDescent="0.25">
      <c r="B16" s="50" t="s">
        <v>24</v>
      </c>
      <c r="C16" s="36"/>
      <c r="D16" s="38">
        <f t="shared" ref="D16:AC16" si="4">total_field_production*DevEx_Perc_Years
*devex_base_usd_bbl
*((1+field_cost_inflation)^Year)</f>
        <v>675</v>
      </c>
      <c r="E16" s="38">
        <f t="shared" si="4"/>
        <v>683.4375</v>
      </c>
      <c r="F16" s="38">
        <f t="shared" si="4"/>
        <v>922.640625</v>
      </c>
      <c r="G16" s="38">
        <f t="shared" si="4"/>
        <v>1401.2604492187497</v>
      </c>
      <c r="H16" s="38">
        <f t="shared" si="4"/>
        <v>472.92540161132808</v>
      </c>
      <c r="I16" s="38">
        <f t="shared" si="4"/>
        <v>478.83696913146963</v>
      </c>
      <c r="J16" s="38">
        <f t="shared" si="4"/>
        <v>0</v>
      </c>
      <c r="K16" s="38">
        <f t="shared" si="4"/>
        <v>0</v>
      </c>
      <c r="L16" s="38">
        <f t="shared" si="4"/>
        <v>0</v>
      </c>
      <c r="M16" s="38">
        <f t="shared" si="4"/>
        <v>0</v>
      </c>
      <c r="N16" s="38">
        <f t="shared" si="4"/>
        <v>0</v>
      </c>
      <c r="O16" s="38">
        <f t="shared" si="4"/>
        <v>0</v>
      </c>
      <c r="P16" s="38">
        <f t="shared" si="4"/>
        <v>0</v>
      </c>
      <c r="Q16" s="38">
        <f t="shared" si="4"/>
        <v>0</v>
      </c>
      <c r="R16" s="38">
        <f t="shared" si="4"/>
        <v>0</v>
      </c>
      <c r="S16" s="38">
        <f t="shared" si="4"/>
        <v>0</v>
      </c>
      <c r="T16" s="38">
        <f t="shared" si="4"/>
        <v>0</v>
      </c>
      <c r="U16" s="38">
        <f t="shared" si="4"/>
        <v>0</v>
      </c>
      <c r="V16" s="38">
        <f t="shared" si="4"/>
        <v>0</v>
      </c>
      <c r="W16" s="38">
        <f t="shared" si="4"/>
        <v>0</v>
      </c>
      <c r="X16" s="38">
        <f t="shared" si="4"/>
        <v>0</v>
      </c>
      <c r="Y16" s="38">
        <f t="shared" si="4"/>
        <v>0</v>
      </c>
      <c r="Z16" s="38">
        <f t="shared" si="4"/>
        <v>0</v>
      </c>
      <c r="AA16" s="38">
        <f t="shared" si="4"/>
        <v>0</v>
      </c>
      <c r="AB16" s="38">
        <f t="shared" si="4"/>
        <v>0</v>
      </c>
      <c r="AC16" s="38">
        <f t="shared" si="4"/>
        <v>0</v>
      </c>
    </row>
    <row r="17" spans="2:29" ht="19.95" customHeight="1" x14ac:dyDescent="0.25">
      <c r="B17" s="50" t="s">
        <v>29</v>
      </c>
      <c r="D17" s="38" cm="1">
        <f t="array" ref="D17">IF(
    _xlfn.SINGLE(DevEx_USDM_Years) &gt; 0,
    SUM(DevEx_USDM_Years to_date),
    SUM(DevEx_USDM_Years to_date)*((1+field_cost_inflation)^(_xlfn.SINGLE(Year)-(_xlfn.XLOOKUP(_xlfn.SINGLE(DevEx_USDM_Years),DevEx_Perc_Installments,Dev_Ex_Timeline_Year-1,"Error")))))</f>
        <v>675</v>
      </c>
      <c r="E17" s="38" cm="1">
        <f t="array" ref="E17">IF(
    _xlfn.SINGLE(DevEx_USDM_Years) &gt; 0,
    SUM(DevEx_USDM_Years to_date),
    SUM(DevEx_USDM_Years to_date)*((1+field_cost_inflation)^(_xlfn.SINGLE(Year)-(_xlfn.XLOOKUP(_xlfn.SINGLE(DevEx_USDM_Years),DevEx_Perc_Installments,Dev_Ex_Timeline_Year-1,"Error")))))</f>
        <v>1358.4375</v>
      </c>
      <c r="F17" s="38" cm="1">
        <f t="array" ref="F17">IF(
    _xlfn.SINGLE(DevEx_USDM_Years) &gt; 0,
    SUM(DevEx_USDM_Years to_date),
    SUM(DevEx_USDM_Years to_date)*((1+field_cost_inflation)^(_xlfn.SINGLE(Year)-(_xlfn.XLOOKUP(_xlfn.SINGLE(DevEx_USDM_Years),DevEx_Perc_Installments,Dev_Ex_Timeline_Year-1,"Error")))))</f>
        <v>2281.078125</v>
      </c>
      <c r="G17" s="38" cm="1">
        <f t="array" ref="G17">IF(
    _xlfn.SINGLE(DevEx_USDM_Years) &gt; 0,
    SUM(DevEx_USDM_Years to_date),
    SUM(DevEx_USDM_Years to_date)*((1+field_cost_inflation)^(_xlfn.SINGLE(Year)-(_xlfn.XLOOKUP(_xlfn.SINGLE(DevEx_USDM_Years),DevEx_Perc_Installments,Dev_Ex_Timeline_Year-1,"Error")))))</f>
        <v>3682.3385742187497</v>
      </c>
      <c r="H17" s="38" cm="1">
        <f t="array" ref="H17">IF(
    _xlfn.SINGLE(DevEx_USDM_Years) &gt; 0,
    SUM(DevEx_USDM_Years to_date),
    SUM(DevEx_USDM_Years to_date)*((1+field_cost_inflation)^(_xlfn.SINGLE(Year)-(_xlfn.XLOOKUP(_xlfn.SINGLE(DevEx_USDM_Years),DevEx_Perc_Installments,Dev_Ex_Timeline_Year-1,"Error")))))</f>
        <v>4155.2639758300775</v>
      </c>
      <c r="I17" s="38" cm="1">
        <f t="array" ref="I17">IF(
    _xlfn.SINGLE(DevEx_USDM_Years) &gt; 0,
    SUM(DevEx_USDM_Years to_date),
    SUM(DevEx_USDM_Years to_date)*((1+field_cost_inflation)^(_xlfn.SINGLE(Year)-(_xlfn.XLOOKUP(_xlfn.SINGLE(DevEx_USDM_Years),DevEx_Perc_Installments,Dev_Ex_Timeline_Year-1,"Error")))))</f>
        <v>4634.1009449615467</v>
      </c>
      <c r="J17" s="38" cm="1">
        <f t="array" ref="J17">IF(
    _xlfn.SINGLE(DevEx_USDM_Years) &gt; 0,
    SUM(DevEx_USDM_Years to_date),
    SUM(DevEx_USDM_Years to_date)*((1+field_cost_inflation)^(_xlfn.SINGLE(Year)-(_xlfn.XLOOKUP(_xlfn.SINGLE(DevEx_USDM_Years),DevEx_Perc_Installments,Dev_Ex_Timeline_Year-1,"Error")))))</f>
        <v>4692.0272067735659</v>
      </c>
      <c r="K17" s="38" cm="1">
        <f t="array" ref="K17">IF(
    _xlfn.SINGLE(DevEx_USDM_Years) &gt; 0,
    SUM(DevEx_USDM_Years to_date),
    SUM(DevEx_USDM_Years to_date)*((1+field_cost_inflation)^(_xlfn.SINGLE(Year)-(_xlfn.XLOOKUP(_xlfn.SINGLE(DevEx_USDM_Years),DevEx_Perc_Installments,Dev_Ex_Timeline_Year-1,"Error")))))</f>
        <v>4750.6775468582355</v>
      </c>
      <c r="L17" s="38" cm="1">
        <f t="array" ref="L17">IF(
    _xlfn.SINGLE(DevEx_USDM_Years) &gt; 0,
    SUM(DevEx_USDM_Years to_date),
    SUM(DevEx_USDM_Years to_date)*((1+field_cost_inflation)^(_xlfn.SINGLE(Year)-(_xlfn.XLOOKUP(_xlfn.SINGLE(DevEx_USDM_Years),DevEx_Perc_Installments,Dev_Ex_Timeline_Year-1,"Error")))))</f>
        <v>4810.061016193963</v>
      </c>
      <c r="M17" s="38" cm="1">
        <f t="array" ref="M17">IF(
    _xlfn.SINGLE(DevEx_USDM_Years) &gt; 0,
    SUM(DevEx_USDM_Years to_date),
    SUM(DevEx_USDM_Years to_date)*((1+field_cost_inflation)^(_xlfn.SINGLE(Year)-(_xlfn.XLOOKUP(_xlfn.SINGLE(DevEx_USDM_Years),DevEx_Perc_Installments,Dev_Ex_Timeline_Year-1,"Error")))))</f>
        <v>4870.1867788963882</v>
      </c>
      <c r="N17" s="38" cm="1">
        <f t="array" ref="N17">IF(
    _xlfn.SINGLE(DevEx_USDM_Years) &gt; 0,
    SUM(DevEx_USDM_Years to_date),
    SUM(DevEx_USDM_Years to_date)*((1+field_cost_inflation)^(_xlfn.SINGLE(Year)-(_xlfn.XLOOKUP(_xlfn.SINGLE(DevEx_USDM_Years),DevEx_Perc_Installments,Dev_Ex_Timeline_Year-1,"Error")))))</f>
        <v>4931.0641136325921</v>
      </c>
      <c r="O17" s="38" cm="1">
        <f t="array" ref="O17">IF(
    _xlfn.SINGLE(DevEx_USDM_Years) &gt; 0,
    SUM(DevEx_USDM_Years to_date),
    SUM(DevEx_USDM_Years to_date)*((1+field_cost_inflation)^(_xlfn.SINGLE(Year)-(_xlfn.XLOOKUP(_xlfn.SINGLE(DevEx_USDM_Years),DevEx_Perc_Installments,Dev_Ex_Timeline_Year-1,"Error")))))</f>
        <v>4992.7024150529996</v>
      </c>
      <c r="P17" s="38" cm="1">
        <f t="array" ref="P17">IF(
    _xlfn.SINGLE(DevEx_USDM_Years) &gt; 0,
    SUM(DevEx_USDM_Years to_date),
    SUM(DevEx_USDM_Years to_date)*((1+field_cost_inflation)^(_xlfn.SINGLE(Year)-(_xlfn.XLOOKUP(_xlfn.SINGLE(DevEx_USDM_Years),DevEx_Perc_Installments,Dev_Ex_Timeline_Year-1,"Error")))))</f>
        <v>5055.1111952411611</v>
      </c>
      <c r="Q17" s="38" cm="1">
        <f t="array" ref="Q17">IF(
    _xlfn.SINGLE(DevEx_USDM_Years) &gt; 0,
    SUM(DevEx_USDM_Years to_date),
    SUM(DevEx_USDM_Years to_date)*((1+field_cost_inflation)^(_xlfn.SINGLE(Year)-(_xlfn.XLOOKUP(_xlfn.SINGLE(DevEx_USDM_Years),DevEx_Perc_Installments,Dev_Ex_Timeline_Year-1,"Error")))))</f>
        <v>5118.3000851816769</v>
      </c>
      <c r="R17" s="38" cm="1">
        <f t="array" ref="R17">IF(
    _xlfn.SINGLE(DevEx_USDM_Years) &gt; 0,
    SUM(DevEx_USDM_Years to_date),
    SUM(DevEx_USDM_Years to_date)*((1+field_cost_inflation)^(_xlfn.SINGLE(Year)-(_xlfn.XLOOKUP(_xlfn.SINGLE(DevEx_USDM_Years),DevEx_Perc_Installments,Dev_Ex_Timeline_Year-1,"Error")))))</f>
        <v>5182.2788362464471</v>
      </c>
      <c r="S17" s="38" cm="1">
        <f t="array" ref="S17">IF(
    _xlfn.SINGLE(DevEx_USDM_Years) &gt; 0,
    SUM(DevEx_USDM_Years to_date),
    SUM(DevEx_USDM_Years to_date)*((1+field_cost_inflation)^(_xlfn.SINGLE(Year)-(_xlfn.XLOOKUP(_xlfn.SINGLE(DevEx_USDM_Years),DevEx_Perc_Installments,Dev_Ex_Timeline_Year-1,"Error")))))</f>
        <v>5247.057321699529</v>
      </c>
      <c r="T17" s="38" cm="1">
        <f t="array" ref="T17">IF(
    _xlfn.SINGLE(DevEx_USDM_Years) &gt; 0,
    SUM(DevEx_USDM_Years to_date),
    SUM(DevEx_USDM_Years to_date)*((1+field_cost_inflation)^(_xlfn.SINGLE(Year)-(_xlfn.XLOOKUP(_xlfn.SINGLE(DevEx_USDM_Years),DevEx_Perc_Installments,Dev_Ex_Timeline_Year-1,"Error")))))</f>
        <v>5312.6455382207714</v>
      </c>
      <c r="U17" s="38" cm="1">
        <f t="array" ref="U17">IF(
    _xlfn.SINGLE(DevEx_USDM_Years) &gt; 0,
    SUM(DevEx_USDM_Years to_date),
    SUM(DevEx_USDM_Years to_date)*((1+field_cost_inflation)^(_xlfn.SINGLE(Year)-(_xlfn.XLOOKUP(_xlfn.SINGLE(DevEx_USDM_Years),DevEx_Perc_Installments,Dev_Ex_Timeline_Year-1,"Error")))))</f>
        <v>5379.0536074485317</v>
      </c>
      <c r="V17" s="38" cm="1">
        <f t="array" ref="V17">IF(
    _xlfn.SINGLE(DevEx_USDM_Years) &gt; 0,
    SUM(DevEx_USDM_Years to_date),
    SUM(DevEx_USDM_Years to_date)*((1+field_cost_inflation)^(_xlfn.SINGLE(Year)-(_xlfn.XLOOKUP(_xlfn.SINGLE(DevEx_USDM_Years),DevEx_Perc_Installments,Dev_Ex_Timeline_Year-1,"Error")))))</f>
        <v>5446.2917775416372</v>
      </c>
      <c r="W17" s="38" cm="1">
        <f t="array" ref="W17">IF(
    _xlfn.SINGLE(DevEx_USDM_Years) &gt; 0,
    SUM(DevEx_USDM_Years to_date),
    SUM(DevEx_USDM_Years to_date)*((1+field_cost_inflation)^(_xlfn.SINGLE(Year)-(_xlfn.XLOOKUP(_xlfn.SINGLE(DevEx_USDM_Years),DevEx_Perc_Installments,Dev_Ex_Timeline_Year-1,"Error")))))</f>
        <v>5514.3704247609094</v>
      </c>
      <c r="X17" s="38" cm="1">
        <f t="array" ref="X17">IF(
    _xlfn.SINGLE(DevEx_USDM_Years) &gt; 0,
    SUM(DevEx_USDM_Years to_date),
    SUM(DevEx_USDM_Years to_date)*((1+field_cost_inflation)^(_xlfn.SINGLE(Year)-(_xlfn.XLOOKUP(_xlfn.SINGLE(DevEx_USDM_Years),DevEx_Perc_Installments,Dev_Ex_Timeline_Year-1,"Error")))))</f>
        <v>5583.3000550704191</v>
      </c>
      <c r="Y17" s="38" cm="1">
        <f t="array" ref="Y17">IF(
    _xlfn.SINGLE(DevEx_USDM_Years) &gt; 0,
    SUM(DevEx_USDM_Years to_date),
    SUM(DevEx_USDM_Years to_date)*((1+field_cost_inflation)^(_xlfn.SINGLE(Year)-(_xlfn.XLOOKUP(_xlfn.SINGLE(DevEx_USDM_Years),DevEx_Perc_Installments,Dev_Ex_Timeline_Year-1,"Error")))))</f>
        <v>5653.0913057588004</v>
      </c>
      <c r="Z17" s="38" cm="1">
        <f t="array" ref="Z17">IF(
    _xlfn.SINGLE(DevEx_USDM_Years) &gt; 0,
    SUM(DevEx_USDM_Years to_date),
    SUM(DevEx_USDM_Years to_date)*((1+field_cost_inflation)^(_xlfn.SINGLE(Year)-(_xlfn.XLOOKUP(_xlfn.SINGLE(DevEx_USDM_Years),DevEx_Perc_Installments,Dev_Ex_Timeline_Year-1,"Error")))))</f>
        <v>5723.7549470807853</v>
      </c>
      <c r="AA17" s="38" cm="1">
        <f t="array" ref="AA17">IF(
    _xlfn.SINGLE(DevEx_USDM_Years) &gt; 0,
    SUM(DevEx_USDM_Years to_date),
    SUM(DevEx_USDM_Years to_date)*((1+field_cost_inflation)^(_xlfn.SINGLE(Year)-(_xlfn.XLOOKUP(_xlfn.SINGLE(DevEx_USDM_Years),DevEx_Perc_Installments,Dev_Ex_Timeline_Year-1,"Error")))))</f>
        <v>5795.3018839192955</v>
      </c>
      <c r="AB17" s="38" cm="1">
        <f t="array" ref="AB17">IF(
    _xlfn.SINGLE(DevEx_USDM_Years) &gt; 0,
    SUM(DevEx_USDM_Years to_date),
    SUM(DevEx_USDM_Years to_date)*((1+field_cost_inflation)^(_xlfn.SINGLE(Year)-(_xlfn.XLOOKUP(_xlfn.SINGLE(DevEx_USDM_Years),DevEx_Perc_Installments,Dev_Ex_Timeline_Year-1,"Error")))))</f>
        <v>5867.743157468286</v>
      </c>
      <c r="AC17" s="38" cm="1">
        <f t="array" ref="AC17">IF(
    _xlfn.SINGLE(DevEx_USDM_Years) &gt; 0,
    SUM(DevEx_USDM_Years to_date),
    SUM(DevEx_USDM_Years to_date)*((1+field_cost_inflation)^(_xlfn.SINGLE(Year)-(_xlfn.XLOOKUP(_xlfn.SINGLE(DevEx_USDM_Years),DevEx_Perc_Installments,Dev_Ex_Timeline_Year-1,"Error")))))</f>
        <v>5941.0899469366395</v>
      </c>
    </row>
    <row r="18" spans="2:29" ht="19.95" customHeight="1" x14ac:dyDescent="0.25">
      <c r="B18" s="50" t="s">
        <v>55</v>
      </c>
      <c r="D18" s="38">
        <f t="shared" ref="D18:AC18" si="5">DevEx_USDM_Years/((1+discount_rate)^Year)</f>
        <v>675</v>
      </c>
      <c r="E18" s="38">
        <f t="shared" si="5"/>
        <v>632.8125</v>
      </c>
      <c r="F18" s="38">
        <f t="shared" si="5"/>
        <v>791.01562499999989</v>
      </c>
      <c r="G18" s="38">
        <f t="shared" si="5"/>
        <v>1112.3657226562495</v>
      </c>
      <c r="H18" s="38">
        <f t="shared" si="5"/>
        <v>347.61428833007801</v>
      </c>
      <c r="I18" s="38">
        <f t="shared" si="5"/>
        <v>325.88839530944813</v>
      </c>
      <c r="J18" s="38">
        <f t="shared" si="5"/>
        <v>0</v>
      </c>
      <c r="K18" s="38">
        <f t="shared" si="5"/>
        <v>0</v>
      </c>
      <c r="L18" s="38">
        <f t="shared" si="5"/>
        <v>0</v>
      </c>
      <c r="M18" s="38">
        <f t="shared" si="5"/>
        <v>0</v>
      </c>
      <c r="N18" s="38">
        <f t="shared" si="5"/>
        <v>0</v>
      </c>
      <c r="O18" s="38">
        <f t="shared" si="5"/>
        <v>0</v>
      </c>
      <c r="P18" s="38">
        <f t="shared" si="5"/>
        <v>0</v>
      </c>
      <c r="Q18" s="38">
        <f t="shared" si="5"/>
        <v>0</v>
      </c>
      <c r="R18" s="38">
        <f t="shared" si="5"/>
        <v>0</v>
      </c>
      <c r="S18" s="38">
        <f t="shared" si="5"/>
        <v>0</v>
      </c>
      <c r="T18" s="38">
        <f t="shared" si="5"/>
        <v>0</v>
      </c>
      <c r="U18" s="38">
        <f t="shared" si="5"/>
        <v>0</v>
      </c>
      <c r="V18" s="38">
        <f t="shared" si="5"/>
        <v>0</v>
      </c>
      <c r="W18" s="38">
        <f t="shared" si="5"/>
        <v>0</v>
      </c>
      <c r="X18" s="38">
        <f t="shared" si="5"/>
        <v>0</v>
      </c>
      <c r="Y18" s="38">
        <f t="shared" si="5"/>
        <v>0</v>
      </c>
      <c r="Z18" s="38">
        <f t="shared" si="5"/>
        <v>0</v>
      </c>
      <c r="AA18" s="38">
        <f t="shared" si="5"/>
        <v>0</v>
      </c>
      <c r="AB18" s="38">
        <f t="shared" si="5"/>
        <v>0</v>
      </c>
      <c r="AC18" s="38">
        <f t="shared" si="5"/>
        <v>0</v>
      </c>
    </row>
    <row r="19" spans="2:29" ht="19.95" customHeight="1" x14ac:dyDescent="0.25">
      <c r="B19" s="50" t="s">
        <v>0</v>
      </c>
      <c r="D19" s="38">
        <f t="shared" ref="D19:AC19" si="6">IF(_xlfn.SINGLE(Production_Vol_Per_Year)&gt;0, _xlfn.SINGLE(production_cost_base_perc)*_xlfn.SINGLE(Cumulative_DevEx_USDM),0)</f>
        <v>0</v>
      </c>
      <c r="E19" s="38">
        <f t="shared" si="6"/>
        <v>0</v>
      </c>
      <c r="F19" s="38">
        <f t="shared" si="6"/>
        <v>0</v>
      </c>
      <c r="G19" s="38">
        <f t="shared" si="6"/>
        <v>0</v>
      </c>
      <c r="H19" s="38">
        <f t="shared" si="6"/>
        <v>0</v>
      </c>
      <c r="I19" s="38">
        <f t="shared" si="6"/>
        <v>324.3870661473083</v>
      </c>
      <c r="J19" s="38">
        <f t="shared" si="6"/>
        <v>328.44190447414962</v>
      </c>
      <c r="K19" s="38">
        <f t="shared" si="6"/>
        <v>332.54742828007653</v>
      </c>
      <c r="L19" s="38">
        <f t="shared" si="6"/>
        <v>336.70427113357744</v>
      </c>
      <c r="M19" s="38">
        <f t="shared" si="6"/>
        <v>340.91307452274719</v>
      </c>
      <c r="N19" s="38">
        <f t="shared" si="6"/>
        <v>345.17448795428146</v>
      </c>
      <c r="O19" s="38">
        <f t="shared" si="6"/>
        <v>349.48916905370999</v>
      </c>
      <c r="P19" s="38">
        <f t="shared" si="6"/>
        <v>353.85778366688129</v>
      </c>
      <c r="Q19" s="38">
        <f t="shared" si="6"/>
        <v>358.28100596271742</v>
      </c>
      <c r="R19" s="38">
        <f t="shared" si="6"/>
        <v>362.75951853725132</v>
      </c>
      <c r="S19" s="38">
        <f t="shared" si="6"/>
        <v>367.29401251896707</v>
      </c>
      <c r="T19" s="38">
        <f t="shared" si="6"/>
        <v>371.88518767545406</v>
      </c>
      <c r="U19" s="38">
        <f t="shared" si="6"/>
        <v>376.53375252139728</v>
      </c>
      <c r="V19" s="38">
        <f t="shared" si="6"/>
        <v>381.24042442791466</v>
      </c>
      <c r="W19" s="38">
        <f t="shared" si="6"/>
        <v>386.00592973326371</v>
      </c>
      <c r="X19" s="38">
        <f t="shared" si="6"/>
        <v>0</v>
      </c>
      <c r="Y19" s="38">
        <f t="shared" si="6"/>
        <v>0</v>
      </c>
      <c r="Z19" s="38">
        <f t="shared" si="6"/>
        <v>0</v>
      </c>
      <c r="AA19" s="38">
        <f t="shared" si="6"/>
        <v>0</v>
      </c>
      <c r="AB19" s="38">
        <f t="shared" si="6"/>
        <v>0</v>
      </c>
      <c r="AC19" s="38">
        <f t="shared" si="6"/>
        <v>0</v>
      </c>
    </row>
    <row r="20" spans="2:29" ht="19.8" customHeight="1" x14ac:dyDescent="0.25">
      <c r="B20" s="50" t="s">
        <v>25</v>
      </c>
      <c r="D20" s="38">
        <f t="shared" ref="D20:AC20" si="7">Decommissioning_Cost_Perc_Years*(decommissioning_cost_base_usd_bbl*total_field_production)*((1+field_cost_inflation)^Year)</f>
        <v>0</v>
      </c>
      <c r="E20" s="38">
        <f t="shared" si="7"/>
        <v>0</v>
      </c>
      <c r="F20" s="38">
        <f t="shared" si="7"/>
        <v>0</v>
      </c>
      <c r="G20" s="38">
        <f t="shared" si="7"/>
        <v>0</v>
      </c>
      <c r="H20" s="38">
        <f t="shared" si="7"/>
        <v>0</v>
      </c>
      <c r="I20" s="38">
        <f t="shared" si="7"/>
        <v>0</v>
      </c>
      <c r="J20" s="38">
        <f t="shared" si="7"/>
        <v>0</v>
      </c>
      <c r="K20" s="38">
        <f t="shared" si="7"/>
        <v>0</v>
      </c>
      <c r="L20" s="38">
        <f t="shared" si="7"/>
        <v>0</v>
      </c>
      <c r="M20" s="38">
        <f t="shared" si="7"/>
        <v>0</v>
      </c>
      <c r="N20" s="38">
        <f t="shared" si="7"/>
        <v>0</v>
      </c>
      <c r="O20" s="38">
        <f t="shared" si="7"/>
        <v>0</v>
      </c>
      <c r="P20" s="38">
        <f t="shared" si="7"/>
        <v>0</v>
      </c>
      <c r="Q20" s="38">
        <f t="shared" si="7"/>
        <v>0</v>
      </c>
      <c r="R20" s="38">
        <f t="shared" si="7"/>
        <v>0</v>
      </c>
      <c r="S20" s="38">
        <f t="shared" si="7"/>
        <v>0</v>
      </c>
      <c r="T20" s="38">
        <f t="shared" si="7"/>
        <v>0</v>
      </c>
      <c r="U20" s="38">
        <f t="shared" si="7"/>
        <v>0</v>
      </c>
      <c r="V20" s="38">
        <f t="shared" si="7"/>
        <v>0</v>
      </c>
      <c r="W20" s="38">
        <f t="shared" si="7"/>
        <v>253.24192231280696</v>
      </c>
      <c r="X20" s="38">
        <f t="shared" si="7"/>
        <v>256.40744634171705</v>
      </c>
      <c r="Y20" s="38">
        <f t="shared" si="7"/>
        <v>259.61253942098847</v>
      </c>
      <c r="Z20" s="38">
        <f t="shared" si="7"/>
        <v>0</v>
      </c>
      <c r="AA20" s="38">
        <f t="shared" si="7"/>
        <v>0</v>
      </c>
      <c r="AB20" s="38">
        <f t="shared" si="7"/>
        <v>0</v>
      </c>
      <c r="AC20" s="38">
        <f t="shared" si="7"/>
        <v>0</v>
      </c>
    </row>
    <row r="21" spans="2:29" ht="19.95" customHeight="1" x14ac:dyDescent="0.25">
      <c r="B21" s="50" t="s">
        <v>37</v>
      </c>
      <c r="D21" s="38">
        <f t="shared" ref="D21:AC21" si="8">SUM(_xlfn.SINGLE(DevEx_USDM_Years),_xlfn.SINGLE(Production_Cost_USDM_Year),_xlfn.SINGLE(Decommissioning_Cost_USDM_Year))</f>
        <v>675</v>
      </c>
      <c r="E21" s="38">
        <f t="shared" si="8"/>
        <v>683.4375</v>
      </c>
      <c r="F21" s="38">
        <f t="shared" si="8"/>
        <v>922.640625</v>
      </c>
      <c r="G21" s="38">
        <f t="shared" si="8"/>
        <v>1401.2604492187497</v>
      </c>
      <c r="H21" s="38">
        <f t="shared" si="8"/>
        <v>472.92540161132808</v>
      </c>
      <c r="I21" s="38">
        <f t="shared" si="8"/>
        <v>803.22403527877793</v>
      </c>
      <c r="J21" s="38">
        <f t="shared" si="8"/>
        <v>328.44190447414962</v>
      </c>
      <c r="K21" s="38">
        <f t="shared" si="8"/>
        <v>332.54742828007653</v>
      </c>
      <c r="L21" s="38">
        <f t="shared" si="8"/>
        <v>336.70427113357744</v>
      </c>
      <c r="M21" s="38">
        <f t="shared" si="8"/>
        <v>340.91307452274719</v>
      </c>
      <c r="N21" s="38">
        <f t="shared" si="8"/>
        <v>345.17448795428146</v>
      </c>
      <c r="O21" s="38">
        <f t="shared" si="8"/>
        <v>349.48916905370999</v>
      </c>
      <c r="P21" s="38">
        <f t="shared" si="8"/>
        <v>353.85778366688129</v>
      </c>
      <c r="Q21" s="38">
        <f t="shared" si="8"/>
        <v>358.28100596271742</v>
      </c>
      <c r="R21" s="38">
        <f t="shared" si="8"/>
        <v>362.75951853725132</v>
      </c>
      <c r="S21" s="38">
        <f t="shared" si="8"/>
        <v>367.29401251896707</v>
      </c>
      <c r="T21" s="38">
        <f t="shared" si="8"/>
        <v>371.88518767545406</v>
      </c>
      <c r="U21" s="38">
        <f t="shared" si="8"/>
        <v>376.53375252139728</v>
      </c>
      <c r="V21" s="38">
        <f t="shared" si="8"/>
        <v>381.24042442791466</v>
      </c>
      <c r="W21" s="38">
        <f t="shared" si="8"/>
        <v>639.24785204607065</v>
      </c>
      <c r="X21" s="38">
        <f t="shared" si="8"/>
        <v>256.40744634171705</v>
      </c>
      <c r="Y21" s="38">
        <f t="shared" si="8"/>
        <v>259.61253942098847</v>
      </c>
      <c r="Z21" s="38">
        <f t="shared" si="8"/>
        <v>0</v>
      </c>
      <c r="AA21" s="38">
        <f t="shared" si="8"/>
        <v>0</v>
      </c>
      <c r="AB21" s="38">
        <f t="shared" si="8"/>
        <v>0</v>
      </c>
      <c r="AC21" s="38">
        <f t="shared" si="8"/>
        <v>0</v>
      </c>
    </row>
    <row r="22" spans="2:29" ht="19.95" customHeight="1" x14ac:dyDescent="0.25">
      <c r="B22" s="49" t="s">
        <v>50</v>
      </c>
      <c r="D22" s="56">
        <f t="shared" ref="D22:AC22" si="9">Total_Expenditure_Undiscounted/((1+discount_rate)^Year)</f>
        <v>675</v>
      </c>
      <c r="E22" s="56">
        <f t="shared" si="9"/>
        <v>632.8125</v>
      </c>
      <c r="F22" s="56">
        <f t="shared" si="9"/>
        <v>791.01562499999989</v>
      </c>
      <c r="G22" s="56">
        <f t="shared" si="9"/>
        <v>1112.3657226562495</v>
      </c>
      <c r="H22" s="56">
        <f t="shared" si="9"/>
        <v>347.61428833007801</v>
      </c>
      <c r="I22" s="56">
        <f t="shared" si="9"/>
        <v>546.66078186438267</v>
      </c>
      <c r="J22" s="56">
        <f t="shared" si="9"/>
        <v>206.97411239525113</v>
      </c>
      <c r="K22" s="56">
        <f t="shared" si="9"/>
        <v>194.03823037054795</v>
      </c>
      <c r="L22" s="56">
        <f t="shared" si="9"/>
        <v>181.91084097238868</v>
      </c>
      <c r="M22" s="56">
        <f t="shared" si="9"/>
        <v>170.5414134116144</v>
      </c>
      <c r="N22" s="56">
        <f t="shared" si="9"/>
        <v>159.88257507338847</v>
      </c>
      <c r="O22" s="56">
        <f t="shared" si="9"/>
        <v>149.88991413130168</v>
      </c>
      <c r="P22" s="56">
        <f t="shared" si="9"/>
        <v>140.52179449809529</v>
      </c>
      <c r="Q22" s="56">
        <f t="shared" si="9"/>
        <v>131.73918234196438</v>
      </c>
      <c r="R22" s="56">
        <f t="shared" si="9"/>
        <v>123.50548344559155</v>
      </c>
      <c r="S22" s="56">
        <f t="shared" si="9"/>
        <v>115.7863907302421</v>
      </c>
      <c r="T22" s="56">
        <f t="shared" si="9"/>
        <v>108.54974130960196</v>
      </c>
      <c r="U22" s="56">
        <f t="shared" si="9"/>
        <v>101.76538247775184</v>
      </c>
      <c r="V22" s="56">
        <f t="shared" si="9"/>
        <v>95.405046072892318</v>
      </c>
      <c r="W22" s="56">
        <f t="shared" si="9"/>
        <v>148.12143920284825</v>
      </c>
      <c r="X22" s="56">
        <f t="shared" si="9"/>
        <v>55.011757977667209</v>
      </c>
      <c r="Y22" s="56">
        <f t="shared" si="9"/>
        <v>51.573523104063</v>
      </c>
      <c r="Z22" s="56">
        <f t="shared" si="9"/>
        <v>0</v>
      </c>
      <c r="AA22" s="56">
        <f t="shared" si="9"/>
        <v>0</v>
      </c>
      <c r="AB22" s="56">
        <f t="shared" si="9"/>
        <v>0</v>
      </c>
      <c r="AC22" s="56">
        <f t="shared" si="9"/>
        <v>0</v>
      </c>
    </row>
    <row r="24" spans="2:29" ht="19.95" customHeight="1" thickBot="1" x14ac:dyDescent="0.3">
      <c r="B24" s="64" t="s">
        <v>30</v>
      </c>
      <c r="C24" s="67"/>
      <c r="D24" s="67"/>
      <c r="E24" s="67"/>
      <c r="F24" s="67"/>
      <c r="G24" s="67"/>
      <c r="H24" s="67"/>
      <c r="I24" s="67"/>
      <c r="J24" s="67"/>
      <c r="K24" s="67"/>
      <c r="L24" s="67"/>
      <c r="M24" s="67"/>
      <c r="N24" s="67"/>
      <c r="O24" s="67"/>
      <c r="P24" s="67"/>
      <c r="Q24" s="67"/>
      <c r="R24" s="67"/>
      <c r="S24" s="67"/>
      <c r="T24" s="67"/>
      <c r="U24" s="67"/>
      <c r="V24" s="67"/>
      <c r="W24" s="67"/>
      <c r="X24" s="67"/>
      <c r="Y24" s="67"/>
      <c r="Z24" s="67"/>
      <c r="AA24" s="67"/>
      <c r="AB24" s="67"/>
      <c r="AC24" s="67"/>
    </row>
    <row r="25" spans="2:29" ht="19.95" customHeight="1" x14ac:dyDescent="0.25">
      <c r="B25" s="126" t="s">
        <v>31</v>
      </c>
      <c r="C25" s="109"/>
      <c r="D25" s="46">
        <f t="shared" ref="D25:AC25" ca="1" si="10">Production_Vol_Per_Year*oil_price_base*((1+oil_price_inflation)^Year)</f>
        <v>0</v>
      </c>
      <c r="E25" s="46">
        <f t="shared" ca="1" si="10"/>
        <v>0</v>
      </c>
      <c r="F25" s="46">
        <f t="shared" ca="1" si="10"/>
        <v>0</v>
      </c>
      <c r="G25" s="46">
        <f t="shared" ca="1" si="10"/>
        <v>0</v>
      </c>
      <c r="H25" s="46">
        <f t="shared" ca="1" si="10"/>
        <v>0</v>
      </c>
      <c r="I25" s="46">
        <f t="shared" ca="1" si="10"/>
        <v>1980.8931632294778</v>
      </c>
      <c r="J25" s="46">
        <f t="shared" ca="1" si="10"/>
        <v>2946.128377312205</v>
      </c>
      <c r="K25" s="46">
        <f t="shared" ca="1" si="10"/>
        <v>3012.416265801729</v>
      </c>
      <c r="L25" s="46">
        <f t="shared" ca="1" si="10"/>
        <v>2502.6589508230923</v>
      </c>
      <c r="M25" s="46">
        <f t="shared" ca="1" si="10"/>
        <v>1968.4375209358552</v>
      </c>
      <c r="N25" s="46">
        <f t="shared" ca="1" si="10"/>
        <v>1610.1818921255294</v>
      </c>
      <c r="O25" s="46">
        <f t="shared" ca="1" si="10"/>
        <v>1234.8082385237651</v>
      </c>
      <c r="P25" s="46">
        <f t="shared" ca="1" si="10"/>
        <v>1052.1595199087917</v>
      </c>
      <c r="Q25" s="46">
        <f t="shared" ca="1" si="10"/>
        <v>860.66648728539167</v>
      </c>
      <c r="R25" s="46">
        <f t="shared" ca="1" si="10"/>
        <v>660.02361243698465</v>
      </c>
      <c r="S25" s="46">
        <f t="shared" ca="1" si="10"/>
        <v>562.395119764014</v>
      </c>
      <c r="T25" s="46">
        <f t="shared" ca="1" si="10"/>
        <v>460.03920796696332</v>
      </c>
      <c r="U25" s="46">
        <f t="shared" ca="1" si="10"/>
        <v>423.35108113159805</v>
      </c>
      <c r="V25" s="46">
        <f t="shared" ca="1" si="10"/>
        <v>384.77909373960784</v>
      </c>
      <c r="W25" s="46">
        <f t="shared" ca="1" si="10"/>
        <v>24.589788959296815</v>
      </c>
      <c r="X25" s="46">
        <f t="shared" ca="1" si="10"/>
        <v>0</v>
      </c>
      <c r="Y25" s="46">
        <f t="shared" ca="1" si="10"/>
        <v>0</v>
      </c>
      <c r="Z25" s="46">
        <f t="shared" ca="1" si="10"/>
        <v>0</v>
      </c>
      <c r="AA25" s="46">
        <f t="shared" ca="1" si="10"/>
        <v>0</v>
      </c>
      <c r="AB25" s="46">
        <f t="shared" ca="1" si="10"/>
        <v>0</v>
      </c>
      <c r="AC25" s="46">
        <f t="shared" ca="1" si="10"/>
        <v>0</v>
      </c>
    </row>
    <row r="26" spans="2:29" ht="19.95" customHeight="1" x14ac:dyDescent="0.25">
      <c r="B26" s="50" t="s">
        <v>39</v>
      </c>
      <c r="D26" s="38">
        <f t="shared" ref="D26:AC26" ca="1" si="11">Revenue_Sales</f>
        <v>0</v>
      </c>
      <c r="E26" s="38">
        <f t="shared" ca="1" si="11"/>
        <v>0</v>
      </c>
      <c r="F26" s="38">
        <f t="shared" ca="1" si="11"/>
        <v>0</v>
      </c>
      <c r="G26" s="38">
        <f t="shared" ca="1" si="11"/>
        <v>0</v>
      </c>
      <c r="H26" s="38">
        <f t="shared" ca="1" si="11"/>
        <v>0</v>
      </c>
      <c r="I26" s="38">
        <f t="shared" ca="1" si="11"/>
        <v>1980.8931632294778</v>
      </c>
      <c r="J26" s="38">
        <f t="shared" ca="1" si="11"/>
        <v>2946.128377312205</v>
      </c>
      <c r="K26" s="38">
        <f t="shared" ca="1" si="11"/>
        <v>3012.416265801729</v>
      </c>
      <c r="L26" s="38">
        <f t="shared" ca="1" si="11"/>
        <v>2502.6589508230923</v>
      </c>
      <c r="M26" s="38">
        <f t="shared" ca="1" si="11"/>
        <v>1968.4375209358552</v>
      </c>
      <c r="N26" s="38">
        <f t="shared" ca="1" si="11"/>
        <v>1610.1818921255294</v>
      </c>
      <c r="O26" s="38">
        <f t="shared" ca="1" si="11"/>
        <v>1234.8082385237651</v>
      </c>
      <c r="P26" s="38">
        <f t="shared" ca="1" si="11"/>
        <v>1052.1595199087917</v>
      </c>
      <c r="Q26" s="38">
        <f t="shared" ca="1" si="11"/>
        <v>860.66648728539167</v>
      </c>
      <c r="R26" s="38">
        <f t="shared" ca="1" si="11"/>
        <v>660.02361243698465</v>
      </c>
      <c r="S26" s="38">
        <f t="shared" ca="1" si="11"/>
        <v>562.395119764014</v>
      </c>
      <c r="T26" s="38">
        <f t="shared" ca="1" si="11"/>
        <v>460.03920796696332</v>
      </c>
      <c r="U26" s="38">
        <f t="shared" ca="1" si="11"/>
        <v>423.35108113159805</v>
      </c>
      <c r="V26" s="38">
        <f t="shared" ca="1" si="11"/>
        <v>384.77909373960784</v>
      </c>
      <c r="W26" s="38">
        <f t="shared" ca="1" si="11"/>
        <v>24.589788959296815</v>
      </c>
      <c r="X26" s="38">
        <f t="shared" ca="1" si="11"/>
        <v>0</v>
      </c>
      <c r="Y26" s="38">
        <f t="shared" ca="1" si="11"/>
        <v>0</v>
      </c>
      <c r="Z26" s="38">
        <f t="shared" ca="1" si="11"/>
        <v>0</v>
      </c>
      <c r="AA26" s="38">
        <f t="shared" ca="1" si="11"/>
        <v>0</v>
      </c>
      <c r="AB26" s="38">
        <f t="shared" ca="1" si="11"/>
        <v>0</v>
      </c>
      <c r="AC26" s="38">
        <f t="shared" ca="1" si="11"/>
        <v>0</v>
      </c>
    </row>
    <row r="27" spans="2:29" ht="19.95" customHeight="1" x14ac:dyDescent="0.25">
      <c r="B27" s="49" t="s">
        <v>49</v>
      </c>
      <c r="C27" s="34"/>
      <c r="D27" s="56">
        <f t="shared" ref="D27:AC27" ca="1" si="12">Total_Revenue_Undiscounted/((1+discount_rate)^Year)</f>
        <v>0</v>
      </c>
      <c r="E27" s="56">
        <f t="shared" ca="1" si="12"/>
        <v>0</v>
      </c>
      <c r="F27" s="56">
        <f t="shared" ca="1" si="12"/>
        <v>0</v>
      </c>
      <c r="G27" s="56">
        <f t="shared" ca="1" si="12"/>
        <v>0</v>
      </c>
      <c r="H27" s="56">
        <f t="shared" ca="1" si="12"/>
        <v>0</v>
      </c>
      <c r="I27" s="56">
        <f t="shared" ca="1" si="12"/>
        <v>1348.162602013022</v>
      </c>
      <c r="J27" s="56">
        <f t="shared" ca="1" si="12"/>
        <v>1856.5606202805584</v>
      </c>
      <c r="K27" s="56">
        <f t="shared" ca="1" si="12"/>
        <v>1757.715957626732</v>
      </c>
      <c r="L27" s="56">
        <f t="shared" ca="1" si="12"/>
        <v>1352.108759650077</v>
      </c>
      <c r="M27" s="56">
        <f t="shared" ca="1" si="12"/>
        <v>984.70883671097124</v>
      </c>
      <c r="N27" s="56">
        <f t="shared" ca="1" si="12"/>
        <v>745.8257670644208</v>
      </c>
      <c r="O27" s="56">
        <f t="shared" ca="1" si="12"/>
        <v>529.5880880717848</v>
      </c>
      <c r="P27" s="56">
        <f t="shared" ca="1" si="12"/>
        <v>417.82702164614193</v>
      </c>
      <c r="Q27" s="56">
        <f t="shared" ca="1" si="12"/>
        <v>316.46528120976308</v>
      </c>
      <c r="R27" s="56">
        <f t="shared" ca="1" si="12"/>
        <v>224.71232641457129</v>
      </c>
      <c r="S27" s="56">
        <f t="shared" ca="1" si="12"/>
        <v>177.29039641890364</v>
      </c>
      <c r="T27" s="56">
        <f t="shared" ca="1" si="12"/>
        <v>134.28105950987327</v>
      </c>
      <c r="U27" s="56">
        <f t="shared" ca="1" si="12"/>
        <v>114.41865279070454</v>
      </c>
      <c r="V27" s="56">
        <f t="shared" ca="1" si="12"/>
        <v>96.290594632506441</v>
      </c>
      <c r="W27" s="56">
        <f t="shared" ca="1" si="12"/>
        <v>5.6977507529940876</v>
      </c>
      <c r="X27" s="56">
        <f t="shared" ca="1" si="12"/>
        <v>0</v>
      </c>
      <c r="Y27" s="56">
        <f t="shared" ca="1" si="12"/>
        <v>0</v>
      </c>
      <c r="Z27" s="56">
        <f t="shared" ca="1" si="12"/>
        <v>0</v>
      </c>
      <c r="AA27" s="56">
        <f t="shared" ca="1" si="12"/>
        <v>0</v>
      </c>
      <c r="AB27" s="56">
        <f t="shared" ca="1" si="12"/>
        <v>0</v>
      </c>
      <c r="AC27" s="56">
        <f t="shared" ca="1" si="12"/>
        <v>0</v>
      </c>
    </row>
    <row r="29" spans="2:29" ht="19.95" customHeight="1" thickBot="1" x14ac:dyDescent="0.3">
      <c r="B29" s="64" t="s">
        <v>32</v>
      </c>
      <c r="C29" s="67"/>
      <c r="D29" s="67"/>
      <c r="E29" s="67"/>
      <c r="F29" s="67"/>
      <c r="G29" s="67"/>
      <c r="H29" s="67"/>
      <c r="I29" s="67"/>
      <c r="J29" s="67"/>
      <c r="K29" s="67"/>
      <c r="L29" s="67"/>
      <c r="M29" s="67"/>
      <c r="N29" s="67"/>
      <c r="O29" s="67"/>
      <c r="P29" s="67"/>
      <c r="Q29" s="67"/>
      <c r="R29" s="67"/>
      <c r="S29" s="67"/>
      <c r="T29" s="67"/>
      <c r="U29" s="67"/>
      <c r="V29" s="67"/>
      <c r="W29" s="67"/>
      <c r="X29" s="67"/>
      <c r="Y29" s="67"/>
      <c r="Z29" s="67"/>
      <c r="AA29" s="67"/>
      <c r="AB29" s="67"/>
      <c r="AC29" s="67"/>
    </row>
    <row r="30" spans="2:29" ht="19.95" customHeight="1" x14ac:dyDescent="0.25">
      <c r="B30" s="50" t="s">
        <v>33</v>
      </c>
      <c r="D30" s="38">
        <f t="shared" ref="D30:AC30" ca="1" si="13">Total_Revenue_Undiscounted-Total_Expenditure_Undiscounted</f>
        <v>-675</v>
      </c>
      <c r="E30" s="38">
        <f t="shared" ca="1" si="13"/>
        <v>-683.4375</v>
      </c>
      <c r="F30" s="38">
        <f t="shared" ca="1" si="13"/>
        <v>-922.640625</v>
      </c>
      <c r="G30" s="38">
        <f t="shared" ca="1" si="13"/>
        <v>-1401.2604492187497</v>
      </c>
      <c r="H30" s="38">
        <f t="shared" ca="1" si="13"/>
        <v>-472.92540161132808</v>
      </c>
      <c r="I30" s="38">
        <f t="shared" ca="1" si="13"/>
        <v>1177.6691279506999</v>
      </c>
      <c r="J30" s="38">
        <f t="shared" ca="1" si="13"/>
        <v>2617.6864728380551</v>
      </c>
      <c r="K30" s="38">
        <f t="shared" ca="1" si="13"/>
        <v>2679.8688375216525</v>
      </c>
      <c r="L30" s="38">
        <f t="shared" ca="1" si="13"/>
        <v>2165.9546796895147</v>
      </c>
      <c r="M30" s="38">
        <f t="shared" ca="1" si="13"/>
        <v>1627.5244464131081</v>
      </c>
      <c r="N30" s="38">
        <f t="shared" ca="1" si="13"/>
        <v>1265.007404171248</v>
      </c>
      <c r="O30" s="38">
        <f t="shared" ca="1" si="13"/>
        <v>885.31906947005518</v>
      </c>
      <c r="P30" s="38">
        <f t="shared" ca="1" si="13"/>
        <v>698.30173624191048</v>
      </c>
      <c r="Q30" s="38">
        <f t="shared" ca="1" si="13"/>
        <v>502.38548132267425</v>
      </c>
      <c r="R30" s="38">
        <f t="shared" ca="1" si="13"/>
        <v>297.26409389973333</v>
      </c>
      <c r="S30" s="38">
        <f t="shared" ca="1" si="13"/>
        <v>195.10110724504693</v>
      </c>
      <c r="T30" s="38">
        <f t="shared" ca="1" si="13"/>
        <v>88.154020291509255</v>
      </c>
      <c r="U30" s="38">
        <f t="shared" ca="1" si="13"/>
        <v>46.817328610200775</v>
      </c>
      <c r="V30" s="38">
        <f t="shared" ca="1" si="13"/>
        <v>3.5386693116931838</v>
      </c>
      <c r="W30" s="38">
        <f t="shared" ca="1" si="13"/>
        <v>-614.65806308677384</v>
      </c>
      <c r="X30" s="38">
        <f t="shared" ca="1" si="13"/>
        <v>-256.40744634171705</v>
      </c>
      <c r="Y30" s="38">
        <f t="shared" ca="1" si="13"/>
        <v>-259.61253942098847</v>
      </c>
      <c r="Z30" s="38">
        <f t="shared" ca="1" si="13"/>
        <v>0</v>
      </c>
      <c r="AA30" s="38">
        <f t="shared" ca="1" si="13"/>
        <v>0</v>
      </c>
      <c r="AB30" s="38">
        <f t="shared" ca="1" si="13"/>
        <v>0</v>
      </c>
      <c r="AC30" s="38">
        <f t="shared" ca="1" si="13"/>
        <v>0</v>
      </c>
    </row>
    <row r="31" spans="2:29" s="34" customFormat="1" ht="19.95" customHeight="1" x14ac:dyDescent="0.25">
      <c r="B31" s="50" t="s">
        <v>35</v>
      </c>
      <c r="C31" s="36"/>
      <c r="D31" s="38">
        <f ca="1">IF(SUM(Net_Cash_Flow_Pre_Tax to_date_minus_1_year)&lt;0, SUM(Net_Cash_Flow_Pre_Tax to_date), "-")</f>
        <v>-675</v>
      </c>
      <c r="E31" s="38">
        <f ca="1">IF(SUM(Net_Cash_Flow_Pre_Tax to_date_minus_1_year)&lt;0, SUM(Net_Cash_Flow_Pre_Tax to_date), "-")</f>
        <v>-1358.4375</v>
      </c>
      <c r="F31" s="38">
        <f ca="1">IF(SUM(Net_Cash_Flow_Pre_Tax to_date_minus_1_year)&lt;0, SUM(Net_Cash_Flow_Pre_Tax to_date), "-")</f>
        <v>-2281.078125</v>
      </c>
      <c r="G31" s="38">
        <f ca="1">IF(SUM(Net_Cash_Flow_Pre_Tax to_date_minus_1_year)&lt;0, SUM(Net_Cash_Flow_Pre_Tax to_date), "-")</f>
        <v>-3682.3385742187497</v>
      </c>
      <c r="H31" s="38">
        <f ca="1">IF(SUM(Net_Cash_Flow_Pre_Tax to_date_minus_1_year)&lt;0, SUM(Net_Cash_Flow_Pre_Tax to_date), "-")</f>
        <v>-4155.2639758300775</v>
      </c>
      <c r="I31" s="38">
        <f ca="1">IF(SUM(Net_Cash_Flow_Pre_Tax to_date_minus_1_year)&lt;0, SUM(Net_Cash_Flow_Pre_Tax to_date), "-")</f>
        <v>-2977.5948478793775</v>
      </c>
      <c r="J31" s="38">
        <f ca="1">IF(SUM(Net_Cash_Flow_Pre_Tax to_date_minus_1_year)&lt;0, SUM(Net_Cash_Flow_Pre_Tax to_date), "-")</f>
        <v>-359.90837504132242</v>
      </c>
      <c r="K31" s="38">
        <f ca="1">IF(SUM(Net_Cash_Flow_Pre_Tax to_date_minus_1_year)&lt;0, SUM(Net_Cash_Flow_Pre_Tax to_date), "-")</f>
        <v>2319.9604624803301</v>
      </c>
      <c r="L31" s="38" t="str">
        <f ca="1">IF(SUM(Net_Cash_Flow_Pre_Tax to_date_minus_1_year)&lt;0, SUM(Net_Cash_Flow_Pre_Tax to_date), "-")</f>
        <v>-</v>
      </c>
      <c r="M31" s="38" t="str">
        <f ca="1">IF(SUM(Net_Cash_Flow_Pre_Tax to_date_minus_1_year)&lt;0, SUM(Net_Cash_Flow_Pre_Tax to_date), "-")</f>
        <v>-</v>
      </c>
      <c r="N31" s="38" t="str">
        <f ca="1">IF(SUM(Net_Cash_Flow_Pre_Tax to_date_minus_1_year)&lt;0, SUM(Net_Cash_Flow_Pre_Tax to_date), "-")</f>
        <v>-</v>
      </c>
      <c r="O31" s="38" t="str">
        <f ca="1">IF(SUM(Net_Cash_Flow_Pre_Tax to_date_minus_1_year)&lt;0, SUM(Net_Cash_Flow_Pre_Tax to_date), "-")</f>
        <v>-</v>
      </c>
      <c r="P31" s="38" t="str">
        <f ca="1">IF(SUM(Net_Cash_Flow_Pre_Tax to_date_minus_1_year)&lt;0, SUM(Net_Cash_Flow_Pre_Tax to_date), "-")</f>
        <v>-</v>
      </c>
      <c r="Q31" s="38" t="str">
        <f ca="1">IF(SUM(Net_Cash_Flow_Pre_Tax to_date_minus_1_year)&lt;0, SUM(Net_Cash_Flow_Pre_Tax to_date), "-")</f>
        <v>-</v>
      </c>
      <c r="R31" s="38" t="str">
        <f ca="1">IF(SUM(Net_Cash_Flow_Pre_Tax to_date_minus_1_year)&lt;0, SUM(Net_Cash_Flow_Pre_Tax to_date), "-")</f>
        <v>-</v>
      </c>
      <c r="S31" s="38" t="str">
        <f ca="1">IF(SUM(Net_Cash_Flow_Pre_Tax to_date_minus_1_year)&lt;0, SUM(Net_Cash_Flow_Pre_Tax to_date), "-")</f>
        <v>-</v>
      </c>
      <c r="T31" s="38" t="str">
        <f ca="1">IF(SUM(Net_Cash_Flow_Pre_Tax to_date_minus_1_year)&lt;0, SUM(Net_Cash_Flow_Pre_Tax to_date), "-")</f>
        <v>-</v>
      </c>
      <c r="U31" s="38" t="str">
        <f ca="1">IF(SUM(Net_Cash_Flow_Pre_Tax to_date_minus_1_year)&lt;0, SUM(Net_Cash_Flow_Pre_Tax to_date), "-")</f>
        <v>-</v>
      </c>
      <c r="V31" s="38" t="str">
        <f ca="1">IF(SUM(Net_Cash_Flow_Pre_Tax to_date_minus_1_year)&lt;0, SUM(Net_Cash_Flow_Pre_Tax to_date), "-")</f>
        <v>-</v>
      </c>
      <c r="W31" s="38" t="str">
        <f ca="1">IF(SUM(Net_Cash_Flow_Pre_Tax to_date_minus_1_year)&lt;0, SUM(Net_Cash_Flow_Pre_Tax to_date), "-")</f>
        <v>-</v>
      </c>
      <c r="X31" s="38" t="str">
        <f ca="1">IF(SUM(Net_Cash_Flow_Pre_Tax to_date_minus_1_year)&lt;0, SUM(Net_Cash_Flow_Pre_Tax to_date), "-")</f>
        <v>-</v>
      </c>
      <c r="Y31" s="38" t="str">
        <f ca="1">IF(SUM(Net_Cash_Flow_Pre_Tax to_date_minus_1_year)&lt;0, SUM(Net_Cash_Flow_Pre_Tax to_date), "-")</f>
        <v>-</v>
      </c>
      <c r="Z31" s="38" t="str">
        <f ca="1">IF(SUM(Net_Cash_Flow_Pre_Tax to_date_minus_1_year)&lt;0, SUM(Net_Cash_Flow_Pre_Tax to_date), "-")</f>
        <v>-</v>
      </c>
      <c r="AA31" s="38" t="str">
        <f ca="1">IF(SUM(Net_Cash_Flow_Pre_Tax to_date_minus_1_year)&lt;0, SUM(Net_Cash_Flow_Pre_Tax to_date), "-")</f>
        <v>-</v>
      </c>
      <c r="AB31" s="38" t="str">
        <f ca="1">IF(SUM(Net_Cash_Flow_Pre_Tax to_date_minus_1_year)&lt;0, SUM(Net_Cash_Flow_Pre_Tax to_date), "-")</f>
        <v>-</v>
      </c>
      <c r="AC31" s="38" t="str">
        <f ca="1">IF(SUM(Net_Cash_Flow_Pre_Tax to_date_minus_1_year)&lt;0, SUM(Net_Cash_Flow_Pre_Tax to_date), "-")</f>
        <v>-</v>
      </c>
    </row>
    <row r="32" spans="2:29" ht="19.95" customHeight="1" x14ac:dyDescent="0.25">
      <c r="B32" s="50" t="s">
        <v>34</v>
      </c>
      <c r="D32" s="38">
        <f t="shared" ref="D32:AC32" ca="1" si="14">IF(OR(_xlfn.SINGLE(Cumulative_Net_Cash_Flow_Pre_Tax) &lt; 0, _xlfn.SINGLE(Net_Cash_Flow_Pre_Tax) &lt; 0), 0,
IF(AND(_xlfn.SINGLE(Cumulative_Net_Cash_Flow_Pre_Tax) &gt; 0, _xlfn.SINGLE(Cumulative_Net_Cash_Flow_Pre_Tax) &lt; _xlfn.SINGLE(Net_Cash_Flow_Pre_Tax)), (corporate_income_tax * _xlfn.SINGLE(Cumulative_Net_Cash_Flow_Pre_Tax)),
IF(AND(_xlfn.SINGLE(Cumulative_Net_Cash_Flow_Pre_Tax) &gt; _xlfn.SINGLE(Net_Cash_Flow_Pre_Tax), _xlfn.SINGLE(Cumulative_Net_Cash_Flow_Pre_Tax) &gt; 0, _xlfn.SINGLE(Net_Cash_Flow_Pre_Tax) &gt; 0), (corporate_income_tax * _xlfn.SINGLE(Net_Cash_Flow_Pre_Tax)), 0)))</f>
        <v>0</v>
      </c>
      <c r="E32" s="38">
        <f t="shared" ca="1" si="14"/>
        <v>0</v>
      </c>
      <c r="F32" s="38">
        <f t="shared" ca="1" si="14"/>
        <v>0</v>
      </c>
      <c r="G32" s="38">
        <f t="shared" ca="1" si="14"/>
        <v>0</v>
      </c>
      <c r="H32" s="38">
        <f t="shared" ca="1" si="14"/>
        <v>0</v>
      </c>
      <c r="I32" s="38">
        <f t="shared" ca="1" si="14"/>
        <v>0</v>
      </c>
      <c r="J32" s="38">
        <f t="shared" ca="1" si="14"/>
        <v>0</v>
      </c>
      <c r="K32" s="38">
        <f t="shared" ca="1" si="14"/>
        <v>811.98616186811546</v>
      </c>
      <c r="L32" s="38">
        <f t="shared" ca="1" si="14"/>
        <v>758.0841378913301</v>
      </c>
      <c r="M32" s="38">
        <f t="shared" ca="1" si="14"/>
        <v>569.63355624458779</v>
      </c>
      <c r="N32" s="38">
        <f t="shared" ca="1" si="14"/>
        <v>442.75259145993681</v>
      </c>
      <c r="O32" s="38">
        <f t="shared" ca="1" si="14"/>
        <v>309.86167431451929</v>
      </c>
      <c r="P32" s="38">
        <f t="shared" ca="1" si="14"/>
        <v>244.40560768466864</v>
      </c>
      <c r="Q32" s="38">
        <f t="shared" ca="1" si="14"/>
        <v>175.83491846293597</v>
      </c>
      <c r="R32" s="38">
        <f t="shared" ca="1" si="14"/>
        <v>104.04243286490666</v>
      </c>
      <c r="S32" s="38">
        <f t="shared" ca="1" si="14"/>
        <v>68.285387535766418</v>
      </c>
      <c r="T32" s="38">
        <f t="shared" ca="1" si="14"/>
        <v>30.853907102028238</v>
      </c>
      <c r="U32" s="38">
        <f t="shared" ca="1" si="14"/>
        <v>16.386065013570271</v>
      </c>
      <c r="V32" s="38">
        <f t="shared" ca="1" si="14"/>
        <v>1.2385342590926143</v>
      </c>
      <c r="W32" s="38">
        <f t="shared" ca="1" si="14"/>
        <v>0</v>
      </c>
      <c r="X32" s="38">
        <f t="shared" ca="1" si="14"/>
        <v>0</v>
      </c>
      <c r="Y32" s="38">
        <f t="shared" ca="1" si="14"/>
        <v>0</v>
      </c>
      <c r="Z32" s="38">
        <f t="shared" ca="1" si="14"/>
        <v>0</v>
      </c>
      <c r="AA32" s="38">
        <f t="shared" ca="1" si="14"/>
        <v>0</v>
      </c>
      <c r="AB32" s="38">
        <f t="shared" ca="1" si="14"/>
        <v>0</v>
      </c>
      <c r="AC32" s="38">
        <f t="shared" ca="1" si="14"/>
        <v>0</v>
      </c>
    </row>
    <row r="33" spans="2:41" ht="19.95" customHeight="1" x14ac:dyDescent="0.25">
      <c r="B33" s="50" t="s">
        <v>38</v>
      </c>
      <c r="D33" s="46">
        <f t="shared" ref="D33:AC33" ca="1" si="15">Net_Cash_Flow_Pre_Tax-Tax_Paid</f>
        <v>-675</v>
      </c>
      <c r="E33" s="46">
        <f t="shared" ca="1" si="15"/>
        <v>-683.4375</v>
      </c>
      <c r="F33" s="46">
        <f t="shared" ca="1" si="15"/>
        <v>-922.640625</v>
      </c>
      <c r="G33" s="46">
        <f t="shared" ca="1" si="15"/>
        <v>-1401.2604492187497</v>
      </c>
      <c r="H33" s="46">
        <f t="shared" ca="1" si="15"/>
        <v>-472.92540161132808</v>
      </c>
      <c r="I33" s="46">
        <f t="shared" ca="1" si="15"/>
        <v>1177.6691279506999</v>
      </c>
      <c r="J33" s="46">
        <f t="shared" ca="1" si="15"/>
        <v>2617.6864728380551</v>
      </c>
      <c r="K33" s="46">
        <f t="shared" ca="1" si="15"/>
        <v>1867.882675653537</v>
      </c>
      <c r="L33" s="46">
        <f t="shared" ca="1" si="15"/>
        <v>1407.8705417981846</v>
      </c>
      <c r="M33" s="46">
        <f t="shared" ca="1" si="15"/>
        <v>1057.8908901685204</v>
      </c>
      <c r="N33" s="46">
        <f t="shared" ca="1" si="15"/>
        <v>822.25481271131116</v>
      </c>
      <c r="O33" s="46">
        <f t="shared" ca="1" si="15"/>
        <v>575.45739515553589</v>
      </c>
      <c r="P33" s="46">
        <f t="shared" ca="1" si="15"/>
        <v>453.89612855724181</v>
      </c>
      <c r="Q33" s="46">
        <f t="shared" ca="1" si="15"/>
        <v>326.55056285973831</v>
      </c>
      <c r="R33" s="46">
        <f t="shared" ca="1" si="15"/>
        <v>193.22166103482667</v>
      </c>
      <c r="S33" s="46">
        <f t="shared" ca="1" si="15"/>
        <v>126.81571970928051</v>
      </c>
      <c r="T33" s="46">
        <f t="shared" ca="1" si="15"/>
        <v>57.300113189481017</v>
      </c>
      <c r="U33" s="46">
        <f t="shared" ca="1" si="15"/>
        <v>30.431263596630505</v>
      </c>
      <c r="V33" s="46">
        <f t="shared" ca="1" si="15"/>
        <v>2.3001350526005693</v>
      </c>
      <c r="W33" s="46">
        <f t="shared" ca="1" si="15"/>
        <v>-614.65806308677384</v>
      </c>
      <c r="X33" s="46">
        <f t="shared" ca="1" si="15"/>
        <v>-256.40744634171705</v>
      </c>
      <c r="Y33" s="46">
        <f t="shared" ca="1" si="15"/>
        <v>-259.61253942098847</v>
      </c>
      <c r="Z33" s="46">
        <f t="shared" ca="1" si="15"/>
        <v>0</v>
      </c>
      <c r="AA33" s="46">
        <f t="shared" ca="1" si="15"/>
        <v>0</v>
      </c>
      <c r="AB33" s="46">
        <f t="shared" ca="1" si="15"/>
        <v>0</v>
      </c>
      <c r="AC33" s="46">
        <f t="shared" ca="1" si="15"/>
        <v>0</v>
      </c>
    </row>
    <row r="34" spans="2:41" ht="19.95" customHeight="1" x14ac:dyDescent="0.25">
      <c r="B34" s="50" t="s">
        <v>36</v>
      </c>
      <c r="D34" s="46">
        <f ca="1">SUM(Net_Cash_Flow_Post_Tax_Undiscounted to_date)</f>
        <v>-675</v>
      </c>
      <c r="E34" s="46">
        <f ca="1">SUM(Net_Cash_Flow_Post_Tax_Undiscounted to_date)</f>
        <v>-1358.4375</v>
      </c>
      <c r="F34" s="46">
        <f ca="1">SUM(Net_Cash_Flow_Post_Tax_Undiscounted to_date)</f>
        <v>-2281.078125</v>
      </c>
      <c r="G34" s="46">
        <f ca="1">SUM(Net_Cash_Flow_Post_Tax_Undiscounted to_date)</f>
        <v>-3682.3385742187497</v>
      </c>
      <c r="H34" s="46">
        <f ca="1">SUM(Net_Cash_Flow_Post_Tax_Undiscounted to_date)</f>
        <v>-4155.2639758300775</v>
      </c>
      <c r="I34" s="46">
        <f ca="1">SUM(Net_Cash_Flow_Post_Tax_Undiscounted to_date)</f>
        <v>-2977.5948478793775</v>
      </c>
      <c r="J34" s="46">
        <f ca="1">SUM(Net_Cash_Flow_Post_Tax_Undiscounted to_date)</f>
        <v>-359.90837504132242</v>
      </c>
      <c r="K34" s="46">
        <f ca="1">SUM(Net_Cash_Flow_Post_Tax_Undiscounted to_date)</f>
        <v>1507.9743006122146</v>
      </c>
      <c r="L34" s="46">
        <f ca="1">SUM(Net_Cash_Flow_Post_Tax_Undiscounted to_date)</f>
        <v>2915.844842410399</v>
      </c>
      <c r="M34" s="46">
        <f ca="1">SUM(Net_Cash_Flow_Post_Tax_Undiscounted to_date)</f>
        <v>3973.7357325789194</v>
      </c>
      <c r="N34" s="46">
        <f ca="1">SUM(Net_Cash_Flow_Post_Tax_Undiscounted to_date)</f>
        <v>4795.9905452902303</v>
      </c>
      <c r="O34" s="46">
        <f ca="1">SUM(Net_Cash_Flow_Post_Tax_Undiscounted to_date)</f>
        <v>5371.4479404457661</v>
      </c>
      <c r="P34" s="46">
        <f ca="1">SUM(Net_Cash_Flow_Post_Tax_Undiscounted to_date)</f>
        <v>5825.3440690030075</v>
      </c>
      <c r="Q34" s="46">
        <f ca="1">SUM(Net_Cash_Flow_Post_Tax_Undiscounted to_date)</f>
        <v>6151.8946318627459</v>
      </c>
      <c r="R34" s="46">
        <f ca="1">SUM(Net_Cash_Flow_Post_Tax_Undiscounted to_date)</f>
        <v>6345.1162928975727</v>
      </c>
      <c r="S34" s="46">
        <f ca="1">SUM(Net_Cash_Flow_Post_Tax_Undiscounted to_date)</f>
        <v>6471.9320126068533</v>
      </c>
      <c r="T34" s="46">
        <f ca="1">SUM(Net_Cash_Flow_Post_Tax_Undiscounted to_date)</f>
        <v>6529.232125796334</v>
      </c>
      <c r="U34" s="46">
        <f ca="1">SUM(Net_Cash_Flow_Post_Tax_Undiscounted to_date)</f>
        <v>6559.6633893929647</v>
      </c>
      <c r="V34" s="46">
        <f ca="1">SUM(Net_Cash_Flow_Post_Tax_Undiscounted to_date)</f>
        <v>6561.9635244455649</v>
      </c>
      <c r="W34" s="46">
        <f ca="1">SUM(Net_Cash_Flow_Post_Tax_Undiscounted to_date)</f>
        <v>5947.305461358791</v>
      </c>
      <c r="X34" s="46">
        <f ca="1">SUM(Net_Cash_Flow_Post_Tax_Undiscounted to_date)</f>
        <v>5690.8980150170737</v>
      </c>
      <c r="Y34" s="46">
        <f ca="1">SUM(Net_Cash_Flow_Post_Tax_Undiscounted to_date)</f>
        <v>5431.2854755960852</v>
      </c>
      <c r="Z34" s="46">
        <f ca="1">SUM(Net_Cash_Flow_Post_Tax_Undiscounted to_date)</f>
        <v>5431.2854755960852</v>
      </c>
      <c r="AA34" s="46">
        <f ca="1">SUM(Net_Cash_Flow_Post_Tax_Undiscounted to_date)</f>
        <v>5431.2854755960852</v>
      </c>
      <c r="AB34" s="46">
        <f ca="1">SUM(Net_Cash_Flow_Post_Tax_Undiscounted to_date)</f>
        <v>5431.2854755960852</v>
      </c>
      <c r="AC34" s="46">
        <f ca="1">SUM(Net_Cash_Flow_Post_Tax_Undiscounted to_date)</f>
        <v>5431.2854755960852</v>
      </c>
      <c r="AD34" s="38"/>
      <c r="AE34" s="38"/>
      <c r="AF34" s="38"/>
      <c r="AG34" s="38"/>
      <c r="AH34" s="38"/>
      <c r="AI34" s="38"/>
      <c r="AJ34" s="38"/>
      <c r="AK34" s="38"/>
      <c r="AL34" s="38"/>
      <c r="AM34" s="38"/>
      <c r="AN34" s="38"/>
      <c r="AO34" s="38"/>
    </row>
    <row r="35" spans="2:41" ht="19.95" customHeight="1" x14ac:dyDescent="0.25">
      <c r="B35" s="50" t="s">
        <v>54</v>
      </c>
      <c r="D35" s="46">
        <f t="shared" ref="D35:AC35" ca="1" si="16">Net_Cash_Flow_Pre_Tax/((1+discount_rate)^Year)</f>
        <v>-675</v>
      </c>
      <c r="E35" s="46">
        <f t="shared" ca="1" si="16"/>
        <v>-632.8125</v>
      </c>
      <c r="F35" s="46">
        <f t="shared" ca="1" si="16"/>
        <v>-791.01562499999989</v>
      </c>
      <c r="G35" s="46">
        <f t="shared" ca="1" si="16"/>
        <v>-1112.3657226562495</v>
      </c>
      <c r="H35" s="46">
        <f t="shared" ca="1" si="16"/>
        <v>-347.61428833007801</v>
      </c>
      <c r="I35" s="46">
        <f t="shared" ca="1" si="16"/>
        <v>801.50182014863935</v>
      </c>
      <c r="J35" s="46">
        <f t="shared" ca="1" si="16"/>
        <v>1649.5865078853071</v>
      </c>
      <c r="K35" s="46">
        <f t="shared" ca="1" si="16"/>
        <v>1563.6777272561842</v>
      </c>
      <c r="L35" s="46">
        <f t="shared" ca="1" si="16"/>
        <v>1170.1979186776884</v>
      </c>
      <c r="M35" s="46">
        <f t="shared" ca="1" si="16"/>
        <v>814.16742329935687</v>
      </c>
      <c r="N35" s="46">
        <f t="shared" ca="1" si="16"/>
        <v>585.94319199103234</v>
      </c>
      <c r="O35" s="46">
        <f t="shared" ca="1" si="16"/>
        <v>379.69817394048312</v>
      </c>
      <c r="P35" s="46">
        <f t="shared" ca="1" si="16"/>
        <v>277.3052271480467</v>
      </c>
      <c r="Q35" s="46">
        <f t="shared" ca="1" si="16"/>
        <v>184.72609886779873</v>
      </c>
      <c r="R35" s="46">
        <f t="shared" ca="1" si="16"/>
        <v>101.20684296897974</v>
      </c>
      <c r="S35" s="46">
        <f t="shared" ca="1" si="16"/>
        <v>61.504005688661543</v>
      </c>
      <c r="T35" s="46">
        <f t="shared" ca="1" si="16"/>
        <v>25.731318200271332</v>
      </c>
      <c r="U35" s="46">
        <f t="shared" ca="1" si="16"/>
        <v>12.653270312952703</v>
      </c>
      <c r="V35" s="46">
        <f t="shared" ca="1" si="16"/>
        <v>0.88554855961412726</v>
      </c>
      <c r="W35" s="46">
        <f t="shared" ca="1" si="16"/>
        <v>-142.42368844985415</v>
      </c>
      <c r="X35" s="46">
        <f t="shared" ca="1" si="16"/>
        <v>-55.011757977667209</v>
      </c>
      <c r="Y35" s="46">
        <f t="shared" ca="1" si="16"/>
        <v>-51.573523104063</v>
      </c>
      <c r="Z35" s="46">
        <f t="shared" ca="1" si="16"/>
        <v>0</v>
      </c>
      <c r="AA35" s="46">
        <f t="shared" ca="1" si="16"/>
        <v>0</v>
      </c>
      <c r="AB35" s="46">
        <f t="shared" ca="1" si="16"/>
        <v>0</v>
      </c>
      <c r="AC35" s="46">
        <f t="shared" ca="1" si="16"/>
        <v>0</v>
      </c>
      <c r="AD35" s="38"/>
      <c r="AE35" s="38"/>
      <c r="AF35" s="38"/>
      <c r="AG35" s="38"/>
      <c r="AH35" s="38"/>
      <c r="AI35" s="38"/>
      <c r="AJ35" s="38"/>
      <c r="AK35" s="38"/>
      <c r="AL35" s="38"/>
      <c r="AM35" s="38"/>
      <c r="AN35" s="38"/>
      <c r="AO35" s="38"/>
    </row>
    <row r="36" spans="2:41" ht="19.95" customHeight="1" x14ac:dyDescent="0.25">
      <c r="B36" s="49" t="s">
        <v>47</v>
      </c>
      <c r="C36" s="34"/>
      <c r="D36" s="56">
        <f t="shared" ref="D36:AC36" ca="1" si="17">Net_Cash_Flow_Post_Tax_Undiscounted/((1+discount_rate)^Year)</f>
        <v>-675</v>
      </c>
      <c r="E36" s="56">
        <f t="shared" ca="1" si="17"/>
        <v>-632.8125</v>
      </c>
      <c r="F36" s="56">
        <f t="shared" ca="1" si="17"/>
        <v>-791.01562499999989</v>
      </c>
      <c r="G36" s="56">
        <f t="shared" ca="1" si="17"/>
        <v>-1112.3657226562495</v>
      </c>
      <c r="H36" s="56">
        <f t="shared" ca="1" si="17"/>
        <v>-347.61428833007801</v>
      </c>
      <c r="I36" s="56">
        <f t="shared" ca="1" si="17"/>
        <v>801.50182014863935</v>
      </c>
      <c r="J36" s="56">
        <f t="shared" ca="1" si="17"/>
        <v>1649.5865078853071</v>
      </c>
      <c r="K36" s="56">
        <f t="shared" ca="1" si="17"/>
        <v>1089.8916007203745</v>
      </c>
      <c r="L36" s="56">
        <f t="shared" ca="1" si="17"/>
        <v>760.62864714049749</v>
      </c>
      <c r="M36" s="56">
        <f t="shared" ca="1" si="17"/>
        <v>529.20882514458208</v>
      </c>
      <c r="N36" s="56">
        <f t="shared" ca="1" si="17"/>
        <v>380.86307479417098</v>
      </c>
      <c r="O36" s="56">
        <f t="shared" ca="1" si="17"/>
        <v>246.80381306131403</v>
      </c>
      <c r="P36" s="56">
        <f t="shared" ca="1" si="17"/>
        <v>180.24839764623036</v>
      </c>
      <c r="Q36" s="56">
        <f t="shared" ca="1" si="17"/>
        <v>120.07196426406918</v>
      </c>
      <c r="R36" s="56">
        <f t="shared" ca="1" si="17"/>
        <v>65.78444792983683</v>
      </c>
      <c r="S36" s="56">
        <f t="shared" ca="1" si="17"/>
        <v>39.977603697630002</v>
      </c>
      <c r="T36" s="56">
        <f t="shared" ca="1" si="17"/>
        <v>16.725356830176366</v>
      </c>
      <c r="U36" s="56">
        <f t="shared" ca="1" si="17"/>
        <v>8.2246257034192567</v>
      </c>
      <c r="V36" s="56">
        <f t="shared" ca="1" si="17"/>
        <v>0.57560656374918262</v>
      </c>
      <c r="W36" s="56">
        <f t="shared" ca="1" si="17"/>
        <v>-142.42368844985415</v>
      </c>
      <c r="X36" s="56">
        <f t="shared" ca="1" si="17"/>
        <v>-55.011757977667209</v>
      </c>
      <c r="Y36" s="56">
        <f t="shared" ca="1" si="17"/>
        <v>-51.573523104063</v>
      </c>
      <c r="Z36" s="56">
        <f t="shared" ca="1" si="17"/>
        <v>0</v>
      </c>
      <c r="AA36" s="56">
        <f t="shared" ca="1" si="17"/>
        <v>0</v>
      </c>
      <c r="AB36" s="56">
        <f t="shared" ca="1" si="17"/>
        <v>0</v>
      </c>
      <c r="AC36" s="56">
        <f t="shared" ca="1" si="17"/>
        <v>0</v>
      </c>
      <c r="AD36" s="38"/>
      <c r="AE36" s="38"/>
      <c r="AF36" s="38"/>
      <c r="AG36" s="38"/>
      <c r="AH36" s="38"/>
      <c r="AI36" s="38"/>
      <c r="AJ36" s="38"/>
      <c r="AK36" s="38"/>
      <c r="AL36" s="38"/>
      <c r="AM36" s="38"/>
      <c r="AN36" s="38"/>
      <c r="AO36" s="38"/>
    </row>
    <row r="37" spans="2:41" ht="19.95" customHeight="1" x14ac:dyDescent="0.25">
      <c r="B37" s="50" t="s">
        <v>48</v>
      </c>
      <c r="D37" s="38">
        <f ca="1">SUM(Net_Cash_Flow_Post_Tax_Discounted to_date)</f>
        <v>-675</v>
      </c>
      <c r="E37" s="38">
        <f ca="1">SUM(Net_Cash_Flow_Post_Tax_Discounted to_date)</f>
        <v>-1307.8125</v>
      </c>
      <c r="F37" s="38">
        <f ca="1">SUM(Net_Cash_Flow_Post_Tax_Discounted to_date)</f>
        <v>-2098.828125</v>
      </c>
      <c r="G37" s="38">
        <f ca="1">SUM(Net_Cash_Flow_Post_Tax_Discounted to_date)</f>
        <v>-3211.1938476562495</v>
      </c>
      <c r="H37" s="38">
        <f ca="1">SUM(Net_Cash_Flow_Post_Tax_Discounted to_date)</f>
        <v>-3558.8081359863277</v>
      </c>
      <c r="I37" s="38">
        <f ca="1">SUM(Net_Cash_Flow_Post_Tax_Discounted to_date)</f>
        <v>-2757.3063158376881</v>
      </c>
      <c r="J37" s="38">
        <f ca="1">SUM(Net_Cash_Flow_Post_Tax_Discounted to_date)</f>
        <v>-1107.719807952381</v>
      </c>
      <c r="K37" s="38">
        <f ca="1">SUM(Net_Cash_Flow_Post_Tax_Discounted to_date)</f>
        <v>-17.828207232006434</v>
      </c>
      <c r="L37" s="38">
        <f ca="1">SUM(Net_Cash_Flow_Post_Tax_Discounted to_date)</f>
        <v>742.80043990849106</v>
      </c>
      <c r="M37" s="38">
        <f ca="1">SUM(Net_Cash_Flow_Post_Tax_Discounted to_date)</f>
        <v>1272.0092650530732</v>
      </c>
      <c r="N37" s="38">
        <f ca="1">SUM(Net_Cash_Flow_Post_Tax_Discounted to_date)</f>
        <v>1652.8723398472443</v>
      </c>
      <c r="O37" s="38">
        <f ca="1">SUM(Net_Cash_Flow_Post_Tax_Discounted to_date)</f>
        <v>1899.6761529085584</v>
      </c>
      <c r="P37" s="38">
        <f ca="1">SUM(Net_Cash_Flow_Post_Tax_Discounted to_date)</f>
        <v>2079.9245505547888</v>
      </c>
      <c r="Q37" s="38">
        <f ca="1">SUM(Net_Cash_Flow_Post_Tax_Discounted to_date)</f>
        <v>2199.996514818858</v>
      </c>
      <c r="R37" s="38">
        <f ca="1">SUM(Net_Cash_Flow_Post_Tax_Discounted to_date)</f>
        <v>2265.7809627486949</v>
      </c>
      <c r="S37" s="38">
        <f ca="1">SUM(Net_Cash_Flow_Post_Tax_Discounted to_date)</f>
        <v>2305.7585664463249</v>
      </c>
      <c r="T37" s="38">
        <f ca="1">SUM(Net_Cash_Flow_Post_Tax_Discounted to_date)</f>
        <v>2322.4839232765012</v>
      </c>
      <c r="U37" s="38">
        <f ca="1">SUM(Net_Cash_Flow_Post_Tax_Discounted to_date)</f>
        <v>2330.7085489799206</v>
      </c>
      <c r="V37" s="38">
        <f ca="1">SUM(Net_Cash_Flow_Post_Tax_Discounted to_date)</f>
        <v>2331.2841555436698</v>
      </c>
      <c r="W37" s="38">
        <f ca="1">SUM(Net_Cash_Flow_Post_Tax_Discounted to_date)</f>
        <v>2188.8604670938157</v>
      </c>
      <c r="X37" s="38">
        <f ca="1">SUM(Net_Cash_Flow_Post_Tax_Discounted to_date)</f>
        <v>2133.8487091161487</v>
      </c>
      <c r="Y37" s="38">
        <f ca="1">SUM(Net_Cash_Flow_Post_Tax_Discounted to_date)</f>
        <v>2082.2751860120857</v>
      </c>
      <c r="Z37" s="38">
        <f ca="1">SUM(Net_Cash_Flow_Post_Tax_Discounted to_date)</f>
        <v>2082.2751860120857</v>
      </c>
      <c r="AA37" s="38">
        <f ca="1">SUM(Net_Cash_Flow_Post_Tax_Discounted to_date)</f>
        <v>2082.2751860120857</v>
      </c>
      <c r="AB37" s="38">
        <f ca="1">SUM(Net_Cash_Flow_Post_Tax_Discounted to_date)</f>
        <v>2082.2751860120857</v>
      </c>
      <c r="AC37" s="38">
        <f ca="1">SUM(Net_Cash_Flow_Post_Tax_Discounted to_date)</f>
        <v>2082.2751860120857</v>
      </c>
      <c r="AD37" s="38"/>
      <c r="AE37" s="38"/>
      <c r="AF37" s="38"/>
      <c r="AG37" s="38"/>
      <c r="AH37" s="38"/>
      <c r="AI37" s="38"/>
      <c r="AJ37" s="38"/>
      <c r="AK37" s="38"/>
      <c r="AL37" s="38"/>
      <c r="AM37" s="38"/>
      <c r="AN37" s="38"/>
      <c r="AO37" s="38"/>
    </row>
    <row r="38" spans="2:41" ht="19.95" customHeight="1" x14ac:dyDescent="0.25">
      <c r="AD38" s="38"/>
      <c r="AE38" s="38"/>
      <c r="AF38" s="38"/>
      <c r="AG38" s="38"/>
      <c r="AH38" s="38"/>
      <c r="AI38" s="38"/>
      <c r="AJ38" s="38"/>
      <c r="AK38" s="38"/>
      <c r="AL38" s="38"/>
      <c r="AM38" s="38"/>
      <c r="AN38" s="38"/>
      <c r="AO38" s="38"/>
    </row>
    <row r="39" spans="2:41" ht="19.95" customHeight="1" thickBot="1" x14ac:dyDescent="0.3">
      <c r="B39" s="64" t="s">
        <v>40</v>
      </c>
      <c r="C39" s="67"/>
      <c r="D39" s="67"/>
      <c r="E39" s="67"/>
      <c r="F39" s="67"/>
      <c r="G39" s="67"/>
      <c r="H39" s="67"/>
      <c r="I39" s="67"/>
      <c r="J39" s="67"/>
      <c r="K39" s="67"/>
      <c r="L39" s="67"/>
      <c r="M39" s="67"/>
      <c r="N39" s="67"/>
      <c r="O39" s="67"/>
      <c r="P39" s="67"/>
      <c r="Q39" s="67"/>
      <c r="R39" s="67"/>
      <c r="S39" s="67"/>
      <c r="T39" s="67"/>
      <c r="U39" s="67"/>
      <c r="V39" s="67"/>
      <c r="W39" s="67"/>
      <c r="X39" s="67"/>
      <c r="Y39" s="67"/>
      <c r="Z39" s="67"/>
      <c r="AA39" s="67"/>
      <c r="AB39" s="67"/>
      <c r="AC39" s="67"/>
      <c r="AD39" s="38"/>
      <c r="AE39" s="38"/>
      <c r="AF39" s="38"/>
      <c r="AG39" s="38"/>
      <c r="AH39" s="38"/>
      <c r="AI39" s="38"/>
      <c r="AJ39" s="38"/>
      <c r="AK39" s="38"/>
      <c r="AL39" s="38"/>
      <c r="AM39" s="38"/>
      <c r="AN39" s="38"/>
      <c r="AO39" s="38"/>
    </row>
    <row r="40" spans="2:41" ht="19.95" customHeight="1" x14ac:dyDescent="0.25">
      <c r="B40" s="50" t="s">
        <v>42</v>
      </c>
      <c r="D40" s="36">
        <f t="shared" ref="D40:AC40" ca="1" si="18">IF(Cumulative_Net_Cash_Flow_Post_Tax&gt;0,1,0)</f>
        <v>0</v>
      </c>
      <c r="E40" s="36">
        <f t="shared" ca="1" si="18"/>
        <v>0</v>
      </c>
      <c r="F40" s="36">
        <f t="shared" ca="1" si="18"/>
        <v>0</v>
      </c>
      <c r="G40" s="36">
        <f t="shared" ca="1" si="18"/>
        <v>0</v>
      </c>
      <c r="H40" s="36">
        <f t="shared" ca="1" si="18"/>
        <v>0</v>
      </c>
      <c r="I40" s="36">
        <f t="shared" ca="1" si="18"/>
        <v>0</v>
      </c>
      <c r="J40" s="36">
        <f t="shared" ca="1" si="18"/>
        <v>0</v>
      </c>
      <c r="K40" s="36">
        <f t="shared" ca="1" si="18"/>
        <v>1</v>
      </c>
      <c r="L40" s="36">
        <f t="shared" ca="1" si="18"/>
        <v>1</v>
      </c>
      <c r="M40" s="36">
        <f t="shared" ca="1" si="18"/>
        <v>1</v>
      </c>
      <c r="N40" s="36">
        <f t="shared" ca="1" si="18"/>
        <v>1</v>
      </c>
      <c r="O40" s="36">
        <f t="shared" ca="1" si="18"/>
        <v>1</v>
      </c>
      <c r="P40" s="36">
        <f t="shared" ca="1" si="18"/>
        <v>1</v>
      </c>
      <c r="Q40" s="36">
        <f t="shared" ca="1" si="18"/>
        <v>1</v>
      </c>
      <c r="R40" s="36">
        <f t="shared" ca="1" si="18"/>
        <v>1</v>
      </c>
      <c r="S40" s="36">
        <f t="shared" ca="1" si="18"/>
        <v>1</v>
      </c>
      <c r="T40" s="36">
        <f t="shared" ca="1" si="18"/>
        <v>1</v>
      </c>
      <c r="U40" s="36">
        <f t="shared" ca="1" si="18"/>
        <v>1</v>
      </c>
      <c r="V40" s="36">
        <f t="shared" ca="1" si="18"/>
        <v>1</v>
      </c>
      <c r="W40" s="36">
        <f t="shared" ca="1" si="18"/>
        <v>1</v>
      </c>
      <c r="X40" s="36">
        <f t="shared" ca="1" si="18"/>
        <v>1</v>
      </c>
      <c r="Y40" s="36">
        <f t="shared" ca="1" si="18"/>
        <v>1</v>
      </c>
      <c r="Z40" s="36">
        <f t="shared" ca="1" si="18"/>
        <v>1</v>
      </c>
      <c r="AA40" s="36">
        <f t="shared" ca="1" si="18"/>
        <v>1</v>
      </c>
      <c r="AB40" s="36">
        <f t="shared" ca="1" si="18"/>
        <v>1</v>
      </c>
      <c r="AC40" s="36">
        <f t="shared" ca="1" si="18"/>
        <v>1</v>
      </c>
      <c r="AD40" s="38"/>
      <c r="AE40" s="38"/>
      <c r="AF40" s="38"/>
      <c r="AG40" s="38"/>
      <c r="AH40" s="38"/>
      <c r="AI40" s="38"/>
      <c r="AJ40" s="38"/>
      <c r="AK40" s="38"/>
      <c r="AL40" s="38"/>
      <c r="AM40" s="38"/>
      <c r="AN40" s="38"/>
      <c r="AO40" s="38"/>
    </row>
    <row r="41" spans="2:41" ht="19.95" customHeight="1" x14ac:dyDescent="0.25">
      <c r="B41" s="50" t="s">
        <v>43</v>
      </c>
      <c r="D41" s="36" t="str" cm="1">
        <f t="array" ref="D41">IFERROR(Cumulative_NCF_Post_Tax_Positive_Indicator lag, "-")</f>
        <v>-</v>
      </c>
      <c r="E41" s="36" cm="1">
        <f t="array" aca="1" ref="E41" ca="1">IFERROR(Cumulative_NCF_Post_Tax_Positive_Indicator lag, "-")</f>
        <v>0</v>
      </c>
      <c r="F41" s="36" cm="1">
        <f t="array" aca="1" ref="F41" ca="1">IFERROR(Cumulative_NCF_Post_Tax_Positive_Indicator lag, "-")</f>
        <v>0</v>
      </c>
      <c r="G41" s="36" cm="1">
        <f t="array" aca="1" ref="G41" ca="1">IFERROR(Cumulative_NCF_Post_Tax_Positive_Indicator lag, "-")</f>
        <v>0</v>
      </c>
      <c r="H41" s="36" cm="1">
        <f t="array" aca="1" ref="H41" ca="1">IFERROR(Cumulative_NCF_Post_Tax_Positive_Indicator lag, "-")</f>
        <v>0</v>
      </c>
      <c r="I41" s="36" cm="1">
        <f t="array" aca="1" ref="I41" ca="1">IFERROR(Cumulative_NCF_Post_Tax_Positive_Indicator lag, "-")</f>
        <v>0</v>
      </c>
      <c r="J41" s="36" cm="1">
        <f t="array" aca="1" ref="J41" ca="1">IFERROR(Cumulative_NCF_Post_Tax_Positive_Indicator lag, "-")</f>
        <v>0</v>
      </c>
      <c r="K41" s="36" cm="1">
        <f t="array" aca="1" ref="K41" ca="1">IFERROR(Cumulative_NCF_Post_Tax_Positive_Indicator lag, "-")</f>
        <v>0</v>
      </c>
      <c r="L41" s="36" cm="1">
        <f t="array" aca="1" ref="L41" ca="1">IFERROR(Cumulative_NCF_Post_Tax_Positive_Indicator lag, "-")</f>
        <v>1</v>
      </c>
      <c r="M41" s="36" cm="1">
        <f t="array" aca="1" ref="M41" ca="1">IFERROR(Cumulative_NCF_Post_Tax_Positive_Indicator lag, "-")</f>
        <v>1</v>
      </c>
      <c r="N41" s="36" cm="1">
        <f t="array" aca="1" ref="N41" ca="1">IFERROR(Cumulative_NCF_Post_Tax_Positive_Indicator lag, "-")</f>
        <v>1</v>
      </c>
      <c r="O41" s="36" cm="1">
        <f t="array" aca="1" ref="O41" ca="1">IFERROR(Cumulative_NCF_Post_Tax_Positive_Indicator lag, "-")</f>
        <v>1</v>
      </c>
      <c r="P41" s="36" cm="1">
        <f t="array" aca="1" ref="P41" ca="1">IFERROR(Cumulative_NCF_Post_Tax_Positive_Indicator lag, "-")</f>
        <v>1</v>
      </c>
      <c r="Q41" s="36" cm="1">
        <f t="array" aca="1" ref="Q41" ca="1">IFERROR(Cumulative_NCF_Post_Tax_Positive_Indicator lag, "-")</f>
        <v>1</v>
      </c>
      <c r="R41" s="36" cm="1">
        <f t="array" aca="1" ref="R41" ca="1">IFERROR(Cumulative_NCF_Post_Tax_Positive_Indicator lag, "-")</f>
        <v>1</v>
      </c>
      <c r="S41" s="36" cm="1">
        <f t="array" aca="1" ref="S41" ca="1">IFERROR(Cumulative_NCF_Post_Tax_Positive_Indicator lag, "-")</f>
        <v>1</v>
      </c>
      <c r="T41" s="36" cm="1">
        <f t="array" aca="1" ref="T41" ca="1">IFERROR(Cumulative_NCF_Post_Tax_Positive_Indicator lag, "-")</f>
        <v>1</v>
      </c>
      <c r="U41" s="36" cm="1">
        <f t="array" aca="1" ref="U41" ca="1">IFERROR(Cumulative_NCF_Post_Tax_Positive_Indicator lag, "-")</f>
        <v>1</v>
      </c>
      <c r="V41" s="36" cm="1">
        <f t="array" aca="1" ref="V41" ca="1">IFERROR(Cumulative_NCF_Post_Tax_Positive_Indicator lag, "-")</f>
        <v>1</v>
      </c>
      <c r="W41" s="36" cm="1">
        <f t="array" aca="1" ref="W41" ca="1">IFERROR(Cumulative_NCF_Post_Tax_Positive_Indicator lag, "-")</f>
        <v>1</v>
      </c>
      <c r="X41" s="36" cm="1">
        <f t="array" aca="1" ref="X41" ca="1">IFERROR(Cumulative_NCF_Post_Tax_Positive_Indicator lag, "-")</f>
        <v>1</v>
      </c>
      <c r="Y41" s="36" cm="1">
        <f t="array" aca="1" ref="Y41" ca="1">IFERROR(Cumulative_NCF_Post_Tax_Positive_Indicator lag, "-")</f>
        <v>1</v>
      </c>
      <c r="Z41" s="36" cm="1">
        <f t="array" aca="1" ref="Z41" ca="1">IFERROR(Cumulative_NCF_Post_Tax_Positive_Indicator lag, "-")</f>
        <v>1</v>
      </c>
      <c r="AA41" s="36" cm="1">
        <f t="array" aca="1" ref="AA41" ca="1">IFERROR(Cumulative_NCF_Post_Tax_Positive_Indicator lag, "-")</f>
        <v>1</v>
      </c>
      <c r="AB41" s="36" cm="1">
        <f t="array" aca="1" ref="AB41" ca="1">IFERROR(Cumulative_NCF_Post_Tax_Positive_Indicator lag, "-")</f>
        <v>1</v>
      </c>
      <c r="AC41" s="36" cm="1">
        <f t="array" aca="1" ref="AC41" ca="1">IFERROR(Cumulative_NCF_Post_Tax_Positive_Indicator lag, "-")</f>
        <v>1</v>
      </c>
      <c r="AD41" s="38"/>
      <c r="AE41" s="38"/>
      <c r="AF41" s="38"/>
      <c r="AG41" s="38"/>
      <c r="AH41" s="38"/>
      <c r="AI41" s="38"/>
      <c r="AJ41" s="38"/>
      <c r="AK41" s="38"/>
      <c r="AL41" s="38"/>
      <c r="AM41" s="38"/>
      <c r="AN41" s="38"/>
      <c r="AO41" s="38"/>
    </row>
    <row r="42" spans="2:41" ht="19.95" customHeight="1" x14ac:dyDescent="0.25">
      <c r="B42" s="50" t="s">
        <v>41</v>
      </c>
      <c r="D42" s="36" t="str">
        <f t="shared" ref="D42:AC42" ca="1" si="19">IFERROR(IF((Cumulative_NCF_Post_Tax_Positive_Indicator-Cumulative_NCF_Post_Tax_Positive_Indicator_Lagged)*Year&gt;0, (Cumulative_NCF_Post_Tax_Positive_Indicator-Cumulative_NCF_Post_Tax_Positive_Indicator_Lagged)*Year,"-"),"-")</f>
        <v>-</v>
      </c>
      <c r="E42" s="36" t="str">
        <f t="shared" ca="1" si="19"/>
        <v>-</v>
      </c>
      <c r="F42" s="36" t="str">
        <f t="shared" ca="1" si="19"/>
        <v>-</v>
      </c>
      <c r="G42" s="36" t="str">
        <f t="shared" ca="1" si="19"/>
        <v>-</v>
      </c>
      <c r="H42" s="36" t="str">
        <f t="shared" ca="1" si="19"/>
        <v>-</v>
      </c>
      <c r="I42" s="36" t="str">
        <f t="shared" ca="1" si="19"/>
        <v>-</v>
      </c>
      <c r="J42" s="36" t="str">
        <f t="shared" ca="1" si="19"/>
        <v>-</v>
      </c>
      <c r="K42" s="36">
        <f t="shared" ca="1" si="19"/>
        <v>7</v>
      </c>
      <c r="L42" s="36" t="str">
        <f t="shared" ca="1" si="19"/>
        <v>-</v>
      </c>
      <c r="M42" s="36" t="str">
        <f t="shared" ca="1" si="19"/>
        <v>-</v>
      </c>
      <c r="N42" s="36" t="str">
        <f t="shared" ca="1" si="19"/>
        <v>-</v>
      </c>
      <c r="O42" s="36" t="str">
        <f t="shared" ca="1" si="19"/>
        <v>-</v>
      </c>
      <c r="P42" s="36" t="str">
        <f t="shared" ca="1" si="19"/>
        <v>-</v>
      </c>
      <c r="Q42" s="36" t="str">
        <f t="shared" ca="1" si="19"/>
        <v>-</v>
      </c>
      <c r="R42" s="36" t="str">
        <f t="shared" ca="1" si="19"/>
        <v>-</v>
      </c>
      <c r="S42" s="36" t="str">
        <f t="shared" ca="1" si="19"/>
        <v>-</v>
      </c>
      <c r="T42" s="36" t="str">
        <f t="shared" ca="1" si="19"/>
        <v>-</v>
      </c>
      <c r="U42" s="36" t="str">
        <f t="shared" ca="1" si="19"/>
        <v>-</v>
      </c>
      <c r="V42" s="36" t="str">
        <f t="shared" ca="1" si="19"/>
        <v>-</v>
      </c>
      <c r="W42" s="36" t="str">
        <f t="shared" ca="1" si="19"/>
        <v>-</v>
      </c>
      <c r="X42" s="36" t="str">
        <f t="shared" ca="1" si="19"/>
        <v>-</v>
      </c>
      <c r="Y42" s="36" t="str">
        <f t="shared" ca="1" si="19"/>
        <v>-</v>
      </c>
      <c r="Z42" s="36" t="str">
        <f t="shared" ca="1" si="19"/>
        <v>-</v>
      </c>
      <c r="AA42" s="36" t="str">
        <f t="shared" ca="1" si="19"/>
        <v>-</v>
      </c>
      <c r="AB42" s="36" t="str">
        <f t="shared" ca="1" si="19"/>
        <v>-</v>
      </c>
      <c r="AC42" s="36" t="str">
        <f t="shared" ca="1" si="19"/>
        <v>-</v>
      </c>
    </row>
    <row r="43" spans="2:41" ht="19.95" customHeight="1" x14ac:dyDescent="0.25">
      <c r="B43" s="50" t="s">
        <v>44</v>
      </c>
      <c r="D43" s="36">
        <f t="shared" ref="D43:AC43" ca="1" si="20">IF(Cumulative_Net_Cash_Flow_Post_Tax_Discounted&gt;0,1,0)</f>
        <v>0</v>
      </c>
      <c r="E43" s="36">
        <f t="shared" ca="1" si="20"/>
        <v>0</v>
      </c>
      <c r="F43" s="36">
        <f t="shared" ca="1" si="20"/>
        <v>0</v>
      </c>
      <c r="G43" s="36">
        <f t="shared" ca="1" si="20"/>
        <v>0</v>
      </c>
      <c r="H43" s="36">
        <f t="shared" ca="1" si="20"/>
        <v>0</v>
      </c>
      <c r="I43" s="36">
        <f t="shared" ca="1" si="20"/>
        <v>0</v>
      </c>
      <c r="J43" s="36">
        <f t="shared" ca="1" si="20"/>
        <v>0</v>
      </c>
      <c r="K43" s="36">
        <f t="shared" ca="1" si="20"/>
        <v>0</v>
      </c>
      <c r="L43" s="36">
        <f t="shared" ca="1" si="20"/>
        <v>1</v>
      </c>
      <c r="M43" s="36">
        <f t="shared" ca="1" si="20"/>
        <v>1</v>
      </c>
      <c r="N43" s="36">
        <f t="shared" ca="1" si="20"/>
        <v>1</v>
      </c>
      <c r="O43" s="36">
        <f t="shared" ca="1" si="20"/>
        <v>1</v>
      </c>
      <c r="P43" s="36">
        <f t="shared" ca="1" si="20"/>
        <v>1</v>
      </c>
      <c r="Q43" s="36">
        <f t="shared" ca="1" si="20"/>
        <v>1</v>
      </c>
      <c r="R43" s="36">
        <f t="shared" ca="1" si="20"/>
        <v>1</v>
      </c>
      <c r="S43" s="36">
        <f t="shared" ca="1" si="20"/>
        <v>1</v>
      </c>
      <c r="T43" s="36">
        <f t="shared" ca="1" si="20"/>
        <v>1</v>
      </c>
      <c r="U43" s="36">
        <f t="shared" ca="1" si="20"/>
        <v>1</v>
      </c>
      <c r="V43" s="36">
        <f t="shared" ca="1" si="20"/>
        <v>1</v>
      </c>
      <c r="W43" s="36">
        <f t="shared" ca="1" si="20"/>
        <v>1</v>
      </c>
      <c r="X43" s="36">
        <f t="shared" ca="1" si="20"/>
        <v>1</v>
      </c>
      <c r="Y43" s="36">
        <f t="shared" ca="1" si="20"/>
        <v>1</v>
      </c>
      <c r="Z43" s="36">
        <f t="shared" ca="1" si="20"/>
        <v>1</v>
      </c>
      <c r="AA43" s="36">
        <f t="shared" ca="1" si="20"/>
        <v>1</v>
      </c>
      <c r="AB43" s="36">
        <f t="shared" ca="1" si="20"/>
        <v>1</v>
      </c>
      <c r="AC43" s="36">
        <f t="shared" ca="1" si="20"/>
        <v>1</v>
      </c>
    </row>
    <row r="44" spans="2:41" ht="19.95" customHeight="1" x14ac:dyDescent="0.25">
      <c r="B44" s="50" t="s">
        <v>45</v>
      </c>
      <c r="D44" s="36" t="str" cm="1">
        <f t="array" ref="D44">IFERROR(Cumulative_NCF_Post_Tax_Discounted_Positive_Indicator lag, "-")</f>
        <v>-</v>
      </c>
      <c r="E44" s="36" cm="1">
        <f t="array" aca="1" ref="E44" ca="1">IFERROR(Cumulative_NCF_Post_Tax_Discounted_Positive_Indicator lag, "-")</f>
        <v>0</v>
      </c>
      <c r="F44" s="36" cm="1">
        <f t="array" aca="1" ref="F44" ca="1">IFERROR(Cumulative_NCF_Post_Tax_Discounted_Positive_Indicator lag, "-")</f>
        <v>0</v>
      </c>
      <c r="G44" s="36" cm="1">
        <f t="array" aca="1" ref="G44" ca="1">IFERROR(Cumulative_NCF_Post_Tax_Discounted_Positive_Indicator lag, "-")</f>
        <v>0</v>
      </c>
      <c r="H44" s="36" cm="1">
        <f t="array" aca="1" ref="H44" ca="1">IFERROR(Cumulative_NCF_Post_Tax_Discounted_Positive_Indicator lag, "-")</f>
        <v>0</v>
      </c>
      <c r="I44" s="36" cm="1">
        <f t="array" aca="1" ref="I44" ca="1">IFERROR(Cumulative_NCF_Post_Tax_Discounted_Positive_Indicator lag, "-")</f>
        <v>0</v>
      </c>
      <c r="J44" s="36" cm="1">
        <f t="array" aca="1" ref="J44" ca="1">IFERROR(Cumulative_NCF_Post_Tax_Discounted_Positive_Indicator lag, "-")</f>
        <v>0</v>
      </c>
      <c r="K44" s="36" cm="1">
        <f t="array" aca="1" ref="K44" ca="1">IFERROR(Cumulative_NCF_Post_Tax_Discounted_Positive_Indicator lag, "-")</f>
        <v>0</v>
      </c>
      <c r="L44" s="36" cm="1">
        <f t="array" aca="1" ref="L44" ca="1">IFERROR(Cumulative_NCF_Post_Tax_Discounted_Positive_Indicator lag, "-")</f>
        <v>0</v>
      </c>
      <c r="M44" s="36" cm="1">
        <f t="array" aca="1" ref="M44" ca="1">IFERROR(Cumulative_NCF_Post_Tax_Discounted_Positive_Indicator lag, "-")</f>
        <v>1</v>
      </c>
      <c r="N44" s="36" cm="1">
        <f t="array" aca="1" ref="N44" ca="1">IFERROR(Cumulative_NCF_Post_Tax_Discounted_Positive_Indicator lag, "-")</f>
        <v>1</v>
      </c>
      <c r="O44" s="36" cm="1">
        <f t="array" aca="1" ref="O44" ca="1">IFERROR(Cumulative_NCF_Post_Tax_Discounted_Positive_Indicator lag, "-")</f>
        <v>1</v>
      </c>
      <c r="P44" s="36" cm="1">
        <f t="array" aca="1" ref="P44" ca="1">IFERROR(Cumulative_NCF_Post_Tax_Discounted_Positive_Indicator lag, "-")</f>
        <v>1</v>
      </c>
      <c r="Q44" s="36" cm="1">
        <f t="array" aca="1" ref="Q44" ca="1">IFERROR(Cumulative_NCF_Post_Tax_Discounted_Positive_Indicator lag, "-")</f>
        <v>1</v>
      </c>
      <c r="R44" s="36" cm="1">
        <f t="array" aca="1" ref="R44" ca="1">IFERROR(Cumulative_NCF_Post_Tax_Discounted_Positive_Indicator lag, "-")</f>
        <v>1</v>
      </c>
      <c r="S44" s="36" cm="1">
        <f t="array" aca="1" ref="S44" ca="1">IFERROR(Cumulative_NCF_Post_Tax_Discounted_Positive_Indicator lag, "-")</f>
        <v>1</v>
      </c>
      <c r="T44" s="36" cm="1">
        <f t="array" aca="1" ref="T44" ca="1">IFERROR(Cumulative_NCF_Post_Tax_Discounted_Positive_Indicator lag, "-")</f>
        <v>1</v>
      </c>
      <c r="U44" s="36" cm="1">
        <f t="array" aca="1" ref="U44" ca="1">IFERROR(Cumulative_NCF_Post_Tax_Discounted_Positive_Indicator lag, "-")</f>
        <v>1</v>
      </c>
      <c r="V44" s="36" cm="1">
        <f t="array" aca="1" ref="V44" ca="1">IFERROR(Cumulative_NCF_Post_Tax_Discounted_Positive_Indicator lag, "-")</f>
        <v>1</v>
      </c>
      <c r="W44" s="36" cm="1">
        <f t="array" aca="1" ref="W44" ca="1">IFERROR(Cumulative_NCF_Post_Tax_Discounted_Positive_Indicator lag, "-")</f>
        <v>1</v>
      </c>
      <c r="X44" s="36" cm="1">
        <f t="array" aca="1" ref="X44" ca="1">IFERROR(Cumulative_NCF_Post_Tax_Discounted_Positive_Indicator lag, "-")</f>
        <v>1</v>
      </c>
      <c r="Y44" s="36" cm="1">
        <f t="array" aca="1" ref="Y44" ca="1">IFERROR(Cumulative_NCF_Post_Tax_Discounted_Positive_Indicator lag, "-")</f>
        <v>1</v>
      </c>
      <c r="Z44" s="36" cm="1">
        <f t="array" aca="1" ref="Z44" ca="1">IFERROR(Cumulative_NCF_Post_Tax_Discounted_Positive_Indicator lag, "-")</f>
        <v>1</v>
      </c>
      <c r="AA44" s="36" cm="1">
        <f t="array" aca="1" ref="AA44" ca="1">IFERROR(Cumulative_NCF_Post_Tax_Discounted_Positive_Indicator lag, "-")</f>
        <v>1</v>
      </c>
      <c r="AB44" s="36" cm="1">
        <f t="array" aca="1" ref="AB44" ca="1">IFERROR(Cumulative_NCF_Post_Tax_Discounted_Positive_Indicator lag, "-")</f>
        <v>1</v>
      </c>
      <c r="AC44" s="36" cm="1">
        <f t="array" aca="1" ref="AC44" ca="1">IFERROR(Cumulative_NCF_Post_Tax_Discounted_Positive_Indicator lag, "-")</f>
        <v>1</v>
      </c>
    </row>
    <row r="45" spans="2:41" ht="19.95" customHeight="1" x14ac:dyDescent="0.25">
      <c r="B45" s="50" t="s">
        <v>46</v>
      </c>
      <c r="D45" s="36" t="str">
        <f t="shared" ref="D45:AC45" ca="1" si="21">IFERROR(IF((Cumulative_NCF_Post_Tax_Discounted_Positive_Indicator-Cumulative_NCF_Post_Tax_Discounted_Positive_Indicator_Lagged)*Year&gt;0, (Cumulative_NCF_Post_Tax_Discounted_Positive_Indicator-Cumulative_NCF_Post_Tax_Discounted_Positive_Indicator_Lagged)*Year,"-"),"-")</f>
        <v>-</v>
      </c>
      <c r="E45" s="36" t="str">
        <f t="shared" ca="1" si="21"/>
        <v>-</v>
      </c>
      <c r="F45" s="36" t="str">
        <f t="shared" ca="1" si="21"/>
        <v>-</v>
      </c>
      <c r="G45" s="36" t="str">
        <f t="shared" ca="1" si="21"/>
        <v>-</v>
      </c>
      <c r="H45" s="36" t="str">
        <f t="shared" ca="1" si="21"/>
        <v>-</v>
      </c>
      <c r="I45" s="36" t="str">
        <f t="shared" ca="1" si="21"/>
        <v>-</v>
      </c>
      <c r="J45" s="36" t="str">
        <f t="shared" ca="1" si="21"/>
        <v>-</v>
      </c>
      <c r="K45" s="36" t="str">
        <f t="shared" ca="1" si="21"/>
        <v>-</v>
      </c>
      <c r="L45" s="36">
        <f t="shared" ca="1" si="21"/>
        <v>8</v>
      </c>
      <c r="M45" s="36" t="str">
        <f t="shared" ca="1" si="21"/>
        <v>-</v>
      </c>
      <c r="N45" s="36" t="str">
        <f t="shared" ca="1" si="21"/>
        <v>-</v>
      </c>
      <c r="O45" s="36" t="str">
        <f t="shared" ca="1" si="21"/>
        <v>-</v>
      </c>
      <c r="P45" s="36" t="str">
        <f t="shared" ca="1" si="21"/>
        <v>-</v>
      </c>
      <c r="Q45" s="36" t="str">
        <f t="shared" ca="1" si="21"/>
        <v>-</v>
      </c>
      <c r="R45" s="36" t="str">
        <f t="shared" ca="1" si="21"/>
        <v>-</v>
      </c>
      <c r="S45" s="36" t="str">
        <f t="shared" ca="1" si="21"/>
        <v>-</v>
      </c>
      <c r="T45" s="36" t="str">
        <f t="shared" ca="1" si="21"/>
        <v>-</v>
      </c>
      <c r="U45" s="36" t="str">
        <f t="shared" ca="1" si="21"/>
        <v>-</v>
      </c>
      <c r="V45" s="36" t="str">
        <f t="shared" ca="1" si="21"/>
        <v>-</v>
      </c>
      <c r="W45" s="36" t="str">
        <f t="shared" ca="1" si="21"/>
        <v>-</v>
      </c>
      <c r="X45" s="36" t="str">
        <f t="shared" ca="1" si="21"/>
        <v>-</v>
      </c>
      <c r="Y45" s="36" t="str">
        <f t="shared" ca="1" si="21"/>
        <v>-</v>
      </c>
      <c r="Z45" s="36" t="str">
        <f t="shared" ca="1" si="21"/>
        <v>-</v>
      </c>
      <c r="AA45" s="36" t="str">
        <f t="shared" ca="1" si="21"/>
        <v>-</v>
      </c>
      <c r="AB45" s="36" t="str">
        <f t="shared" ca="1" si="21"/>
        <v>-</v>
      </c>
      <c r="AC45" s="36" t="str">
        <f t="shared" ca="1" si="21"/>
        <v>-</v>
      </c>
    </row>
    <row r="47" spans="2:41" ht="19.95" customHeight="1" thickBot="1" x14ac:dyDescent="0.55000000000000004">
      <c r="B47" s="64" t="s">
        <v>51</v>
      </c>
      <c r="C47" s="67"/>
      <c r="D47" s="68" t="s">
        <v>8</v>
      </c>
      <c r="E47" s="5"/>
      <c r="F47" s="5"/>
      <c r="G47" s="5"/>
      <c r="H47" s="5"/>
      <c r="I47" s="5"/>
      <c r="J47" s="5"/>
      <c r="K47" s="5"/>
      <c r="L47" s="5"/>
      <c r="M47" s="5"/>
      <c r="N47" s="5"/>
      <c r="O47" s="5"/>
      <c r="P47" s="5"/>
      <c r="Q47" s="5"/>
      <c r="R47" s="5"/>
      <c r="S47" s="5"/>
      <c r="T47" s="5"/>
      <c r="U47" s="5"/>
      <c r="V47" s="5"/>
      <c r="W47" s="5"/>
      <c r="X47" s="5"/>
      <c r="Y47" s="5"/>
    </row>
    <row r="48" spans="2:41" ht="19.95" customHeight="1" x14ac:dyDescent="0.5">
      <c r="B48" s="50" t="s">
        <v>71</v>
      </c>
      <c r="C48" s="37">
        <f ca="1">SUM(Net_Cash_Flow_Pre_Tax_Discounted)</f>
        <v>3820.9679694271049</v>
      </c>
      <c r="D48" s="36" t="str">
        <f ca="1">IF((NPV(discount_rate,Net_Cash_Flow_Pre_Tax)*(1+discount_rate))=(SUM(Net_Cash_Flow_Pre_Tax_Discounted)),"✓", "✗")</f>
        <v>✓</v>
      </c>
      <c r="E48" s="5">
        <f ca="1">NPV(discount_rate,Net_Cash_Flow_Pre_Tax)*(1+discount_rate)</f>
        <v>3820.967969427104</v>
      </c>
      <c r="F48" s="5"/>
      <c r="G48" s="5"/>
      <c r="H48" s="5"/>
      <c r="I48" s="5"/>
      <c r="J48" s="5"/>
      <c r="K48" s="5"/>
      <c r="L48" s="5"/>
      <c r="M48" s="5"/>
      <c r="N48" s="5"/>
      <c r="O48" s="5"/>
      <c r="P48" s="5"/>
      <c r="Q48" s="5"/>
      <c r="R48" s="5"/>
      <c r="S48" s="5"/>
      <c r="T48" s="5"/>
      <c r="U48" s="5"/>
      <c r="V48" s="5"/>
      <c r="W48" s="5"/>
      <c r="X48" s="5"/>
      <c r="Y48" s="5"/>
    </row>
    <row r="49" spans="2:5" ht="19.95" customHeight="1" x14ac:dyDescent="0.25">
      <c r="B49" s="50" t="s">
        <v>72</v>
      </c>
      <c r="C49" s="38">
        <f ca="1">SUM(Net_Cash_Flow_Post_Tax_Discounted)</f>
        <v>2082.2751860120857</v>
      </c>
      <c r="D49" s="36" t="str">
        <f ca="1">IF((NPV(discount_rate,Net_Cash_Flow_Post_Tax_Undiscounted)*(1+discount_rate))=(SUM(Net_Cash_Flow_Post_Tax_Discounted)),"✓", "✗")</f>
        <v>✗</v>
      </c>
      <c r="E49" s="36">
        <f ca="1">NPV(discount_rate,Net_Cash_Flow_Post_Tax_Undiscounted)*(1+discount_rate)</f>
        <v>2082.2751860120848</v>
      </c>
    </row>
    <row r="50" spans="2:5" ht="19.95" customHeight="1" x14ac:dyDescent="0.25">
      <c r="B50" s="50" t="s">
        <v>52</v>
      </c>
      <c r="C50" s="57">
        <f ca="1">IFERROR(IRR(Net_Cash_Flow_Post_Tax_Undiscounted), "-")</f>
        <v>0.18094933674842961</v>
      </c>
    </row>
    <row r="51" spans="2:5" ht="19.95" customHeight="1" x14ac:dyDescent="0.25">
      <c r="B51" s="50" t="s">
        <v>73</v>
      </c>
      <c r="C51" s="38">
        <f>SUM(DevEx_USDM_Years_Discounted)</f>
        <v>3884.6965312957759</v>
      </c>
      <c r="D51" s="36" t="str">
        <f>IF(NPV(discount_rate,DevEx_USDM_Years)*((1+(discount_rate)))=(SUM(DevEx_USDM_Years_Discounted)),"✓", "✗")</f>
        <v>✓</v>
      </c>
    </row>
    <row r="52" spans="2:5" ht="19.95" customHeight="1" x14ac:dyDescent="0.25">
      <c r="B52" s="50" t="s">
        <v>53</v>
      </c>
      <c r="C52" s="58">
        <f ca="1">npv_post_tax/npv_devex</f>
        <v>0.53602003894948358</v>
      </c>
    </row>
  </sheetData>
  <mergeCells count="2">
    <mergeCell ref="B2:E4"/>
    <mergeCell ref="F2:AC4"/>
  </mergeCells>
  <conditionalFormatting sqref="A4 AD4:XFD4 A5:XFD5 A8:A508">
    <cfRule type="containsText" dxfId="34" priority="23" operator="containsText" text="✗">
      <formula>NOT(ISERROR(SEARCH("✗",A4)))</formula>
    </cfRule>
    <cfRule type="containsText" dxfId="33" priority="24" operator="containsText" text="✓">
      <formula>NOT(ISERROR(SEARCH("✓",A4)))</formula>
    </cfRule>
  </conditionalFormatting>
  <conditionalFormatting sqref="A6:AC7 AD6:XFD508 B8:AC504">
    <cfRule type="containsText" dxfId="32" priority="16" operator="containsText" text="✓">
      <formula>NOT(ISERROR(SEARCH("✓",A6)))</formula>
    </cfRule>
  </conditionalFormatting>
  <conditionalFormatting sqref="B8:AC504 A6:AC7 AD6:XFD508">
    <cfRule type="containsText" dxfId="31" priority="15" operator="containsText" text="✗">
      <formula>NOT(ISERROR(SEARCH("✗",A6)))</formula>
    </cfRule>
  </conditionalFormatting>
  <conditionalFormatting sqref="C10:C13">
    <cfRule type="expression" dxfId="30" priority="25">
      <formula>"SUM(Production_Perc_Years)=100%"</formula>
    </cfRule>
  </conditionalFormatting>
  <conditionalFormatting sqref="C48:C49">
    <cfRule type="cellIs" dxfId="29" priority="3" operator="lessThan">
      <formula>0</formula>
    </cfRule>
    <cfRule type="cellIs" dxfId="28" priority="4" operator="greaterThanOrEqual">
      <formula>0</formula>
    </cfRule>
  </conditionalFormatting>
  <conditionalFormatting sqref="D10:AC10">
    <cfRule type="dataBar" priority="12">
      <dataBar>
        <cfvo type="min"/>
        <cfvo type="num" val="0.5"/>
        <color rgb="FFFFB628"/>
      </dataBar>
      <extLst>
        <ext xmlns:x14="http://schemas.microsoft.com/office/spreadsheetml/2009/9/main" uri="{B025F937-C7B1-47D3-B67F-A62EFF666E3E}">
          <x14:id>{6D68523B-DB21-4610-AAC2-5E93C6DABE62}</x14:id>
        </ext>
      </extLst>
    </cfRule>
  </conditionalFormatting>
  <conditionalFormatting sqref="D10:AC13">
    <cfRule type="cellIs" dxfId="27" priority="22" operator="equal">
      <formula>0</formula>
    </cfRule>
  </conditionalFormatting>
  <conditionalFormatting sqref="D11:AC11">
    <cfRule type="dataBar" priority="11">
      <dataBar>
        <cfvo type="min"/>
        <cfvo type="num" val="0.5"/>
        <color theme="6" tint="0.39997558519241921"/>
      </dataBar>
      <extLst>
        <ext xmlns:x14="http://schemas.microsoft.com/office/spreadsheetml/2009/9/main" uri="{B025F937-C7B1-47D3-B67F-A62EFF666E3E}">
          <x14:id>{275AB447-950C-40FA-B553-557EDB3596D1}</x14:id>
        </ext>
      </extLst>
    </cfRule>
  </conditionalFormatting>
  <conditionalFormatting sqref="D12:AC12">
    <cfRule type="dataBar" priority="10">
      <dataBar>
        <cfvo type="min"/>
        <cfvo type="num" val="150"/>
        <color theme="6"/>
      </dataBar>
      <extLst>
        <ext xmlns:x14="http://schemas.microsoft.com/office/spreadsheetml/2009/9/main" uri="{B025F937-C7B1-47D3-B67F-A62EFF666E3E}">
          <x14:id>{7DC27910-6F2E-4A01-9C7E-CA5E3DC83146}</x14:id>
        </ext>
      </extLst>
    </cfRule>
  </conditionalFormatting>
  <conditionalFormatting sqref="D16:AC22">
    <cfRule type="cellIs" dxfId="26" priority="21" operator="equal">
      <formula>0</formula>
    </cfRule>
  </conditionalFormatting>
  <conditionalFormatting sqref="D17:AC17">
    <cfRule type="expression" dxfId="25" priority="19">
      <formula>D16=0</formula>
    </cfRule>
  </conditionalFormatting>
  <conditionalFormatting sqref="D22:AC22">
    <cfRule type="dataBar" priority="9">
      <dataBar>
        <cfvo type="min"/>
        <cfvo type="max"/>
        <color rgb="FFFFB628"/>
      </dataBar>
      <extLst>
        <ext xmlns:x14="http://schemas.microsoft.com/office/spreadsheetml/2009/9/main" uri="{B025F937-C7B1-47D3-B67F-A62EFF666E3E}">
          <x14:id>{5843A1FD-A613-4894-AFA6-F76D08F6FF7E}</x14:id>
        </ext>
      </extLst>
    </cfRule>
  </conditionalFormatting>
  <conditionalFormatting sqref="D25:AC27">
    <cfRule type="cellIs" dxfId="24" priority="18" operator="equal">
      <formula>0</formula>
    </cfRule>
  </conditionalFormatting>
  <conditionalFormatting sqref="D27:AC27">
    <cfRule type="dataBar" priority="8">
      <dataBar>
        <cfvo type="min"/>
        <cfvo type="max"/>
        <color rgb="FF00F26D"/>
      </dataBar>
      <extLst>
        <ext xmlns:x14="http://schemas.microsoft.com/office/spreadsheetml/2009/9/main" uri="{B025F937-C7B1-47D3-B67F-A62EFF666E3E}">
          <x14:id>{FBD92359-1437-4B45-BD0A-C8FCBC9E9613}</x14:id>
        </ext>
      </extLst>
    </cfRule>
  </conditionalFormatting>
  <conditionalFormatting sqref="D30:AC37">
    <cfRule type="cellIs" dxfId="23" priority="17" operator="equal">
      <formula>0</formula>
    </cfRule>
  </conditionalFormatting>
  <conditionalFormatting sqref="D36:AC36">
    <cfRule type="colorScale" priority="7">
      <colorScale>
        <cfvo type="min"/>
        <cfvo type="num" val="0"/>
        <cfvo type="max"/>
        <color rgb="FFF8696B"/>
        <color theme="0"/>
        <color rgb="FF63BE7B"/>
      </colorScale>
    </cfRule>
  </conditionalFormatting>
  <conditionalFormatting sqref="D42:AC42">
    <cfRule type="top10" dxfId="22" priority="6" rank="1"/>
  </conditionalFormatting>
  <conditionalFormatting sqref="D45:AC45">
    <cfRule type="top10" dxfId="21" priority="5" rank="1"/>
  </conditionalFormatting>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dataBar" id="{6D68523B-DB21-4610-AAC2-5E93C6DABE62}">
            <x14:dataBar minLength="0" maxLength="100" gradient="0">
              <x14:cfvo type="autoMin"/>
              <x14:cfvo type="num">
                <xm:f>0.5</xm:f>
              </x14:cfvo>
              <x14:negativeFillColor rgb="FFFF0000"/>
              <x14:axisColor rgb="FF000000"/>
            </x14:dataBar>
          </x14:cfRule>
          <xm:sqref>D10:AC10</xm:sqref>
        </x14:conditionalFormatting>
        <x14:conditionalFormatting xmlns:xm="http://schemas.microsoft.com/office/excel/2006/main">
          <x14:cfRule type="dataBar" id="{275AB447-950C-40FA-B553-557EDB3596D1}">
            <x14:dataBar minLength="0" maxLength="100" gradient="0">
              <x14:cfvo type="autoMin"/>
              <x14:cfvo type="num">
                <xm:f>0.5</xm:f>
              </x14:cfvo>
              <x14:negativeFillColor rgb="FFFF0000"/>
              <x14:axisColor rgb="FF000000"/>
            </x14:dataBar>
          </x14:cfRule>
          <xm:sqref>D11:AC11</xm:sqref>
        </x14:conditionalFormatting>
        <x14:conditionalFormatting xmlns:xm="http://schemas.microsoft.com/office/excel/2006/main">
          <x14:cfRule type="dataBar" id="{7DC27910-6F2E-4A01-9C7E-CA5E3DC83146}">
            <x14:dataBar minLength="0" maxLength="100" gradient="0">
              <x14:cfvo type="autoMin"/>
              <x14:cfvo type="num">
                <xm:f>150</xm:f>
              </x14:cfvo>
              <x14:negativeFillColor rgb="FFFF0000"/>
              <x14:axisColor rgb="FF000000"/>
            </x14:dataBar>
          </x14:cfRule>
          <xm:sqref>D12:AC12</xm:sqref>
        </x14:conditionalFormatting>
        <x14:conditionalFormatting xmlns:xm="http://schemas.microsoft.com/office/excel/2006/main">
          <x14:cfRule type="dataBar" id="{5843A1FD-A613-4894-AFA6-F76D08F6FF7E}">
            <x14:dataBar minLength="0" maxLength="100" border="1" negativeBarBorderColorSameAsPositive="0">
              <x14:cfvo type="autoMin"/>
              <x14:cfvo type="autoMax"/>
              <x14:borderColor rgb="FFFFB628"/>
              <x14:negativeFillColor rgb="FFFF0000"/>
              <x14:negativeBorderColor rgb="FFFF0000"/>
              <x14:axisColor rgb="FF000000"/>
            </x14:dataBar>
          </x14:cfRule>
          <xm:sqref>D22:AC22</xm:sqref>
        </x14:conditionalFormatting>
        <x14:conditionalFormatting xmlns:xm="http://schemas.microsoft.com/office/excel/2006/main">
          <x14:cfRule type="dataBar" id="{FBD92359-1437-4B45-BD0A-C8FCBC9E9613}">
            <x14:dataBar minLength="0" maxLength="100" gradient="0">
              <x14:cfvo type="autoMin"/>
              <x14:cfvo type="autoMax"/>
              <x14:negativeFillColor rgb="FFFF0000"/>
              <x14:axisColor rgb="FF000000"/>
            </x14:dataBar>
          </x14:cfRule>
          <xm:sqref>D27:AC27</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F335D-1FF4-48F3-91D2-75945CAA2ED2}">
  <dimension ref="B54:AJ107"/>
  <sheetViews>
    <sheetView topLeftCell="A4" zoomScale="94" workbookViewId="0">
      <selection activeCell="I28" sqref="I28"/>
    </sheetView>
  </sheetViews>
  <sheetFormatPr defaultRowHeight="16.8" x14ac:dyDescent="0.5"/>
  <cols>
    <col min="1" max="1" width="8.88671875" style="5"/>
    <col min="2" max="2" width="16.21875" style="5" bestFit="1" customWidth="1"/>
    <col min="3" max="4" width="19.109375" style="5" customWidth="1"/>
    <col min="5" max="5" width="19.33203125" style="5" customWidth="1"/>
    <col min="6" max="6" width="15.77734375" style="5" customWidth="1"/>
    <col min="7" max="7" width="27.44140625" style="5" customWidth="1"/>
    <col min="8" max="8" width="30.77734375" style="5" customWidth="1"/>
    <col min="9" max="9" width="43.88671875" style="5" bestFit="1" customWidth="1"/>
    <col min="10" max="10" width="46.44140625" style="5" bestFit="1" customWidth="1"/>
    <col min="11" max="11" width="27.21875" style="5" bestFit="1" customWidth="1"/>
    <col min="12" max="12" width="31.5546875" style="5" bestFit="1" customWidth="1"/>
    <col min="13" max="13" width="8.88671875" style="5"/>
    <col min="14" max="14" width="24.33203125" style="5" bestFit="1" customWidth="1"/>
    <col min="15" max="15" width="20.21875" style="5" bestFit="1" customWidth="1"/>
    <col min="16" max="16" width="8.5546875" style="5" bestFit="1" customWidth="1"/>
    <col min="17" max="17" width="24.33203125" style="5" bestFit="1" customWidth="1"/>
    <col min="18" max="18" width="19.44140625" style="5" bestFit="1" customWidth="1"/>
    <col min="19" max="19" width="8.88671875" style="5"/>
    <col min="20" max="20" width="22.77734375" style="5" bestFit="1" customWidth="1"/>
    <col min="21" max="21" width="14" style="5" bestFit="1" customWidth="1"/>
    <col min="22" max="22" width="8.88671875" style="5"/>
    <col min="23" max="23" width="24.33203125" style="5" bestFit="1" customWidth="1"/>
    <col min="24" max="24" width="14" style="5" bestFit="1" customWidth="1"/>
    <col min="25" max="25" width="8.88671875" style="5"/>
    <col min="26" max="26" width="21.44140625" style="5" bestFit="1" customWidth="1"/>
    <col min="27" max="27" width="14" style="5" bestFit="1" customWidth="1"/>
    <col min="28" max="16384" width="8.88671875" style="5"/>
  </cols>
  <sheetData>
    <row r="54" spans="2:36" x14ac:dyDescent="0.5">
      <c r="N54" s="22"/>
      <c r="O54" s="22"/>
      <c r="P54" s="22"/>
      <c r="Q54" s="22"/>
      <c r="R54" s="22"/>
      <c r="S54" s="22"/>
      <c r="T54" s="22"/>
      <c r="U54" s="22"/>
      <c r="V54" s="22"/>
      <c r="W54" s="22"/>
      <c r="X54" s="22"/>
      <c r="Y54" s="22"/>
      <c r="Z54" s="22"/>
      <c r="AA54" s="22"/>
      <c r="AB54" s="22"/>
      <c r="AC54" s="22"/>
      <c r="AD54" s="22"/>
      <c r="AE54" s="22"/>
      <c r="AF54" s="22"/>
      <c r="AG54" s="22"/>
      <c r="AH54" s="22"/>
      <c r="AI54" s="22"/>
      <c r="AJ54" s="22"/>
    </row>
    <row r="55" spans="2:36" x14ac:dyDescent="0.5">
      <c r="N55" s="22"/>
      <c r="O55" s="22"/>
      <c r="P55" s="22"/>
      <c r="Q55" s="22"/>
      <c r="R55" s="22"/>
      <c r="S55" s="22"/>
      <c r="T55" s="22"/>
      <c r="U55" s="22"/>
      <c r="V55" s="22"/>
      <c r="W55" s="22"/>
      <c r="X55" s="22"/>
      <c r="Y55" s="22"/>
      <c r="Z55" s="22"/>
      <c r="AA55" s="22"/>
      <c r="AB55" s="22"/>
      <c r="AC55" s="22"/>
      <c r="AD55" s="22"/>
      <c r="AE55" s="22"/>
      <c r="AF55" s="22"/>
      <c r="AG55" s="22"/>
      <c r="AH55" s="22"/>
      <c r="AI55" s="22"/>
      <c r="AJ55" s="22"/>
    </row>
    <row r="56" spans="2:36" x14ac:dyDescent="0.5">
      <c r="B56" s="95" t="s">
        <v>102</v>
      </c>
      <c r="C56" s="95" t="s">
        <v>1</v>
      </c>
      <c r="D56" s="95" t="s">
        <v>139</v>
      </c>
      <c r="E56" s="96" t="s">
        <v>103</v>
      </c>
      <c r="F56" s="96" t="s">
        <v>119</v>
      </c>
      <c r="G56" s="96" t="s">
        <v>120</v>
      </c>
      <c r="H56" s="97" t="s">
        <v>135</v>
      </c>
      <c r="I56" s="96" t="s">
        <v>134</v>
      </c>
      <c r="K56" s="22"/>
      <c r="L56" s="22"/>
      <c r="M56" s="22"/>
      <c r="N56" s="22"/>
      <c r="O56" s="22"/>
      <c r="P56" s="22"/>
      <c r="Q56" s="22"/>
      <c r="R56" s="22"/>
      <c r="S56" s="22"/>
      <c r="T56" s="22"/>
      <c r="U56" s="22"/>
      <c r="V56" s="22"/>
      <c r="W56" s="22"/>
      <c r="X56" s="22"/>
      <c r="Y56" s="22"/>
      <c r="Z56" s="22"/>
      <c r="AA56" s="22"/>
      <c r="AB56" s="22"/>
      <c r="AC56" s="22"/>
      <c r="AD56" s="22"/>
      <c r="AE56" s="22"/>
      <c r="AF56" s="22"/>
      <c r="AG56" s="22"/>
    </row>
    <row r="57" spans="2:36" x14ac:dyDescent="0.5">
      <c r="B57" s="80">
        <v>27030</v>
      </c>
      <c r="C57" s="85">
        <v>1974</v>
      </c>
      <c r="D57" s="85">
        <v>0</v>
      </c>
      <c r="E57" s="81">
        <v>0.46800000000000003</v>
      </c>
      <c r="F57" s="81">
        <v>9.59</v>
      </c>
      <c r="G57" s="24">
        <f>LN(F57)</f>
        <v>2.2607208888953467</v>
      </c>
      <c r="H57" s="81">
        <v>63.807024017094008</v>
      </c>
      <c r="I57" s="98">
        <v>4.1558632786026282</v>
      </c>
      <c r="K57" s="22"/>
      <c r="L57" s="22"/>
      <c r="M57" s="22"/>
      <c r="N57" s="22"/>
      <c r="O57" s="22"/>
      <c r="P57" s="22"/>
      <c r="Q57" s="22"/>
      <c r="R57" s="22"/>
      <c r="S57" s="22"/>
      <c r="T57" s="22"/>
      <c r="U57" s="22"/>
      <c r="V57" s="22"/>
      <c r="W57" s="22"/>
      <c r="X57" s="22"/>
      <c r="Y57" s="22"/>
      <c r="Z57" s="22"/>
      <c r="AA57" s="22"/>
      <c r="AB57" s="22"/>
      <c r="AC57" s="22"/>
      <c r="AD57" s="22"/>
      <c r="AE57" s="22"/>
      <c r="AF57" s="22"/>
      <c r="AG57" s="22"/>
    </row>
    <row r="58" spans="2:36" x14ac:dyDescent="0.5">
      <c r="B58" s="80">
        <v>27395</v>
      </c>
      <c r="C58" s="85">
        <v>1975</v>
      </c>
      <c r="D58" s="85">
        <v>1</v>
      </c>
      <c r="E58" s="81">
        <v>0.52300000000000002</v>
      </c>
      <c r="F58" s="81">
        <v>12.77</v>
      </c>
      <c r="G58" s="24">
        <f t="shared" ref="G58:G107" si="0">LN(F58)</f>
        <v>2.547098670044448</v>
      </c>
      <c r="H58" s="81">
        <v>76.029991816443584</v>
      </c>
      <c r="I58" s="98">
        <v>4.3311278916044538</v>
      </c>
      <c r="K58" s="22"/>
      <c r="L58" s="22"/>
      <c r="M58" s="22"/>
      <c r="N58" s="22"/>
      <c r="O58" s="22"/>
      <c r="P58" s="22"/>
      <c r="Q58" s="22"/>
      <c r="R58" s="22"/>
      <c r="S58" s="22"/>
      <c r="T58" s="22"/>
      <c r="U58" s="22"/>
      <c r="V58" s="22"/>
      <c r="W58" s="22"/>
      <c r="X58" s="22"/>
      <c r="Y58" s="22"/>
      <c r="Z58" s="22"/>
      <c r="AA58" s="22"/>
      <c r="AB58" s="22"/>
      <c r="AC58" s="22"/>
      <c r="AD58" s="22"/>
      <c r="AE58" s="22"/>
      <c r="AF58" s="22"/>
      <c r="AG58" s="22"/>
    </row>
    <row r="59" spans="2:36" x14ac:dyDescent="0.5">
      <c r="B59" s="80">
        <v>27760</v>
      </c>
      <c r="C59" s="85">
        <v>1976</v>
      </c>
      <c r="D59" s="85">
        <v>2</v>
      </c>
      <c r="E59" s="81">
        <v>0.55800000000000005</v>
      </c>
      <c r="F59" s="81">
        <v>13.27</v>
      </c>
      <c r="G59" s="24">
        <f t="shared" si="0"/>
        <v>2.5855058483441162</v>
      </c>
      <c r="H59" s="81">
        <v>74.051261146953394</v>
      </c>
      <c r="I59" s="98">
        <v>4.304757571587734</v>
      </c>
      <c r="K59" s="22"/>
      <c r="L59" s="22"/>
      <c r="M59" s="22"/>
      <c r="N59" s="22"/>
      <c r="O59" s="22"/>
      <c r="P59" s="22"/>
      <c r="Q59" s="22"/>
      <c r="R59" s="22"/>
      <c r="S59" s="22"/>
      <c r="T59" s="22"/>
      <c r="U59" s="22"/>
      <c r="V59" s="22"/>
      <c r="W59" s="22"/>
      <c r="X59" s="22"/>
      <c r="Y59" s="22"/>
      <c r="Z59" s="22"/>
      <c r="AA59" s="22"/>
      <c r="AB59" s="22"/>
      <c r="AC59" s="22"/>
      <c r="AD59" s="22"/>
      <c r="AE59" s="22"/>
      <c r="AF59" s="22"/>
      <c r="AG59" s="22"/>
    </row>
    <row r="60" spans="2:36" x14ac:dyDescent="0.5">
      <c r="B60" s="80">
        <v>28126</v>
      </c>
      <c r="C60" s="85">
        <v>1977</v>
      </c>
      <c r="D60" s="85">
        <v>3</v>
      </c>
      <c r="E60" s="81">
        <v>0.58699999999999997</v>
      </c>
      <c r="F60" s="81">
        <v>14.11</v>
      </c>
      <c r="G60" s="24">
        <f t="shared" si="0"/>
        <v>2.6468837658647226</v>
      </c>
      <c r="H60" s="81">
        <v>74.84876654173766</v>
      </c>
      <c r="I60" s="98">
        <v>4.3154696316615553</v>
      </c>
      <c r="K60" s="22"/>
      <c r="L60" s="22"/>
      <c r="M60" s="22"/>
      <c r="N60" s="22"/>
      <c r="O60" s="22"/>
      <c r="P60" s="22"/>
      <c r="Q60" s="22"/>
      <c r="R60" s="22"/>
      <c r="S60" s="22"/>
      <c r="T60" s="22"/>
      <c r="U60" s="22"/>
      <c r="V60" s="22"/>
      <c r="W60" s="22"/>
      <c r="X60" s="22"/>
      <c r="Y60" s="22"/>
      <c r="Z60" s="22"/>
      <c r="AA60" s="22"/>
      <c r="AB60" s="22"/>
      <c r="AC60" s="22"/>
      <c r="AD60" s="22"/>
      <c r="AE60" s="22"/>
      <c r="AF60" s="22"/>
      <c r="AG60" s="22"/>
    </row>
    <row r="61" spans="2:36" x14ac:dyDescent="0.5">
      <c r="B61" s="80">
        <v>28491</v>
      </c>
      <c r="C61" s="85">
        <v>1978</v>
      </c>
      <c r="D61" s="85">
        <v>4</v>
      </c>
      <c r="E61" s="81">
        <v>0.627</v>
      </c>
      <c r="F61" s="81">
        <v>14.52</v>
      </c>
      <c r="G61" s="24">
        <f t="shared" si="0"/>
        <v>2.6755270093966499</v>
      </c>
      <c r="H61" s="81">
        <v>72.109886315789467</v>
      </c>
      <c r="I61" s="98">
        <v>4.2781911543886579</v>
      </c>
      <c r="K61" s="22"/>
      <c r="L61" s="22"/>
      <c r="M61" s="22"/>
      <c r="N61" s="22"/>
      <c r="O61" s="22"/>
      <c r="P61" s="22"/>
      <c r="Q61" s="22"/>
      <c r="R61" s="22"/>
      <c r="S61" s="22"/>
      <c r="T61" s="22"/>
      <c r="U61" s="22"/>
      <c r="V61" s="22"/>
      <c r="W61" s="22"/>
      <c r="X61" s="22"/>
      <c r="Y61" s="22"/>
      <c r="Z61" s="22"/>
      <c r="AA61" s="22"/>
      <c r="AB61" s="22"/>
      <c r="AC61" s="22"/>
      <c r="AD61" s="22"/>
      <c r="AE61" s="22"/>
      <c r="AF61" s="22"/>
      <c r="AG61" s="22"/>
    </row>
    <row r="62" spans="2:36" x14ac:dyDescent="0.5">
      <c r="B62" s="80">
        <v>28856</v>
      </c>
      <c r="C62" s="85">
        <v>1979</v>
      </c>
      <c r="D62" s="85">
        <v>5</v>
      </c>
      <c r="E62" s="81">
        <v>0.68500000000000005</v>
      </c>
      <c r="F62" s="81">
        <v>15.5</v>
      </c>
      <c r="G62" s="24">
        <f t="shared" si="0"/>
        <v>2.7408400239252009</v>
      </c>
      <c r="H62" s="81">
        <v>70.459062773722621</v>
      </c>
      <c r="I62" s="98">
        <v>4.2550318712879038</v>
      </c>
      <c r="K62" s="22"/>
      <c r="L62" s="22"/>
      <c r="M62" s="22"/>
      <c r="N62" s="22"/>
      <c r="O62" s="22"/>
      <c r="P62" s="22"/>
      <c r="Q62" s="22"/>
      <c r="R62" s="22"/>
      <c r="S62" s="22"/>
      <c r="T62" s="22"/>
      <c r="U62" s="22"/>
      <c r="V62" s="22"/>
      <c r="W62" s="22"/>
      <c r="X62" s="22"/>
      <c r="Y62" s="22"/>
      <c r="Z62" s="22"/>
      <c r="AA62" s="22"/>
      <c r="AB62" s="22"/>
      <c r="AC62" s="22"/>
      <c r="AD62" s="22"/>
      <c r="AE62" s="22"/>
      <c r="AF62" s="22"/>
      <c r="AG62" s="22"/>
    </row>
    <row r="63" spans="2:36" x14ac:dyDescent="0.5">
      <c r="B63" s="80">
        <v>29221</v>
      </c>
      <c r="C63" s="85">
        <v>1980</v>
      </c>
      <c r="D63" s="85">
        <v>6</v>
      </c>
      <c r="E63" s="81">
        <v>0.78</v>
      </c>
      <c r="F63" s="81">
        <v>30.75</v>
      </c>
      <c r="G63" s="24">
        <f t="shared" si="0"/>
        <v>3.4258899942525267</v>
      </c>
      <c r="H63" s="81">
        <v>122.75699615384615</v>
      </c>
      <c r="I63" s="98">
        <v>4.8102067601938181</v>
      </c>
      <c r="K63" s="22"/>
      <c r="L63" s="22"/>
      <c r="M63" s="22"/>
      <c r="N63" s="22"/>
      <c r="O63" s="22"/>
      <c r="P63" s="22"/>
      <c r="Q63" s="22"/>
      <c r="R63" s="22"/>
      <c r="S63" s="22"/>
      <c r="T63" s="22"/>
      <c r="U63" s="22"/>
      <c r="V63" s="22"/>
      <c r="W63" s="22"/>
      <c r="X63" s="22"/>
      <c r="Y63" s="22"/>
      <c r="Z63" s="22"/>
      <c r="AA63" s="22"/>
      <c r="AB63" s="22"/>
      <c r="AC63" s="22"/>
      <c r="AD63" s="22"/>
      <c r="AE63" s="22"/>
      <c r="AF63" s="22"/>
      <c r="AG63" s="22"/>
    </row>
    <row r="64" spans="2:36" x14ac:dyDescent="0.5">
      <c r="B64" s="80">
        <v>29587</v>
      </c>
      <c r="C64" s="85">
        <v>1981</v>
      </c>
      <c r="D64" s="85">
        <v>7</v>
      </c>
      <c r="E64" s="81">
        <v>0.872</v>
      </c>
      <c r="F64" s="81">
        <v>38.85</v>
      </c>
      <c r="G64" s="24">
        <f t="shared" si="0"/>
        <v>3.6597080768136565</v>
      </c>
      <c r="H64" s="81">
        <v>138.72996399082569</v>
      </c>
      <c r="I64" s="98">
        <v>4.9325293385296058</v>
      </c>
      <c r="K64" s="22"/>
      <c r="L64" s="22"/>
      <c r="M64" s="22"/>
      <c r="N64" s="22"/>
      <c r="O64" s="22"/>
      <c r="P64" s="22"/>
      <c r="Q64" s="22"/>
      <c r="R64" s="22"/>
      <c r="S64" s="22"/>
      <c r="T64" s="22"/>
      <c r="U64" s="22"/>
      <c r="V64" s="22"/>
      <c r="W64" s="22"/>
      <c r="X64" s="22"/>
      <c r="Y64" s="22"/>
      <c r="Z64" s="22"/>
      <c r="AA64" s="22"/>
      <c r="AB64" s="22"/>
      <c r="AC64" s="22"/>
      <c r="AD64" s="22"/>
      <c r="AE64" s="22"/>
      <c r="AF64" s="22"/>
      <c r="AG64" s="22"/>
    </row>
    <row r="65" spans="2:33" x14ac:dyDescent="0.5">
      <c r="B65" s="80">
        <v>29952</v>
      </c>
      <c r="C65" s="85">
        <v>1982</v>
      </c>
      <c r="D65" s="85">
        <v>8</v>
      </c>
      <c r="E65" s="81">
        <v>0.94399999999999995</v>
      </c>
      <c r="F65" s="81">
        <v>35.54</v>
      </c>
      <c r="G65" s="24">
        <f t="shared" si="0"/>
        <v>3.570658822726505</v>
      </c>
      <c r="H65" s="81">
        <v>117.23064771186442</v>
      </c>
      <c r="I65" s="98">
        <v>4.7641433422059336</v>
      </c>
      <c r="K65" s="22"/>
      <c r="L65" s="22"/>
      <c r="M65" s="22"/>
      <c r="N65" s="22"/>
      <c r="O65" s="22"/>
      <c r="P65" s="22"/>
      <c r="Q65" s="22"/>
      <c r="R65" s="22"/>
      <c r="S65" s="22"/>
      <c r="T65" s="22"/>
      <c r="U65" s="22"/>
      <c r="V65" s="22"/>
      <c r="W65" s="22"/>
      <c r="X65" s="22"/>
      <c r="Y65" s="22"/>
      <c r="Z65" s="22"/>
      <c r="AA65" s="22"/>
      <c r="AB65" s="22"/>
      <c r="AC65" s="22"/>
      <c r="AD65" s="22"/>
      <c r="AE65" s="22"/>
      <c r="AF65" s="22"/>
      <c r="AG65" s="22"/>
    </row>
    <row r="66" spans="2:33" x14ac:dyDescent="0.5">
      <c r="B66" s="80">
        <v>30317</v>
      </c>
      <c r="C66" s="85">
        <v>1983</v>
      </c>
      <c r="D66" s="85">
        <v>9</v>
      </c>
      <c r="E66" s="81">
        <v>0.97899999999999998</v>
      </c>
      <c r="F66" s="81">
        <v>31.4</v>
      </c>
      <c r="G66" s="24">
        <f t="shared" si="0"/>
        <v>3.4468078929142076</v>
      </c>
      <c r="H66" s="81">
        <v>99.871757303370785</v>
      </c>
      <c r="I66" s="98">
        <v>4.6038869360086254</v>
      </c>
      <c r="K66" s="22"/>
      <c r="L66" s="22"/>
      <c r="M66" s="22"/>
      <c r="N66" s="22"/>
      <c r="O66" s="22"/>
      <c r="P66" s="22"/>
      <c r="Q66" s="22"/>
      <c r="R66" s="22"/>
      <c r="S66" s="22"/>
      <c r="T66" s="22"/>
      <c r="U66" s="22"/>
      <c r="V66" s="22"/>
      <c r="W66" s="22"/>
      <c r="X66" s="22"/>
      <c r="Y66" s="22"/>
      <c r="Z66" s="22"/>
      <c r="AA66" s="22"/>
      <c r="AB66" s="22"/>
      <c r="AC66" s="22"/>
      <c r="AD66" s="22"/>
      <c r="AE66" s="22"/>
      <c r="AF66" s="22"/>
      <c r="AG66" s="22"/>
    </row>
    <row r="67" spans="2:33" x14ac:dyDescent="0.5">
      <c r="B67" s="80">
        <v>30682</v>
      </c>
      <c r="C67" s="85">
        <v>1984</v>
      </c>
      <c r="D67" s="85">
        <v>10</v>
      </c>
      <c r="E67" s="81">
        <v>1.0209999999999999</v>
      </c>
      <c r="F67" s="81">
        <v>28.8</v>
      </c>
      <c r="G67" s="24">
        <f t="shared" si="0"/>
        <v>3.3603753871419002</v>
      </c>
      <c r="H67" s="81">
        <v>87.833963565132237</v>
      </c>
      <c r="I67" s="98">
        <v>4.4754482546021634</v>
      </c>
      <c r="K67" s="22"/>
      <c r="L67" s="22"/>
      <c r="M67" s="22"/>
      <c r="N67" s="22"/>
      <c r="O67" s="22"/>
      <c r="P67" s="22"/>
      <c r="Q67" s="22"/>
      <c r="R67" s="22"/>
      <c r="S67" s="22"/>
      <c r="T67" s="22"/>
      <c r="U67" s="22"/>
      <c r="V67" s="22"/>
      <c r="W67" s="22"/>
      <c r="X67" s="22"/>
      <c r="Y67" s="22"/>
      <c r="Z67" s="22"/>
      <c r="AA67" s="22"/>
      <c r="AB67" s="22"/>
      <c r="AC67" s="22"/>
      <c r="AD67" s="22"/>
      <c r="AE67" s="22"/>
      <c r="AF67" s="22"/>
      <c r="AG67" s="22"/>
    </row>
    <row r="68" spans="2:33" x14ac:dyDescent="0.5">
      <c r="B68" s="80">
        <v>31048</v>
      </c>
      <c r="C68" s="85">
        <v>1985</v>
      </c>
      <c r="D68" s="85">
        <v>11</v>
      </c>
      <c r="E68" s="81">
        <v>1.0569999999999999</v>
      </c>
      <c r="F68" s="81">
        <v>27.49</v>
      </c>
      <c r="G68" s="24">
        <f t="shared" si="0"/>
        <v>3.3138223021771545</v>
      </c>
      <c r="H68" s="81">
        <v>80.983303349101234</v>
      </c>
      <c r="I68" s="98">
        <v>4.3942430019318452</v>
      </c>
      <c r="K68" s="22"/>
      <c r="L68" s="22"/>
      <c r="M68" s="22"/>
      <c r="N68" s="22"/>
      <c r="O68" s="22"/>
      <c r="P68" s="22"/>
      <c r="Q68" s="22"/>
      <c r="R68" s="22"/>
      <c r="S68" s="22"/>
      <c r="T68" s="22"/>
      <c r="U68" s="22"/>
      <c r="V68" s="22"/>
      <c r="W68" s="22"/>
      <c r="X68" s="22"/>
      <c r="Y68" s="22"/>
      <c r="Z68" s="22"/>
      <c r="AA68" s="22"/>
      <c r="AB68" s="22"/>
      <c r="AC68" s="22"/>
      <c r="AD68" s="22"/>
      <c r="AE68" s="22"/>
      <c r="AF68" s="22"/>
      <c r="AG68" s="22"/>
    </row>
    <row r="69" spans="2:33" x14ac:dyDescent="0.5">
      <c r="B69" s="80">
        <v>31413</v>
      </c>
      <c r="C69" s="85">
        <v>1986</v>
      </c>
      <c r="D69" s="85">
        <v>12</v>
      </c>
      <c r="E69" s="81">
        <v>1.099</v>
      </c>
      <c r="F69" s="81">
        <v>24.93</v>
      </c>
      <c r="G69" s="24">
        <f t="shared" si="0"/>
        <v>3.2160718975354663</v>
      </c>
      <c r="H69" s="81">
        <v>70.635060491355787</v>
      </c>
      <c r="I69" s="98">
        <v>4.2575266287567741</v>
      </c>
      <c r="K69" s="22"/>
      <c r="L69" s="22"/>
      <c r="M69" s="22"/>
      <c r="N69" s="22"/>
      <c r="O69" s="22"/>
      <c r="P69" s="22"/>
      <c r="Q69" s="22"/>
      <c r="R69" s="22"/>
      <c r="S69" s="22"/>
      <c r="T69" s="22"/>
      <c r="U69" s="22"/>
      <c r="V69" s="22"/>
      <c r="W69" s="22"/>
      <c r="X69" s="22"/>
      <c r="Y69" s="22"/>
      <c r="Z69" s="22"/>
      <c r="AA69" s="22"/>
      <c r="AB69" s="22"/>
      <c r="AC69" s="22"/>
      <c r="AD69" s="22"/>
      <c r="AE69" s="22"/>
      <c r="AF69" s="22"/>
      <c r="AG69" s="22"/>
    </row>
    <row r="70" spans="2:33" x14ac:dyDescent="0.5">
      <c r="B70" s="80">
        <v>31778</v>
      </c>
      <c r="C70" s="85">
        <v>1987</v>
      </c>
      <c r="D70" s="85">
        <v>13</v>
      </c>
      <c r="E70" s="81">
        <v>1.1140000000000001</v>
      </c>
      <c r="F70" s="81">
        <v>16.45</v>
      </c>
      <c r="G70" s="24">
        <f t="shared" si="0"/>
        <v>2.800325477211381</v>
      </c>
      <c r="H70" s="81">
        <v>45.980791921005377</v>
      </c>
      <c r="I70" s="98">
        <v>3.8282237423490799</v>
      </c>
      <c r="K70" s="22"/>
      <c r="L70" s="22"/>
      <c r="M70" s="22"/>
      <c r="N70" s="22"/>
      <c r="O70" s="22"/>
      <c r="P70" s="22"/>
      <c r="Q70" s="22"/>
      <c r="R70" s="22"/>
      <c r="S70" s="22"/>
      <c r="T70" s="22"/>
      <c r="U70" s="22"/>
      <c r="V70" s="22"/>
      <c r="W70" s="22"/>
      <c r="X70" s="22"/>
      <c r="Y70" s="22"/>
      <c r="Z70" s="22"/>
      <c r="AA70" s="22"/>
      <c r="AB70" s="22"/>
      <c r="AC70" s="22"/>
      <c r="AD70" s="22"/>
      <c r="AE70" s="22"/>
      <c r="AF70" s="22"/>
      <c r="AG70" s="22"/>
    </row>
    <row r="71" spans="2:33" x14ac:dyDescent="0.5">
      <c r="B71" s="80">
        <v>32143</v>
      </c>
      <c r="C71" s="85">
        <v>1988</v>
      </c>
      <c r="D71" s="85">
        <v>14</v>
      </c>
      <c r="E71" s="81">
        <v>1.1599999999999999</v>
      </c>
      <c r="F71" s="81">
        <v>15.45</v>
      </c>
      <c r="G71" s="24">
        <f t="shared" si="0"/>
        <v>2.7376090033437546</v>
      </c>
      <c r="H71" s="81">
        <v>41.473074310344828</v>
      </c>
      <c r="I71" s="98">
        <v>3.7250444048682727</v>
      </c>
      <c r="K71" s="22"/>
      <c r="L71" s="22"/>
      <c r="M71" s="22"/>
      <c r="N71" s="22"/>
      <c r="O71" s="22"/>
      <c r="P71" s="22"/>
      <c r="Q71" s="22"/>
      <c r="R71" s="22"/>
      <c r="S71" s="22"/>
      <c r="T71" s="22"/>
      <c r="U71" s="22"/>
      <c r="V71" s="22"/>
      <c r="W71" s="22"/>
      <c r="X71" s="22"/>
      <c r="Y71" s="22"/>
      <c r="Z71" s="22"/>
      <c r="AA71" s="22"/>
      <c r="AB71" s="22"/>
      <c r="AC71" s="22"/>
      <c r="AD71" s="22"/>
      <c r="AE71" s="22"/>
      <c r="AF71" s="22"/>
      <c r="AG71" s="22"/>
    </row>
    <row r="72" spans="2:33" x14ac:dyDescent="0.5">
      <c r="B72" s="80">
        <v>32509</v>
      </c>
      <c r="C72" s="85">
        <v>1989</v>
      </c>
      <c r="D72" s="85">
        <v>15</v>
      </c>
      <c r="E72" s="81">
        <v>1.212</v>
      </c>
      <c r="F72" s="81">
        <v>16.04</v>
      </c>
      <c r="G72" s="24">
        <f t="shared" si="0"/>
        <v>2.7750856024383683</v>
      </c>
      <c r="H72" s="81">
        <v>41.209512739273926</v>
      </c>
      <c r="I72" s="98">
        <v>3.7186691214340373</v>
      </c>
      <c r="K72" s="22"/>
      <c r="L72" s="22"/>
      <c r="M72" s="22"/>
      <c r="N72" s="22"/>
      <c r="O72" s="22"/>
      <c r="P72" s="22"/>
      <c r="Q72" s="22"/>
      <c r="R72" s="22"/>
      <c r="S72" s="22"/>
      <c r="T72" s="22"/>
      <c r="U72" s="22"/>
      <c r="V72" s="22"/>
      <c r="W72" s="22"/>
      <c r="X72" s="22"/>
      <c r="Y72" s="22"/>
      <c r="Z72" s="22"/>
      <c r="AA72" s="22"/>
      <c r="AB72" s="22"/>
      <c r="AC72" s="22"/>
      <c r="AD72" s="22"/>
      <c r="AE72" s="22"/>
      <c r="AF72" s="22"/>
      <c r="AG72" s="22"/>
    </row>
    <row r="73" spans="2:33" x14ac:dyDescent="0.5">
      <c r="B73" s="80">
        <v>32874</v>
      </c>
      <c r="C73" s="85">
        <v>1990</v>
      </c>
      <c r="D73" s="85">
        <v>16</v>
      </c>
      <c r="E73" s="81">
        <v>1.2749999999999999</v>
      </c>
      <c r="F73" s="81">
        <v>20.51</v>
      </c>
      <c r="G73" s="24">
        <f t="shared" si="0"/>
        <v>3.0209125720842893</v>
      </c>
      <c r="H73" s="81">
        <v>50.090020674509816</v>
      </c>
      <c r="I73" s="98">
        <v>3.9138218001166916</v>
      </c>
      <c r="K73" s="22"/>
      <c r="L73" s="22"/>
      <c r="M73" s="22"/>
      <c r="N73" s="22"/>
      <c r="O73" s="22"/>
      <c r="P73" s="22"/>
      <c r="Q73" s="22"/>
      <c r="R73" s="22"/>
      <c r="S73" s="22"/>
      <c r="T73" s="22"/>
      <c r="U73" s="22"/>
      <c r="V73" s="22"/>
      <c r="W73" s="22"/>
      <c r="X73" s="22"/>
      <c r="Y73" s="22"/>
      <c r="Z73" s="22"/>
      <c r="AA73" s="22"/>
      <c r="AB73" s="22"/>
      <c r="AC73" s="22"/>
      <c r="AD73" s="22"/>
      <c r="AE73" s="22"/>
      <c r="AF73" s="22"/>
      <c r="AG73" s="22"/>
    </row>
    <row r="74" spans="2:33" x14ac:dyDescent="0.5">
      <c r="B74" s="80">
        <v>33239</v>
      </c>
      <c r="C74" s="85">
        <v>1991</v>
      </c>
      <c r="D74" s="85">
        <v>17</v>
      </c>
      <c r="E74" s="81">
        <v>1.347</v>
      </c>
      <c r="F74" s="81">
        <v>22.3</v>
      </c>
      <c r="G74" s="24">
        <f t="shared" si="0"/>
        <v>3.1045866784660729</v>
      </c>
      <c r="H74" s="81">
        <v>51.550514328136607</v>
      </c>
      <c r="I74" s="98">
        <v>3.9425621876806378</v>
      </c>
      <c r="K74" s="22"/>
      <c r="L74" s="22"/>
      <c r="M74" s="22"/>
      <c r="N74" s="22"/>
      <c r="O74" s="22"/>
      <c r="P74" s="22"/>
      <c r="Q74" s="22"/>
      <c r="R74" s="22"/>
      <c r="S74" s="22"/>
      <c r="T74" s="22"/>
      <c r="U74" s="22"/>
      <c r="V74" s="22"/>
      <c r="W74" s="22"/>
      <c r="X74" s="22"/>
      <c r="Y74" s="22"/>
      <c r="Z74" s="22"/>
      <c r="AA74" s="22"/>
      <c r="AB74" s="22"/>
      <c r="AC74" s="22"/>
      <c r="AD74" s="22"/>
      <c r="AE74" s="22"/>
      <c r="AF74" s="22"/>
      <c r="AG74" s="22"/>
    </row>
    <row r="75" spans="2:33" x14ac:dyDescent="0.5">
      <c r="B75" s="80">
        <v>33604</v>
      </c>
      <c r="C75" s="85">
        <v>1992</v>
      </c>
      <c r="D75" s="85">
        <v>18</v>
      </c>
      <c r="E75" s="81">
        <v>1.383</v>
      </c>
      <c r="F75" s="81">
        <v>16.100000000000001</v>
      </c>
      <c r="G75" s="24">
        <f t="shared" si="0"/>
        <v>2.7788192719904172</v>
      </c>
      <c r="H75" s="81">
        <v>36.249283875632685</v>
      </c>
      <c r="I75" s="98">
        <v>3.5904196259505876</v>
      </c>
      <c r="K75" s="22"/>
      <c r="L75" s="22"/>
      <c r="M75" s="22"/>
      <c r="N75" s="22"/>
      <c r="O75" s="22"/>
      <c r="P75" s="22"/>
      <c r="Q75" s="22"/>
      <c r="R75" s="22"/>
      <c r="S75" s="22"/>
      <c r="T75" s="22"/>
      <c r="U75" s="22"/>
      <c r="V75" s="22"/>
      <c r="W75" s="22"/>
      <c r="X75" s="22"/>
      <c r="Y75" s="22"/>
      <c r="Z75" s="22"/>
      <c r="AA75" s="22"/>
      <c r="AB75" s="22"/>
      <c r="AC75" s="22"/>
      <c r="AD75" s="22"/>
      <c r="AE75" s="22"/>
      <c r="AF75" s="22"/>
      <c r="AG75" s="22"/>
    </row>
    <row r="76" spans="2:33" x14ac:dyDescent="0.5">
      <c r="B76" s="80">
        <v>33970</v>
      </c>
      <c r="C76" s="85">
        <v>1993</v>
      </c>
      <c r="D76" s="85">
        <v>19</v>
      </c>
      <c r="E76" s="81">
        <v>1.4279999999999999</v>
      </c>
      <c r="F76" s="81">
        <v>16.8</v>
      </c>
      <c r="G76" s="24">
        <f t="shared" si="0"/>
        <v>2.8213788864092133</v>
      </c>
      <c r="H76" s="81">
        <v>36.633364705882357</v>
      </c>
      <c r="I76" s="98">
        <v>3.6009594291346123</v>
      </c>
      <c r="K76" s="22"/>
      <c r="L76" s="22"/>
      <c r="M76" s="22"/>
      <c r="N76" s="22"/>
      <c r="O76" s="22"/>
      <c r="P76" s="22"/>
      <c r="Q76" s="22"/>
      <c r="R76" s="22"/>
      <c r="S76" s="22"/>
      <c r="T76" s="22"/>
      <c r="U76" s="22"/>
      <c r="V76" s="22"/>
      <c r="W76" s="22"/>
      <c r="X76" s="22"/>
      <c r="Y76" s="22"/>
      <c r="Z76" s="22"/>
      <c r="AA76" s="22"/>
      <c r="AB76" s="22"/>
      <c r="AC76" s="22"/>
      <c r="AD76" s="22"/>
      <c r="AE76" s="22"/>
      <c r="AF76" s="22"/>
      <c r="AG76" s="22"/>
    </row>
    <row r="77" spans="2:33" x14ac:dyDescent="0.5">
      <c r="B77" s="80">
        <v>34335</v>
      </c>
      <c r="C77" s="85">
        <v>1994</v>
      </c>
      <c r="D77" s="85">
        <v>20</v>
      </c>
      <c r="E77" s="81">
        <v>1.4630000000000001</v>
      </c>
      <c r="F77" s="81">
        <v>12.93</v>
      </c>
      <c r="G77" s="24">
        <f t="shared" si="0"/>
        <v>2.5595501927837661</v>
      </c>
      <c r="H77" s="81">
        <v>27.520095338345861</v>
      </c>
      <c r="I77" s="98">
        <v>3.3149164773885702</v>
      </c>
      <c r="K77" s="22"/>
      <c r="L77" s="22"/>
      <c r="M77" s="22"/>
      <c r="N77" s="22"/>
      <c r="O77" s="22"/>
      <c r="P77" s="22"/>
      <c r="Q77" s="22"/>
      <c r="R77" s="22"/>
      <c r="S77" s="22"/>
      <c r="T77" s="22"/>
      <c r="U77" s="22"/>
      <c r="V77" s="22"/>
      <c r="W77" s="22"/>
      <c r="X77" s="22"/>
      <c r="Y77" s="22"/>
      <c r="Z77" s="22"/>
      <c r="AA77" s="22"/>
      <c r="AB77" s="22"/>
      <c r="AC77" s="22"/>
      <c r="AD77" s="22"/>
      <c r="AE77" s="22"/>
      <c r="AF77" s="22"/>
      <c r="AG77" s="22"/>
    </row>
    <row r="78" spans="2:33" x14ac:dyDescent="0.5">
      <c r="B78" s="80">
        <v>34700</v>
      </c>
      <c r="C78" s="85">
        <v>1995</v>
      </c>
      <c r="D78" s="85">
        <v>21</v>
      </c>
      <c r="E78" s="81">
        <v>1.5049999999999999</v>
      </c>
      <c r="F78" s="81">
        <v>16.559999999999999</v>
      </c>
      <c r="G78" s="24">
        <f t="shared" si="0"/>
        <v>2.8069901489571136</v>
      </c>
      <c r="H78" s="81">
        <v>34.262540970099671</v>
      </c>
      <c r="I78" s="98">
        <v>3.5340526573990663</v>
      </c>
      <c r="K78" s="22"/>
      <c r="L78" s="22"/>
      <c r="M78" s="22"/>
      <c r="N78" s="22"/>
      <c r="O78" s="22"/>
      <c r="P78" s="22"/>
      <c r="Q78" s="22"/>
      <c r="R78" s="22"/>
      <c r="S78" s="22"/>
      <c r="T78" s="22"/>
      <c r="U78" s="22"/>
      <c r="V78" s="22"/>
      <c r="W78" s="22"/>
      <c r="X78" s="22"/>
      <c r="Y78" s="22"/>
      <c r="Z78" s="22"/>
      <c r="AA78" s="22"/>
      <c r="AB78" s="22"/>
      <c r="AC78" s="22"/>
      <c r="AD78" s="22"/>
      <c r="AE78" s="22"/>
      <c r="AF78" s="22"/>
      <c r="AG78" s="22"/>
    </row>
    <row r="79" spans="2:33" x14ac:dyDescent="0.5">
      <c r="B79" s="80">
        <v>35065</v>
      </c>
      <c r="C79" s="85">
        <v>1996</v>
      </c>
      <c r="D79" s="85">
        <v>22</v>
      </c>
      <c r="E79" s="81">
        <v>1.5469999999999999</v>
      </c>
      <c r="F79" s="81">
        <v>17.48</v>
      </c>
      <c r="G79" s="24">
        <f t="shared" si="0"/>
        <v>2.8610573702273894</v>
      </c>
      <c r="H79" s="81">
        <v>35.184132695539759</v>
      </c>
      <c r="I79" s="98">
        <v>3.560595205279252</v>
      </c>
      <c r="K79" s="22"/>
      <c r="L79" s="22"/>
      <c r="M79" s="22"/>
      <c r="N79" s="22"/>
      <c r="O79" s="22"/>
      <c r="P79" s="22"/>
      <c r="Q79" s="22"/>
      <c r="R79" s="22"/>
      <c r="S79" s="22"/>
      <c r="T79" s="22"/>
      <c r="U79" s="22"/>
      <c r="V79" s="22"/>
      <c r="W79" s="22"/>
      <c r="X79" s="22"/>
      <c r="Y79" s="22"/>
      <c r="Z79" s="22"/>
      <c r="AA79" s="22"/>
      <c r="AB79" s="22"/>
      <c r="AC79" s="22"/>
      <c r="AD79" s="22"/>
      <c r="AE79" s="22"/>
      <c r="AF79" s="22"/>
      <c r="AG79" s="22"/>
    </row>
    <row r="80" spans="2:33" x14ac:dyDescent="0.5">
      <c r="B80" s="80">
        <v>35431</v>
      </c>
      <c r="C80" s="85">
        <v>1997</v>
      </c>
      <c r="D80" s="85">
        <v>23</v>
      </c>
      <c r="E80" s="81">
        <v>1.5940000000000001</v>
      </c>
      <c r="F80" s="81">
        <v>23.02</v>
      </c>
      <c r="G80" s="24">
        <f t="shared" si="0"/>
        <v>3.1363634032937364</v>
      </c>
      <c r="H80" s="81">
        <v>44.968949008782936</v>
      </c>
      <c r="I80" s="98">
        <v>3.8059722295685048</v>
      </c>
      <c r="K80" s="22"/>
      <c r="L80" s="22"/>
      <c r="M80" s="22"/>
      <c r="N80" s="22"/>
      <c r="O80" s="22"/>
      <c r="P80" s="22"/>
      <c r="Q80" s="22"/>
      <c r="R80" s="22"/>
      <c r="S80" s="22"/>
      <c r="T80" s="22"/>
      <c r="U80" s="22"/>
      <c r="V80" s="22"/>
      <c r="W80" s="22"/>
      <c r="X80" s="22"/>
      <c r="Y80" s="22"/>
      <c r="Z80" s="22"/>
      <c r="AA80" s="22"/>
      <c r="AB80" s="22"/>
      <c r="AC80" s="22"/>
      <c r="AD80" s="22"/>
      <c r="AE80" s="22"/>
      <c r="AF80" s="22"/>
      <c r="AG80" s="22"/>
    </row>
    <row r="81" spans="2:33" x14ac:dyDescent="0.5">
      <c r="B81" s="80">
        <v>35796</v>
      </c>
      <c r="C81" s="85">
        <v>1998</v>
      </c>
      <c r="D81" s="85">
        <v>24</v>
      </c>
      <c r="E81" s="81">
        <v>1.62</v>
      </c>
      <c r="F81" s="81">
        <v>14.33</v>
      </c>
      <c r="G81" s="24">
        <f t="shared" si="0"/>
        <v>2.6623552418400807</v>
      </c>
      <c r="H81" s="81">
        <v>27.543993753086419</v>
      </c>
      <c r="I81" s="98">
        <v>3.3157844992385792</v>
      </c>
      <c r="K81" s="22"/>
      <c r="L81" s="22"/>
      <c r="M81" s="22"/>
      <c r="N81" s="22"/>
      <c r="O81" s="22"/>
      <c r="P81" s="22"/>
      <c r="Q81" s="22"/>
      <c r="R81" s="22"/>
      <c r="S81" s="22"/>
      <c r="T81" s="22"/>
      <c r="U81" s="22"/>
      <c r="V81" s="22"/>
      <c r="W81" s="22"/>
      <c r="X81" s="22"/>
      <c r="Y81" s="22"/>
      <c r="Z81" s="22"/>
      <c r="AA81" s="22"/>
      <c r="AB81" s="22"/>
      <c r="AC81" s="22"/>
      <c r="AD81" s="22"/>
      <c r="AE81" s="22"/>
      <c r="AF81" s="22"/>
      <c r="AG81" s="22"/>
    </row>
    <row r="82" spans="2:33" x14ac:dyDescent="0.5">
      <c r="B82" s="80">
        <v>36161</v>
      </c>
      <c r="C82" s="85">
        <v>1999</v>
      </c>
      <c r="D82" s="85">
        <v>0</v>
      </c>
      <c r="E82" s="81">
        <v>1.647</v>
      </c>
      <c r="F82" s="81">
        <v>10.16</v>
      </c>
      <c r="G82" s="24">
        <f t="shared" si="0"/>
        <v>2.318458442150336</v>
      </c>
      <c r="H82" s="81">
        <v>19.208605804493018</v>
      </c>
      <c r="I82" s="98">
        <v>2.9553583975976241</v>
      </c>
      <c r="K82" s="22"/>
      <c r="L82" s="22"/>
      <c r="M82" s="22"/>
      <c r="N82" s="22"/>
      <c r="O82" s="22"/>
      <c r="P82" s="22"/>
      <c r="Q82" s="22"/>
      <c r="R82" s="22"/>
      <c r="S82" s="22"/>
      <c r="T82" s="22"/>
      <c r="U82" s="22"/>
      <c r="V82" s="22"/>
      <c r="W82" s="22"/>
      <c r="X82" s="22"/>
      <c r="Y82" s="22"/>
      <c r="Z82" s="22"/>
      <c r="AA82" s="22"/>
      <c r="AB82" s="22"/>
      <c r="AC82" s="22"/>
      <c r="AD82" s="22"/>
      <c r="AE82" s="22"/>
      <c r="AF82" s="22"/>
      <c r="AG82" s="22"/>
    </row>
    <row r="83" spans="2:33" x14ac:dyDescent="0.5">
      <c r="B83" s="80">
        <v>36526</v>
      </c>
      <c r="C83" s="85">
        <v>2000</v>
      </c>
      <c r="D83" s="85">
        <v>1</v>
      </c>
      <c r="E83" s="81">
        <v>1.6930000000000001</v>
      </c>
      <c r="F83" s="81">
        <v>25.29</v>
      </c>
      <c r="G83" s="24">
        <f t="shared" si="0"/>
        <v>3.2304090606818736</v>
      </c>
      <c r="H83" s="81">
        <v>46.514419633786176</v>
      </c>
      <c r="I83" s="98">
        <v>3.8397623641736671</v>
      </c>
      <c r="K83" s="22"/>
      <c r="L83" s="22"/>
      <c r="M83" s="22"/>
      <c r="N83" s="22"/>
      <c r="O83" s="22"/>
      <c r="P83" s="22"/>
      <c r="Q83" s="22"/>
      <c r="R83" s="22"/>
      <c r="S83" s="22"/>
      <c r="T83" s="22"/>
      <c r="U83" s="22"/>
      <c r="V83" s="22"/>
      <c r="W83" s="22"/>
      <c r="X83" s="22"/>
      <c r="Y83" s="22"/>
      <c r="Z83" s="22"/>
      <c r="AA83" s="22"/>
      <c r="AB83" s="22"/>
      <c r="AC83" s="22"/>
      <c r="AD83" s="22"/>
      <c r="AE83" s="22"/>
      <c r="AF83" s="22"/>
      <c r="AG83" s="22"/>
    </row>
    <row r="84" spans="2:33" x14ac:dyDescent="0.5">
      <c r="B84" s="80">
        <v>36892</v>
      </c>
      <c r="C84" s="85">
        <v>2001</v>
      </c>
      <c r="D84" s="85">
        <v>2</v>
      </c>
      <c r="E84" s="81">
        <v>1.756</v>
      </c>
      <c r="F84" s="81">
        <v>24.49</v>
      </c>
      <c r="G84" s="24">
        <f t="shared" si="0"/>
        <v>3.1982648709640764</v>
      </c>
      <c r="H84" s="81">
        <v>43.427018018223229</v>
      </c>
      <c r="I84" s="98">
        <v>3.7710817823939426</v>
      </c>
      <c r="K84" s="22"/>
      <c r="L84" s="22"/>
      <c r="M84" s="22"/>
      <c r="N84" s="22"/>
      <c r="O84" s="22"/>
      <c r="P84" s="22"/>
      <c r="Q84" s="22"/>
      <c r="R84" s="22"/>
      <c r="S84" s="22"/>
      <c r="T84" s="22"/>
      <c r="U84" s="22"/>
      <c r="V84" s="22"/>
      <c r="W84" s="22"/>
      <c r="X84" s="22"/>
      <c r="Y84" s="22"/>
      <c r="Z84" s="22"/>
      <c r="AA84" s="22"/>
      <c r="AB84" s="22"/>
      <c r="AC84" s="22"/>
      <c r="AD84" s="22"/>
      <c r="AE84" s="22"/>
      <c r="AF84" s="22"/>
      <c r="AG84" s="22"/>
    </row>
    <row r="85" spans="2:33" x14ac:dyDescent="0.5">
      <c r="B85" s="80">
        <v>37257</v>
      </c>
      <c r="C85" s="85">
        <v>2002</v>
      </c>
      <c r="D85" s="85">
        <v>3</v>
      </c>
      <c r="E85" s="81">
        <v>1.7769999999999999</v>
      </c>
      <c r="F85" s="81">
        <v>17.04</v>
      </c>
      <c r="G85" s="24">
        <f t="shared" si="0"/>
        <v>2.8355635214011694</v>
      </c>
      <c r="H85" s="81">
        <v>29.859181451885203</v>
      </c>
      <c r="I85" s="98">
        <v>3.3964923788714469</v>
      </c>
      <c r="K85" s="22"/>
      <c r="L85" s="22"/>
      <c r="M85" s="22"/>
      <c r="N85" s="22"/>
      <c r="O85" s="22"/>
      <c r="P85" s="22"/>
      <c r="Q85" s="22"/>
      <c r="R85" s="22"/>
      <c r="S85" s="22"/>
      <c r="T85" s="22"/>
      <c r="U85" s="22"/>
      <c r="V85" s="22"/>
      <c r="W85" s="22"/>
      <c r="X85" s="22"/>
      <c r="Y85" s="22"/>
      <c r="Z85" s="22"/>
      <c r="AA85" s="22"/>
      <c r="AB85" s="22"/>
      <c r="AC85" s="22"/>
      <c r="AD85" s="22"/>
      <c r="AE85" s="22"/>
      <c r="AF85" s="22"/>
      <c r="AG85" s="22"/>
    </row>
    <row r="86" spans="2:33" x14ac:dyDescent="0.5">
      <c r="B86" s="80">
        <v>37622</v>
      </c>
      <c r="C86" s="85">
        <v>2003</v>
      </c>
      <c r="D86" s="85">
        <v>4</v>
      </c>
      <c r="E86" s="81">
        <v>1.8260000000000001</v>
      </c>
      <c r="F86" s="81">
        <v>30.3</v>
      </c>
      <c r="G86" s="24">
        <f t="shared" si="0"/>
        <v>3.4111477125153233</v>
      </c>
      <c r="H86" s="81">
        <v>51.669896385542167</v>
      </c>
      <c r="I86" s="98">
        <v>3.944875336985338</v>
      </c>
      <c r="K86" s="22"/>
      <c r="L86" s="22"/>
      <c r="M86" s="22"/>
      <c r="N86" s="22"/>
      <c r="O86" s="22"/>
      <c r="P86" s="22"/>
      <c r="Q86" s="22"/>
      <c r="R86" s="22"/>
      <c r="S86" s="22"/>
      <c r="T86" s="22"/>
      <c r="U86" s="22"/>
      <c r="V86" s="22"/>
      <c r="W86" s="22"/>
      <c r="X86" s="22"/>
      <c r="Y86" s="22"/>
      <c r="Z86" s="22"/>
      <c r="AA86" s="22"/>
      <c r="AB86" s="22"/>
      <c r="AC86" s="22"/>
      <c r="AD86" s="22"/>
      <c r="AE86" s="22"/>
      <c r="AF86" s="22"/>
      <c r="AG86" s="22"/>
    </row>
    <row r="87" spans="2:33" x14ac:dyDescent="0.5">
      <c r="B87" s="80">
        <v>37987</v>
      </c>
      <c r="C87" s="85">
        <v>2004</v>
      </c>
      <c r="D87" s="85">
        <v>5</v>
      </c>
      <c r="E87" s="81">
        <v>1.863</v>
      </c>
      <c r="F87" s="81">
        <v>30.11</v>
      </c>
      <c r="G87" s="24">
        <f t="shared" si="0"/>
        <v>3.4048573424936426</v>
      </c>
      <c r="H87" s="81">
        <v>50.326141685453571</v>
      </c>
      <c r="I87" s="98">
        <v>3.9185246575169828</v>
      </c>
      <c r="K87" s="22"/>
      <c r="L87" s="22"/>
      <c r="M87" s="22"/>
      <c r="N87" s="22"/>
      <c r="O87" s="22"/>
      <c r="P87" s="22"/>
      <c r="Q87" s="22"/>
      <c r="R87" s="22"/>
      <c r="S87" s="22"/>
      <c r="T87" s="22"/>
      <c r="U87" s="22"/>
      <c r="V87" s="22"/>
      <c r="W87" s="22"/>
      <c r="X87" s="22"/>
      <c r="Y87" s="22"/>
      <c r="Z87" s="22"/>
      <c r="AA87" s="22"/>
      <c r="AB87" s="22"/>
      <c r="AC87" s="22"/>
      <c r="AD87" s="22"/>
      <c r="AE87" s="22"/>
      <c r="AF87" s="22"/>
      <c r="AG87" s="22"/>
    </row>
    <row r="88" spans="2:33" x14ac:dyDescent="0.5">
      <c r="B88" s="80">
        <v>38353</v>
      </c>
      <c r="C88" s="85">
        <v>2005</v>
      </c>
      <c r="D88" s="85">
        <v>6</v>
      </c>
      <c r="E88" s="81">
        <v>1.9159999999999999</v>
      </c>
      <c r="F88" s="81">
        <v>37.56</v>
      </c>
      <c r="G88" s="24">
        <f t="shared" si="0"/>
        <v>3.6259396543400624</v>
      </c>
      <c r="H88" s="81">
        <v>61.041586722338216</v>
      </c>
      <c r="I88" s="98">
        <v>4.1115553814341848</v>
      </c>
      <c r="K88" s="22"/>
      <c r="L88" s="22"/>
      <c r="M88" s="22"/>
      <c r="N88" s="22"/>
      <c r="O88" s="22"/>
      <c r="P88" s="22"/>
      <c r="Q88" s="22"/>
      <c r="R88" s="22"/>
      <c r="S88" s="22"/>
      <c r="T88" s="22"/>
      <c r="U88" s="22"/>
      <c r="V88" s="22"/>
      <c r="W88" s="22"/>
      <c r="X88" s="22"/>
      <c r="Y88" s="22"/>
      <c r="Z88" s="22"/>
      <c r="AA88" s="22"/>
      <c r="AB88" s="22"/>
      <c r="AC88" s="22"/>
      <c r="AD88" s="22"/>
      <c r="AE88" s="22"/>
      <c r="AF88" s="22"/>
      <c r="AG88" s="22"/>
    </row>
    <row r="89" spans="2:33" x14ac:dyDescent="0.5">
      <c r="B89" s="80">
        <v>38718</v>
      </c>
      <c r="C89" s="85">
        <v>2006</v>
      </c>
      <c r="D89" s="85">
        <v>7</v>
      </c>
      <c r="E89" s="81">
        <v>1.9930000000000001</v>
      </c>
      <c r="F89" s="81">
        <v>55.85</v>
      </c>
      <c r="G89" s="24">
        <f t="shared" si="0"/>
        <v>4.0226695255152096</v>
      </c>
      <c r="H89" s="81">
        <v>87.259277772202708</v>
      </c>
      <c r="I89" s="98">
        <v>4.4688838909273434</v>
      </c>
      <c r="K89" s="22"/>
      <c r="L89" s="22"/>
      <c r="M89" s="22"/>
      <c r="N89" s="22"/>
      <c r="O89" s="22"/>
      <c r="P89" s="22"/>
      <c r="Q89" s="22"/>
      <c r="R89" s="22"/>
      <c r="S89" s="22"/>
      <c r="T89" s="22"/>
      <c r="U89" s="22"/>
      <c r="V89" s="22"/>
      <c r="W89" s="22"/>
      <c r="X89" s="22"/>
      <c r="Y89" s="22"/>
      <c r="Z89" s="22"/>
      <c r="AA89" s="22"/>
      <c r="AB89" s="22"/>
      <c r="AC89" s="22"/>
      <c r="AD89" s="22"/>
      <c r="AE89" s="22"/>
      <c r="AF89" s="22"/>
      <c r="AG89" s="22"/>
    </row>
    <row r="90" spans="2:33" x14ac:dyDescent="0.5">
      <c r="B90" s="80">
        <v>39083</v>
      </c>
      <c r="C90" s="85">
        <v>2007</v>
      </c>
      <c r="D90" s="85">
        <v>8</v>
      </c>
      <c r="E90" s="81">
        <v>2.03437</v>
      </c>
      <c r="F90" s="81">
        <v>49.57</v>
      </c>
      <c r="G90" s="24">
        <f t="shared" si="0"/>
        <v>3.9033858120324827</v>
      </c>
      <c r="H90" s="81">
        <v>75.872555395527854</v>
      </c>
      <c r="I90" s="98">
        <v>4.3290550300207942</v>
      </c>
      <c r="K90" s="22"/>
      <c r="L90" s="22"/>
      <c r="M90" s="22"/>
      <c r="N90" s="22"/>
      <c r="O90" s="22"/>
      <c r="P90" s="22"/>
      <c r="Q90" s="22"/>
      <c r="R90" s="22"/>
      <c r="S90" s="22"/>
      <c r="T90" s="22"/>
      <c r="U90" s="22"/>
      <c r="V90" s="22"/>
      <c r="W90" s="22"/>
      <c r="X90" s="22"/>
      <c r="Y90" s="22"/>
      <c r="Z90" s="22"/>
      <c r="AA90" s="22"/>
      <c r="AB90" s="22"/>
      <c r="AC90" s="22"/>
      <c r="AD90" s="22"/>
      <c r="AE90" s="22"/>
      <c r="AF90" s="22"/>
      <c r="AG90" s="22"/>
    </row>
    <row r="91" spans="2:33" x14ac:dyDescent="0.5">
      <c r="B91" s="80">
        <v>39448</v>
      </c>
      <c r="C91" s="85">
        <v>2008</v>
      </c>
      <c r="D91" s="85">
        <v>9</v>
      </c>
      <c r="E91" s="81">
        <v>2.12174</v>
      </c>
      <c r="F91" s="81">
        <v>84.82</v>
      </c>
      <c r="G91" s="24">
        <f t="shared" si="0"/>
        <v>4.4405313640464446</v>
      </c>
      <c r="H91" s="81">
        <v>124.48064773252143</v>
      </c>
      <c r="I91" s="98">
        <v>4.8241502639233032</v>
      </c>
    </row>
    <row r="92" spans="2:33" x14ac:dyDescent="0.5">
      <c r="B92" s="80">
        <v>39814</v>
      </c>
      <c r="C92" s="85">
        <v>2009</v>
      </c>
      <c r="D92" s="85">
        <v>10</v>
      </c>
      <c r="E92" s="81">
        <v>2.1193300000000002</v>
      </c>
      <c r="F92" s="81">
        <v>36.840000000000003</v>
      </c>
      <c r="G92" s="24">
        <f t="shared" si="0"/>
        <v>3.6065842113871063</v>
      </c>
      <c r="H92" s="81">
        <v>54.127350738204996</v>
      </c>
      <c r="I92" s="98">
        <v>3.991339617032275</v>
      </c>
    </row>
    <row r="93" spans="2:33" x14ac:dyDescent="0.5">
      <c r="B93" s="80">
        <v>40179</v>
      </c>
      <c r="C93" s="85">
        <v>2010</v>
      </c>
      <c r="D93" s="85">
        <v>11</v>
      </c>
      <c r="E93" s="81">
        <v>2.1748799999999999</v>
      </c>
      <c r="F93" s="81">
        <v>75.069999999999993</v>
      </c>
      <c r="G93" s="24">
        <f t="shared" si="0"/>
        <v>4.3184210115849107</v>
      </c>
      <c r="H93" s="81">
        <v>107.47980050393583</v>
      </c>
      <c r="I93" s="98">
        <v>4.6773029276229012</v>
      </c>
    </row>
    <row r="94" spans="2:33" x14ac:dyDescent="0.5">
      <c r="B94" s="80">
        <v>40544</v>
      </c>
      <c r="C94" s="85">
        <v>2011</v>
      </c>
      <c r="D94" s="85">
        <v>12</v>
      </c>
      <c r="E94" s="81">
        <v>2.2118699999999998</v>
      </c>
      <c r="F94" s="81">
        <v>87.61</v>
      </c>
      <c r="G94" s="24">
        <f t="shared" si="0"/>
        <v>4.4728951466782725</v>
      </c>
      <c r="H94" s="81">
        <v>123.33598808248225</v>
      </c>
      <c r="I94" s="98">
        <v>4.8149122417316006</v>
      </c>
    </row>
    <row r="95" spans="2:33" x14ac:dyDescent="0.5">
      <c r="B95" s="80">
        <v>40909</v>
      </c>
      <c r="C95" s="85">
        <v>2012</v>
      </c>
      <c r="D95" s="85">
        <v>13</v>
      </c>
      <c r="E95" s="81">
        <v>2.2784200000000001</v>
      </c>
      <c r="F95" s="81">
        <v>105.25</v>
      </c>
      <c r="G95" s="24">
        <f t="shared" si="0"/>
        <v>4.6563384725624912</v>
      </c>
      <c r="H95" s="81">
        <v>143.84145109330149</v>
      </c>
      <c r="I95" s="98">
        <v>4.9687116589184024</v>
      </c>
    </row>
    <row r="96" spans="2:33" x14ac:dyDescent="0.5">
      <c r="B96" s="80">
        <v>41275</v>
      </c>
      <c r="C96" s="85">
        <v>2013</v>
      </c>
      <c r="D96" s="85">
        <v>14</v>
      </c>
      <c r="E96" s="81">
        <v>2.3167900000000001</v>
      </c>
      <c r="F96" s="81">
        <v>97.91</v>
      </c>
      <c r="G96" s="24">
        <f t="shared" si="0"/>
        <v>4.5840486893659795</v>
      </c>
      <c r="H96" s="81">
        <v>131.5940084168181</v>
      </c>
      <c r="I96" s="98">
        <v>4.879721489107169</v>
      </c>
    </row>
    <row r="97" spans="2:9" x14ac:dyDescent="0.5">
      <c r="B97" s="80">
        <v>41640</v>
      </c>
      <c r="C97" s="85">
        <v>2014</v>
      </c>
      <c r="D97" s="85">
        <v>15</v>
      </c>
      <c r="E97" s="81">
        <v>2.3528799999999999</v>
      </c>
      <c r="F97" s="81">
        <v>89.71</v>
      </c>
      <c r="G97" s="24">
        <f t="shared" si="0"/>
        <v>4.4965822455711919</v>
      </c>
      <c r="H97" s="81">
        <v>118.72353352487164</v>
      </c>
      <c r="I97" s="98">
        <v>4.7767975424942692</v>
      </c>
    </row>
    <row r="98" spans="2:9" x14ac:dyDescent="0.5">
      <c r="B98" s="80">
        <v>42005</v>
      </c>
      <c r="C98" s="85">
        <v>2015</v>
      </c>
      <c r="D98" s="85">
        <v>16</v>
      </c>
      <c r="E98" s="81">
        <v>2.3474699999999999</v>
      </c>
      <c r="F98" s="81">
        <v>44.74</v>
      </c>
      <c r="G98" s="24">
        <f t="shared" si="0"/>
        <v>3.8008679560619836</v>
      </c>
      <c r="H98" s="81">
        <v>59.346028975876166</v>
      </c>
      <c r="I98" s="98">
        <v>4.0833852102388688</v>
      </c>
    </row>
    <row r="99" spans="2:9" x14ac:dyDescent="0.5">
      <c r="B99" s="80">
        <v>42370</v>
      </c>
      <c r="C99" s="85">
        <v>2016</v>
      </c>
      <c r="D99" s="85">
        <v>17</v>
      </c>
      <c r="E99" s="81">
        <v>2.3765200000000002</v>
      </c>
      <c r="F99" s="81">
        <v>27.48</v>
      </c>
      <c r="G99" s="24">
        <f t="shared" si="0"/>
        <v>3.3134584673541485</v>
      </c>
      <c r="H99" s="81">
        <v>36.005677747294364</v>
      </c>
      <c r="I99" s="98">
        <v>3.5836766412229961</v>
      </c>
    </row>
    <row r="100" spans="2:9" x14ac:dyDescent="0.5">
      <c r="B100" s="80">
        <v>42736</v>
      </c>
      <c r="C100" s="85">
        <v>2017</v>
      </c>
      <c r="D100" s="85">
        <v>18</v>
      </c>
      <c r="E100" s="81">
        <v>2.4361799999999998</v>
      </c>
      <c r="F100" s="81">
        <v>48.12</v>
      </c>
      <c r="G100" s="24">
        <f t="shared" si="0"/>
        <v>3.8736978911064779</v>
      </c>
      <c r="H100" s="81">
        <v>61.505220599463094</v>
      </c>
      <c r="I100" s="98">
        <v>4.1191220590058553</v>
      </c>
    </row>
    <row r="101" spans="2:9" x14ac:dyDescent="0.5">
      <c r="B101" s="80">
        <v>43101</v>
      </c>
      <c r="C101" s="85">
        <v>2018</v>
      </c>
      <c r="D101" s="85">
        <v>19</v>
      </c>
      <c r="E101" s="81">
        <v>2.4885899999999999</v>
      </c>
      <c r="F101" s="81">
        <v>59.71</v>
      </c>
      <c r="G101" s="24">
        <f t="shared" si="0"/>
        <v>4.0894995105589009</v>
      </c>
      <c r="H101" s="81">
        <v>74.711843879465889</v>
      </c>
      <c r="I101" s="98">
        <v>4.3136386321739275</v>
      </c>
    </row>
    <row r="102" spans="2:9" x14ac:dyDescent="0.5">
      <c r="B102" s="80">
        <v>43466</v>
      </c>
      <c r="C102" s="85">
        <v>2019</v>
      </c>
      <c r="D102" s="85">
        <v>20</v>
      </c>
      <c r="E102" s="81">
        <v>2.5256099999999999</v>
      </c>
      <c r="F102" s="81">
        <v>49.71</v>
      </c>
      <c r="G102" s="24">
        <f t="shared" si="0"/>
        <v>3.9062061201065812</v>
      </c>
      <c r="H102" s="81">
        <v>61.287683989214493</v>
      </c>
      <c r="I102" s="98">
        <v>4.115578909040388</v>
      </c>
    </row>
    <row r="103" spans="2:9" x14ac:dyDescent="0.5">
      <c r="B103" s="80">
        <v>43831</v>
      </c>
      <c r="C103" s="85">
        <v>2020</v>
      </c>
      <c r="D103" s="85">
        <v>21</v>
      </c>
      <c r="E103" s="81">
        <v>2.5890599999999999</v>
      </c>
      <c r="F103" s="81">
        <v>53.87</v>
      </c>
      <c r="G103" s="24">
        <f t="shared" si="0"/>
        <v>3.9865737366924425</v>
      </c>
      <c r="H103" s="81">
        <v>64.788898411006315</v>
      </c>
      <c r="I103" s="98">
        <v>4.1711342678633372</v>
      </c>
    </row>
    <row r="104" spans="2:9" x14ac:dyDescent="0.5">
      <c r="B104" s="80">
        <v>44197</v>
      </c>
      <c r="C104" s="85">
        <v>2021</v>
      </c>
      <c r="D104" s="85">
        <v>22</v>
      </c>
      <c r="E104" s="81">
        <v>2.6251799999999998</v>
      </c>
      <c r="F104" s="81">
        <v>49.6</v>
      </c>
      <c r="G104" s="24">
        <f t="shared" si="0"/>
        <v>3.903990833730882</v>
      </c>
      <c r="H104" s="81">
        <v>58.832638371464057</v>
      </c>
      <c r="I104" s="98">
        <v>4.0746967752524279</v>
      </c>
    </row>
    <row r="105" spans="2:9" x14ac:dyDescent="0.5">
      <c r="B105" s="80">
        <v>44562</v>
      </c>
      <c r="C105" s="85">
        <v>2022</v>
      </c>
      <c r="D105" s="85">
        <v>23</v>
      </c>
      <c r="E105" s="81">
        <v>2.8239000000000001</v>
      </c>
      <c r="F105" s="81">
        <v>76.92</v>
      </c>
      <c r="G105" s="24">
        <f t="shared" si="0"/>
        <v>4.3427659207205789</v>
      </c>
      <c r="H105" s="81">
        <v>84.817544927228298</v>
      </c>
      <c r="I105" s="98">
        <v>4.4405024191242228</v>
      </c>
    </row>
    <row r="106" spans="2:9" x14ac:dyDescent="0.5">
      <c r="B106" s="80">
        <v>44927</v>
      </c>
      <c r="C106" s="85">
        <v>2023</v>
      </c>
      <c r="D106" s="85">
        <v>24</v>
      </c>
      <c r="E106" s="81">
        <v>3.0035599999999998</v>
      </c>
      <c r="F106" s="81">
        <v>70.23</v>
      </c>
      <c r="G106" s="24">
        <f t="shared" si="0"/>
        <v>4.2517755701709294</v>
      </c>
      <c r="H106" s="81">
        <v>72.808501338411759</v>
      </c>
      <c r="I106" s="98">
        <v>4.2878327250113157</v>
      </c>
    </row>
    <row r="107" spans="2:9" x14ac:dyDescent="0.5">
      <c r="B107" s="80">
        <v>45292</v>
      </c>
      <c r="C107" s="85">
        <v>2024</v>
      </c>
      <c r="D107" s="85"/>
      <c r="E107" s="81">
        <v>3.0968499999999999</v>
      </c>
      <c r="F107" s="81">
        <v>68.63</v>
      </c>
      <c r="G107" s="24">
        <f t="shared" si="0"/>
        <v>4.2287297569205435</v>
      </c>
      <c r="H107" s="81">
        <v>69.006430624667004</v>
      </c>
      <c r="I107" s="98">
        <v>4.2341996977135885</v>
      </c>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2E095-2481-4DC2-BAB5-74FCF167A414}">
  <dimension ref="B21:T722"/>
  <sheetViews>
    <sheetView topLeftCell="A64" zoomScale="61" zoomScaleNormal="103" workbookViewId="0">
      <selection activeCell="E20" sqref="E20"/>
    </sheetView>
  </sheetViews>
  <sheetFormatPr defaultRowHeight="15.6" x14ac:dyDescent="0.45"/>
  <cols>
    <col min="1" max="1" width="2.77734375" style="2" customWidth="1"/>
    <col min="2" max="2" width="18.5546875" style="2" bestFit="1" customWidth="1"/>
    <col min="3" max="3" width="22.6640625" style="2" customWidth="1"/>
    <col min="4" max="4" width="20.44140625" style="2" bestFit="1" customWidth="1"/>
    <col min="5" max="5" width="16.6640625" style="2" bestFit="1" customWidth="1"/>
    <col min="6" max="6" width="29.33203125" style="2" bestFit="1" customWidth="1"/>
    <col min="7" max="7" width="25.5546875" style="2" bestFit="1" customWidth="1"/>
    <col min="8" max="8" width="27.33203125" style="2" bestFit="1" customWidth="1"/>
    <col min="9" max="9" width="33.21875" style="2" bestFit="1" customWidth="1"/>
    <col min="10" max="10" width="8.88671875" style="2"/>
    <col min="11" max="11" width="19.21875" style="2" bestFit="1" customWidth="1"/>
    <col min="12" max="12" width="18" style="2" bestFit="1" customWidth="1"/>
    <col min="13" max="13" width="8.88671875" style="2"/>
    <col min="14" max="14" width="16.109375" style="2" customWidth="1"/>
    <col min="15" max="15" width="28.77734375" style="2" bestFit="1" customWidth="1"/>
    <col min="16" max="16" width="8.21875" style="2" bestFit="1" customWidth="1"/>
    <col min="17" max="18" width="8.88671875" style="2"/>
    <col min="19" max="19" width="17.21875" style="2" bestFit="1" customWidth="1"/>
    <col min="20" max="20" width="37.44140625" style="2" bestFit="1" customWidth="1"/>
    <col min="21" max="21" width="8.88671875" style="2"/>
    <col min="22" max="22" width="12.33203125" style="2" bestFit="1" customWidth="1"/>
    <col min="23" max="23" width="13.77734375" style="2" bestFit="1" customWidth="1"/>
    <col min="24" max="24" width="7.88671875" style="2" bestFit="1" customWidth="1"/>
    <col min="25" max="25" width="12.33203125" style="2" bestFit="1" customWidth="1"/>
    <col min="26" max="26" width="13.33203125" style="2" bestFit="1" customWidth="1"/>
    <col min="27" max="27" width="8.88671875" style="2"/>
    <col min="28" max="28" width="7.33203125" style="2" customWidth="1"/>
    <col min="29" max="29" width="13.77734375" style="2" bestFit="1" customWidth="1"/>
    <col min="30" max="30" width="7.88671875" style="2" bestFit="1" customWidth="1"/>
    <col min="31" max="31" width="12.33203125" style="2" bestFit="1" customWidth="1"/>
    <col min="32" max="32" width="13.33203125" style="2" bestFit="1" customWidth="1"/>
    <col min="33" max="16384" width="8.88671875" style="2"/>
  </cols>
  <sheetData>
    <row r="21" spans="2:10" x14ac:dyDescent="0.45">
      <c r="G21" s="17"/>
      <c r="H21" s="18"/>
    </row>
    <row r="22" spans="2:10" x14ac:dyDescent="0.45">
      <c r="C22" s="19"/>
      <c r="G22" s="20"/>
      <c r="H22" s="21"/>
    </row>
    <row r="23" spans="2:10" x14ac:dyDescent="0.45">
      <c r="G23" s="21"/>
    </row>
    <row r="24" spans="2:10" ht="16.2" x14ac:dyDescent="0.45">
      <c r="B24" s="79" t="s">
        <v>102</v>
      </c>
      <c r="C24" s="79" t="s">
        <v>103</v>
      </c>
      <c r="D24" s="79" t="s">
        <v>119</v>
      </c>
      <c r="E24" s="2" t="s">
        <v>120</v>
      </c>
      <c r="F24" s="79" t="s">
        <v>136</v>
      </c>
      <c r="G24" s="2" t="s">
        <v>121</v>
      </c>
      <c r="H24" s="82" t="s">
        <v>133</v>
      </c>
      <c r="I24" s="82" t="s">
        <v>140</v>
      </c>
      <c r="J24" s="22"/>
    </row>
    <row r="25" spans="2:10" ht="16.2" x14ac:dyDescent="0.45">
      <c r="B25" s="80">
        <v>27030</v>
      </c>
      <c r="C25" s="81">
        <v>0.46800000000000003</v>
      </c>
      <c r="D25" s="81">
        <v>9.59</v>
      </c>
      <c r="E25" s="24">
        <f>LN(D25)</f>
        <v>2.2607208888953467</v>
      </c>
      <c r="F25" s="81">
        <v>63.807024017094008</v>
      </c>
      <c r="G25" s="24">
        <f>LN(F25)</f>
        <v>4.1558632786026282</v>
      </c>
      <c r="H25" s="83"/>
      <c r="I25" s="83"/>
      <c r="J25" s="22"/>
    </row>
    <row r="26" spans="2:10" ht="16.2" x14ac:dyDescent="0.45">
      <c r="B26" s="80">
        <v>27061</v>
      </c>
      <c r="C26" s="81">
        <v>0.47299999999999998</v>
      </c>
      <c r="D26" s="81">
        <v>12.45</v>
      </c>
      <c r="E26" s="24">
        <f t="shared" ref="E26:E89" si="0">LN(D26)</f>
        <v>2.5217206229107165</v>
      </c>
      <c r="F26" s="81">
        <v>81.96037674418605</v>
      </c>
      <c r="G26" s="24">
        <f t="shared" ref="G26:G89" si="1">LN(F26)</f>
        <v>4.406235920043712</v>
      </c>
      <c r="H26" s="84">
        <f>G26-G25</f>
        <v>0.25037264144108384</v>
      </c>
      <c r="I26" s="83"/>
      <c r="J26" s="22"/>
    </row>
    <row r="27" spans="2:10" ht="16.2" x14ac:dyDescent="0.45">
      <c r="B27" s="80">
        <v>27089</v>
      </c>
      <c r="C27" s="81">
        <v>0.47799999999999998</v>
      </c>
      <c r="D27" s="81">
        <v>12.73</v>
      </c>
      <c r="E27" s="24">
        <f t="shared" si="0"/>
        <v>2.5439614125693151</v>
      </c>
      <c r="F27" s="81">
        <v>82.927054979079514</v>
      </c>
      <c r="G27" s="24">
        <f t="shared" si="1"/>
        <v>4.4179613657027881</v>
      </c>
      <c r="H27" s="84">
        <f t="shared" ref="H27:H40" si="2">G27-G26</f>
        <v>1.1725445659076073E-2</v>
      </c>
      <c r="I27" s="83"/>
      <c r="J27" s="22"/>
    </row>
    <row r="28" spans="2:10" ht="16.2" x14ac:dyDescent="0.45">
      <c r="B28" s="80">
        <v>27120</v>
      </c>
      <c r="C28" s="81">
        <v>0.48099999999999998</v>
      </c>
      <c r="D28" s="81">
        <v>12.72</v>
      </c>
      <c r="E28" s="24">
        <f t="shared" si="0"/>
        <v>2.5431755579119759</v>
      </c>
      <c r="F28" s="81">
        <v>82.345101704781726</v>
      </c>
      <c r="G28" s="24">
        <f t="shared" si="1"/>
        <v>4.4109189734311434</v>
      </c>
      <c r="H28" s="84">
        <f t="shared" si="2"/>
        <v>-7.0423922716447152E-3</v>
      </c>
      <c r="I28" s="83"/>
      <c r="J28" s="22"/>
    </row>
    <row r="29" spans="2:10" ht="16.2" x14ac:dyDescent="0.45">
      <c r="B29" s="80">
        <v>27150</v>
      </c>
      <c r="C29" s="81">
        <v>0.48599999999999999</v>
      </c>
      <c r="D29" s="81">
        <v>13.02</v>
      </c>
      <c r="E29" s="24">
        <f t="shared" si="0"/>
        <v>2.5664866367804233</v>
      </c>
      <c r="F29" s="81">
        <v>83.42005086419752</v>
      </c>
      <c r="G29" s="24">
        <f t="shared" si="1"/>
        <v>4.4238886985048582</v>
      </c>
      <c r="H29" s="84">
        <f t="shared" si="2"/>
        <v>1.2969725073714855E-2</v>
      </c>
      <c r="I29" s="83"/>
      <c r="J29" s="22"/>
    </row>
    <row r="30" spans="2:10" ht="16.2" x14ac:dyDescent="0.45">
      <c r="B30" s="80">
        <v>27181</v>
      </c>
      <c r="C30" s="81">
        <v>0.49</v>
      </c>
      <c r="D30" s="81">
        <v>13.06</v>
      </c>
      <c r="E30" s="24">
        <f t="shared" si="0"/>
        <v>2.5695541238482851</v>
      </c>
      <c r="F30" s="81">
        <v>82.99326155102041</v>
      </c>
      <c r="G30" s="24">
        <f t="shared" si="1"/>
        <v>4.4187594183685412</v>
      </c>
      <c r="H30" s="84">
        <f t="shared" si="2"/>
        <v>-5.1292801363169716E-3</v>
      </c>
      <c r="I30" s="83"/>
      <c r="J30" s="22"/>
    </row>
    <row r="31" spans="2:10" ht="16.2" x14ac:dyDescent="0.45">
      <c r="B31" s="80">
        <v>27211</v>
      </c>
      <c r="C31" s="81">
        <v>0.49299999999999999</v>
      </c>
      <c r="D31" s="81">
        <v>12.75</v>
      </c>
      <c r="E31" s="24">
        <f t="shared" si="0"/>
        <v>2.5455312716044354</v>
      </c>
      <c r="F31" s="81">
        <v>80.53024137931034</v>
      </c>
      <c r="G31" s="24">
        <f t="shared" si="1"/>
        <v>4.3886327831866732</v>
      </c>
      <c r="H31" s="84">
        <f t="shared" si="2"/>
        <v>-3.0126635181868089E-2</v>
      </c>
      <c r="I31" s="83"/>
      <c r="J31" s="22"/>
    </row>
    <row r="32" spans="2:10" ht="16.2" x14ac:dyDescent="0.45">
      <c r="B32" s="80">
        <v>27242</v>
      </c>
      <c r="C32" s="81">
        <v>0.499</v>
      </c>
      <c r="D32" s="81">
        <v>12.68</v>
      </c>
      <c r="E32" s="24">
        <f t="shared" si="0"/>
        <v>2.5400259490090797</v>
      </c>
      <c r="F32" s="81">
        <v>79.125131222444892</v>
      </c>
      <c r="G32" s="24">
        <f t="shared" si="1"/>
        <v>4.3710305388824899</v>
      </c>
      <c r="H32" s="84">
        <f t="shared" si="2"/>
        <v>-1.7602244304183223E-2</v>
      </c>
      <c r="I32" s="83"/>
      <c r="J32" s="22"/>
    </row>
    <row r="33" spans="2:10" ht="16.2" x14ac:dyDescent="0.45">
      <c r="B33" s="80">
        <v>27273</v>
      </c>
      <c r="C33" s="81">
        <v>0.50600000000000001</v>
      </c>
      <c r="D33" s="81">
        <v>12.53</v>
      </c>
      <c r="E33" s="24">
        <f t="shared" si="0"/>
        <v>2.528125768907977</v>
      </c>
      <c r="F33" s="81">
        <v>77.10744086956521</v>
      </c>
      <c r="G33" s="24">
        <f t="shared" si="1"/>
        <v>4.3451997852454403</v>
      </c>
      <c r="H33" s="84">
        <f t="shared" si="2"/>
        <v>-2.5830753637049675E-2</v>
      </c>
      <c r="I33" s="83"/>
      <c r="J33" s="22"/>
    </row>
    <row r="34" spans="2:10" ht="16.2" x14ac:dyDescent="0.45">
      <c r="B34" s="80">
        <v>27303</v>
      </c>
      <c r="C34" s="81">
        <v>0.51</v>
      </c>
      <c r="D34" s="81">
        <v>12.44</v>
      </c>
      <c r="E34" s="24">
        <f t="shared" si="0"/>
        <v>2.5209170873110334</v>
      </c>
      <c r="F34" s="81">
        <v>75.953176156862739</v>
      </c>
      <c r="G34" s="24">
        <f t="shared" si="1"/>
        <v>4.3301170472175903</v>
      </c>
      <c r="H34" s="84">
        <f t="shared" si="2"/>
        <v>-1.5082738027849985E-2</v>
      </c>
      <c r="I34" s="83"/>
      <c r="J34" s="22"/>
    </row>
    <row r="35" spans="2:10" ht="16.2" x14ac:dyDescent="0.45">
      <c r="B35" s="80">
        <v>27334</v>
      </c>
      <c r="C35" s="81">
        <v>0.51500000000000001</v>
      </c>
      <c r="D35" s="81">
        <v>12.53</v>
      </c>
      <c r="E35" s="24">
        <f t="shared" si="0"/>
        <v>2.528125768907977</v>
      </c>
      <c r="F35" s="81">
        <v>75.759932194174752</v>
      </c>
      <c r="G35" s="24">
        <f t="shared" si="1"/>
        <v>4.3275695538691696</v>
      </c>
      <c r="H35" s="84">
        <f t="shared" si="2"/>
        <v>-2.5474933484206375E-3</v>
      </c>
      <c r="I35" s="83"/>
      <c r="J35" s="22"/>
    </row>
    <row r="36" spans="2:10" ht="16.2" x14ac:dyDescent="0.45">
      <c r="B36" s="80">
        <v>27364</v>
      </c>
      <c r="C36" s="81">
        <v>0.51900000000000002</v>
      </c>
      <c r="D36" s="81">
        <v>12.82</v>
      </c>
      <c r="E36" s="24">
        <f t="shared" si="0"/>
        <v>2.5510064514925239</v>
      </c>
      <c r="F36" s="81">
        <v>76.915948978805403</v>
      </c>
      <c r="G36" s="24">
        <f t="shared" si="1"/>
        <v>4.3427132539515636</v>
      </c>
      <c r="H36" s="84">
        <f t="shared" si="2"/>
        <v>1.5143700082393963E-2</v>
      </c>
      <c r="I36" s="83"/>
      <c r="J36" s="22"/>
    </row>
    <row r="37" spans="2:10" ht="16.2" x14ac:dyDescent="0.45">
      <c r="B37" s="80">
        <v>27395</v>
      </c>
      <c r="C37" s="81">
        <v>0.52300000000000002</v>
      </c>
      <c r="D37" s="81">
        <v>12.77</v>
      </c>
      <c r="E37" s="24">
        <f t="shared" si="0"/>
        <v>2.547098670044448</v>
      </c>
      <c r="F37" s="81">
        <v>76.029991816443584</v>
      </c>
      <c r="G37" s="24">
        <f t="shared" si="1"/>
        <v>4.3311278916044538</v>
      </c>
      <c r="H37" s="84">
        <f t="shared" si="2"/>
        <v>-1.1585362347109829E-2</v>
      </c>
      <c r="I37" s="83">
        <f t="shared" ref="I37:I88" si="3">G37-G25</f>
        <v>0.17526461300182561</v>
      </c>
      <c r="J37" s="22"/>
    </row>
    <row r="38" spans="2:10" ht="16.2" x14ac:dyDescent="0.45">
      <c r="B38" s="80">
        <v>27426</v>
      </c>
      <c r="C38" s="81">
        <v>0.52600000000000002</v>
      </c>
      <c r="D38" s="81">
        <v>13.05</v>
      </c>
      <c r="E38" s="24">
        <f t="shared" si="0"/>
        <v>2.5687881337687024</v>
      </c>
      <c r="F38" s="81">
        <v>77.253915969581755</v>
      </c>
      <c r="G38" s="24">
        <f t="shared" si="1"/>
        <v>4.3470976066559208</v>
      </c>
      <c r="H38" s="84">
        <f t="shared" si="2"/>
        <v>1.5969715051467048E-2</v>
      </c>
      <c r="I38" s="83">
        <f t="shared" si="3"/>
        <v>-5.9138313387791186E-2</v>
      </c>
      <c r="J38" s="22"/>
    </row>
    <row r="39" spans="2:10" ht="16.2" x14ac:dyDescent="0.45">
      <c r="B39" s="80">
        <v>27454</v>
      </c>
      <c r="C39" s="81">
        <v>0.52800000000000002</v>
      </c>
      <c r="D39" s="81">
        <v>13.28</v>
      </c>
      <c r="E39" s="24">
        <f t="shared" si="0"/>
        <v>2.5862591440482876</v>
      </c>
      <c r="F39" s="81">
        <v>78.317693333333338</v>
      </c>
      <c r="G39" s="24">
        <f t="shared" si="1"/>
        <v>4.3607735459669552</v>
      </c>
      <c r="H39" s="84">
        <f t="shared" si="2"/>
        <v>1.3675939311034391E-2</v>
      </c>
      <c r="I39" s="83">
        <f t="shared" si="3"/>
        <v>-5.7187819735832868E-2</v>
      </c>
      <c r="J39" s="22"/>
    </row>
    <row r="40" spans="2:10" ht="16.2" x14ac:dyDescent="0.45">
      <c r="B40" s="80">
        <v>27485</v>
      </c>
      <c r="C40" s="81">
        <v>0.53</v>
      </c>
      <c r="D40" s="81">
        <v>13.26</v>
      </c>
      <c r="E40" s="24">
        <f t="shared" si="0"/>
        <v>2.5847519847577165</v>
      </c>
      <c r="F40" s="81">
        <v>77.904651622641509</v>
      </c>
      <c r="G40" s="24">
        <f t="shared" si="1"/>
        <v>4.3554856638364772</v>
      </c>
      <c r="H40" s="84">
        <f t="shared" si="2"/>
        <v>-5.2878821304780388E-3</v>
      </c>
      <c r="I40" s="83">
        <f t="shared" si="3"/>
        <v>-5.5433309594666191E-2</v>
      </c>
      <c r="J40" s="22"/>
    </row>
    <row r="41" spans="2:10" ht="16.2" x14ac:dyDescent="0.45">
      <c r="B41" s="80">
        <v>27515</v>
      </c>
      <c r="C41" s="81">
        <v>0.53100000000000003</v>
      </c>
      <c r="D41" s="81">
        <v>13.27</v>
      </c>
      <c r="E41" s="24">
        <f t="shared" si="0"/>
        <v>2.5855058483441162</v>
      </c>
      <c r="F41" s="81">
        <v>77.816579510357812</v>
      </c>
      <c r="G41" s="24">
        <f t="shared" si="1"/>
        <v>4.3543545127271059</v>
      </c>
      <c r="H41" s="84">
        <f>Table1[[#This Row],[Log(Inflation-adjusted)]]-G40</f>
        <v>-1.1311511093712312E-3</v>
      </c>
      <c r="I41" s="83">
        <f t="shared" si="3"/>
        <v>-6.9534185777752278E-2</v>
      </c>
      <c r="J41" s="22"/>
    </row>
    <row r="42" spans="2:10" ht="16.2" x14ac:dyDescent="0.45">
      <c r="B42" s="80">
        <v>27546</v>
      </c>
      <c r="C42" s="81">
        <v>0.53500000000000003</v>
      </c>
      <c r="D42" s="81">
        <v>14.15</v>
      </c>
      <c r="E42" s="24">
        <f t="shared" si="0"/>
        <v>2.6497146240892469</v>
      </c>
      <c r="F42" s="81">
        <v>82.356597009345791</v>
      </c>
      <c r="G42" s="24">
        <f t="shared" si="1"/>
        <v>4.4110585628181687</v>
      </c>
      <c r="H42" s="84">
        <f>Table1[[#This Row],[Log(Inflation-adjusted)]]-G41</f>
        <v>5.6704050091062719E-2</v>
      </c>
      <c r="I42" s="83">
        <f t="shared" si="3"/>
        <v>-7.7008555503725873E-3</v>
      </c>
      <c r="J42" s="22"/>
    </row>
    <row r="43" spans="2:10" ht="16.2" x14ac:dyDescent="0.45">
      <c r="B43" s="80">
        <v>27576</v>
      </c>
      <c r="C43" s="81">
        <v>0.54</v>
      </c>
      <c r="D43" s="81">
        <v>14.03</v>
      </c>
      <c r="E43" s="24">
        <f t="shared" si="0"/>
        <v>2.6411978941143697</v>
      </c>
      <c r="F43" s="81">
        <v>80.902072370370362</v>
      </c>
      <c r="G43" s="24">
        <f t="shared" si="1"/>
        <v>4.3932394401809782</v>
      </c>
      <c r="H43" s="84">
        <f>Table1[[#This Row],[Log(Inflation-adjusted)]]-G42</f>
        <v>-1.7819122637190432E-2</v>
      </c>
      <c r="I43" s="83">
        <f t="shared" si="3"/>
        <v>4.6066569943050695E-3</v>
      </c>
      <c r="J43" s="22"/>
    </row>
    <row r="44" spans="2:10" ht="16.2" x14ac:dyDescent="0.45">
      <c r="B44" s="80">
        <v>27607</v>
      </c>
      <c r="C44" s="81">
        <v>0.54200000000000004</v>
      </c>
      <c r="D44" s="81">
        <v>14.25</v>
      </c>
      <c r="E44" s="24">
        <f t="shared" si="0"/>
        <v>2.6567569067146595</v>
      </c>
      <c r="F44" s="81">
        <v>81.86745940959409</v>
      </c>
      <c r="G44" s="24">
        <f t="shared" si="1"/>
        <v>4.4051015908999416</v>
      </c>
      <c r="H44" s="84">
        <f>Table1[[#This Row],[Log(Inflation-adjusted)]]-G43</f>
        <v>1.1862150718963349E-2</v>
      </c>
      <c r="I44" s="83">
        <f t="shared" si="3"/>
        <v>3.4071052017451642E-2</v>
      </c>
      <c r="J44" s="22"/>
    </row>
    <row r="45" spans="2:10" ht="16.2" x14ac:dyDescent="0.45">
      <c r="B45" s="80">
        <v>27638</v>
      </c>
      <c r="C45" s="81">
        <v>0.54600000000000004</v>
      </c>
      <c r="D45" s="81">
        <v>14.04</v>
      </c>
      <c r="E45" s="24">
        <f t="shared" si="0"/>
        <v>2.6419103985976649</v>
      </c>
      <c r="F45" s="81">
        <v>80.07006857142855</v>
      </c>
      <c r="G45" s="24">
        <f t="shared" si="1"/>
        <v>4.3829021084776887</v>
      </c>
      <c r="H45" s="84">
        <f>Table1[[#This Row],[Log(Inflation-adjusted)]]-G44</f>
        <v>-2.2199482422252892E-2</v>
      </c>
      <c r="I45" s="83">
        <f t="shared" si="3"/>
        <v>3.7702323232248425E-2</v>
      </c>
      <c r="J45" s="22"/>
    </row>
    <row r="46" spans="2:10" ht="16.2" x14ac:dyDescent="0.45">
      <c r="B46" s="80">
        <v>27668</v>
      </c>
      <c r="C46" s="81">
        <v>0.54900000000000004</v>
      </c>
      <c r="D46" s="81">
        <v>14.66</v>
      </c>
      <c r="E46" s="24">
        <f t="shared" si="0"/>
        <v>2.6851226964585053</v>
      </c>
      <c r="F46" s="81">
        <v>83.149063315118397</v>
      </c>
      <c r="G46" s="24">
        <f t="shared" si="1"/>
        <v>4.4206349405739029</v>
      </c>
      <c r="H46" s="84">
        <f>Table1[[#This Row],[Log(Inflation-adjusted)]]-G45</f>
        <v>3.7732832096214253E-2</v>
      </c>
      <c r="I46" s="83">
        <f t="shared" si="3"/>
        <v>9.0517893356312662E-2</v>
      </c>
      <c r="J46" s="22"/>
    </row>
    <row r="47" spans="2:10" ht="16.2" x14ac:dyDescent="0.45">
      <c r="B47" s="80">
        <v>27699</v>
      </c>
      <c r="C47" s="81">
        <v>0.55300000000000005</v>
      </c>
      <c r="D47" s="81">
        <v>15.04</v>
      </c>
      <c r="E47" s="24">
        <f t="shared" si="0"/>
        <v>2.7107133185216936</v>
      </c>
      <c r="F47" s="81">
        <v>84.687329909584079</v>
      </c>
      <c r="G47" s="24">
        <f t="shared" si="1"/>
        <v>4.4389660026242872</v>
      </c>
      <c r="H47" s="84">
        <f>Table1[[#This Row],[Log(Inflation-adjusted)]]-G46</f>
        <v>1.8331062050384261E-2</v>
      </c>
      <c r="I47" s="83">
        <f t="shared" si="3"/>
        <v>0.11139644875511756</v>
      </c>
      <c r="J47" s="22"/>
    </row>
    <row r="48" spans="2:10" ht="16.2" x14ac:dyDescent="0.45">
      <c r="B48" s="80">
        <v>27729</v>
      </c>
      <c r="C48" s="81">
        <v>0.55600000000000005</v>
      </c>
      <c r="D48" s="81">
        <v>14.81</v>
      </c>
      <c r="E48" s="24">
        <f t="shared" si="0"/>
        <v>2.6953026282797072</v>
      </c>
      <c r="F48" s="81">
        <v>82.942286258992809</v>
      </c>
      <c r="G48" s="24">
        <f t="shared" si="1"/>
        <v>4.4181450196540535</v>
      </c>
      <c r="H48" s="84">
        <f>Table1[[#This Row],[Log(Inflation-adjusted)]]-G47</f>
        <v>-2.0820982970233715E-2</v>
      </c>
      <c r="I48" s="83">
        <f t="shared" si="3"/>
        <v>7.5431765702489884E-2</v>
      </c>
      <c r="J48" s="22"/>
    </row>
    <row r="49" spans="2:10" ht="16.2" x14ac:dyDescent="0.45">
      <c r="B49" s="80">
        <v>27760</v>
      </c>
      <c r="C49" s="81">
        <v>0.55800000000000005</v>
      </c>
      <c r="D49" s="81">
        <v>13.27</v>
      </c>
      <c r="E49" s="24">
        <f t="shared" si="0"/>
        <v>2.5855058483441162</v>
      </c>
      <c r="F49" s="81">
        <v>74.051261146953394</v>
      </c>
      <c r="G49" s="24">
        <f t="shared" si="1"/>
        <v>4.304757571587734</v>
      </c>
      <c r="H49" s="84">
        <f>Table1[[#This Row],[Log(Inflation-adjusted)]]-G48</f>
        <v>-0.11338744806631951</v>
      </c>
      <c r="I49" s="83">
        <f t="shared" si="3"/>
        <v>-2.6370320016719795E-2</v>
      </c>
      <c r="J49" s="22"/>
    </row>
    <row r="50" spans="2:10" ht="16.2" x14ac:dyDescent="0.45">
      <c r="B50" s="80">
        <v>27791</v>
      </c>
      <c r="C50" s="81">
        <v>0.55900000000000005</v>
      </c>
      <c r="D50" s="81">
        <v>13.26</v>
      </c>
      <c r="E50" s="24">
        <f t="shared" si="0"/>
        <v>2.5847519847577165</v>
      </c>
      <c r="F50" s="81">
        <v>73.863086511627898</v>
      </c>
      <c r="G50" s="24">
        <f t="shared" si="1"/>
        <v>4.3022131972275455</v>
      </c>
      <c r="H50" s="84">
        <f>Table1[[#This Row],[Log(Inflation-adjusted)]]-G49</f>
        <v>-2.544374360188506E-3</v>
      </c>
      <c r="I50" s="83">
        <f t="shared" si="3"/>
        <v>-4.4884409428375349E-2</v>
      </c>
      <c r="J50" s="22"/>
    </row>
    <row r="51" spans="2:10" ht="16.2" x14ac:dyDescent="0.45">
      <c r="B51" s="80">
        <v>27820</v>
      </c>
      <c r="C51" s="81">
        <v>0.56000000000000005</v>
      </c>
      <c r="D51" s="81">
        <v>13.51</v>
      </c>
      <c r="E51" s="24">
        <f t="shared" si="0"/>
        <v>2.6034301519721073</v>
      </c>
      <c r="F51" s="81">
        <v>75.121293499999993</v>
      </c>
      <c r="G51" s="24">
        <f t="shared" si="1"/>
        <v>4.3191040538678411</v>
      </c>
      <c r="H51" s="84">
        <f>Table1[[#This Row],[Log(Inflation-adjusted)]]-G50</f>
        <v>1.6890856640295659E-2</v>
      </c>
      <c r="I51" s="83">
        <f t="shared" si="3"/>
        <v>-4.166949209911408E-2</v>
      </c>
      <c r="J51" s="22"/>
    </row>
    <row r="52" spans="2:10" ht="16.2" x14ac:dyDescent="0.45">
      <c r="B52" s="80">
        <v>27851</v>
      </c>
      <c r="C52" s="81">
        <v>0.56100000000000005</v>
      </c>
      <c r="D52" s="81">
        <v>13.39</v>
      </c>
      <c r="E52" s="24">
        <f t="shared" si="0"/>
        <v>2.5945081597030812</v>
      </c>
      <c r="F52" s="81">
        <v>74.321326274509801</v>
      </c>
      <c r="G52" s="24">
        <f t="shared" si="1"/>
        <v>4.3083979398053129</v>
      </c>
      <c r="H52" s="84">
        <f>Table1[[#This Row],[Log(Inflation-adjusted)]]-G51</f>
        <v>-1.0706114062528194E-2</v>
      </c>
      <c r="I52" s="83">
        <f t="shared" si="3"/>
        <v>-4.7087724031164235E-2</v>
      </c>
      <c r="J52" s="22"/>
    </row>
    <row r="53" spans="2:10" ht="16.2" x14ac:dyDescent="0.45">
      <c r="B53" s="80">
        <v>27881</v>
      </c>
      <c r="C53" s="81">
        <v>0.56399999999999995</v>
      </c>
      <c r="D53" s="81">
        <v>13.41</v>
      </c>
      <c r="E53" s="24">
        <f t="shared" si="0"/>
        <v>2.596000697293587</v>
      </c>
      <c r="F53" s="81">
        <v>74.036419787234053</v>
      </c>
      <c r="G53" s="24">
        <f t="shared" si="1"/>
        <v>4.3045571314204567</v>
      </c>
      <c r="H53" s="84">
        <f>Table1[[#This Row],[Log(Inflation-adjusted)]]-G52</f>
        <v>-3.8408083848562313E-3</v>
      </c>
      <c r="I53" s="83">
        <f t="shared" si="3"/>
        <v>-4.9797381306649235E-2</v>
      </c>
      <c r="J53" s="22"/>
    </row>
    <row r="54" spans="2:10" ht="16.2" x14ac:dyDescent="0.45">
      <c r="B54" s="80">
        <v>27912</v>
      </c>
      <c r="C54" s="81">
        <v>0.56699999999999995</v>
      </c>
      <c r="D54" s="81">
        <v>13.48</v>
      </c>
      <c r="E54" s="24">
        <f t="shared" si="0"/>
        <v>2.601207105484161</v>
      </c>
      <c r="F54" s="81">
        <v>74.029116895943574</v>
      </c>
      <c r="G54" s="24">
        <f t="shared" si="1"/>
        <v>4.3044584873813374</v>
      </c>
      <c r="H54" s="84">
        <f>Table1[[#This Row],[Log(Inflation-adjusted)]]-G53</f>
        <v>-9.8644039119299975E-5</v>
      </c>
      <c r="I54" s="83">
        <f t="shared" si="3"/>
        <v>-0.10660007543683125</v>
      </c>
      <c r="J54" s="22"/>
    </row>
    <row r="55" spans="2:10" ht="16.2" x14ac:dyDescent="0.45">
      <c r="B55" s="80">
        <v>27942</v>
      </c>
      <c r="C55" s="81">
        <v>0.56999999999999995</v>
      </c>
      <c r="D55" s="81">
        <v>13.51</v>
      </c>
      <c r="E55" s="24">
        <f t="shared" si="0"/>
        <v>2.6034301519721073</v>
      </c>
      <c r="F55" s="81">
        <v>73.803376070175446</v>
      </c>
      <c r="G55" s="24">
        <f t="shared" si="1"/>
        <v>4.3014044767684405</v>
      </c>
      <c r="H55" s="84">
        <f>Table1[[#This Row],[Log(Inflation-adjusted)]]-G54</f>
        <v>-3.0540106128968958E-3</v>
      </c>
      <c r="I55" s="83">
        <f t="shared" si="3"/>
        <v>-9.1834963412537718E-2</v>
      </c>
      <c r="J55" s="22"/>
    </row>
    <row r="56" spans="2:10" ht="16.2" x14ac:dyDescent="0.45">
      <c r="B56" s="80">
        <v>27973</v>
      </c>
      <c r="C56" s="81">
        <v>0.57299999999999995</v>
      </c>
      <c r="D56" s="81">
        <v>13.58</v>
      </c>
      <c r="E56" s="24">
        <f t="shared" si="0"/>
        <v>2.6085981221305499</v>
      </c>
      <c r="F56" s="81">
        <v>73.797369773123918</v>
      </c>
      <c r="G56" s="24">
        <f t="shared" si="1"/>
        <v>4.3013230910407394</v>
      </c>
      <c r="H56" s="84">
        <f>Table1[[#This Row],[Log(Inflation-adjusted)]]-G55</f>
        <v>-8.1385727701110966E-5</v>
      </c>
      <c r="I56" s="83">
        <f t="shared" si="3"/>
        <v>-0.10377849985920218</v>
      </c>
      <c r="J56" s="22"/>
    </row>
    <row r="57" spans="2:10" ht="16.2" x14ac:dyDescent="0.45">
      <c r="B57" s="80">
        <v>28004</v>
      </c>
      <c r="C57" s="81">
        <v>0.57599999999999996</v>
      </c>
      <c r="D57" s="81">
        <v>13.47</v>
      </c>
      <c r="E57" s="24">
        <f t="shared" si="0"/>
        <v>2.6004649904222727</v>
      </c>
      <c r="F57" s="81">
        <v>72.81835229166667</v>
      </c>
      <c r="G57" s="24">
        <f t="shared" si="1"/>
        <v>4.2879680153513098</v>
      </c>
      <c r="H57" s="84">
        <f>Table1[[#This Row],[Log(Inflation-adjusted)]]-G56</f>
        <v>-1.3355075689429619E-2</v>
      </c>
      <c r="I57" s="83">
        <f t="shared" si="3"/>
        <v>-9.4934093126378905E-2</v>
      </c>
      <c r="J57" s="22"/>
    </row>
    <row r="58" spans="2:10" ht="16.2" x14ac:dyDescent="0.45">
      <c r="B58" s="80">
        <v>28034</v>
      </c>
      <c r="C58" s="81">
        <v>0.57899999999999996</v>
      </c>
      <c r="D58" s="81">
        <v>13.49</v>
      </c>
      <c r="E58" s="24">
        <f t="shared" si="0"/>
        <v>2.6019486702196644</v>
      </c>
      <c r="F58" s="81">
        <v>72.548614231433504</v>
      </c>
      <c r="G58" s="24">
        <f t="shared" si="1"/>
        <v>4.2842568782715977</v>
      </c>
      <c r="H58" s="84">
        <f>Table1[[#This Row],[Log(Inflation-adjusted)]]-G57</f>
        <v>-3.7111370797120458E-3</v>
      </c>
      <c r="I58" s="83">
        <f t="shared" si="3"/>
        <v>-0.1363780623023052</v>
      </c>
      <c r="J58" s="22"/>
    </row>
    <row r="59" spans="2:10" ht="16.2" x14ac:dyDescent="0.45">
      <c r="B59" s="80">
        <v>28065</v>
      </c>
      <c r="C59" s="81">
        <v>0.58099999999999996</v>
      </c>
      <c r="D59" s="81">
        <v>13.58</v>
      </c>
      <c r="E59" s="24">
        <f t="shared" si="0"/>
        <v>2.6085981221305499</v>
      </c>
      <c r="F59" s="81">
        <v>72.781226987951811</v>
      </c>
      <c r="G59" s="24">
        <f t="shared" si="1"/>
        <v>4.2874580509035676</v>
      </c>
      <c r="H59" s="84">
        <f>Table1[[#This Row],[Log(Inflation-adjusted)]]-G58</f>
        <v>3.2011726319698397E-3</v>
      </c>
      <c r="I59" s="83">
        <f t="shared" si="3"/>
        <v>-0.15150795172071962</v>
      </c>
      <c r="J59" s="22"/>
    </row>
    <row r="60" spans="2:10" ht="16.2" x14ac:dyDescent="0.45">
      <c r="B60" s="80">
        <v>28095</v>
      </c>
      <c r="C60" s="81">
        <v>0.58399999999999996</v>
      </c>
      <c r="D60" s="81">
        <v>13.71</v>
      </c>
      <c r="E60" s="24">
        <f t="shared" si="0"/>
        <v>2.6181254935742233</v>
      </c>
      <c r="F60" s="81">
        <v>73.100499246575353</v>
      </c>
      <c r="G60" s="24">
        <f t="shared" si="1"/>
        <v>4.2918351963709247</v>
      </c>
      <c r="H60" s="84">
        <f>Table1[[#This Row],[Log(Inflation-adjusted)]]-G59</f>
        <v>4.3771454673571242E-3</v>
      </c>
      <c r="I60" s="83">
        <f t="shared" si="3"/>
        <v>-0.12630982328312879</v>
      </c>
      <c r="J60" s="22"/>
    </row>
    <row r="61" spans="2:10" ht="16.2" x14ac:dyDescent="0.45">
      <c r="B61" s="80">
        <v>28126</v>
      </c>
      <c r="C61" s="81">
        <v>0.58699999999999997</v>
      </c>
      <c r="D61" s="81">
        <v>14.11</v>
      </c>
      <c r="E61" s="24">
        <f t="shared" si="0"/>
        <v>2.6468837658647226</v>
      </c>
      <c r="F61" s="81">
        <v>74.84876654173766</v>
      </c>
      <c r="G61" s="24">
        <f t="shared" si="1"/>
        <v>4.3154696316615553</v>
      </c>
      <c r="H61" s="84">
        <f>Table1[[#This Row],[Log(Inflation-adjusted)]]-G60</f>
        <v>2.3634435290630584E-2</v>
      </c>
      <c r="I61" s="83">
        <f t="shared" si="3"/>
        <v>1.0712060073821306E-2</v>
      </c>
      <c r="J61" s="22"/>
    </row>
    <row r="62" spans="2:10" ht="16.2" x14ac:dyDescent="0.45">
      <c r="B62" s="80">
        <v>28157</v>
      </c>
      <c r="C62" s="81">
        <v>0.59299999999999997</v>
      </c>
      <c r="D62" s="81">
        <v>14.5</v>
      </c>
      <c r="E62" s="24">
        <f t="shared" si="0"/>
        <v>2.6741486494265287</v>
      </c>
      <c r="F62" s="81">
        <v>76.139328836424966</v>
      </c>
      <c r="G62" s="24">
        <f t="shared" si="1"/>
        <v>4.3325649360537319</v>
      </c>
      <c r="H62" s="84">
        <f>Table1[[#This Row],[Log(Inflation-adjusted)]]-G61</f>
        <v>1.7095304392176658E-2</v>
      </c>
      <c r="I62" s="83">
        <f t="shared" si="3"/>
        <v>3.035173882618647E-2</v>
      </c>
      <c r="J62" s="22"/>
    </row>
    <row r="63" spans="2:10" ht="16.2" x14ac:dyDescent="0.45">
      <c r="B63" s="80">
        <v>28185</v>
      </c>
      <c r="C63" s="81">
        <v>0.59599999999999997</v>
      </c>
      <c r="D63" s="81">
        <v>14.54</v>
      </c>
      <c r="E63" s="24">
        <f t="shared" si="0"/>
        <v>2.6769034721053733</v>
      </c>
      <c r="F63" s="81">
        <v>75.965059463087243</v>
      </c>
      <c r="G63" s="24">
        <f t="shared" si="1"/>
        <v>4.3302734906649523</v>
      </c>
      <c r="H63" s="84">
        <f>Table1[[#This Row],[Log(Inflation-adjusted)]]-G62</f>
        <v>-2.2914453887796782E-3</v>
      </c>
      <c r="I63" s="83">
        <f t="shared" si="3"/>
        <v>1.1169436797111132E-2</v>
      </c>
      <c r="J63" s="22"/>
    </row>
    <row r="64" spans="2:10" ht="16.2" x14ac:dyDescent="0.45">
      <c r="B64" s="80">
        <v>28216</v>
      </c>
      <c r="C64" s="81">
        <v>0.6</v>
      </c>
      <c r="D64" s="81">
        <v>14.36</v>
      </c>
      <c r="E64" s="24">
        <f t="shared" si="0"/>
        <v>2.664446563620078</v>
      </c>
      <c r="F64" s="81">
        <v>74.524474933333337</v>
      </c>
      <c r="G64" s="24">
        <f t="shared" si="1"/>
        <v>4.3111275940288607</v>
      </c>
      <c r="H64" s="84">
        <f>Table1[[#This Row],[Log(Inflation-adjusted)]]-G63</f>
        <v>-1.9145896636091564E-2</v>
      </c>
      <c r="I64" s="83">
        <f t="shared" si="3"/>
        <v>2.7296542235477617E-3</v>
      </c>
      <c r="J64" s="22"/>
    </row>
    <row r="65" spans="2:10" ht="16.2" x14ac:dyDescent="0.45">
      <c r="B65" s="80">
        <v>28246</v>
      </c>
      <c r="C65" s="81">
        <v>0.60199999999999998</v>
      </c>
      <c r="D65" s="81">
        <v>14.62</v>
      </c>
      <c r="E65" s="24">
        <f t="shared" si="0"/>
        <v>2.6823904543216326</v>
      </c>
      <c r="F65" s="81">
        <v>75.621731428571422</v>
      </c>
      <c r="G65" s="24">
        <f t="shared" si="1"/>
        <v>4.3257436946377394</v>
      </c>
      <c r="H65" s="84">
        <f>Table1[[#This Row],[Log(Inflation-adjusted)]]-G64</f>
        <v>1.4616100608878746E-2</v>
      </c>
      <c r="I65" s="83">
        <f t="shared" si="3"/>
        <v>2.1186563217282739E-2</v>
      </c>
      <c r="J65" s="22"/>
    </row>
    <row r="66" spans="2:10" ht="16.2" x14ac:dyDescent="0.45">
      <c r="B66" s="80">
        <v>28277</v>
      </c>
      <c r="C66" s="81">
        <v>0.60499999999999998</v>
      </c>
      <c r="D66" s="81">
        <v>14.63</v>
      </c>
      <c r="E66" s="24">
        <f t="shared" si="0"/>
        <v>2.683074215032033</v>
      </c>
      <c r="F66" s="81">
        <v>75.298216000000011</v>
      </c>
      <c r="G66" s="24">
        <f t="shared" si="1"/>
        <v>4.3214564426261202</v>
      </c>
      <c r="H66" s="84">
        <f>Table1[[#This Row],[Log(Inflation-adjusted)]]-G65</f>
        <v>-4.2872520116192803E-3</v>
      </c>
      <c r="I66" s="83">
        <f t="shared" si="3"/>
        <v>1.6997955244782759E-2</v>
      </c>
      <c r="J66" s="22"/>
    </row>
    <row r="67" spans="2:10" ht="16.2" x14ac:dyDescent="0.45">
      <c r="B67" s="80">
        <v>28307</v>
      </c>
      <c r="C67" s="81">
        <v>0.60799999999999998</v>
      </c>
      <c r="D67" s="81">
        <v>14.44</v>
      </c>
      <c r="E67" s="24">
        <f t="shared" si="0"/>
        <v>2.67000213346468</v>
      </c>
      <c r="F67" s="81">
        <v>73.953604999999996</v>
      </c>
      <c r="G67" s="24">
        <f t="shared" si="1"/>
        <v>4.3034379371234417</v>
      </c>
      <c r="H67" s="84">
        <f>Table1[[#This Row],[Log(Inflation-adjusted)]]-G66</f>
        <v>-1.8018505502678472E-2</v>
      </c>
      <c r="I67" s="83">
        <f t="shared" si="3"/>
        <v>2.0334603550011821E-3</v>
      </c>
      <c r="J67" s="22"/>
    </row>
    <row r="68" spans="2:10" ht="16.2" x14ac:dyDescent="0.45">
      <c r="B68" s="80">
        <v>28338</v>
      </c>
      <c r="C68" s="81">
        <v>0.61099999999999999</v>
      </c>
      <c r="D68" s="81">
        <v>14.68</v>
      </c>
      <c r="E68" s="24">
        <f t="shared" si="0"/>
        <v>2.6864860231863696</v>
      </c>
      <c r="F68" s="81">
        <v>74.813604713584283</v>
      </c>
      <c r="G68" s="24">
        <f t="shared" si="1"/>
        <v>4.3149997496397026</v>
      </c>
      <c r="H68" s="84">
        <f>Table1[[#This Row],[Log(Inflation-adjusted)]]-G67</f>
        <v>1.1561812516260872E-2</v>
      </c>
      <c r="I68" s="83">
        <f t="shared" si="3"/>
        <v>1.3676658598963165E-2</v>
      </c>
      <c r="J68" s="22"/>
    </row>
    <row r="69" spans="2:10" ht="16.2" x14ac:dyDescent="0.45">
      <c r="B69" s="80">
        <v>28369</v>
      </c>
      <c r="C69" s="81">
        <v>0.61299999999999999</v>
      </c>
      <c r="D69" s="81">
        <v>14.5</v>
      </c>
      <c r="E69" s="24">
        <f t="shared" si="0"/>
        <v>2.6741486494265287</v>
      </c>
      <c r="F69" s="81">
        <v>73.655174551386622</v>
      </c>
      <c r="G69" s="24">
        <f t="shared" si="1"/>
        <v>4.2993943991152461</v>
      </c>
      <c r="H69" s="84">
        <f>Table1[[#This Row],[Log(Inflation-adjusted)]]-G68</f>
        <v>-1.5605350524456441E-2</v>
      </c>
      <c r="I69" s="83">
        <f t="shared" si="3"/>
        <v>1.1426383763936343E-2</v>
      </c>
      <c r="J69" s="22"/>
    </row>
    <row r="70" spans="2:10" ht="16.2" x14ac:dyDescent="0.45">
      <c r="B70" s="80">
        <v>28399</v>
      </c>
      <c r="C70" s="81">
        <v>0.61599999999999999</v>
      </c>
      <c r="D70" s="81">
        <v>14.56</v>
      </c>
      <c r="E70" s="24">
        <f t="shared" si="0"/>
        <v>2.67827804276854</v>
      </c>
      <c r="F70" s="81">
        <v>73.599760000000003</v>
      </c>
      <c r="G70" s="24">
        <f t="shared" si="1"/>
        <v>4.2986417648599486</v>
      </c>
      <c r="H70" s="84">
        <f>Table1[[#This Row],[Log(Inflation-adjusted)]]-G69</f>
        <v>-7.5263425529747963E-4</v>
      </c>
      <c r="I70" s="83">
        <f t="shared" si="3"/>
        <v>1.4384886588350909E-2</v>
      </c>
      <c r="J70" s="22"/>
    </row>
    <row r="71" spans="2:10" ht="16.2" x14ac:dyDescent="0.45">
      <c r="B71" s="80">
        <v>28430</v>
      </c>
      <c r="C71" s="81">
        <v>0.62</v>
      </c>
      <c r="D71" s="81">
        <v>14.61</v>
      </c>
      <c r="E71" s="24">
        <f t="shared" si="0"/>
        <v>2.6817062257626079</v>
      </c>
      <c r="F71" s="81">
        <v>73.376038645161287</v>
      </c>
      <c r="G71" s="24">
        <f t="shared" si="1"/>
        <v>4.2955974333483997</v>
      </c>
      <c r="H71" s="84">
        <f>Table1[[#This Row],[Log(Inflation-adjusted)]]-G70</f>
        <v>-3.0443315115489256E-3</v>
      </c>
      <c r="I71" s="83">
        <f t="shared" si="3"/>
        <v>8.1393824448321439E-3</v>
      </c>
      <c r="J71" s="22"/>
    </row>
    <row r="72" spans="2:10" ht="16.2" x14ac:dyDescent="0.45">
      <c r="B72" s="80">
        <v>28460</v>
      </c>
      <c r="C72" s="81">
        <v>0.623</v>
      </c>
      <c r="D72" s="81">
        <v>14.76</v>
      </c>
      <c r="E72" s="24">
        <f t="shared" si="0"/>
        <v>2.6919208191723265</v>
      </c>
      <c r="F72" s="81">
        <v>73.772422728731954</v>
      </c>
      <c r="G72" s="24">
        <f t="shared" si="1"/>
        <v>4.3009849860098024</v>
      </c>
      <c r="H72" s="84">
        <f>Table1[[#This Row],[Log(Inflation-adjusted)]]-G71</f>
        <v>5.3875526614026725E-3</v>
      </c>
      <c r="I72" s="83">
        <f t="shared" si="3"/>
        <v>9.1497896388776923E-3</v>
      </c>
      <c r="J72" s="22"/>
    </row>
    <row r="73" spans="2:10" ht="16.2" x14ac:dyDescent="0.45">
      <c r="B73" s="80">
        <v>28491</v>
      </c>
      <c r="C73" s="81">
        <v>0.627</v>
      </c>
      <c r="D73" s="81">
        <v>14.52</v>
      </c>
      <c r="E73" s="24">
        <f t="shared" si="0"/>
        <v>2.6755270093966499</v>
      </c>
      <c r="F73" s="81">
        <v>72.109886315789467</v>
      </c>
      <c r="G73" s="24">
        <f t="shared" si="1"/>
        <v>4.2781911543886579</v>
      </c>
      <c r="H73" s="84">
        <f>Table1[[#This Row],[Log(Inflation-adjusted)]]-G72</f>
        <v>-2.2793831621144456E-2</v>
      </c>
      <c r="I73" s="83">
        <f t="shared" si="3"/>
        <v>-3.7278477272897348E-2</v>
      </c>
      <c r="J73" s="22"/>
    </row>
    <row r="74" spans="2:10" ht="16.2" x14ac:dyDescent="0.45">
      <c r="B74" s="80">
        <v>28522</v>
      </c>
      <c r="C74" s="81">
        <v>0.63</v>
      </c>
      <c r="D74" s="81">
        <v>14.41</v>
      </c>
      <c r="E74" s="24">
        <f t="shared" si="0"/>
        <v>2.6679224100114309</v>
      </c>
      <c r="F74" s="81">
        <v>71.222820253968251</v>
      </c>
      <c r="G74" s="24">
        <f t="shared" si="1"/>
        <v>4.265813276250781</v>
      </c>
      <c r="H74" s="84">
        <f>Table1[[#This Row],[Log(Inflation-adjusted)]]-G73</f>
        <v>-1.2377878137876941E-2</v>
      </c>
      <c r="I74" s="83">
        <f t="shared" si="3"/>
        <v>-6.6751659802950947E-2</v>
      </c>
      <c r="J74" s="22"/>
    </row>
    <row r="75" spans="2:10" ht="16.2" x14ac:dyDescent="0.45">
      <c r="B75" s="80">
        <v>28550</v>
      </c>
      <c r="C75" s="81">
        <v>0.63400000000000001</v>
      </c>
      <c r="D75" s="81">
        <v>14.57</v>
      </c>
      <c r="E75" s="24">
        <f t="shared" si="0"/>
        <v>2.6789646202071133</v>
      </c>
      <c r="F75" s="81">
        <v>71.559291041009473</v>
      </c>
      <c r="G75" s="24">
        <f t="shared" si="1"/>
        <v>4.2705263513948166</v>
      </c>
      <c r="H75" s="84">
        <f>Table1[[#This Row],[Log(Inflation-adjusted)]]-G74</f>
        <v>4.7130751440356278E-3</v>
      </c>
      <c r="I75" s="83">
        <f t="shared" si="3"/>
        <v>-5.9747139270135641E-2</v>
      </c>
      <c r="J75" s="22"/>
    </row>
    <row r="76" spans="2:10" ht="16.2" x14ac:dyDescent="0.45">
      <c r="B76" s="80">
        <v>28581</v>
      </c>
      <c r="C76" s="81">
        <v>0.63900000000000001</v>
      </c>
      <c r="D76" s="81">
        <v>14.4</v>
      </c>
      <c r="E76" s="24">
        <f t="shared" si="0"/>
        <v>2.6672282065819548</v>
      </c>
      <c r="F76" s="81">
        <v>70.170952112676048</v>
      </c>
      <c r="G76" s="24">
        <f t="shared" si="1"/>
        <v>4.2509344378293488</v>
      </c>
      <c r="H76" s="84">
        <f>Table1[[#This Row],[Log(Inflation-adjusted)]]-G75</f>
        <v>-1.9591913565467856E-2</v>
      </c>
      <c r="I76" s="83">
        <f t="shared" si="3"/>
        <v>-6.0193156199511932E-2</v>
      </c>
      <c r="J76" s="22"/>
    </row>
    <row r="77" spans="2:10" ht="16.2" x14ac:dyDescent="0.45">
      <c r="B77" s="80">
        <v>28611</v>
      </c>
      <c r="C77" s="81">
        <v>0.64500000000000002</v>
      </c>
      <c r="D77" s="81">
        <v>14.51</v>
      </c>
      <c r="E77" s="24">
        <f t="shared" si="0"/>
        <v>2.6748380668960965</v>
      </c>
      <c r="F77" s="81">
        <v>70.049240868217055</v>
      </c>
      <c r="G77" s="24">
        <f t="shared" si="1"/>
        <v>4.2491984357252521</v>
      </c>
      <c r="H77" s="84">
        <f>Table1[[#This Row],[Log(Inflation-adjusted)]]-G76</f>
        <v>-1.7360021040966345E-3</v>
      </c>
      <c r="I77" s="83">
        <f t="shared" si="3"/>
        <v>-7.6545258912487313E-2</v>
      </c>
      <c r="J77" s="22"/>
    </row>
    <row r="78" spans="2:10" ht="16.2" x14ac:dyDescent="0.45">
      <c r="B78" s="80">
        <v>28642</v>
      </c>
      <c r="C78" s="81">
        <v>0.65</v>
      </c>
      <c r="D78" s="81">
        <v>14.54</v>
      </c>
      <c r="E78" s="24">
        <f t="shared" si="0"/>
        <v>2.6769034721053733</v>
      </c>
      <c r="F78" s="81">
        <v>69.65411606153846</v>
      </c>
      <c r="G78" s="24">
        <f t="shared" si="1"/>
        <v>4.2435417948406187</v>
      </c>
      <c r="H78" s="84">
        <f>Table1[[#This Row],[Log(Inflation-adjusted)]]-G77</f>
        <v>-5.6566408846334681E-3</v>
      </c>
      <c r="I78" s="83">
        <f t="shared" si="3"/>
        <v>-7.7914647785501501E-2</v>
      </c>
      <c r="J78" s="22"/>
    </row>
    <row r="79" spans="2:10" ht="16.2" x14ac:dyDescent="0.45">
      <c r="B79" s="80">
        <v>28672</v>
      </c>
      <c r="C79" s="81">
        <v>0.65500000000000003</v>
      </c>
      <c r="D79" s="81">
        <v>14.49</v>
      </c>
      <c r="E79" s="24">
        <f t="shared" si="0"/>
        <v>2.6734587563325909</v>
      </c>
      <c r="F79" s="81">
        <v>68.884707847328244</v>
      </c>
      <c r="G79" s="24">
        <f t="shared" si="1"/>
        <v>4.2324342063222673</v>
      </c>
      <c r="H79" s="84">
        <f>Table1[[#This Row],[Log(Inflation-adjusted)]]-G78</f>
        <v>-1.1107588518351363E-2</v>
      </c>
      <c r="I79" s="83">
        <f t="shared" si="3"/>
        <v>-7.1003730801174392E-2</v>
      </c>
      <c r="J79" s="22"/>
    </row>
    <row r="80" spans="2:10" ht="16.2" x14ac:dyDescent="0.45">
      <c r="B80" s="80">
        <v>28703</v>
      </c>
      <c r="C80" s="81">
        <v>0.65900000000000003</v>
      </c>
      <c r="D80" s="81">
        <v>14.46</v>
      </c>
      <c r="E80" s="24">
        <f t="shared" si="0"/>
        <v>2.6713862167306188</v>
      </c>
      <c r="F80" s="81">
        <v>68.324838482549325</v>
      </c>
      <c r="G80" s="24">
        <f t="shared" si="1"/>
        <v>4.2242733678530398</v>
      </c>
      <c r="H80" s="84">
        <f>Table1[[#This Row],[Log(Inflation-adjusted)]]-G79</f>
        <v>-8.1608384692275493E-3</v>
      </c>
      <c r="I80" s="83">
        <f t="shared" si="3"/>
        <v>-9.0726381786662813E-2</v>
      </c>
      <c r="J80" s="22"/>
    </row>
    <row r="81" spans="2:10" ht="16.2" x14ac:dyDescent="0.45">
      <c r="B81" s="80">
        <v>28734</v>
      </c>
      <c r="C81" s="81">
        <v>0.66500000000000004</v>
      </c>
      <c r="D81" s="81">
        <v>14.53</v>
      </c>
      <c r="E81" s="24">
        <f t="shared" si="0"/>
        <v>2.6762154775821916</v>
      </c>
      <c r="F81" s="81">
        <v>68.036145984962403</v>
      </c>
      <c r="G81" s="24">
        <f t="shared" si="1"/>
        <v>4.2200391225512659</v>
      </c>
      <c r="H81" s="84">
        <f>Table1[[#This Row],[Log(Inflation-adjusted)]]-G80</f>
        <v>-4.2342453017738535E-3</v>
      </c>
      <c r="I81" s="83">
        <f t="shared" si="3"/>
        <v>-7.9355276563980226E-2</v>
      </c>
      <c r="J81" s="22"/>
    </row>
    <row r="82" spans="2:10" ht="16.2" x14ac:dyDescent="0.45">
      <c r="B82" s="80">
        <v>28764</v>
      </c>
      <c r="C82" s="81">
        <v>0.67100000000000004</v>
      </c>
      <c r="D82" s="81">
        <v>14.63</v>
      </c>
      <c r="E82" s="24">
        <f t="shared" si="0"/>
        <v>2.683074215032033</v>
      </c>
      <c r="F82" s="81">
        <v>67.891834098360661</v>
      </c>
      <c r="G82" s="24">
        <f t="shared" si="1"/>
        <v>4.21791576368528</v>
      </c>
      <c r="H82" s="84">
        <f>Table1[[#This Row],[Log(Inflation-adjusted)]]-G81</f>
        <v>-2.1233588659859137E-3</v>
      </c>
      <c r="I82" s="83">
        <f t="shared" si="3"/>
        <v>-8.072600117466866E-2</v>
      </c>
      <c r="J82" s="22"/>
    </row>
    <row r="83" spans="2:10" ht="16.2" x14ac:dyDescent="0.45">
      <c r="B83" s="80">
        <v>28795</v>
      </c>
      <c r="C83" s="81">
        <v>0.67500000000000004</v>
      </c>
      <c r="D83" s="81">
        <v>14.74</v>
      </c>
      <c r="E83" s="24">
        <f t="shared" si="0"/>
        <v>2.6905648867611904</v>
      </c>
      <c r="F83" s="81">
        <v>67.996952059259257</v>
      </c>
      <c r="G83" s="24">
        <f t="shared" si="1"/>
        <v>4.2194628815135893</v>
      </c>
      <c r="H83" s="84">
        <f>Table1[[#This Row],[Log(Inflation-adjusted)]]-G82</f>
        <v>1.5471178283092968E-3</v>
      </c>
      <c r="I83" s="83">
        <f t="shared" si="3"/>
        <v>-7.6134551834810438E-2</v>
      </c>
      <c r="J83" s="22"/>
    </row>
    <row r="84" spans="2:10" ht="16.2" x14ac:dyDescent="0.45">
      <c r="B84" s="80">
        <v>28825</v>
      </c>
      <c r="C84" s="81">
        <v>0.67900000000000005</v>
      </c>
      <c r="D84" s="81">
        <v>14.94</v>
      </c>
      <c r="E84" s="24">
        <f t="shared" si="0"/>
        <v>2.7040421797046714</v>
      </c>
      <c r="F84" s="81">
        <v>68.513563829160532</v>
      </c>
      <c r="G84" s="24">
        <f t="shared" si="1"/>
        <v>4.2270317377709041</v>
      </c>
      <c r="H84" s="84">
        <f>Table1[[#This Row],[Log(Inflation-adjusted)]]-G83</f>
        <v>7.5688562573148488E-3</v>
      </c>
      <c r="I84" s="83">
        <f t="shared" si="3"/>
        <v>-7.3953248238898261E-2</v>
      </c>
      <c r="J84" s="22"/>
    </row>
    <row r="85" spans="2:10" ht="16.2" x14ac:dyDescent="0.45">
      <c r="B85" s="80">
        <v>28856</v>
      </c>
      <c r="C85" s="81">
        <v>0.68500000000000005</v>
      </c>
      <c r="D85" s="81">
        <v>15.5</v>
      </c>
      <c r="E85" s="24">
        <f t="shared" si="0"/>
        <v>2.7408400239252009</v>
      </c>
      <c r="F85" s="81">
        <v>70.459062773722621</v>
      </c>
      <c r="G85" s="24">
        <f t="shared" si="1"/>
        <v>4.2550318712879038</v>
      </c>
      <c r="H85" s="84">
        <f>Table1[[#This Row],[Log(Inflation-adjusted)]]-G84</f>
        <v>2.8000133516999703E-2</v>
      </c>
      <c r="I85" s="83">
        <f t="shared" si="3"/>
        <v>-2.3159283100754102E-2</v>
      </c>
      <c r="J85" s="22"/>
    </row>
    <row r="86" spans="2:10" ht="16.2" x14ac:dyDescent="0.45">
      <c r="B86" s="80">
        <v>28887</v>
      </c>
      <c r="C86" s="81">
        <v>0.69199999999999995</v>
      </c>
      <c r="D86" s="81">
        <v>15.88</v>
      </c>
      <c r="E86" s="24">
        <f t="shared" si="0"/>
        <v>2.7650604558189897</v>
      </c>
      <c r="F86" s="81">
        <v>71.456236531791916</v>
      </c>
      <c r="G86" s="24">
        <f t="shared" si="1"/>
        <v>4.2690851858262491</v>
      </c>
      <c r="H86" s="84">
        <f>Table1[[#This Row],[Log(Inflation-adjusted)]]-G85</f>
        <v>1.4053314538345241E-2</v>
      </c>
      <c r="I86" s="83">
        <f t="shared" si="3"/>
        <v>3.2719095754680794E-3</v>
      </c>
      <c r="J86" s="22"/>
    </row>
    <row r="87" spans="2:10" ht="16.2" x14ac:dyDescent="0.45">
      <c r="B87" s="80">
        <v>28915</v>
      </c>
      <c r="C87" s="81">
        <v>0.69899999999999995</v>
      </c>
      <c r="D87" s="81">
        <v>16.41</v>
      </c>
      <c r="E87" s="24">
        <f t="shared" si="0"/>
        <v>2.7978909051019993</v>
      </c>
      <c r="F87" s="81">
        <v>73.101643433476411</v>
      </c>
      <c r="G87" s="24">
        <f t="shared" si="1"/>
        <v>4.2918508484931177</v>
      </c>
      <c r="H87" s="84">
        <f>Table1[[#This Row],[Log(Inflation-adjusted)]]-G86</f>
        <v>2.2765662666868636E-2</v>
      </c>
      <c r="I87" s="83">
        <f t="shared" si="3"/>
        <v>2.1324497098301087E-2</v>
      </c>
      <c r="J87" s="22"/>
    </row>
    <row r="88" spans="2:10" ht="16.2" x14ac:dyDescent="0.45">
      <c r="B88" s="80">
        <v>28946</v>
      </c>
      <c r="C88" s="81">
        <v>0.70599999999999996</v>
      </c>
      <c r="D88" s="81">
        <v>17.579999999999998</v>
      </c>
      <c r="E88" s="24">
        <f t="shared" si="0"/>
        <v>2.8667618922570308</v>
      </c>
      <c r="F88" s="81">
        <v>77.537162719546743</v>
      </c>
      <c r="G88" s="24">
        <f t="shared" si="1"/>
        <v>4.3507573403887179</v>
      </c>
      <c r="H88" s="84">
        <f>Table1[[#This Row],[Log(Inflation-adjusted)]]-G87</f>
        <v>5.8906491895600155E-2</v>
      </c>
      <c r="I88" s="83">
        <f t="shared" si="3"/>
        <v>9.9822902559369098E-2</v>
      </c>
      <c r="J88" s="22"/>
    </row>
    <row r="89" spans="2:10" ht="16.2" x14ac:dyDescent="0.45">
      <c r="B89" s="80">
        <v>28976</v>
      </c>
      <c r="C89" s="81">
        <v>0.71399999999999997</v>
      </c>
      <c r="D89" s="81">
        <v>19</v>
      </c>
      <c r="E89" s="24">
        <f t="shared" si="0"/>
        <v>2.9444389791664403</v>
      </c>
      <c r="F89" s="81">
        <v>82.861182072829138</v>
      </c>
      <c r="G89" s="24">
        <f t="shared" si="1"/>
        <v>4.4171667024517847</v>
      </c>
      <c r="H89" s="84">
        <f>Table1[[#This Row],[Log(Inflation-adjusted)]]-G88</f>
        <v>6.6409362063066801E-2</v>
      </c>
      <c r="I89" s="83">
        <f t="shared" ref="I89:I152" si="4">G89-G77</f>
        <v>0.16796826672653253</v>
      </c>
      <c r="J89" s="22"/>
    </row>
    <row r="90" spans="2:10" ht="16.2" x14ac:dyDescent="0.45">
      <c r="B90" s="80">
        <v>29007</v>
      </c>
      <c r="C90" s="81">
        <v>0.72199999999999998</v>
      </c>
      <c r="D90" s="81">
        <v>21.03</v>
      </c>
      <c r="E90" s="24">
        <f t="shared" ref="E90:E153" si="5">LN(D90)</f>
        <v>3.0459499897146083</v>
      </c>
      <c r="F90" s="81">
        <v>90.698020886426605</v>
      </c>
      <c r="G90" s="24">
        <f t="shared" ref="G90:G153" si="6">LN(F90)</f>
        <v>4.5075355364467109</v>
      </c>
      <c r="H90" s="84">
        <f>Table1[[#This Row],[Log(Inflation-adjusted)]]-G89</f>
        <v>9.0368833994926234E-2</v>
      </c>
      <c r="I90" s="83">
        <f t="shared" si="4"/>
        <v>0.26399374160609224</v>
      </c>
      <c r="J90" s="22"/>
    </row>
    <row r="91" spans="2:10" ht="16.2" x14ac:dyDescent="0.45">
      <c r="B91" s="80">
        <v>29037</v>
      </c>
      <c r="C91" s="81">
        <v>0.73</v>
      </c>
      <c r="D91" s="81">
        <v>23.09</v>
      </c>
      <c r="E91" s="24">
        <f t="shared" si="5"/>
        <v>3.1393996233664039</v>
      </c>
      <c r="F91" s="81">
        <v>98.491059232876722</v>
      </c>
      <c r="G91" s="24">
        <f t="shared" si="6"/>
        <v>4.5899657748488956</v>
      </c>
      <c r="H91" s="84">
        <f>Table1[[#This Row],[Log(Inflation-adjusted)]]-G90</f>
        <v>8.2430238402184663E-2</v>
      </c>
      <c r="I91" s="83">
        <f t="shared" si="4"/>
        <v>0.35753156852662826</v>
      </c>
      <c r="J91" s="22"/>
    </row>
    <row r="92" spans="2:10" ht="16.2" x14ac:dyDescent="0.45">
      <c r="B92" s="80">
        <v>29068</v>
      </c>
      <c r="C92" s="81">
        <v>0.73699999999999999</v>
      </c>
      <c r="D92" s="81">
        <v>23.98</v>
      </c>
      <c r="E92" s="24">
        <f t="shared" si="5"/>
        <v>3.1772201495993682</v>
      </c>
      <c r="F92" s="81">
        <v>101.31585791044778</v>
      </c>
      <c r="G92" s="24">
        <f t="shared" si="6"/>
        <v>4.6182429430349599</v>
      </c>
      <c r="H92" s="84">
        <f>Table1[[#This Row],[Log(Inflation-adjusted)]]-G91</f>
        <v>2.8277168186064294E-2</v>
      </c>
      <c r="I92" s="83">
        <f t="shared" si="4"/>
        <v>0.39396957518192011</v>
      </c>
      <c r="J92" s="22"/>
    </row>
    <row r="93" spans="2:10" ht="16.2" x14ac:dyDescent="0.45">
      <c r="B93" s="80">
        <v>29099</v>
      </c>
      <c r="C93" s="81">
        <v>0.74399999999999999</v>
      </c>
      <c r="D93" s="81">
        <v>25.06</v>
      </c>
      <c r="E93" s="24">
        <f t="shared" si="5"/>
        <v>3.221272949467922</v>
      </c>
      <c r="F93" s="81">
        <v>104.88270182795699</v>
      </c>
      <c r="G93" s="24">
        <f t="shared" si="6"/>
        <v>4.6528426002597589</v>
      </c>
      <c r="H93" s="84">
        <f>Table1[[#This Row],[Log(Inflation-adjusted)]]-G92</f>
        <v>3.4599657224799074E-2</v>
      </c>
      <c r="I93" s="83">
        <f t="shared" si="4"/>
        <v>0.43280347770849303</v>
      </c>
      <c r="J93" s="22"/>
    </row>
    <row r="94" spans="2:10" ht="16.2" x14ac:dyDescent="0.45">
      <c r="B94" s="80">
        <v>29129</v>
      </c>
      <c r="C94" s="81">
        <v>0.752</v>
      </c>
      <c r="D94" s="81">
        <v>25.05</v>
      </c>
      <c r="E94" s="24">
        <f t="shared" si="5"/>
        <v>3.2208738275308737</v>
      </c>
      <c r="F94" s="81">
        <v>103.7255210106383</v>
      </c>
      <c r="G94" s="24">
        <f t="shared" si="6"/>
        <v>4.6417481892059627</v>
      </c>
      <c r="H94" s="84">
        <f>Table1[[#This Row],[Log(Inflation-adjusted)]]-G93</f>
        <v>-1.1094411053796271E-2</v>
      </c>
      <c r="I94" s="83">
        <f t="shared" si="4"/>
        <v>0.42383242552068268</v>
      </c>
      <c r="J94" s="22"/>
    </row>
    <row r="95" spans="2:10" ht="16.2" x14ac:dyDescent="0.45">
      <c r="B95" s="80">
        <v>29160</v>
      </c>
      <c r="C95" s="81">
        <v>0.76</v>
      </c>
      <c r="D95" s="81">
        <v>27.02</v>
      </c>
      <c r="E95" s="24">
        <f t="shared" si="5"/>
        <v>3.2965773325320527</v>
      </c>
      <c r="F95" s="81">
        <v>110.70506410526315</v>
      </c>
      <c r="G95" s="24">
        <f t="shared" si="6"/>
        <v>4.7068695848766042</v>
      </c>
      <c r="H95" s="84">
        <f>Table1[[#This Row],[Log(Inflation-adjusted)]]-G94</f>
        <v>6.5121395670641569E-2</v>
      </c>
      <c r="I95" s="83">
        <f t="shared" si="4"/>
        <v>0.48740670336301495</v>
      </c>
      <c r="J95" s="22"/>
    </row>
    <row r="96" spans="2:10" ht="16.2" x14ac:dyDescent="0.45">
      <c r="B96" s="80">
        <v>29190</v>
      </c>
      <c r="C96" s="81">
        <v>0.76900000000000002</v>
      </c>
      <c r="D96" s="81">
        <v>28.91</v>
      </c>
      <c r="E96" s="24">
        <f t="shared" si="5"/>
        <v>3.3641875560282548</v>
      </c>
      <c r="F96" s="81">
        <v>117.06241711313393</v>
      </c>
      <c r="G96" s="24">
        <f t="shared" si="6"/>
        <v>4.762707272147539</v>
      </c>
      <c r="H96" s="84">
        <f>Table1[[#This Row],[Log(Inflation-adjusted)]]-G95</f>
        <v>5.5837687270934744E-2</v>
      </c>
      <c r="I96" s="83">
        <f t="shared" si="4"/>
        <v>0.53567553437663484</v>
      </c>
      <c r="J96" s="22"/>
    </row>
    <row r="97" spans="2:10" ht="16.2" x14ac:dyDescent="0.45">
      <c r="B97" s="80">
        <v>29221</v>
      </c>
      <c r="C97" s="81">
        <v>0.78</v>
      </c>
      <c r="D97" s="81">
        <v>30.75</v>
      </c>
      <c r="E97" s="24">
        <f t="shared" si="5"/>
        <v>3.4258899942525267</v>
      </c>
      <c r="F97" s="81">
        <v>122.75699615384615</v>
      </c>
      <c r="G97" s="24">
        <f t="shared" si="6"/>
        <v>4.8102067601938181</v>
      </c>
      <c r="H97" s="84">
        <f>Table1[[#This Row],[Log(Inflation-adjusted)]]-G96</f>
        <v>4.7499488046279126E-2</v>
      </c>
      <c r="I97" s="83">
        <f t="shared" si="4"/>
        <v>0.55517488890591427</v>
      </c>
      <c r="J97" s="22"/>
    </row>
    <row r="98" spans="2:10" ht="16.2" x14ac:dyDescent="0.45">
      <c r="B98" s="80">
        <v>29252</v>
      </c>
      <c r="C98" s="81">
        <v>0.79</v>
      </c>
      <c r="D98" s="81">
        <v>32.4</v>
      </c>
      <c r="E98" s="24">
        <f t="shared" si="5"/>
        <v>3.4781584227982836</v>
      </c>
      <c r="F98" s="81">
        <v>127.70669164556961</v>
      </c>
      <c r="G98" s="24">
        <f t="shared" si="6"/>
        <v>4.8497361629621452</v>
      </c>
      <c r="H98" s="84">
        <f>Table1[[#This Row],[Log(Inflation-adjusted)]]-G97</f>
        <v>3.952940276832706E-2</v>
      </c>
      <c r="I98" s="83">
        <f t="shared" si="4"/>
        <v>0.58065097713589608</v>
      </c>
      <c r="J98" s="22"/>
    </row>
    <row r="99" spans="2:10" ht="16.2" x14ac:dyDescent="0.45">
      <c r="B99" s="80">
        <v>29281</v>
      </c>
      <c r="C99" s="81">
        <v>0.80100000000000005</v>
      </c>
      <c r="D99" s="81">
        <v>33.42</v>
      </c>
      <c r="E99" s="24">
        <f t="shared" si="5"/>
        <v>3.5091545231672479</v>
      </c>
      <c r="F99" s="81">
        <v>129.91810127340824</v>
      </c>
      <c r="G99" s="24">
        <f t="shared" si="6"/>
        <v>4.8669042617238167</v>
      </c>
      <c r="H99" s="84">
        <f>Table1[[#This Row],[Log(Inflation-adjusted)]]-G98</f>
        <v>1.716809876167158E-2</v>
      </c>
      <c r="I99" s="83">
        <f t="shared" si="4"/>
        <v>0.57505341323069903</v>
      </c>
      <c r="J99" s="22"/>
    </row>
    <row r="100" spans="2:10" ht="16.2" x14ac:dyDescent="0.45">
      <c r="B100" s="80">
        <v>29312</v>
      </c>
      <c r="C100" s="81">
        <v>0.80900000000000005</v>
      </c>
      <c r="D100" s="81">
        <v>33.54</v>
      </c>
      <c r="E100" s="24">
        <f t="shared" si="5"/>
        <v>3.5127387563950627</v>
      </c>
      <c r="F100" s="81">
        <v>129.09525270704574</v>
      </c>
      <c r="G100" s="24">
        <f t="shared" si="6"/>
        <v>4.8605505249615</v>
      </c>
      <c r="H100" s="84">
        <f>Table1[[#This Row],[Log(Inflation-adjusted)]]-G99</f>
        <v>-6.353736762316764E-3</v>
      </c>
      <c r="I100" s="83">
        <f t="shared" si="4"/>
        <v>0.50979318457278211</v>
      </c>
      <c r="J100" s="22"/>
    </row>
    <row r="101" spans="2:10" ht="16.2" x14ac:dyDescent="0.45">
      <c r="B101" s="80">
        <v>29342</v>
      </c>
      <c r="C101" s="81">
        <v>0.81699999999999995</v>
      </c>
      <c r="D101" s="81">
        <v>34.33</v>
      </c>
      <c r="E101" s="24">
        <f t="shared" si="5"/>
        <v>3.5360196074696004</v>
      </c>
      <c r="F101" s="81">
        <v>130.842092876377</v>
      </c>
      <c r="G101" s="24">
        <f t="shared" si="6"/>
        <v>4.8739911982345268</v>
      </c>
      <c r="H101" s="84">
        <f>Table1[[#This Row],[Log(Inflation-adjusted)]]-G100</f>
        <v>1.3440673273026782E-2</v>
      </c>
      <c r="I101" s="83">
        <f t="shared" si="4"/>
        <v>0.45682449578274209</v>
      </c>
      <c r="J101" s="22"/>
    </row>
    <row r="102" spans="2:10" ht="16.2" x14ac:dyDescent="0.45">
      <c r="B102" s="80">
        <v>29373</v>
      </c>
      <c r="C102" s="81">
        <v>0.82499999999999996</v>
      </c>
      <c r="D102" s="81">
        <v>34.479999999999997</v>
      </c>
      <c r="E102" s="24">
        <f t="shared" si="5"/>
        <v>3.5403794457954922</v>
      </c>
      <c r="F102" s="81">
        <v>130.13947306666668</v>
      </c>
      <c r="G102" s="24">
        <f t="shared" si="6"/>
        <v>4.8686067450857404</v>
      </c>
      <c r="H102" s="84">
        <f>Table1[[#This Row],[Log(Inflation-adjusted)]]-G101</f>
        <v>-5.3844531487863279E-3</v>
      </c>
      <c r="I102" s="83">
        <f t="shared" si="4"/>
        <v>0.36107120863902953</v>
      </c>
      <c r="J102" s="22"/>
    </row>
    <row r="103" spans="2:10" ht="16.2" x14ac:dyDescent="0.45">
      <c r="B103" s="80">
        <v>29403</v>
      </c>
      <c r="C103" s="81">
        <v>0.82599999999999996</v>
      </c>
      <c r="D103" s="81">
        <v>34.51</v>
      </c>
      <c r="E103" s="24">
        <f t="shared" si="5"/>
        <v>3.541249137109912</v>
      </c>
      <c r="F103" s="81">
        <v>130.09501254237287</v>
      </c>
      <c r="G103" s="24">
        <f t="shared" si="6"/>
        <v>4.8682650492138624</v>
      </c>
      <c r="H103" s="84">
        <f>Table1[[#This Row],[Log(Inflation-adjusted)]]-G102</f>
        <v>-3.4169587187804495E-4</v>
      </c>
      <c r="I103" s="83">
        <f t="shared" si="4"/>
        <v>0.27829927436496682</v>
      </c>
      <c r="J103" s="22"/>
    </row>
    <row r="104" spans="2:10" ht="16.2" x14ac:dyDescent="0.45">
      <c r="B104" s="80">
        <v>29434</v>
      </c>
      <c r="C104" s="81">
        <v>0.83199999999999996</v>
      </c>
      <c r="D104" s="81">
        <v>34.44</v>
      </c>
      <c r="E104" s="24">
        <f t="shared" si="5"/>
        <v>3.53921867955953</v>
      </c>
      <c r="F104" s="81">
        <v>128.89484596153846</v>
      </c>
      <c r="G104" s="24">
        <f t="shared" si="6"/>
        <v>4.8589969243632503</v>
      </c>
      <c r="H104" s="84">
        <f>Table1[[#This Row],[Log(Inflation-adjusted)]]-G103</f>
        <v>-9.268124850612125E-3</v>
      </c>
      <c r="I104" s="83">
        <f t="shared" si="4"/>
        <v>0.2407539813282904</v>
      </c>
      <c r="J104" s="22"/>
    </row>
    <row r="105" spans="2:10" ht="16.2" x14ac:dyDescent="0.45">
      <c r="B105" s="80">
        <v>29465</v>
      </c>
      <c r="C105" s="81">
        <v>0.83899999999999997</v>
      </c>
      <c r="D105" s="81">
        <v>34.46</v>
      </c>
      <c r="E105" s="24">
        <f t="shared" si="5"/>
        <v>3.5397992310997837</v>
      </c>
      <c r="F105" s="81">
        <v>127.89366932061981</v>
      </c>
      <c r="G105" s="24">
        <f t="shared" si="6"/>
        <v>4.8511992102575059</v>
      </c>
      <c r="H105" s="84">
        <f>Table1[[#This Row],[Log(Inflation-adjusted)]]-G104</f>
        <v>-7.7977141057443689E-3</v>
      </c>
      <c r="I105" s="83">
        <f t="shared" si="4"/>
        <v>0.19835660999774696</v>
      </c>
      <c r="J105" s="22"/>
    </row>
    <row r="106" spans="2:10" ht="16.2" x14ac:dyDescent="0.45">
      <c r="B106" s="80">
        <v>29495</v>
      </c>
      <c r="C106" s="81">
        <v>0.84699999999999998</v>
      </c>
      <c r="D106" s="81">
        <v>34.630000000000003</v>
      </c>
      <c r="E106" s="24">
        <f t="shared" si="5"/>
        <v>3.5447203584143305</v>
      </c>
      <c r="F106" s="81">
        <v>127.31067376623378</v>
      </c>
      <c r="G106" s="24">
        <f t="shared" si="6"/>
        <v>4.8466303493872047</v>
      </c>
      <c r="H106" s="84">
        <f>Table1[[#This Row],[Log(Inflation-adjusted)]]-G105</f>
        <v>-4.5688608703011724E-3</v>
      </c>
      <c r="I106" s="83">
        <f t="shared" si="4"/>
        <v>0.20488216018124206</v>
      </c>
      <c r="J106" s="22"/>
    </row>
    <row r="107" spans="2:10" ht="16.2" x14ac:dyDescent="0.45">
      <c r="B107" s="80">
        <v>29526</v>
      </c>
      <c r="C107" s="81">
        <v>0.85599999999999998</v>
      </c>
      <c r="D107" s="81">
        <v>35.090000000000003</v>
      </c>
      <c r="E107" s="24">
        <f t="shared" si="5"/>
        <v>3.5579161895951237</v>
      </c>
      <c r="F107" s="81">
        <v>127.64545004672898</v>
      </c>
      <c r="G107" s="24">
        <f t="shared" si="6"/>
        <v>4.8492564990783107</v>
      </c>
      <c r="H107" s="84">
        <f>Table1[[#This Row],[Log(Inflation-adjusted)]]-G106</f>
        <v>2.6261496911059723E-3</v>
      </c>
      <c r="I107" s="83">
        <f t="shared" si="4"/>
        <v>0.14238691420170646</v>
      </c>
      <c r="J107" s="22"/>
    </row>
    <row r="108" spans="2:10" ht="16.2" x14ac:dyDescent="0.45">
      <c r="B108" s="80">
        <v>29556</v>
      </c>
      <c r="C108" s="81">
        <v>0.86399999999999999</v>
      </c>
      <c r="D108" s="81">
        <v>35.630000000000003</v>
      </c>
      <c r="E108" s="24">
        <f t="shared" si="5"/>
        <v>3.5731879796177446</v>
      </c>
      <c r="F108" s="81">
        <v>128.40969523148149</v>
      </c>
      <c r="G108" s="24">
        <f t="shared" si="6"/>
        <v>4.8552258964386175</v>
      </c>
      <c r="H108" s="84">
        <f>Table1[[#This Row],[Log(Inflation-adjusted)]]-G107</f>
        <v>5.9693973603067718E-3</v>
      </c>
      <c r="I108" s="83">
        <f t="shared" si="4"/>
        <v>9.2518624291078488E-2</v>
      </c>
      <c r="J108" s="22"/>
    </row>
    <row r="109" spans="2:10" ht="16.2" x14ac:dyDescent="0.45">
      <c r="B109" s="80">
        <v>29587</v>
      </c>
      <c r="C109" s="81">
        <v>0.872</v>
      </c>
      <c r="D109" s="81">
        <v>38.85</v>
      </c>
      <c r="E109" s="24">
        <f t="shared" si="5"/>
        <v>3.6597080768136565</v>
      </c>
      <c r="F109" s="81">
        <v>138.72996399082569</v>
      </c>
      <c r="G109" s="24">
        <f t="shared" si="6"/>
        <v>4.9325293385296058</v>
      </c>
      <c r="H109" s="84">
        <f>Table1[[#This Row],[Log(Inflation-adjusted)]]-G108</f>
        <v>7.7303442090988383E-2</v>
      </c>
      <c r="I109" s="83">
        <f t="shared" si="4"/>
        <v>0.12232257833578775</v>
      </c>
      <c r="J109" s="22"/>
    </row>
    <row r="110" spans="2:10" ht="16.2" x14ac:dyDescent="0.45">
      <c r="B110" s="80">
        <v>29618</v>
      </c>
      <c r="C110" s="81">
        <v>0.88</v>
      </c>
      <c r="D110" s="81">
        <v>39</v>
      </c>
      <c r="E110" s="24">
        <f t="shared" si="5"/>
        <v>3.6635616461296463</v>
      </c>
      <c r="F110" s="81">
        <v>137.99955</v>
      </c>
      <c r="G110" s="24">
        <f t="shared" si="6"/>
        <v>4.927250424282323</v>
      </c>
      <c r="H110" s="84">
        <f>Table1[[#This Row],[Log(Inflation-adjusted)]]-G109</f>
        <v>-5.2789142472828843E-3</v>
      </c>
      <c r="I110" s="83">
        <f t="shared" si="4"/>
        <v>7.7514261320177802E-2</v>
      </c>
      <c r="J110" s="22"/>
    </row>
    <row r="111" spans="2:10" ht="16.2" x14ac:dyDescent="0.45">
      <c r="B111" s="80">
        <v>29646</v>
      </c>
      <c r="C111" s="81">
        <v>0.88600000000000001</v>
      </c>
      <c r="D111" s="81">
        <v>38.31</v>
      </c>
      <c r="E111" s="24">
        <f t="shared" si="5"/>
        <v>3.6457109587125576</v>
      </c>
      <c r="F111" s="81">
        <v>134.64001936794583</v>
      </c>
      <c r="G111" s="24">
        <f t="shared" si="6"/>
        <v>4.902604693732405</v>
      </c>
      <c r="H111" s="84">
        <f>Table1[[#This Row],[Log(Inflation-adjusted)]]-G110</f>
        <v>-2.4645730549917921E-2</v>
      </c>
      <c r="I111" s="83">
        <f t="shared" si="4"/>
        <v>3.5700432008588301E-2</v>
      </c>
      <c r="J111" s="22"/>
    </row>
    <row r="112" spans="2:10" ht="16.2" x14ac:dyDescent="0.45">
      <c r="B112" s="80">
        <v>29677</v>
      </c>
      <c r="C112" s="81">
        <v>0.89100000000000001</v>
      </c>
      <c r="D112" s="81">
        <v>38.409999999999997</v>
      </c>
      <c r="E112" s="24">
        <f t="shared" si="5"/>
        <v>3.6483178423578133</v>
      </c>
      <c r="F112" s="81">
        <v>134.23394024691356</v>
      </c>
      <c r="G112" s="24">
        <f t="shared" si="6"/>
        <v>4.8995841005119329</v>
      </c>
      <c r="H112" s="84">
        <f>Table1[[#This Row],[Log(Inflation-adjusted)]]-G111</f>
        <v>-3.0205932204721009E-3</v>
      </c>
      <c r="I112" s="83">
        <f t="shared" si="4"/>
        <v>3.9033575550432964E-2</v>
      </c>
      <c r="J112" s="22"/>
    </row>
    <row r="113" spans="2:10" ht="16.2" x14ac:dyDescent="0.45">
      <c r="B113" s="80">
        <v>29707</v>
      </c>
      <c r="C113" s="81">
        <v>0.89700000000000002</v>
      </c>
      <c r="D113" s="81">
        <v>37.840000000000003</v>
      </c>
      <c r="E113" s="24">
        <f t="shared" si="5"/>
        <v>3.6333667441836774</v>
      </c>
      <c r="F113" s="81">
        <v>131.35736258639912</v>
      </c>
      <c r="G113" s="24">
        <f t="shared" si="6"/>
        <v>4.8779215677498104</v>
      </c>
      <c r="H113" s="84">
        <f>Table1[[#This Row],[Log(Inflation-adjusted)]]-G112</f>
        <v>-2.1662532762122488E-2</v>
      </c>
      <c r="I113" s="83">
        <f t="shared" si="4"/>
        <v>3.9303695152836937E-3</v>
      </c>
      <c r="J113" s="22"/>
    </row>
    <row r="114" spans="2:10" ht="16.2" x14ac:dyDescent="0.45">
      <c r="B114" s="80">
        <v>29738</v>
      </c>
      <c r="C114" s="81">
        <v>0.90500000000000003</v>
      </c>
      <c r="D114" s="81">
        <v>37.03</v>
      </c>
      <c r="E114" s="24">
        <f t="shared" si="5"/>
        <v>3.6117283949255214</v>
      </c>
      <c r="F114" s="81">
        <v>127.40922329281769</v>
      </c>
      <c r="G114" s="24">
        <f t="shared" si="6"/>
        <v>4.8474041368505238</v>
      </c>
      <c r="H114" s="84">
        <f>Table1[[#This Row],[Log(Inflation-adjusted)]]-G113</f>
        <v>-3.0517430899286602E-2</v>
      </c>
      <c r="I114" s="83">
        <f t="shared" si="4"/>
        <v>-2.120260823521658E-2</v>
      </c>
      <c r="J114" s="22"/>
    </row>
    <row r="115" spans="2:10" ht="16.2" x14ac:dyDescent="0.45">
      <c r="B115" s="80">
        <v>29768</v>
      </c>
      <c r="C115" s="81">
        <v>0.91500000000000004</v>
      </c>
      <c r="D115" s="81">
        <v>36.58</v>
      </c>
      <c r="E115" s="24">
        <f t="shared" si="5"/>
        <v>3.5995016429627196</v>
      </c>
      <c r="F115" s="81">
        <v>124.48537801092895</v>
      </c>
      <c r="G115" s="24">
        <f t="shared" si="6"/>
        <v>4.8241882633121271</v>
      </c>
      <c r="H115" s="84">
        <f>Table1[[#This Row],[Log(Inflation-adjusted)]]-G114</f>
        <v>-2.3215873538396714E-2</v>
      </c>
      <c r="I115" s="83">
        <f t="shared" si="4"/>
        <v>-4.4076785901735249E-2</v>
      </c>
      <c r="J115" s="22"/>
    </row>
    <row r="116" spans="2:10" ht="16.2" x14ac:dyDescent="0.45">
      <c r="B116" s="80">
        <v>29799</v>
      </c>
      <c r="C116" s="81">
        <v>0.92200000000000004</v>
      </c>
      <c r="D116" s="81">
        <v>35.82</v>
      </c>
      <c r="E116" s="24">
        <f t="shared" si="5"/>
        <v>3.5785063966325659</v>
      </c>
      <c r="F116" s="81">
        <v>120.97354177874186</v>
      </c>
      <c r="G116" s="24">
        <f t="shared" si="6"/>
        <v>4.7955718587009004</v>
      </c>
      <c r="H116" s="84">
        <f>Table1[[#This Row],[Log(Inflation-adjusted)]]-G115</f>
        <v>-2.861640461122672E-2</v>
      </c>
      <c r="I116" s="83">
        <f t="shared" si="4"/>
        <v>-6.3425065662349844E-2</v>
      </c>
      <c r="J116" s="22"/>
    </row>
    <row r="117" spans="2:10" ht="16.2" x14ac:dyDescent="0.45">
      <c r="B117" s="80">
        <v>29830</v>
      </c>
      <c r="C117" s="81">
        <v>0.93100000000000005</v>
      </c>
      <c r="D117" s="81">
        <v>35.44</v>
      </c>
      <c r="E117" s="24">
        <f t="shared" si="5"/>
        <v>3.5678411257368801</v>
      </c>
      <c r="F117" s="81">
        <v>118.53313409237377</v>
      </c>
      <c r="G117" s="24">
        <f t="shared" si="6"/>
        <v>4.7751925340847414</v>
      </c>
      <c r="H117" s="84">
        <f>Table1[[#This Row],[Log(Inflation-adjusted)]]-G116</f>
        <v>-2.0379324616158989E-2</v>
      </c>
      <c r="I117" s="83">
        <f t="shared" si="4"/>
        <v>-7.6006676172764465E-2</v>
      </c>
      <c r="J117" s="22"/>
    </row>
    <row r="118" spans="2:10" ht="16.2" x14ac:dyDescent="0.45">
      <c r="B118" s="80">
        <v>29860</v>
      </c>
      <c r="C118" s="81">
        <v>0.93400000000000005</v>
      </c>
      <c r="D118" s="81">
        <v>35.43</v>
      </c>
      <c r="E118" s="24">
        <f t="shared" si="5"/>
        <v>3.5675589188773804</v>
      </c>
      <c r="F118" s="81">
        <v>118.11906796573875</v>
      </c>
      <c r="G118" s="24">
        <f t="shared" si="6"/>
        <v>4.7716931662734661</v>
      </c>
      <c r="H118" s="84">
        <f>Table1[[#This Row],[Log(Inflation-adjusted)]]-G117</f>
        <v>-3.4993678112753557E-3</v>
      </c>
      <c r="I118" s="83">
        <f t="shared" si="4"/>
        <v>-7.4937183113738648E-2</v>
      </c>
      <c r="J118" s="22"/>
    </row>
    <row r="119" spans="2:10" ht="16.2" x14ac:dyDescent="0.45">
      <c r="B119" s="80">
        <v>29891</v>
      </c>
      <c r="C119" s="81">
        <v>0.93799999999999994</v>
      </c>
      <c r="D119" s="81">
        <v>36.21</v>
      </c>
      <c r="E119" s="24">
        <f t="shared" si="5"/>
        <v>3.5893353237775498</v>
      </c>
      <c r="F119" s="81">
        <v>120.20469249466953</v>
      </c>
      <c r="G119" s="24">
        <f t="shared" si="6"/>
        <v>4.7891960603962538</v>
      </c>
      <c r="H119" s="84">
        <f>Table1[[#This Row],[Log(Inflation-adjusted)]]-G118</f>
        <v>1.7502894122787716E-2</v>
      </c>
      <c r="I119" s="83">
        <f t="shared" si="4"/>
        <v>-6.0060438682056905E-2</v>
      </c>
      <c r="J119" s="22"/>
    </row>
    <row r="120" spans="2:10" ht="16.2" x14ac:dyDescent="0.45">
      <c r="B120" s="80">
        <v>29921</v>
      </c>
      <c r="C120" s="81">
        <v>0.94099999999999995</v>
      </c>
      <c r="D120" s="81">
        <v>35.950000000000003</v>
      </c>
      <c r="E120" s="24">
        <f t="shared" si="5"/>
        <v>3.5821290841670557</v>
      </c>
      <c r="F120" s="81">
        <v>118.96110967056325</v>
      </c>
      <c r="G120" s="24">
        <f t="shared" si="6"/>
        <v>4.7787966302066049</v>
      </c>
      <c r="H120" s="84">
        <f>Table1[[#This Row],[Log(Inflation-adjusted)]]-G119</f>
        <v>-1.0399430189648839E-2</v>
      </c>
      <c r="I120" s="83">
        <f t="shared" si="4"/>
        <v>-7.6429266232012516E-2</v>
      </c>
      <c r="J120" s="22"/>
    </row>
    <row r="121" spans="2:10" ht="16.2" x14ac:dyDescent="0.45">
      <c r="B121" s="80">
        <v>29952</v>
      </c>
      <c r="C121" s="81">
        <v>0.94399999999999995</v>
      </c>
      <c r="D121" s="81">
        <v>35.54</v>
      </c>
      <c r="E121" s="24">
        <f t="shared" si="5"/>
        <v>3.570658822726505</v>
      </c>
      <c r="F121" s="81">
        <v>117.23064771186442</v>
      </c>
      <c r="G121" s="24">
        <f t="shared" si="6"/>
        <v>4.7641433422059336</v>
      </c>
      <c r="H121" s="84">
        <f>Table1[[#This Row],[Log(Inflation-adjusted)]]-G120</f>
        <v>-1.4653288000671338E-2</v>
      </c>
      <c r="I121" s="83">
        <f t="shared" si="4"/>
        <v>-0.16838599632367224</v>
      </c>
      <c r="J121" s="22"/>
    </row>
    <row r="122" spans="2:10" ht="16.2" x14ac:dyDescent="0.45">
      <c r="B122" s="80">
        <v>29983</v>
      </c>
      <c r="C122" s="81">
        <v>0.94699999999999995</v>
      </c>
      <c r="D122" s="81">
        <v>35.479999999999997</v>
      </c>
      <c r="E122" s="24">
        <f t="shared" si="5"/>
        <v>3.5689691574413787</v>
      </c>
      <c r="F122" s="81">
        <v>116.66198656810981</v>
      </c>
      <c r="G122" s="24">
        <f t="shared" si="6"/>
        <v>4.7592807498802285</v>
      </c>
      <c r="H122" s="84">
        <f>Table1[[#This Row],[Log(Inflation-adjusted)]]-G121</f>
        <v>-4.8625923257050729E-3</v>
      </c>
      <c r="I122" s="83">
        <f t="shared" si="4"/>
        <v>-0.16796967440209443</v>
      </c>
      <c r="J122" s="22"/>
    </row>
    <row r="123" spans="2:10" ht="16.2" x14ac:dyDescent="0.45">
      <c r="B123" s="80">
        <v>30011</v>
      </c>
      <c r="C123" s="81">
        <v>0.94699999999999995</v>
      </c>
      <c r="D123" s="81">
        <v>34.07</v>
      </c>
      <c r="E123" s="24">
        <f t="shared" si="5"/>
        <v>3.5284172316728752</v>
      </c>
      <c r="F123" s="81">
        <v>112.02575767687435</v>
      </c>
      <c r="G123" s="24">
        <f t="shared" si="6"/>
        <v>4.718728824111726</v>
      </c>
      <c r="H123" s="84">
        <f>Table1[[#This Row],[Log(Inflation-adjusted)]]-G122</f>
        <v>-4.0551925768502528E-2</v>
      </c>
      <c r="I123" s="83">
        <f t="shared" si="4"/>
        <v>-0.18387586962067903</v>
      </c>
      <c r="J123" s="22"/>
    </row>
    <row r="124" spans="2:10" ht="16.2" x14ac:dyDescent="0.45">
      <c r="B124" s="80">
        <v>30042</v>
      </c>
      <c r="C124" s="81">
        <v>0.95</v>
      </c>
      <c r="D124" s="81">
        <v>32.82</v>
      </c>
      <c r="E124" s="24">
        <f t="shared" si="5"/>
        <v>3.4910380856619447</v>
      </c>
      <c r="F124" s="81">
        <v>107.57483949473686</v>
      </c>
      <c r="G124" s="24">
        <f t="shared" si="6"/>
        <v>4.6781867866922875</v>
      </c>
      <c r="H124" s="84">
        <f>Table1[[#This Row],[Log(Inflation-adjusted)]]-G123</f>
        <v>-4.0542037419438515E-2</v>
      </c>
      <c r="I124" s="83">
        <f t="shared" si="4"/>
        <v>-0.22139731381964545</v>
      </c>
      <c r="J124" s="22"/>
    </row>
    <row r="125" spans="2:10" ht="16.2" x14ac:dyDescent="0.45">
      <c r="B125" s="80">
        <v>30072</v>
      </c>
      <c r="C125" s="81">
        <v>0.95899999999999996</v>
      </c>
      <c r="D125" s="81">
        <v>32.78</v>
      </c>
      <c r="E125" s="24">
        <f t="shared" si="5"/>
        <v>3.4898185733156835</v>
      </c>
      <c r="F125" s="81">
        <v>106.43539528675706</v>
      </c>
      <c r="G125" s="24">
        <f t="shared" si="6"/>
        <v>4.6675381840571744</v>
      </c>
      <c r="H125" s="84">
        <f>Table1[[#This Row],[Log(Inflation-adjusted)]]-G124</f>
        <v>-1.0648602635113136E-2</v>
      </c>
      <c r="I125" s="83">
        <f t="shared" si="4"/>
        <v>-0.21038338369263609</v>
      </c>
      <c r="J125" s="22"/>
    </row>
    <row r="126" spans="2:10" ht="16.2" x14ac:dyDescent="0.45">
      <c r="B126" s="80">
        <v>30103</v>
      </c>
      <c r="C126" s="81">
        <v>0.97</v>
      </c>
      <c r="D126" s="81">
        <v>33.79</v>
      </c>
      <c r="E126" s="24">
        <f t="shared" si="5"/>
        <v>3.5201649007261984</v>
      </c>
      <c r="F126" s="81">
        <v>108.47063756701031</v>
      </c>
      <c r="G126" s="24">
        <f t="shared" si="6"/>
        <v>4.6864795148536986</v>
      </c>
      <c r="H126" s="84">
        <f>Table1[[#This Row],[Log(Inflation-adjusted)]]-G125</f>
        <v>1.8941330796524269E-2</v>
      </c>
      <c r="I126" s="83">
        <f t="shared" si="4"/>
        <v>-0.16092462199682522</v>
      </c>
      <c r="J126" s="22"/>
    </row>
    <row r="127" spans="2:10" ht="16.2" x14ac:dyDescent="0.45">
      <c r="B127" s="80">
        <v>30133</v>
      </c>
      <c r="C127" s="81">
        <v>0.97499999999999998</v>
      </c>
      <c r="D127" s="81">
        <v>33.44</v>
      </c>
      <c r="E127" s="24">
        <f t="shared" si="5"/>
        <v>3.5097527882165007</v>
      </c>
      <c r="F127" s="81">
        <v>106.7965906051282</v>
      </c>
      <c r="G127" s="24">
        <f t="shared" si="6"/>
        <v>4.6709260028435819</v>
      </c>
      <c r="H127" s="84">
        <f>Table1[[#This Row],[Log(Inflation-adjusted)]]-G126</f>
        <v>-1.5553512010116677E-2</v>
      </c>
      <c r="I127" s="83">
        <f t="shared" si="4"/>
        <v>-0.15326226046854519</v>
      </c>
      <c r="J127" s="22"/>
    </row>
    <row r="128" spans="2:10" ht="16.2" x14ac:dyDescent="0.45">
      <c r="B128" s="80">
        <v>30164</v>
      </c>
      <c r="C128" s="81">
        <v>0.97699999999999998</v>
      </c>
      <c r="D128" s="81">
        <v>32.950000000000003</v>
      </c>
      <c r="E128" s="24">
        <f t="shared" si="5"/>
        <v>3.4949912609485163</v>
      </c>
      <c r="F128" s="81">
        <v>105.016270419652</v>
      </c>
      <c r="G128" s="24">
        <f t="shared" si="6"/>
        <v>4.6541152945306621</v>
      </c>
      <c r="H128" s="84">
        <f>Table1[[#This Row],[Log(Inflation-adjusted)]]-G127</f>
        <v>-1.6810708312919864E-2</v>
      </c>
      <c r="I128" s="83">
        <f t="shared" si="4"/>
        <v>-0.14145656417023833</v>
      </c>
      <c r="J128" s="22"/>
    </row>
    <row r="129" spans="2:20" ht="16.2" x14ac:dyDescent="0.45">
      <c r="B129" s="80">
        <v>30195</v>
      </c>
      <c r="C129" s="81">
        <v>0.97699999999999998</v>
      </c>
      <c r="D129" s="81">
        <v>33.03</v>
      </c>
      <c r="E129" s="24">
        <f t="shared" si="5"/>
        <v>3.4974162394026984</v>
      </c>
      <c r="F129" s="81">
        <v>105.27124163766634</v>
      </c>
      <c r="G129" s="24">
        <f t="shared" si="6"/>
        <v>4.6565402729848442</v>
      </c>
      <c r="H129" s="84">
        <f>Table1[[#This Row],[Log(Inflation-adjusted)]]-G128</f>
        <v>2.4249784541821029E-3</v>
      </c>
      <c r="I129" s="83">
        <f t="shared" si="4"/>
        <v>-0.11865226109989724</v>
      </c>
      <c r="J129" s="22"/>
    </row>
    <row r="130" spans="2:20" ht="16.2" x14ac:dyDescent="0.45">
      <c r="B130" s="80">
        <v>30225</v>
      </c>
      <c r="C130" s="81">
        <v>0.98099999999999998</v>
      </c>
      <c r="D130" s="81">
        <v>33.28</v>
      </c>
      <c r="E130" s="24">
        <f t="shared" si="5"/>
        <v>3.5049566159530077</v>
      </c>
      <c r="F130" s="81">
        <v>105.63553728848115</v>
      </c>
      <c r="G130" s="24">
        <f t="shared" si="6"/>
        <v>4.6599948420125736</v>
      </c>
      <c r="H130" s="84">
        <f>Table1[[#This Row],[Log(Inflation-adjusted)]]-G129</f>
        <v>3.4545690277294483E-3</v>
      </c>
      <c r="I130" s="83">
        <f t="shared" si="4"/>
        <v>-0.11169832426089243</v>
      </c>
      <c r="J130" s="22"/>
    </row>
    <row r="131" spans="2:20" ht="16.2" x14ac:dyDescent="0.45">
      <c r="B131" s="80">
        <v>30256</v>
      </c>
      <c r="C131" s="81">
        <v>0.98</v>
      </c>
      <c r="D131" s="81">
        <v>33.090000000000003</v>
      </c>
      <c r="E131" s="24">
        <f t="shared" si="5"/>
        <v>3.499231121933521</v>
      </c>
      <c r="F131" s="81">
        <v>105.13962575510205</v>
      </c>
      <c r="G131" s="24">
        <f t="shared" si="6"/>
        <v>4.6552892358938314</v>
      </c>
      <c r="H131" s="84">
        <f>Table1[[#This Row],[Log(Inflation-adjusted)]]-G130</f>
        <v>-4.7056061187422671E-3</v>
      </c>
      <c r="I131" s="83">
        <f t="shared" si="4"/>
        <v>-0.13390682450242242</v>
      </c>
      <c r="J131" s="22"/>
    </row>
    <row r="132" spans="2:20" ht="16.2" x14ac:dyDescent="0.45">
      <c r="B132" s="80">
        <v>30286</v>
      </c>
      <c r="C132" s="81">
        <v>0.97699999999999998</v>
      </c>
      <c r="D132" s="81">
        <v>32.85</v>
      </c>
      <c r="E132" s="24">
        <f t="shared" si="5"/>
        <v>3.4919517449306197</v>
      </c>
      <c r="F132" s="81">
        <v>104.69755639713409</v>
      </c>
      <c r="G132" s="24">
        <f t="shared" si="6"/>
        <v>4.651075778512765</v>
      </c>
      <c r="H132" s="84">
        <f>Table1[[#This Row],[Log(Inflation-adjusted)]]-G131</f>
        <v>-4.2134573810663767E-3</v>
      </c>
      <c r="I132" s="83">
        <f t="shared" si="4"/>
        <v>-0.12772085169383995</v>
      </c>
      <c r="J132" s="22"/>
    </row>
    <row r="133" spans="2:20" ht="16.2" x14ac:dyDescent="0.45">
      <c r="B133" s="80">
        <v>30317</v>
      </c>
      <c r="C133" s="81">
        <v>0.97899999999999998</v>
      </c>
      <c r="D133" s="81">
        <v>31.4</v>
      </c>
      <c r="E133" s="24">
        <f t="shared" si="5"/>
        <v>3.4468078929142076</v>
      </c>
      <c r="F133" s="81">
        <v>99.871757303370785</v>
      </c>
      <c r="G133" s="24">
        <f t="shared" si="6"/>
        <v>4.6038869360086254</v>
      </c>
      <c r="H133" s="84">
        <f>Table1[[#This Row],[Log(Inflation-adjusted)]]-G132</f>
        <v>-4.7188842504139572E-2</v>
      </c>
      <c r="I133" s="83">
        <f t="shared" si="4"/>
        <v>-0.16025640619730819</v>
      </c>
      <c r="J133" s="22"/>
    </row>
    <row r="134" spans="2:20" ht="16.2" x14ac:dyDescent="0.45">
      <c r="B134" s="80">
        <v>30348</v>
      </c>
      <c r="C134" s="81">
        <v>0.98</v>
      </c>
      <c r="D134" s="81">
        <v>30.76</v>
      </c>
      <c r="E134" s="24">
        <f t="shared" si="5"/>
        <v>3.4262151446374434</v>
      </c>
      <c r="F134" s="81">
        <v>97.736321795918386</v>
      </c>
      <c r="G134" s="24">
        <f t="shared" si="6"/>
        <v>4.5822732585977546</v>
      </c>
      <c r="H134" s="84">
        <f>Table1[[#This Row],[Log(Inflation-adjusted)]]-G133</f>
        <v>-2.1613677410870835E-2</v>
      </c>
      <c r="I134" s="83">
        <f t="shared" si="4"/>
        <v>-0.17700749128247395</v>
      </c>
      <c r="J134" s="22"/>
    </row>
    <row r="135" spans="2:20" ht="16.2" x14ac:dyDescent="0.45">
      <c r="B135" s="80">
        <v>30376</v>
      </c>
      <c r="C135" s="81">
        <v>0.98099999999999998</v>
      </c>
      <c r="D135" s="81">
        <v>28.43</v>
      </c>
      <c r="E135" s="24">
        <f t="shared" si="5"/>
        <v>3.3474449256629084</v>
      </c>
      <c r="F135" s="81">
        <v>90.240935249745164</v>
      </c>
      <c r="G135" s="24">
        <f t="shared" si="6"/>
        <v>4.5024831517224744</v>
      </c>
      <c r="H135" s="84">
        <f>Table1[[#This Row],[Log(Inflation-adjusted)]]-G134</f>
        <v>-7.9790106875280209E-2</v>
      </c>
      <c r="I135" s="83">
        <f t="shared" si="4"/>
        <v>-0.21624567238925163</v>
      </c>
      <c r="J135" s="22"/>
    </row>
    <row r="136" spans="2:20" ht="16.2" x14ac:dyDescent="0.45">
      <c r="B136" s="80">
        <v>30407</v>
      </c>
      <c r="C136" s="81">
        <v>0.98799999999999999</v>
      </c>
      <c r="D136" s="81">
        <v>27.95</v>
      </c>
      <c r="E136" s="24">
        <f t="shared" si="5"/>
        <v>3.3304171996011083</v>
      </c>
      <c r="F136" s="81">
        <v>88.088781578947376</v>
      </c>
      <c r="G136" s="24">
        <f t="shared" si="6"/>
        <v>4.478345187478169</v>
      </c>
      <c r="H136" s="84">
        <f>Table1[[#This Row],[Log(Inflation-adjusted)]]-G135</f>
        <v>-2.4137964244305365E-2</v>
      </c>
      <c r="I136" s="83">
        <f t="shared" si="4"/>
        <v>-0.19984159921411848</v>
      </c>
      <c r="J136" s="22"/>
      <c r="S136" s="22"/>
      <c r="T136" s="22"/>
    </row>
    <row r="137" spans="2:20" ht="16.2" x14ac:dyDescent="0.45">
      <c r="B137" s="80">
        <v>30437</v>
      </c>
      <c r="C137" s="81">
        <v>0.99199999999999999</v>
      </c>
      <c r="D137" s="81">
        <v>28.53</v>
      </c>
      <c r="E137" s="24">
        <f t="shared" si="5"/>
        <v>3.3509561652254085</v>
      </c>
      <c r="F137" s="81">
        <v>89.554174475806448</v>
      </c>
      <c r="G137" s="24">
        <f t="shared" si="6"/>
        <v>4.4948437435654647</v>
      </c>
      <c r="H137" s="84">
        <f>Table1[[#This Row],[Log(Inflation-adjusted)]]-G136</f>
        <v>1.6498556087295668E-2</v>
      </c>
      <c r="I137" s="83">
        <f t="shared" si="4"/>
        <v>-0.17269444049170968</v>
      </c>
      <c r="J137" s="22"/>
      <c r="S137" s="22"/>
      <c r="T137" s="22"/>
    </row>
    <row r="138" spans="2:20" ht="16.2" x14ac:dyDescent="0.45">
      <c r="B138" s="80">
        <v>30468</v>
      </c>
      <c r="C138" s="81">
        <v>0.99399999999999999</v>
      </c>
      <c r="D138" s="81">
        <v>29.23</v>
      </c>
      <c r="E138" s="24">
        <f t="shared" si="5"/>
        <v>3.3751955791231545</v>
      </c>
      <c r="F138" s="81">
        <v>91.566827243460779</v>
      </c>
      <c r="G138" s="24">
        <f t="shared" si="6"/>
        <v>4.5170690580915096</v>
      </c>
      <c r="H138" s="84">
        <f>Table1[[#This Row],[Log(Inflation-adjusted)]]-G137</f>
        <v>2.2225314526044926E-2</v>
      </c>
      <c r="I138" s="83">
        <f t="shared" si="4"/>
        <v>-0.16941045676218902</v>
      </c>
      <c r="J138" s="22"/>
      <c r="S138" s="22"/>
      <c r="T138" s="22"/>
    </row>
    <row r="139" spans="2:20" ht="16.2" x14ac:dyDescent="0.45">
      <c r="B139" s="80">
        <v>30498</v>
      </c>
      <c r="C139" s="81">
        <v>0.998</v>
      </c>
      <c r="D139" s="81">
        <v>28.76</v>
      </c>
      <c r="E139" s="24">
        <f t="shared" si="5"/>
        <v>3.358985532852846</v>
      </c>
      <c r="F139" s="81">
        <v>89.733390140280576</v>
      </c>
      <c r="G139" s="24">
        <f t="shared" si="6"/>
        <v>4.4968429421663103</v>
      </c>
      <c r="H139" s="84">
        <f>Table1[[#This Row],[Log(Inflation-adjusted)]]-G138</f>
        <v>-2.0226115925199295E-2</v>
      </c>
      <c r="I139" s="83">
        <f t="shared" si="4"/>
        <v>-0.17408306067727164</v>
      </c>
      <c r="J139" s="22"/>
      <c r="S139" s="22"/>
      <c r="T139" s="22"/>
    </row>
    <row r="140" spans="2:20" ht="16.2" x14ac:dyDescent="0.45">
      <c r="B140" s="80">
        <v>30529</v>
      </c>
      <c r="C140" s="81">
        <v>1.0009999999999999</v>
      </c>
      <c r="D140" s="81">
        <v>29.5</v>
      </c>
      <c r="E140" s="24">
        <f t="shared" si="5"/>
        <v>3.3843902633457743</v>
      </c>
      <c r="F140" s="81">
        <v>91.766395604395626</v>
      </c>
      <c r="G140" s="24">
        <f t="shared" si="6"/>
        <v>4.5192461696554824</v>
      </c>
      <c r="H140" s="84">
        <f>Table1[[#This Row],[Log(Inflation-adjusted)]]-G139</f>
        <v>2.2403227489172117E-2</v>
      </c>
      <c r="I140" s="83">
        <f t="shared" si="4"/>
        <v>-0.13486912487517966</v>
      </c>
      <c r="J140" s="22"/>
      <c r="S140" s="22"/>
      <c r="T140" s="22"/>
    </row>
    <row r="141" spans="2:20" ht="16.2" x14ac:dyDescent="0.45">
      <c r="B141" s="80">
        <v>30560</v>
      </c>
      <c r="C141" s="81">
        <v>1.004</v>
      </c>
      <c r="D141" s="81">
        <v>29.54</v>
      </c>
      <c r="E141" s="24">
        <f t="shared" si="5"/>
        <v>3.3857452771032337</v>
      </c>
      <c r="F141" s="81">
        <v>91.616250438247008</v>
      </c>
      <c r="G141" s="24">
        <f t="shared" si="6"/>
        <v>4.517608662476488</v>
      </c>
      <c r="H141" s="84">
        <f>Table1[[#This Row],[Log(Inflation-adjusted)]]-G140</f>
        <v>-1.6375071789944684E-3</v>
      </c>
      <c r="I141" s="83">
        <f t="shared" si="4"/>
        <v>-0.13893161050835623</v>
      </c>
      <c r="J141" s="22"/>
      <c r="S141" s="22"/>
      <c r="T141" s="22"/>
    </row>
    <row r="142" spans="2:20" ht="16.2" x14ac:dyDescent="0.45">
      <c r="B142" s="80">
        <v>30590</v>
      </c>
      <c r="C142" s="81">
        <v>1.008</v>
      </c>
      <c r="D142" s="81">
        <v>29.67</v>
      </c>
      <c r="E142" s="24">
        <f t="shared" si="5"/>
        <v>3.3901364343027307</v>
      </c>
      <c r="F142" s="81">
        <v>91.654279880952387</v>
      </c>
      <c r="G142" s="24">
        <f t="shared" si="6"/>
        <v>4.5180236712963451</v>
      </c>
      <c r="H142" s="84">
        <f>Table1[[#This Row],[Log(Inflation-adjusted)]]-G141</f>
        <v>4.1500881985712113E-4</v>
      </c>
      <c r="I142" s="83">
        <f t="shared" si="4"/>
        <v>-0.14197117071622856</v>
      </c>
      <c r="J142" s="22"/>
      <c r="S142" s="22"/>
      <c r="T142" s="22"/>
    </row>
    <row r="143" spans="2:20" ht="16.2" x14ac:dyDescent="0.45">
      <c r="B143" s="80">
        <v>30621</v>
      </c>
      <c r="C143" s="81">
        <v>1.0109999999999999</v>
      </c>
      <c r="D143" s="81">
        <v>29.09</v>
      </c>
      <c r="E143" s="24">
        <f t="shared" si="5"/>
        <v>3.3703944725071104</v>
      </c>
      <c r="F143" s="81">
        <v>89.595933966369941</v>
      </c>
      <c r="G143" s="24">
        <f t="shared" si="6"/>
        <v>4.4953099391115678</v>
      </c>
      <c r="H143" s="84">
        <f>Table1[[#This Row],[Log(Inflation-adjusted)]]-G142</f>
        <v>-2.2713732184777236E-2</v>
      </c>
      <c r="I143" s="83">
        <f t="shared" si="4"/>
        <v>-0.15997929678226352</v>
      </c>
      <c r="J143" s="22"/>
      <c r="S143" s="22"/>
      <c r="T143" s="22"/>
    </row>
    <row r="144" spans="2:20" ht="16.2" x14ac:dyDescent="0.45">
      <c r="B144" s="80">
        <v>30651</v>
      </c>
      <c r="C144" s="81">
        <v>1.014</v>
      </c>
      <c r="D144" s="81">
        <v>29.3</v>
      </c>
      <c r="E144" s="24">
        <f t="shared" si="5"/>
        <v>3.3775875160230218</v>
      </c>
      <c r="F144" s="81">
        <v>89.9757345167653</v>
      </c>
      <c r="G144" s="24">
        <f t="shared" si="6"/>
        <v>4.4995400174968214</v>
      </c>
      <c r="H144" s="84">
        <f>Table1[[#This Row],[Log(Inflation-adjusted)]]-G143</f>
        <v>4.2300783852535773E-3</v>
      </c>
      <c r="I144" s="83">
        <f t="shared" si="4"/>
        <v>-0.15153576101594357</v>
      </c>
      <c r="S144" s="22"/>
      <c r="T144" s="22"/>
    </row>
    <row r="145" spans="2:20" ht="16.2" x14ac:dyDescent="0.45">
      <c r="B145" s="80">
        <v>30682</v>
      </c>
      <c r="C145" s="81">
        <v>1.0209999999999999</v>
      </c>
      <c r="D145" s="81">
        <v>28.8</v>
      </c>
      <c r="E145" s="24">
        <f t="shared" si="5"/>
        <v>3.3603753871419002</v>
      </c>
      <c r="F145" s="81">
        <v>87.833963565132237</v>
      </c>
      <c r="G145" s="24">
        <f t="shared" si="6"/>
        <v>4.4754482546021634</v>
      </c>
      <c r="H145" s="84">
        <f>Table1[[#This Row],[Log(Inflation-adjusted)]]-G144</f>
        <v>-2.4091762894657975E-2</v>
      </c>
      <c r="I145" s="83">
        <f t="shared" si="4"/>
        <v>-0.12843868140646197</v>
      </c>
      <c r="S145" s="22"/>
      <c r="T145" s="22"/>
    </row>
    <row r="146" spans="2:20" ht="16.2" x14ac:dyDescent="0.45">
      <c r="B146" s="80">
        <v>30713</v>
      </c>
      <c r="C146" s="81">
        <v>1.026</v>
      </c>
      <c r="D146" s="81">
        <v>28.91</v>
      </c>
      <c r="E146" s="24">
        <f t="shared" si="5"/>
        <v>3.3641875560282548</v>
      </c>
      <c r="F146" s="81">
        <v>87.739764873294348</v>
      </c>
      <c r="G146" s="24">
        <f t="shared" si="6"/>
        <v>4.4743752159224686</v>
      </c>
      <c r="H146" s="84">
        <f>Table1[[#This Row],[Log(Inflation-adjusted)]]-G145</f>
        <v>-1.0730386796948821E-3</v>
      </c>
      <c r="I146" s="83">
        <f t="shared" si="4"/>
        <v>-0.10789804267528602</v>
      </c>
      <c r="S146" s="22"/>
      <c r="T146" s="22"/>
    </row>
    <row r="147" spans="2:20" ht="16.2" x14ac:dyDescent="0.45">
      <c r="B147" s="80">
        <v>30742</v>
      </c>
      <c r="C147" s="81">
        <v>1.0289999999999999</v>
      </c>
      <c r="D147" s="81">
        <v>28.95</v>
      </c>
      <c r="E147" s="24">
        <f t="shared" si="5"/>
        <v>3.3655702040190043</v>
      </c>
      <c r="F147" s="81">
        <v>87.605006997084558</v>
      </c>
      <c r="G147" s="24">
        <f t="shared" si="6"/>
        <v>4.4728381538098834</v>
      </c>
      <c r="H147" s="84">
        <f>Table1[[#This Row],[Log(Inflation-adjusted)]]-G146</f>
        <v>-1.5370621125851969E-3</v>
      </c>
      <c r="I147" s="83">
        <f t="shared" si="4"/>
        <v>-2.9644997912591009E-2</v>
      </c>
      <c r="S147" s="22"/>
      <c r="T147" s="22"/>
    </row>
    <row r="148" spans="2:20" ht="16.2" x14ac:dyDescent="0.45">
      <c r="B148" s="80">
        <v>30773</v>
      </c>
      <c r="C148" s="81">
        <v>1.0329999999999999</v>
      </c>
      <c r="D148" s="81">
        <v>29.11</v>
      </c>
      <c r="E148" s="24">
        <f t="shared" si="5"/>
        <v>3.371081757757532</v>
      </c>
      <c r="F148" s="81">
        <v>87.748079341723141</v>
      </c>
      <c r="G148" s="24">
        <f t="shared" si="6"/>
        <v>4.4744699742628216</v>
      </c>
      <c r="H148" s="84">
        <f>Table1[[#This Row],[Log(Inflation-adjusted)]]-G147</f>
        <v>1.631820452938193E-3</v>
      </c>
      <c r="I148" s="83">
        <f t="shared" si="4"/>
        <v>-3.8752132153474506E-3</v>
      </c>
      <c r="S148" s="22"/>
      <c r="T148" s="22"/>
    </row>
    <row r="149" spans="2:20" ht="16.2" x14ac:dyDescent="0.45">
      <c r="B149" s="80">
        <v>30803</v>
      </c>
      <c r="C149" s="81">
        <v>1.0349999999999999</v>
      </c>
      <c r="D149" s="81">
        <v>29.26</v>
      </c>
      <c r="E149" s="24">
        <f t="shared" si="5"/>
        <v>3.3762213955919784</v>
      </c>
      <c r="F149" s="81">
        <v>88.029798415458956</v>
      </c>
      <c r="G149" s="24">
        <f t="shared" si="6"/>
        <v>4.4776753755174372</v>
      </c>
      <c r="H149" s="84">
        <f>Table1[[#This Row],[Log(Inflation-adjusted)]]-G148</f>
        <v>3.2054012546156585E-3</v>
      </c>
      <c r="I149" s="83">
        <f t="shared" si="4"/>
        <v>-1.716836804802746E-2</v>
      </c>
      <c r="S149" s="22"/>
      <c r="T149" s="22"/>
    </row>
    <row r="150" spans="2:20" ht="16.2" x14ac:dyDescent="0.45">
      <c r="B150" s="80">
        <v>30834</v>
      </c>
      <c r="C150" s="81">
        <v>1.0369999999999999</v>
      </c>
      <c r="D150" s="81">
        <v>29.19</v>
      </c>
      <c r="E150" s="24">
        <f t="shared" si="5"/>
        <v>3.3738261848660236</v>
      </c>
      <c r="F150" s="81">
        <v>87.649829161041481</v>
      </c>
      <c r="G150" s="24">
        <f t="shared" si="6"/>
        <v>4.4733496622614251</v>
      </c>
      <c r="H150" s="84">
        <f>Table1[[#This Row],[Log(Inflation-adjusted)]]-G149</f>
        <v>-4.3257132560121647E-3</v>
      </c>
      <c r="I150" s="83">
        <f t="shared" si="4"/>
        <v>-4.3719395830084551E-2</v>
      </c>
      <c r="S150" s="22"/>
      <c r="T150" s="22"/>
    </row>
    <row r="151" spans="2:20" ht="16.2" x14ac:dyDescent="0.45">
      <c r="B151" s="80">
        <v>30864</v>
      </c>
      <c r="C151" s="81">
        <v>1.0409999999999999</v>
      </c>
      <c r="D151" s="81">
        <v>29</v>
      </c>
      <c r="E151" s="24">
        <f t="shared" si="5"/>
        <v>3.3672958299864741</v>
      </c>
      <c r="F151" s="81">
        <v>86.744710854947172</v>
      </c>
      <c r="G151" s="24">
        <f t="shared" si="6"/>
        <v>4.4629694469964338</v>
      </c>
      <c r="H151" s="84">
        <f>Table1[[#This Row],[Log(Inflation-adjusted)]]-G150</f>
        <v>-1.0380215264991222E-2</v>
      </c>
      <c r="I151" s="83">
        <f t="shared" si="4"/>
        <v>-3.3873495169876477E-2</v>
      </c>
      <c r="S151" s="22"/>
      <c r="T151" s="22"/>
    </row>
    <row r="152" spans="2:20" ht="16.2" x14ac:dyDescent="0.45">
      <c r="B152" s="80">
        <v>30895</v>
      </c>
      <c r="C152" s="81">
        <v>1.044</v>
      </c>
      <c r="D152" s="81">
        <v>28.92</v>
      </c>
      <c r="E152" s="24">
        <f t="shared" si="5"/>
        <v>3.3645333972905638</v>
      </c>
      <c r="F152" s="81">
        <v>86.256836321839089</v>
      </c>
      <c r="G152" s="24">
        <f t="shared" si="6"/>
        <v>4.4573293144729087</v>
      </c>
      <c r="H152" s="84">
        <f>Table1[[#This Row],[Log(Inflation-adjusted)]]-G151</f>
        <v>-5.6401325235251321E-3</v>
      </c>
      <c r="I152" s="83">
        <f t="shared" si="4"/>
        <v>-6.1916855182573727E-2</v>
      </c>
      <c r="S152" s="22"/>
      <c r="T152" s="22"/>
    </row>
    <row r="153" spans="2:20" ht="16.2" x14ac:dyDescent="0.45">
      <c r="B153" s="80">
        <v>30926</v>
      </c>
      <c r="C153" s="81">
        <v>1.0469999999999999</v>
      </c>
      <c r="D153" s="81">
        <v>28.7</v>
      </c>
      <c r="E153" s="24">
        <f t="shared" si="5"/>
        <v>3.3568971227655755</v>
      </c>
      <c r="F153" s="81">
        <v>85.355389875835726</v>
      </c>
      <c r="G153" s="24">
        <f t="shared" si="6"/>
        <v>4.446823597519967</v>
      </c>
      <c r="H153" s="84">
        <f>Table1[[#This Row],[Log(Inflation-adjusted)]]-G152</f>
        <v>-1.0505716952941668E-2</v>
      </c>
      <c r="I153" s="83">
        <f t="shared" ref="I153:I216" si="7">G153-G141</f>
        <v>-7.0785064956520927E-2</v>
      </c>
      <c r="S153" s="22"/>
      <c r="T153" s="22"/>
    </row>
    <row r="154" spans="2:20" ht="16.2" x14ac:dyDescent="0.45">
      <c r="B154" s="80">
        <v>30956</v>
      </c>
      <c r="C154" s="81">
        <v>1.0509999999999999</v>
      </c>
      <c r="D154" s="81">
        <v>28.79</v>
      </c>
      <c r="E154" s="24">
        <f t="shared" ref="E154:E217" si="8">LN(D154)</f>
        <v>3.3600281046240843</v>
      </c>
      <c r="F154" s="81">
        <v>85.297182150333015</v>
      </c>
      <c r="G154" s="24">
        <f t="shared" ref="G154:G217" si="9">LN(F154)</f>
        <v>4.4461414193720623</v>
      </c>
      <c r="H154" s="84">
        <f>Table1[[#This Row],[Log(Inflation-adjusted)]]-G153</f>
        <v>-6.8217814790472175E-4</v>
      </c>
      <c r="I154" s="83">
        <f t="shared" si="7"/>
        <v>-7.188225192428277E-2</v>
      </c>
      <c r="S154" s="22"/>
      <c r="T154" s="22"/>
    </row>
    <row r="155" spans="2:20" ht="16.2" x14ac:dyDescent="0.45">
      <c r="B155" s="80">
        <v>30987</v>
      </c>
      <c r="C155" s="81">
        <v>1.0529999999999999</v>
      </c>
      <c r="D155" s="81">
        <v>28.74</v>
      </c>
      <c r="E155" s="24">
        <f t="shared" si="8"/>
        <v>3.358289880650879</v>
      </c>
      <c r="F155" s="81">
        <v>84.987318746438746</v>
      </c>
      <c r="G155" s="24">
        <f t="shared" si="9"/>
        <v>4.4425020541418316</v>
      </c>
      <c r="H155" s="84">
        <f>Table1[[#This Row],[Log(Inflation-adjusted)]]-G154</f>
        <v>-3.6393652302306734E-3</v>
      </c>
      <c r="I155" s="83">
        <f t="shared" si="7"/>
        <v>-5.2807884969736207E-2</v>
      </c>
      <c r="S155" s="22"/>
      <c r="T155" s="22"/>
    </row>
    <row r="156" spans="2:20" ht="16.2" x14ac:dyDescent="0.45">
      <c r="B156" s="80">
        <v>31017</v>
      </c>
      <c r="C156" s="81">
        <v>1.0549999999999999</v>
      </c>
      <c r="D156" s="81">
        <v>28.02</v>
      </c>
      <c r="E156" s="24">
        <f t="shared" si="8"/>
        <v>3.3329185409088611</v>
      </c>
      <c r="F156" s="81">
        <v>82.701122957345987</v>
      </c>
      <c r="G156" s="24">
        <f t="shared" si="9"/>
        <v>4.4152331806236225</v>
      </c>
      <c r="H156" s="84">
        <f>Table1[[#This Row],[Log(Inflation-adjusted)]]-G155</f>
        <v>-2.7268873518209169E-2</v>
      </c>
      <c r="I156" s="83">
        <f t="shared" si="7"/>
        <v>-8.4306836873198954E-2</v>
      </c>
      <c r="S156" s="22"/>
      <c r="T156" s="22"/>
    </row>
    <row r="157" spans="2:20" ht="16.2" x14ac:dyDescent="0.45">
      <c r="B157" s="80">
        <v>31048</v>
      </c>
      <c r="C157" s="81">
        <v>1.0569999999999999</v>
      </c>
      <c r="D157" s="81">
        <v>27.49</v>
      </c>
      <c r="E157" s="24">
        <f t="shared" si="8"/>
        <v>3.3138223021771545</v>
      </c>
      <c r="F157" s="81">
        <v>80.983303349101234</v>
      </c>
      <c r="G157" s="24">
        <f t="shared" si="9"/>
        <v>4.3942430019318452</v>
      </c>
      <c r="H157" s="84">
        <f>Table1[[#This Row],[Log(Inflation-adjusted)]]-G156</f>
        <v>-2.0990178691777217E-2</v>
      </c>
      <c r="I157" s="83">
        <f t="shared" si="7"/>
        <v>-8.1205252670318195E-2</v>
      </c>
      <c r="S157" s="22"/>
      <c r="T157" s="22"/>
    </row>
    <row r="158" spans="2:20" ht="16.2" x14ac:dyDescent="0.45">
      <c r="B158" s="80">
        <v>31079</v>
      </c>
      <c r="C158" s="81">
        <v>1.0629999999999999</v>
      </c>
      <c r="D158" s="81">
        <v>26.99</v>
      </c>
      <c r="E158" s="24">
        <f t="shared" si="8"/>
        <v>3.2954664270299134</v>
      </c>
      <c r="F158" s="81">
        <v>79.061555634995301</v>
      </c>
      <c r="G158" s="24">
        <f t="shared" si="9"/>
        <v>4.3702267343128938</v>
      </c>
      <c r="H158" s="84">
        <f>Table1[[#This Row],[Log(Inflation-adjusted)]]-G157</f>
        <v>-2.4016267618951481E-2</v>
      </c>
      <c r="I158" s="83">
        <f t="shared" si="7"/>
        <v>-0.10414848160957479</v>
      </c>
      <c r="S158" s="22"/>
      <c r="T158" s="22"/>
    </row>
    <row r="159" spans="2:20" ht="16.2" x14ac:dyDescent="0.45">
      <c r="B159" s="80">
        <v>31107</v>
      </c>
      <c r="C159" s="81">
        <v>1.0680000000000001</v>
      </c>
      <c r="D159" s="81">
        <v>27.2</v>
      </c>
      <c r="E159" s="24">
        <f t="shared" si="8"/>
        <v>3.3032169733019514</v>
      </c>
      <c r="F159" s="81">
        <v>79.303688389513098</v>
      </c>
      <c r="G159" s="24">
        <f t="shared" si="9"/>
        <v>4.3732846394067399</v>
      </c>
      <c r="H159" s="84">
        <f>Table1[[#This Row],[Log(Inflation-adjusted)]]-G158</f>
        <v>3.0579050938461805E-3</v>
      </c>
      <c r="I159" s="83">
        <f t="shared" si="7"/>
        <v>-9.9553514403143417E-2</v>
      </c>
      <c r="S159" s="22"/>
      <c r="T159" s="22"/>
    </row>
    <row r="160" spans="2:20" ht="16.2" x14ac:dyDescent="0.45">
      <c r="B160" s="80">
        <v>31138</v>
      </c>
      <c r="C160" s="81">
        <v>1.07</v>
      </c>
      <c r="D160" s="81">
        <v>27.59</v>
      </c>
      <c r="E160" s="24">
        <f t="shared" si="8"/>
        <v>3.3174533882291946</v>
      </c>
      <c r="F160" s="81">
        <v>80.290406766355133</v>
      </c>
      <c r="G160" s="24">
        <f t="shared" si="9"/>
        <v>4.385650146398171</v>
      </c>
      <c r="H160" s="84">
        <f>Table1[[#This Row],[Log(Inflation-adjusted)]]-G159</f>
        <v>1.2365506991431019E-2</v>
      </c>
      <c r="I160" s="83">
        <f t="shared" si="7"/>
        <v>-8.8819827864650591E-2</v>
      </c>
      <c r="S160" s="22"/>
      <c r="T160" s="22"/>
    </row>
    <row r="161" spans="2:20" ht="16.2" x14ac:dyDescent="0.45">
      <c r="B161" s="80">
        <v>31168</v>
      </c>
      <c r="C161" s="81">
        <v>1.0720000000000001</v>
      </c>
      <c r="D161" s="81">
        <v>27.6</v>
      </c>
      <c r="E161" s="24">
        <f t="shared" si="8"/>
        <v>3.3178157727231046</v>
      </c>
      <c r="F161" s="81">
        <v>80.169658208955227</v>
      </c>
      <c r="G161" s="24">
        <f t="shared" si="9"/>
        <v>4.3841451167172858</v>
      </c>
      <c r="H161" s="84">
        <f>Table1[[#This Row],[Log(Inflation-adjusted)]]-G160</f>
        <v>-1.5050296808851726E-3</v>
      </c>
      <c r="I161" s="83">
        <f t="shared" si="7"/>
        <v>-9.3530258800151422E-2</v>
      </c>
      <c r="S161" s="22"/>
      <c r="T161" s="22"/>
    </row>
    <row r="162" spans="2:20" ht="16.2" x14ac:dyDescent="0.45">
      <c r="B162" s="80">
        <v>31199</v>
      </c>
      <c r="C162" s="81">
        <v>1.075</v>
      </c>
      <c r="D162" s="81">
        <v>27.25</v>
      </c>
      <c r="E162" s="24">
        <f t="shared" si="8"/>
        <v>3.3050535211092531</v>
      </c>
      <c r="F162" s="81">
        <v>78.932121860465116</v>
      </c>
      <c r="G162" s="24">
        <f t="shared" si="9"/>
        <v>4.3685882661724182</v>
      </c>
      <c r="H162" s="84">
        <f>Table1[[#This Row],[Log(Inflation-adjusted)]]-G161</f>
        <v>-1.5556850544867551E-2</v>
      </c>
      <c r="I162" s="83">
        <f t="shared" si="7"/>
        <v>-0.10476139608900681</v>
      </c>
      <c r="S162" s="22"/>
      <c r="T162" s="22"/>
    </row>
    <row r="163" spans="2:20" ht="16.2" x14ac:dyDescent="0.45">
      <c r="B163" s="80">
        <v>31229</v>
      </c>
      <c r="C163" s="81">
        <v>1.077</v>
      </c>
      <c r="D163" s="81">
        <v>26.57</v>
      </c>
      <c r="E163" s="24">
        <f t="shared" si="8"/>
        <v>3.279782759771722</v>
      </c>
      <c r="F163" s="81">
        <v>76.819519517177355</v>
      </c>
      <c r="G163" s="24">
        <f t="shared" si="9"/>
        <v>4.3414587682402619</v>
      </c>
      <c r="H163" s="84">
        <f>Table1[[#This Row],[Log(Inflation-adjusted)]]-G162</f>
        <v>-2.7129497932156355E-2</v>
      </c>
      <c r="I163" s="83">
        <f t="shared" si="7"/>
        <v>-0.12151067875617194</v>
      </c>
      <c r="S163" s="22"/>
      <c r="T163" s="22"/>
    </row>
    <row r="164" spans="2:20" ht="16.2" x14ac:dyDescent="0.45">
      <c r="B164" s="80">
        <v>31260</v>
      </c>
      <c r="C164" s="81">
        <v>1.079</v>
      </c>
      <c r="D164" s="81">
        <v>26.61</v>
      </c>
      <c r="E164" s="24">
        <f t="shared" si="8"/>
        <v>3.2812870849895979</v>
      </c>
      <c r="F164" s="81">
        <v>76.792563447636709</v>
      </c>
      <c r="G164" s="24">
        <f t="shared" si="9"/>
        <v>4.3411078053563914</v>
      </c>
      <c r="H164" s="84">
        <f>Table1[[#This Row],[Log(Inflation-adjusted)]]-G163</f>
        <v>-3.5096288387048702E-4</v>
      </c>
      <c r="I164" s="83">
        <f t="shared" si="7"/>
        <v>-0.1162215091165173</v>
      </c>
      <c r="S164" s="22"/>
      <c r="T164" s="22"/>
    </row>
    <row r="165" spans="2:20" ht="16.2" x14ac:dyDescent="0.45">
      <c r="B165" s="80">
        <v>31291</v>
      </c>
      <c r="C165" s="81">
        <v>1.081</v>
      </c>
      <c r="D165" s="81">
        <v>26.56</v>
      </c>
      <c r="E165" s="24">
        <f t="shared" si="8"/>
        <v>3.279406324608233</v>
      </c>
      <c r="F165" s="81">
        <v>76.506460832562453</v>
      </c>
      <c r="G165" s="24">
        <f t="shared" si="9"/>
        <v>4.3373751925939539</v>
      </c>
      <c r="H165" s="84">
        <f>Table1[[#This Row],[Log(Inflation-adjusted)]]-G164</f>
        <v>-3.732612762437526E-3</v>
      </c>
      <c r="I165" s="83">
        <f t="shared" si="7"/>
        <v>-0.10944840492601315</v>
      </c>
      <c r="S165" s="22"/>
      <c r="T165" s="22"/>
    </row>
    <row r="166" spans="2:20" ht="16.2" x14ac:dyDescent="0.45">
      <c r="B166" s="80">
        <v>31321</v>
      </c>
      <c r="C166" s="81">
        <v>1.085</v>
      </c>
      <c r="D166" s="81">
        <v>26.79</v>
      </c>
      <c r="E166" s="24">
        <f t="shared" si="8"/>
        <v>3.2880286835565173</v>
      </c>
      <c r="F166" s="81">
        <v>76.884485198156682</v>
      </c>
      <c r="G166" s="24">
        <f t="shared" si="9"/>
        <v>4.3423041032068861</v>
      </c>
      <c r="H166" s="84">
        <f>Table1[[#This Row],[Log(Inflation-adjusted)]]-G165</f>
        <v>4.9289106129322136E-3</v>
      </c>
      <c r="I166" s="83">
        <f t="shared" si="7"/>
        <v>-0.10383731616517622</v>
      </c>
      <c r="S166" s="22"/>
      <c r="T166" s="22"/>
    </row>
    <row r="167" spans="2:20" ht="16.2" x14ac:dyDescent="0.45">
      <c r="B167" s="80">
        <v>31352</v>
      </c>
      <c r="C167" s="81">
        <v>1.0900000000000001</v>
      </c>
      <c r="D167" s="81">
        <v>27.12</v>
      </c>
      <c r="E167" s="24">
        <f t="shared" si="8"/>
        <v>3.3002714630721948</v>
      </c>
      <c r="F167" s="81">
        <v>77.474525064220174</v>
      </c>
      <c r="G167" s="24">
        <f t="shared" si="9"/>
        <v>4.3499491734739335</v>
      </c>
      <c r="H167" s="84">
        <f>Table1[[#This Row],[Log(Inflation-adjusted)]]-G166</f>
        <v>7.6450702670474158E-3</v>
      </c>
      <c r="I167" s="83">
        <f t="shared" si="7"/>
        <v>-9.255288066789813E-2</v>
      </c>
      <c r="S167" s="22"/>
      <c r="T167" s="22"/>
    </row>
    <row r="168" spans="2:20" ht="16.2" x14ac:dyDescent="0.45">
      <c r="B168" s="80">
        <v>31382</v>
      </c>
      <c r="C168" s="81">
        <v>1.095</v>
      </c>
      <c r="D168" s="81">
        <v>26.21</v>
      </c>
      <c r="E168" s="24">
        <f t="shared" si="8"/>
        <v>3.2661410173353151</v>
      </c>
      <c r="F168" s="81">
        <v>74.533005990867579</v>
      </c>
      <c r="G168" s="24">
        <f t="shared" si="9"/>
        <v>4.3112420607096427</v>
      </c>
      <c r="H168" s="84">
        <f>Table1[[#This Row],[Log(Inflation-adjusted)]]-G167</f>
        <v>-3.8707112764290841E-2</v>
      </c>
      <c r="I168" s="83">
        <f t="shared" si="7"/>
        <v>-0.1039911199139798</v>
      </c>
      <c r="S168" s="22"/>
      <c r="T168" s="22"/>
    </row>
    <row r="169" spans="2:20" ht="16.2" x14ac:dyDescent="0.45">
      <c r="B169" s="80">
        <v>31413</v>
      </c>
      <c r="C169" s="81">
        <v>1.099</v>
      </c>
      <c r="D169" s="81">
        <v>24.93</v>
      </c>
      <c r="E169" s="24">
        <f t="shared" si="8"/>
        <v>3.2160718975354663</v>
      </c>
      <c r="F169" s="81">
        <v>70.635060491355787</v>
      </c>
      <c r="G169" s="24">
        <f t="shared" si="9"/>
        <v>4.2575266287567741</v>
      </c>
      <c r="H169" s="84">
        <f>Table1[[#This Row],[Log(Inflation-adjusted)]]-G168</f>
        <v>-5.3715431952868542E-2</v>
      </c>
      <c r="I169" s="83">
        <f t="shared" si="7"/>
        <v>-0.13671637317507113</v>
      </c>
      <c r="S169" s="22"/>
      <c r="T169" s="22"/>
    </row>
    <row r="170" spans="2:20" ht="16.2" x14ac:dyDescent="0.45">
      <c r="B170" s="80">
        <v>31444</v>
      </c>
      <c r="C170" s="81">
        <v>1.097</v>
      </c>
      <c r="D170" s="81">
        <v>18.11</v>
      </c>
      <c r="E170" s="24">
        <f t="shared" si="8"/>
        <v>2.8964642718953222</v>
      </c>
      <c r="F170" s="81">
        <v>51.405259762989971</v>
      </c>
      <c r="G170" s="24">
        <f t="shared" si="9"/>
        <v>3.9397404972450203</v>
      </c>
      <c r="H170" s="84">
        <f>Table1[[#This Row],[Log(Inflation-adjusted)]]-G169</f>
        <v>-0.31778613151175383</v>
      </c>
      <c r="I170" s="83">
        <f t="shared" si="7"/>
        <v>-0.43048623706787348</v>
      </c>
      <c r="S170" s="22"/>
      <c r="T170" s="22"/>
    </row>
    <row r="171" spans="2:20" ht="16.2" x14ac:dyDescent="0.45">
      <c r="B171" s="80">
        <v>31472</v>
      </c>
      <c r="C171" s="81">
        <v>1.091</v>
      </c>
      <c r="D171" s="81">
        <v>14.22</v>
      </c>
      <c r="E171" s="24">
        <f t="shared" si="8"/>
        <v>2.6546494243750947</v>
      </c>
      <c r="F171" s="81">
        <v>40.585470137488542</v>
      </c>
      <c r="G171" s="24">
        <f t="shared" si="9"/>
        <v>3.7034101241669526</v>
      </c>
      <c r="H171" s="84">
        <f>Table1[[#This Row],[Log(Inflation-adjusted)]]-G170</f>
        <v>-0.2363303730780677</v>
      </c>
      <c r="I171" s="83">
        <f t="shared" si="7"/>
        <v>-0.66987451523978736</v>
      </c>
      <c r="S171" s="22"/>
      <c r="T171" s="22"/>
    </row>
    <row r="172" spans="2:20" ht="16.2" x14ac:dyDescent="0.45">
      <c r="B172" s="80">
        <v>31503</v>
      </c>
      <c r="C172" s="81">
        <v>1.087</v>
      </c>
      <c r="D172" s="81">
        <v>13.15</v>
      </c>
      <c r="E172" s="24">
        <f t="shared" si="8"/>
        <v>2.5764217586237734</v>
      </c>
      <c r="F172" s="81">
        <v>37.669681140754371</v>
      </c>
      <c r="G172" s="24">
        <f t="shared" si="9"/>
        <v>3.6288555571274927</v>
      </c>
      <c r="H172" s="84">
        <f>Table1[[#This Row],[Log(Inflation-adjusted)]]-G171</f>
        <v>-7.455456703945984E-2</v>
      </c>
      <c r="I172" s="83">
        <f t="shared" si="7"/>
        <v>-0.75679458927067822</v>
      </c>
      <c r="S172" s="22"/>
      <c r="T172" s="22"/>
    </row>
    <row r="173" spans="2:20" ht="16.2" x14ac:dyDescent="0.45">
      <c r="B173" s="80">
        <v>31533</v>
      </c>
      <c r="C173" s="81">
        <v>1.0900000000000001</v>
      </c>
      <c r="D173" s="81">
        <v>13.17</v>
      </c>
      <c r="E173" s="24">
        <f t="shared" si="8"/>
        <v>2.5779415157551897</v>
      </c>
      <c r="F173" s="81">
        <v>37.623137724770643</v>
      </c>
      <c r="G173" s="24">
        <f t="shared" si="9"/>
        <v>3.6276192261569289</v>
      </c>
      <c r="H173" s="84">
        <f>Table1[[#This Row],[Log(Inflation-adjusted)]]-G172</f>
        <v>-1.2363309705638592E-3</v>
      </c>
      <c r="I173" s="83">
        <f t="shared" si="7"/>
        <v>-0.75652589056035691</v>
      </c>
      <c r="S173" s="22"/>
      <c r="T173" s="22"/>
    </row>
    <row r="174" spans="2:20" ht="16.2" x14ac:dyDescent="0.45">
      <c r="B174" s="80">
        <v>31564</v>
      </c>
      <c r="C174" s="81">
        <v>1.0940000000000001</v>
      </c>
      <c r="D174" s="81">
        <v>12.25</v>
      </c>
      <c r="E174" s="24">
        <f t="shared" si="8"/>
        <v>2.5055259369907361</v>
      </c>
      <c r="F174" s="81">
        <v>34.866993601462525</v>
      </c>
      <c r="G174" s="24">
        <f t="shared" si="9"/>
        <v>3.5515406396337381</v>
      </c>
      <c r="H174" s="84">
        <f>Table1[[#This Row],[Log(Inflation-adjusted)]]-G173</f>
        <v>-7.6078586523190772E-2</v>
      </c>
      <c r="I174" s="83">
        <f t="shared" si="7"/>
        <v>-0.81704762653868013</v>
      </c>
      <c r="S174" s="22"/>
      <c r="T174" s="22"/>
    </row>
    <row r="175" spans="2:20" ht="16.2" x14ac:dyDescent="0.45">
      <c r="B175" s="80">
        <v>31594</v>
      </c>
      <c r="C175" s="81">
        <v>1.095</v>
      </c>
      <c r="D175" s="81">
        <v>10.91</v>
      </c>
      <c r="E175" s="24">
        <f t="shared" si="8"/>
        <v>2.3896797998449792</v>
      </c>
      <c r="F175" s="81">
        <v>31.024612566210045</v>
      </c>
      <c r="G175" s="24">
        <f t="shared" si="9"/>
        <v>3.4347808432193068</v>
      </c>
      <c r="H175" s="84">
        <f>Table1[[#This Row],[Log(Inflation-adjusted)]]-G174</f>
        <v>-0.11675979641443135</v>
      </c>
      <c r="I175" s="83">
        <f t="shared" si="7"/>
        <v>-0.90667792502095512</v>
      </c>
      <c r="S175" s="22"/>
      <c r="T175" s="22"/>
    </row>
    <row r="176" spans="2:20" ht="16.2" x14ac:dyDescent="0.45">
      <c r="B176" s="80">
        <v>31625</v>
      </c>
      <c r="C176" s="81">
        <v>1.0960000000000001</v>
      </c>
      <c r="D176" s="81">
        <v>11.87</v>
      </c>
      <c r="E176" s="24">
        <f t="shared" si="8"/>
        <v>2.4740142086215764</v>
      </c>
      <c r="F176" s="81">
        <v>33.723753029197077</v>
      </c>
      <c r="G176" s="24">
        <f t="shared" si="9"/>
        <v>3.5182024267385441</v>
      </c>
      <c r="H176" s="84">
        <f>Table1[[#This Row],[Log(Inflation-adjusted)]]-G175</f>
        <v>8.3421583519237341E-2</v>
      </c>
      <c r="I176" s="83">
        <f t="shared" si="7"/>
        <v>-0.82290537861784729</v>
      </c>
      <c r="S176" s="22"/>
      <c r="T176" s="22"/>
    </row>
    <row r="177" spans="2:20" ht="16.2" x14ac:dyDescent="0.45">
      <c r="B177" s="80">
        <v>31656</v>
      </c>
      <c r="C177" s="81">
        <v>1.1000000000000001</v>
      </c>
      <c r="D177" s="81">
        <v>12.85</v>
      </c>
      <c r="E177" s="24">
        <f t="shared" si="8"/>
        <v>2.5533438113412288</v>
      </c>
      <c r="F177" s="81">
        <v>36.375265999999996</v>
      </c>
      <c r="G177" s="24">
        <f t="shared" si="9"/>
        <v>3.5938890381796953</v>
      </c>
      <c r="H177" s="84">
        <f>Table1[[#This Row],[Log(Inflation-adjusted)]]-G176</f>
        <v>7.5686611441151186E-2</v>
      </c>
      <c r="I177" s="83">
        <f t="shared" si="7"/>
        <v>-0.74348615441425858</v>
      </c>
      <c r="S177" s="22"/>
      <c r="T177" s="22"/>
    </row>
    <row r="178" spans="2:20" ht="16.2" x14ac:dyDescent="0.45">
      <c r="B178" s="80">
        <v>31686</v>
      </c>
      <c r="C178" s="81">
        <v>1.1020000000000001</v>
      </c>
      <c r="D178" s="81">
        <v>12.78</v>
      </c>
      <c r="E178" s="24">
        <f t="shared" si="8"/>
        <v>2.5478814489493886</v>
      </c>
      <c r="F178" s="81">
        <v>36.111455607985476</v>
      </c>
      <c r="G178" s="24">
        <f t="shared" si="9"/>
        <v>3.5866101448614573</v>
      </c>
      <c r="H178" s="84">
        <f>Table1[[#This Row],[Log(Inflation-adjusted)]]-G177</f>
        <v>-7.2788933182379445E-3</v>
      </c>
      <c r="I178" s="83">
        <f t="shared" si="7"/>
        <v>-0.75569395834542874</v>
      </c>
      <c r="S178" s="22"/>
      <c r="T178" s="22"/>
    </row>
    <row r="179" spans="2:20" ht="16.2" x14ac:dyDescent="0.45">
      <c r="B179" s="80">
        <v>31717</v>
      </c>
      <c r="C179" s="81">
        <v>1.1040000000000001</v>
      </c>
      <c r="D179" s="81">
        <v>13.46</v>
      </c>
      <c r="E179" s="24">
        <f t="shared" si="8"/>
        <v>2.5997223242165819</v>
      </c>
      <c r="F179" s="81">
        <v>37.963978768115943</v>
      </c>
      <c r="G179" s="24">
        <f t="shared" si="9"/>
        <v>3.6366377830044696</v>
      </c>
      <c r="H179" s="84">
        <f>Table1[[#This Row],[Log(Inflation-adjusted)]]-G178</f>
        <v>5.0027638143012254E-2</v>
      </c>
      <c r="I179" s="83">
        <f t="shared" si="7"/>
        <v>-0.7133113904694639</v>
      </c>
      <c r="S179" s="22"/>
      <c r="T179" s="22"/>
    </row>
    <row r="180" spans="2:20" ht="16.2" x14ac:dyDescent="0.45">
      <c r="B180" s="80">
        <v>31747</v>
      </c>
      <c r="C180" s="81">
        <v>1.1080000000000001</v>
      </c>
      <c r="D180" s="81">
        <v>14.17</v>
      </c>
      <c r="E180" s="24">
        <f t="shared" si="8"/>
        <v>2.6511270537025893</v>
      </c>
      <c r="F180" s="81">
        <v>39.822252815884475</v>
      </c>
      <c r="G180" s="24">
        <f t="shared" si="9"/>
        <v>3.6844258720202885</v>
      </c>
      <c r="H180" s="84">
        <f>Table1[[#This Row],[Log(Inflation-adjusted)]]-G179</f>
        <v>4.778808901581888E-2</v>
      </c>
      <c r="I180" s="83">
        <f t="shared" si="7"/>
        <v>-0.62681618868935418</v>
      </c>
      <c r="S180" s="22"/>
      <c r="T180" s="22"/>
    </row>
    <row r="181" spans="2:20" ht="16.2" x14ac:dyDescent="0.45">
      <c r="B181" s="80">
        <v>31778</v>
      </c>
      <c r="C181" s="81">
        <v>1.1140000000000001</v>
      </c>
      <c r="D181" s="81">
        <v>16.45</v>
      </c>
      <c r="E181" s="24">
        <f t="shared" si="8"/>
        <v>2.800325477211381</v>
      </c>
      <c r="F181" s="81">
        <v>45.980791921005377</v>
      </c>
      <c r="G181" s="24">
        <f t="shared" si="9"/>
        <v>3.8282237423490799</v>
      </c>
      <c r="H181" s="84">
        <f>Table1[[#This Row],[Log(Inflation-adjusted)]]-G180</f>
        <v>0.14379787032879143</v>
      </c>
      <c r="I181" s="83">
        <f t="shared" si="7"/>
        <v>-0.42930288640769421</v>
      </c>
      <c r="S181" s="22"/>
      <c r="T181" s="22"/>
    </row>
    <row r="182" spans="2:20" ht="16.2" x14ac:dyDescent="0.45">
      <c r="B182" s="80">
        <v>31809</v>
      </c>
      <c r="C182" s="81">
        <v>1.1180000000000001</v>
      </c>
      <c r="D182" s="81">
        <v>16.98</v>
      </c>
      <c r="E182" s="24">
        <f t="shared" si="8"/>
        <v>2.8320361808832013</v>
      </c>
      <c r="F182" s="81">
        <v>47.2924286940966</v>
      </c>
      <c r="G182" s="24">
        <f t="shared" si="9"/>
        <v>3.8563502127930853</v>
      </c>
      <c r="H182" s="84">
        <f>Table1[[#This Row],[Log(Inflation-adjusted)]]-G181</f>
        <v>2.8126470444005403E-2</v>
      </c>
      <c r="I182" s="83">
        <f t="shared" si="7"/>
        <v>-8.3390284451934971E-2</v>
      </c>
      <c r="S182" s="22"/>
      <c r="T182" s="22"/>
    </row>
    <row r="183" spans="2:20" ht="16.2" x14ac:dyDescent="0.45">
      <c r="B183" s="80">
        <v>31837</v>
      </c>
      <c r="C183" s="81">
        <v>1.1220000000000001</v>
      </c>
      <c r="D183" s="81">
        <v>17.260000000000002</v>
      </c>
      <c r="E183" s="24">
        <f t="shared" si="8"/>
        <v>2.8483916856552818</v>
      </c>
      <c r="F183" s="81">
        <v>47.900899607843137</v>
      </c>
      <c r="G183" s="24">
        <f t="shared" si="9"/>
        <v>3.869134285197569</v>
      </c>
      <c r="H183" s="84">
        <f>Table1[[#This Row],[Log(Inflation-adjusted)]]-G182</f>
        <v>1.2784072404483648E-2</v>
      </c>
      <c r="I183" s="83">
        <f t="shared" si="7"/>
        <v>0.16572416103061638</v>
      </c>
      <c r="S183" s="22"/>
      <c r="T183" s="22"/>
    </row>
    <row r="184" spans="2:20" ht="16.2" x14ac:dyDescent="0.45">
      <c r="B184" s="80">
        <v>31868</v>
      </c>
      <c r="C184" s="81">
        <v>1.127</v>
      </c>
      <c r="D184" s="81">
        <v>17.89</v>
      </c>
      <c r="E184" s="24">
        <f t="shared" si="8"/>
        <v>2.8842418975206279</v>
      </c>
      <c r="F184" s="81">
        <v>49.42903818988465</v>
      </c>
      <c r="G184" s="24">
        <f t="shared" si="9"/>
        <v>3.9005380691057803</v>
      </c>
      <c r="H184" s="84">
        <f>Table1[[#This Row],[Log(Inflation-adjusted)]]-G183</f>
        <v>3.1403783908211302E-2</v>
      </c>
      <c r="I184" s="83">
        <f t="shared" si="7"/>
        <v>0.27168251197828752</v>
      </c>
      <c r="S184" s="22"/>
      <c r="T184" s="22"/>
    </row>
    <row r="185" spans="2:20" ht="16.2" x14ac:dyDescent="0.45">
      <c r="B185" s="80">
        <v>31898</v>
      </c>
      <c r="C185" s="81">
        <v>1.1299999999999999</v>
      </c>
      <c r="D185" s="81">
        <v>18.25</v>
      </c>
      <c r="E185" s="24">
        <f t="shared" si="8"/>
        <v>2.9041650800285006</v>
      </c>
      <c r="F185" s="81">
        <v>50.289829203539831</v>
      </c>
      <c r="G185" s="24">
        <f t="shared" si="9"/>
        <v>3.9178028539470429</v>
      </c>
      <c r="H185" s="84">
        <f>Table1[[#This Row],[Log(Inflation-adjusted)]]-G184</f>
        <v>1.7264784841262593E-2</v>
      </c>
      <c r="I185" s="83">
        <f t="shared" si="7"/>
        <v>0.29018362779011397</v>
      </c>
      <c r="S185" s="22"/>
      <c r="T185" s="22"/>
    </row>
    <row r="186" spans="2:20" ht="16.2" x14ac:dyDescent="0.45">
      <c r="B186" s="80">
        <v>31929</v>
      </c>
      <c r="C186" s="81">
        <v>1.135</v>
      </c>
      <c r="D186" s="81">
        <v>18.71</v>
      </c>
      <c r="E186" s="24">
        <f t="shared" si="8"/>
        <v>2.9290581402859983</v>
      </c>
      <c r="F186" s="81">
        <v>51.330283312775329</v>
      </c>
      <c r="G186" s="24">
        <f t="shared" si="9"/>
        <v>3.9382808959954239</v>
      </c>
      <c r="H186" s="84">
        <f>Table1[[#This Row],[Log(Inflation-adjusted)]]-G185</f>
        <v>2.0478042048380996E-2</v>
      </c>
      <c r="I186" s="83">
        <f t="shared" si="7"/>
        <v>0.38674025636168574</v>
      </c>
      <c r="S186" s="22"/>
      <c r="T186" s="22"/>
    </row>
    <row r="187" spans="2:20" ht="16.2" x14ac:dyDescent="0.45">
      <c r="B187" s="80">
        <v>31959</v>
      </c>
      <c r="C187" s="81">
        <v>1.1379999999999999</v>
      </c>
      <c r="D187" s="81">
        <v>19.260000000000002</v>
      </c>
      <c r="E187" s="24">
        <f t="shared" si="8"/>
        <v>2.9580304063699794</v>
      </c>
      <c r="F187" s="81">
        <v>52.699895746924433</v>
      </c>
      <c r="G187" s="24">
        <f t="shared" si="9"/>
        <v>3.9646134773086321</v>
      </c>
      <c r="H187" s="84">
        <f>Table1[[#This Row],[Log(Inflation-adjusted)]]-G186</f>
        <v>2.6332581313208259E-2</v>
      </c>
      <c r="I187" s="83">
        <f t="shared" si="7"/>
        <v>0.52983263408932535</v>
      </c>
      <c r="S187" s="22"/>
      <c r="T187" s="22"/>
    </row>
    <row r="188" spans="2:20" ht="16.2" x14ac:dyDescent="0.45">
      <c r="B188" s="80">
        <v>31990</v>
      </c>
      <c r="C188" s="81">
        <v>1.143</v>
      </c>
      <c r="D188" s="81">
        <v>19.32</v>
      </c>
      <c r="E188" s="24">
        <f t="shared" si="8"/>
        <v>2.9611408287843721</v>
      </c>
      <c r="F188" s="81">
        <v>52.632818477690293</v>
      </c>
      <c r="G188" s="24">
        <f t="shared" si="9"/>
        <v>3.9633398506144899</v>
      </c>
      <c r="H188" s="84">
        <f>Table1[[#This Row],[Log(Inflation-adjusted)]]-G187</f>
        <v>-1.2736266941422159E-3</v>
      </c>
      <c r="I188" s="83">
        <f t="shared" si="7"/>
        <v>0.44513742387594579</v>
      </c>
      <c r="S188" s="22"/>
      <c r="T188" s="22"/>
    </row>
    <row r="189" spans="2:20" ht="16.2" x14ac:dyDescent="0.45">
      <c r="B189" s="80">
        <v>32021</v>
      </c>
      <c r="C189" s="81">
        <v>1.147</v>
      </c>
      <c r="D189" s="81">
        <v>18.57</v>
      </c>
      <c r="E189" s="24">
        <f t="shared" si="8"/>
        <v>2.9215473753646144</v>
      </c>
      <c r="F189" s="81">
        <v>50.413194873583258</v>
      </c>
      <c r="G189" s="24">
        <f t="shared" si="9"/>
        <v>3.9202529438601723</v>
      </c>
      <c r="H189" s="84">
        <f>Table1[[#This Row],[Log(Inflation-adjusted)]]-G188</f>
        <v>-4.3086906754317589E-2</v>
      </c>
      <c r="I189" s="83">
        <f t="shared" si="7"/>
        <v>0.32636390568047702</v>
      </c>
      <c r="S189" s="22"/>
      <c r="T189" s="22"/>
    </row>
    <row r="190" spans="2:20" ht="16.2" x14ac:dyDescent="0.45">
      <c r="B190" s="80">
        <v>32051</v>
      </c>
      <c r="C190" s="81">
        <v>1.1499999999999999</v>
      </c>
      <c r="D190" s="81">
        <v>18.53</v>
      </c>
      <c r="E190" s="24">
        <f t="shared" si="8"/>
        <v>2.9193910402972683</v>
      </c>
      <c r="F190" s="81">
        <v>50.173374852173922</v>
      </c>
      <c r="G190" s="24">
        <f t="shared" si="9"/>
        <v>3.9154845045649016</v>
      </c>
      <c r="H190" s="84">
        <f>Table1[[#This Row],[Log(Inflation-adjusted)]]-G189</f>
        <v>-4.76843929527071E-3</v>
      </c>
      <c r="I190" s="83">
        <f t="shared" si="7"/>
        <v>0.32887435970344425</v>
      </c>
      <c r="S190" s="22"/>
      <c r="T190" s="22"/>
    </row>
    <row r="191" spans="2:20" ht="16.2" x14ac:dyDescent="0.45">
      <c r="B191" s="80">
        <v>32082</v>
      </c>
      <c r="C191" s="81">
        <v>1.1539999999999999</v>
      </c>
      <c r="D191" s="81">
        <v>18.14</v>
      </c>
      <c r="E191" s="24">
        <f t="shared" si="8"/>
        <v>2.8981194446869907</v>
      </c>
      <c r="F191" s="81">
        <v>48.947127417677649</v>
      </c>
      <c r="G191" s="24">
        <f t="shared" si="9"/>
        <v>3.8907406832438745</v>
      </c>
      <c r="H191" s="84">
        <f>Table1[[#This Row],[Log(Inflation-adjusted)]]-G190</f>
        <v>-2.4743821321027148E-2</v>
      </c>
      <c r="I191" s="83">
        <f t="shared" si="7"/>
        <v>0.25410290023940485</v>
      </c>
      <c r="S191" s="22"/>
      <c r="T191" s="22"/>
    </row>
    <row r="192" spans="2:20" ht="16.2" x14ac:dyDescent="0.45">
      <c r="B192" s="80">
        <v>32112</v>
      </c>
      <c r="C192" s="81">
        <v>1.1559999999999999</v>
      </c>
      <c r="D192" s="81">
        <v>17.2</v>
      </c>
      <c r="E192" s="24">
        <f t="shared" si="8"/>
        <v>2.8449093838194073</v>
      </c>
      <c r="F192" s="81">
        <v>46.330431833910033</v>
      </c>
      <c r="G192" s="24">
        <f t="shared" si="9"/>
        <v>3.8357990202120131</v>
      </c>
      <c r="H192" s="84">
        <f>Table1[[#This Row],[Log(Inflation-adjusted)]]-G191</f>
        <v>-5.4941663031861321E-2</v>
      </c>
      <c r="I192" s="83">
        <f t="shared" si="7"/>
        <v>0.15137314819172465</v>
      </c>
      <c r="S192" s="22"/>
      <c r="T192" s="22"/>
    </row>
    <row r="193" spans="2:20" ht="16.2" x14ac:dyDescent="0.45">
      <c r="B193" s="80">
        <v>32143</v>
      </c>
      <c r="C193" s="81">
        <v>1.1599999999999999</v>
      </c>
      <c r="D193" s="81">
        <v>15.45</v>
      </c>
      <c r="E193" s="24">
        <f t="shared" si="8"/>
        <v>2.7376090033437546</v>
      </c>
      <c r="F193" s="81">
        <v>41.473074310344828</v>
      </c>
      <c r="G193" s="24">
        <f t="shared" si="9"/>
        <v>3.7250444048682727</v>
      </c>
      <c r="H193" s="84">
        <f>Table1[[#This Row],[Log(Inflation-adjusted)]]-G192</f>
        <v>-0.11075461534374043</v>
      </c>
      <c r="I193" s="83">
        <f t="shared" si="7"/>
        <v>-0.10317933748080721</v>
      </c>
      <c r="S193" s="22"/>
      <c r="T193" s="22"/>
    </row>
    <row r="194" spans="2:20" ht="16.2" x14ac:dyDescent="0.45">
      <c r="B194" s="80">
        <v>32174</v>
      </c>
      <c r="C194" s="81">
        <v>1.1619999999999999</v>
      </c>
      <c r="D194" s="81">
        <v>15.43</v>
      </c>
      <c r="E194" s="24">
        <f t="shared" si="8"/>
        <v>2.7363136663750693</v>
      </c>
      <c r="F194" s="81">
        <v>41.348097659208264</v>
      </c>
      <c r="G194" s="24">
        <f t="shared" si="9"/>
        <v>3.7220264145881417</v>
      </c>
      <c r="H194" s="84">
        <f>Table1[[#This Row],[Log(Inflation-adjusted)]]-G193</f>
        <v>-3.0179902801310554E-3</v>
      </c>
      <c r="I194" s="83">
        <f t="shared" si="7"/>
        <v>-0.13432379820494367</v>
      </c>
      <c r="S194" s="22"/>
      <c r="T194" s="22"/>
    </row>
    <row r="195" spans="2:20" ht="16.2" x14ac:dyDescent="0.45">
      <c r="B195" s="80">
        <v>32203</v>
      </c>
      <c r="C195" s="81">
        <v>1.165</v>
      </c>
      <c r="D195" s="81">
        <v>14.73</v>
      </c>
      <c r="E195" s="24">
        <f t="shared" si="8"/>
        <v>2.689886230474539</v>
      </c>
      <c r="F195" s="81">
        <v>39.37064745064378</v>
      </c>
      <c r="G195" s="24">
        <f t="shared" si="9"/>
        <v>3.6730205500996664</v>
      </c>
      <c r="H195" s="84">
        <f>Table1[[#This Row],[Log(Inflation-adjusted)]]-G194</f>
        <v>-4.9005864488475215E-2</v>
      </c>
      <c r="I195" s="83">
        <f t="shared" si="7"/>
        <v>-0.19611373509790253</v>
      </c>
      <c r="S195" s="22"/>
      <c r="T195" s="22"/>
    </row>
    <row r="196" spans="2:20" ht="16.2" x14ac:dyDescent="0.45">
      <c r="B196" s="80">
        <v>32234</v>
      </c>
      <c r="C196" s="81">
        <v>1.1719999999999999</v>
      </c>
      <c r="D196" s="81">
        <v>15.62</v>
      </c>
      <c r="E196" s="24">
        <f t="shared" si="8"/>
        <v>2.7485521444115397</v>
      </c>
      <c r="F196" s="81">
        <v>41.500100955631396</v>
      </c>
      <c r="G196" s="24">
        <f t="shared" si="9"/>
        <v>3.7256958598995102</v>
      </c>
      <c r="H196" s="84">
        <f>Table1[[#This Row],[Log(Inflation-adjusted)]]-G195</f>
        <v>5.2675309799843806E-2</v>
      </c>
      <c r="I196" s="83">
        <f t="shared" si="7"/>
        <v>-0.17484220920627003</v>
      </c>
      <c r="S196" s="22"/>
      <c r="T196" s="22"/>
    </row>
    <row r="197" spans="2:20" ht="16.2" x14ac:dyDescent="0.45">
      <c r="B197" s="80">
        <v>32264</v>
      </c>
      <c r="C197" s="81">
        <v>1.175</v>
      </c>
      <c r="D197" s="81">
        <v>15.93</v>
      </c>
      <c r="E197" s="24">
        <f t="shared" si="8"/>
        <v>2.768204123921957</v>
      </c>
      <c r="F197" s="81">
        <v>42.215665940425531</v>
      </c>
      <c r="G197" s="24">
        <f t="shared" si="9"/>
        <v>3.7427913829686266</v>
      </c>
      <c r="H197" s="84">
        <f>Table1[[#This Row],[Log(Inflation-adjusted)]]-G196</f>
        <v>1.7095523069116325E-2</v>
      </c>
      <c r="I197" s="83">
        <f t="shared" si="7"/>
        <v>-0.17501147097841629</v>
      </c>
      <c r="S197" s="22"/>
      <c r="T197" s="22"/>
    </row>
    <row r="198" spans="2:20" ht="16.2" x14ac:dyDescent="0.45">
      <c r="B198" s="80">
        <v>32295</v>
      </c>
      <c r="C198" s="81">
        <v>1.18</v>
      </c>
      <c r="D198" s="81">
        <v>15.5</v>
      </c>
      <c r="E198" s="24">
        <f t="shared" si="8"/>
        <v>2.7408400239252009</v>
      </c>
      <c r="F198" s="81">
        <v>40.902083050847459</v>
      </c>
      <c r="G198" s="24">
        <f t="shared" si="9"/>
        <v>3.7111809920904193</v>
      </c>
      <c r="H198" s="84">
        <f>Table1[[#This Row],[Log(Inflation-adjusted)]]-G197</f>
        <v>-3.1610390878207273E-2</v>
      </c>
      <c r="I198" s="83">
        <f t="shared" si="7"/>
        <v>-0.22709990390500456</v>
      </c>
      <c r="S198" s="22"/>
      <c r="T198" s="22"/>
    </row>
    <row r="199" spans="2:20" ht="16.2" x14ac:dyDescent="0.45">
      <c r="B199" s="80">
        <v>32325</v>
      </c>
      <c r="C199" s="81">
        <v>1.1850000000000001</v>
      </c>
      <c r="D199" s="81">
        <v>14.81</v>
      </c>
      <c r="E199" s="24">
        <f t="shared" si="8"/>
        <v>2.6953026282797072</v>
      </c>
      <c r="F199" s="81">
        <v>38.916380725738399</v>
      </c>
      <c r="G199" s="24">
        <f t="shared" si="9"/>
        <v>3.6614152603354047</v>
      </c>
      <c r="H199" s="84">
        <f>Table1[[#This Row],[Log(Inflation-adjusted)]]-G198</f>
        <v>-4.9765731755014642E-2</v>
      </c>
      <c r="I199" s="83">
        <f t="shared" si="7"/>
        <v>-0.30319821697322746</v>
      </c>
      <c r="S199" s="22"/>
      <c r="T199" s="22"/>
    </row>
    <row r="200" spans="2:20" ht="16.2" x14ac:dyDescent="0.45">
      <c r="B200" s="80">
        <v>32356</v>
      </c>
      <c r="C200" s="81">
        <v>1.19</v>
      </c>
      <c r="D200" s="81">
        <v>14.32</v>
      </c>
      <c r="E200" s="24">
        <f t="shared" si="8"/>
        <v>2.6616571615324998</v>
      </c>
      <c r="F200" s="81">
        <v>37.470698756302525</v>
      </c>
      <c r="G200" s="24">
        <f t="shared" si="9"/>
        <v>3.6235592610518532</v>
      </c>
      <c r="H200" s="84">
        <f>Table1[[#This Row],[Log(Inflation-adjusted)]]-G199</f>
        <v>-3.7855999283551434E-2</v>
      </c>
      <c r="I200" s="83">
        <f t="shared" si="7"/>
        <v>-0.33978058956263668</v>
      </c>
      <c r="S200" s="22"/>
      <c r="T200" s="22"/>
    </row>
    <row r="201" spans="2:20" ht="16.2" x14ac:dyDescent="0.45">
      <c r="B201" s="80">
        <v>32387</v>
      </c>
      <c r="C201" s="81">
        <v>1.1950000000000001</v>
      </c>
      <c r="D201" s="81">
        <v>13.84</v>
      </c>
      <c r="E201" s="24">
        <f t="shared" si="8"/>
        <v>2.6275629501895237</v>
      </c>
      <c r="F201" s="81">
        <v>36.063171748953977</v>
      </c>
      <c r="G201" s="24">
        <f t="shared" si="9"/>
        <v>3.5852721714488411</v>
      </c>
      <c r="H201" s="84">
        <f>Table1[[#This Row],[Log(Inflation-adjusted)]]-G200</f>
        <v>-3.8287089603012081E-2</v>
      </c>
      <c r="I201" s="83">
        <f t="shared" si="7"/>
        <v>-0.33498077241133117</v>
      </c>
      <c r="S201" s="22"/>
      <c r="T201" s="22"/>
    </row>
    <row r="202" spans="2:20" ht="16.2" x14ac:dyDescent="0.45">
      <c r="B202" s="80">
        <v>32417</v>
      </c>
      <c r="C202" s="81">
        <v>1.1990000000000001</v>
      </c>
      <c r="D202" s="81">
        <v>13.05</v>
      </c>
      <c r="E202" s="24">
        <f t="shared" si="8"/>
        <v>2.5687881337687024</v>
      </c>
      <c r="F202" s="81">
        <v>33.891209174311925</v>
      </c>
      <c r="G202" s="24">
        <f t="shared" si="9"/>
        <v>3.5231556643661168</v>
      </c>
      <c r="H202" s="84">
        <f>Table1[[#This Row],[Log(Inflation-adjusted)]]-G201</f>
        <v>-6.2116507082724315E-2</v>
      </c>
      <c r="I202" s="83">
        <f t="shared" si="7"/>
        <v>-0.39232884019878478</v>
      </c>
      <c r="S202" s="22"/>
      <c r="T202" s="22"/>
    </row>
    <row r="203" spans="2:20" ht="16.2" x14ac:dyDescent="0.45">
      <c r="B203" s="80">
        <v>32448</v>
      </c>
      <c r="C203" s="81">
        <v>1.2030000000000001</v>
      </c>
      <c r="D203" s="81">
        <v>12.66</v>
      </c>
      <c r="E203" s="24">
        <f t="shared" si="8"/>
        <v>2.5384474167160302</v>
      </c>
      <c r="F203" s="81">
        <v>32.769047182044886</v>
      </c>
      <c r="G203" s="24">
        <f t="shared" si="9"/>
        <v>3.4894843863662799</v>
      </c>
      <c r="H203" s="84">
        <f>Table1[[#This Row],[Log(Inflation-adjusted)]]-G202</f>
        <v>-3.3671277999836935E-2</v>
      </c>
      <c r="I203" s="83">
        <f t="shared" si="7"/>
        <v>-0.40125629687759456</v>
      </c>
      <c r="S203" s="22"/>
      <c r="T203" s="22"/>
    </row>
    <row r="204" spans="2:20" ht="16.2" x14ac:dyDescent="0.45">
      <c r="B204" s="80">
        <v>32478</v>
      </c>
      <c r="C204" s="81">
        <v>1.2070000000000001</v>
      </c>
      <c r="D204" s="81">
        <v>14.11</v>
      </c>
      <c r="E204" s="24">
        <f t="shared" si="8"/>
        <v>2.6468837658647226</v>
      </c>
      <c r="F204" s="81">
        <v>36.401181408450704</v>
      </c>
      <c r="G204" s="24">
        <f t="shared" si="9"/>
        <v>3.5946012303921195</v>
      </c>
      <c r="H204" s="84">
        <f>Table1[[#This Row],[Log(Inflation-adjusted)]]-G203</f>
        <v>0.10511684402583965</v>
      </c>
      <c r="I204" s="83">
        <f t="shared" si="7"/>
        <v>-0.24119778981989359</v>
      </c>
      <c r="S204" s="22"/>
      <c r="T204" s="22"/>
    </row>
    <row r="205" spans="2:20" ht="16.2" x14ac:dyDescent="0.45">
      <c r="B205" s="80">
        <v>32509</v>
      </c>
      <c r="C205" s="81">
        <v>1.212</v>
      </c>
      <c r="D205" s="81">
        <v>16.04</v>
      </c>
      <c r="E205" s="24">
        <f t="shared" si="8"/>
        <v>2.7750856024383683</v>
      </c>
      <c r="F205" s="81">
        <v>41.209512739273926</v>
      </c>
      <c r="G205" s="24">
        <f t="shared" si="9"/>
        <v>3.7186691214340373</v>
      </c>
      <c r="H205" s="84">
        <f>Table1[[#This Row],[Log(Inflation-adjusted)]]-G204</f>
        <v>0.12406789104191773</v>
      </c>
      <c r="I205" s="83">
        <f t="shared" si="7"/>
        <v>-6.3752834342354348E-3</v>
      </c>
      <c r="S205" s="22"/>
      <c r="T205" s="22"/>
    </row>
    <row r="206" spans="2:20" ht="16.2" x14ac:dyDescent="0.45">
      <c r="B206" s="80">
        <v>32540</v>
      </c>
      <c r="C206" s="81">
        <v>1.216</v>
      </c>
      <c r="D206" s="81">
        <v>16.61</v>
      </c>
      <c r="E206" s="24">
        <f t="shared" si="8"/>
        <v>2.8100049236252036</v>
      </c>
      <c r="F206" s="81">
        <v>42.533565756578945</v>
      </c>
      <c r="G206" s="24">
        <f t="shared" si="9"/>
        <v>3.7502935467240195</v>
      </c>
      <c r="H206" s="84">
        <f>Table1[[#This Row],[Log(Inflation-adjusted)]]-G205</f>
        <v>3.1624425289982216E-2</v>
      </c>
      <c r="I206" s="83">
        <f t="shared" si="7"/>
        <v>2.8267132135877837E-2</v>
      </c>
      <c r="S206" s="22"/>
      <c r="T206" s="22"/>
    </row>
    <row r="207" spans="2:20" ht="16.2" x14ac:dyDescent="0.45">
      <c r="B207" s="80">
        <v>32568</v>
      </c>
      <c r="C207" s="81">
        <v>1.222</v>
      </c>
      <c r="D207" s="81">
        <v>17.77</v>
      </c>
      <c r="E207" s="24">
        <f t="shared" si="8"/>
        <v>2.8775116421665601</v>
      </c>
      <c r="F207" s="81">
        <v>45.280577512274959</v>
      </c>
      <c r="G207" s="24">
        <f t="shared" si="9"/>
        <v>3.812878188059948</v>
      </c>
      <c r="H207" s="84">
        <f>Table1[[#This Row],[Log(Inflation-adjusted)]]-G206</f>
        <v>6.2584641335928559E-2</v>
      </c>
      <c r="I207" s="83">
        <f t="shared" si="7"/>
        <v>0.13985763796028161</v>
      </c>
      <c r="S207" s="22"/>
      <c r="T207" s="22"/>
    </row>
    <row r="208" spans="2:20" ht="16.2" x14ac:dyDescent="0.45">
      <c r="B208" s="80">
        <v>32599</v>
      </c>
      <c r="C208" s="81">
        <v>1.2310000000000001</v>
      </c>
      <c r="D208" s="81">
        <v>19.59</v>
      </c>
      <c r="E208" s="24">
        <f t="shared" si="8"/>
        <v>2.9750192319564492</v>
      </c>
      <c r="F208" s="81">
        <v>49.553247148659622</v>
      </c>
      <c r="G208" s="24">
        <f t="shared" si="9"/>
        <v>3.9030477913969244</v>
      </c>
      <c r="H208" s="84">
        <f>Table1[[#This Row],[Log(Inflation-adjusted)]]-G207</f>
        <v>9.0169603336976323E-2</v>
      </c>
      <c r="I208" s="83">
        <f t="shared" si="7"/>
        <v>0.17735193149741413</v>
      </c>
      <c r="S208" s="22"/>
      <c r="T208" s="22"/>
    </row>
    <row r="209" spans="2:20" ht="16.2" x14ac:dyDescent="0.45">
      <c r="B209" s="80">
        <v>32629</v>
      </c>
      <c r="C209" s="81">
        <v>1.2370000000000001</v>
      </c>
      <c r="D209" s="81">
        <v>19.05</v>
      </c>
      <c r="E209" s="24">
        <f t="shared" si="8"/>
        <v>2.9470671015727099</v>
      </c>
      <c r="F209" s="81">
        <v>47.953577849636218</v>
      </c>
      <c r="G209" s="24">
        <f t="shared" si="9"/>
        <v>3.8702334148051505</v>
      </c>
      <c r="H209" s="84">
        <f>Table1[[#This Row],[Log(Inflation-adjusted)]]-G208</f>
        <v>-3.2814376591773886E-2</v>
      </c>
      <c r="I209" s="83">
        <f t="shared" si="7"/>
        <v>0.12744203183652392</v>
      </c>
      <c r="S209" s="22"/>
      <c r="T209" s="22"/>
    </row>
    <row r="210" spans="2:20" ht="16.2" x14ac:dyDescent="0.45">
      <c r="B210" s="80">
        <v>32660</v>
      </c>
      <c r="C210" s="81">
        <v>1.2410000000000001</v>
      </c>
      <c r="D210" s="81">
        <v>18.27</v>
      </c>
      <c r="E210" s="24">
        <f t="shared" si="8"/>
        <v>2.9052603703899154</v>
      </c>
      <c r="F210" s="81">
        <v>45.841888573730856</v>
      </c>
      <c r="G210" s="24">
        <f t="shared" si="9"/>
        <v>3.8251982708102363</v>
      </c>
      <c r="H210" s="84">
        <f>Table1[[#This Row],[Log(Inflation-adjusted)]]-G209</f>
        <v>-4.5035143994914151E-2</v>
      </c>
      <c r="I210" s="83">
        <f t="shared" si="7"/>
        <v>0.11401727871981704</v>
      </c>
      <c r="S210" s="22"/>
      <c r="T210" s="22"/>
    </row>
    <row r="211" spans="2:20" ht="16.2" x14ac:dyDescent="0.45">
      <c r="B211" s="80">
        <v>32690</v>
      </c>
      <c r="C211" s="81">
        <v>1.2450000000000001</v>
      </c>
      <c r="D211" s="81">
        <v>17.989999999999998</v>
      </c>
      <c r="E211" s="24">
        <f t="shared" si="8"/>
        <v>2.8898160479624417</v>
      </c>
      <c r="F211" s="81">
        <v>44.994304931726901</v>
      </c>
      <c r="G211" s="24">
        <f t="shared" si="9"/>
        <v>3.8065359246885619</v>
      </c>
      <c r="H211" s="84">
        <f>Table1[[#This Row],[Log(Inflation-adjusted)]]-G210</f>
        <v>-1.8662346121674389E-2</v>
      </c>
      <c r="I211" s="83">
        <f t="shared" si="7"/>
        <v>0.14512066435315729</v>
      </c>
      <c r="S211" s="22"/>
      <c r="T211" s="22"/>
    </row>
    <row r="212" spans="2:20" ht="16.2" x14ac:dyDescent="0.45">
      <c r="B212" s="80">
        <v>32721</v>
      </c>
      <c r="C212" s="81">
        <v>1.2450000000000001</v>
      </c>
      <c r="D212" s="81">
        <v>17.23</v>
      </c>
      <c r="E212" s="24">
        <f t="shared" si="8"/>
        <v>2.8466520505398383</v>
      </c>
      <c r="F212" s="81">
        <v>43.093489381526105</v>
      </c>
      <c r="G212" s="24">
        <f t="shared" si="9"/>
        <v>3.7633719272659589</v>
      </c>
      <c r="H212" s="84">
        <f>Table1[[#This Row],[Log(Inflation-adjusted)]]-G211</f>
        <v>-4.3163997422603018E-2</v>
      </c>
      <c r="I212" s="83">
        <f t="shared" si="7"/>
        <v>0.13981266621410571</v>
      </c>
      <c r="S212" s="22"/>
      <c r="T212" s="22"/>
    </row>
    <row r="213" spans="2:20" ht="16.2" x14ac:dyDescent="0.45">
      <c r="B213" s="80">
        <v>32752</v>
      </c>
      <c r="C213" s="81">
        <v>1.248</v>
      </c>
      <c r="D213" s="81">
        <v>17.62</v>
      </c>
      <c r="E213" s="24">
        <f t="shared" si="8"/>
        <v>2.8690346205080335</v>
      </c>
      <c r="F213" s="81">
        <v>43.962973012820513</v>
      </c>
      <c r="G213" s="24">
        <f t="shared" si="9"/>
        <v>3.7833477572035892</v>
      </c>
      <c r="H213" s="84">
        <f>Table1[[#This Row],[Log(Inflation-adjusted)]]-G212</f>
        <v>1.9975829937630252E-2</v>
      </c>
      <c r="I213" s="83">
        <f t="shared" si="7"/>
        <v>0.19807558575474804</v>
      </c>
      <c r="S213" s="22"/>
      <c r="T213" s="22"/>
    </row>
    <row r="214" spans="2:20" ht="16.2" x14ac:dyDescent="0.45">
      <c r="B214" s="80">
        <v>32782</v>
      </c>
      <c r="C214" s="81">
        <v>1.254</v>
      </c>
      <c r="D214" s="81">
        <v>18.29</v>
      </c>
      <c r="E214" s="24">
        <f t="shared" si="8"/>
        <v>2.9063544624027742</v>
      </c>
      <c r="F214" s="81">
        <v>45.416316140350872</v>
      </c>
      <c r="G214" s="24">
        <f t="shared" si="9"/>
        <v>3.8158714268348368</v>
      </c>
      <c r="H214" s="84">
        <f>Table1[[#This Row],[Log(Inflation-adjusted)]]-G213</f>
        <v>3.2523669631247643E-2</v>
      </c>
      <c r="I214" s="83">
        <f t="shared" si="7"/>
        <v>0.29271576246872</v>
      </c>
      <c r="S214" s="22"/>
      <c r="T214" s="22"/>
    </row>
    <row r="215" spans="2:20" ht="16.2" x14ac:dyDescent="0.45">
      <c r="B215" s="80">
        <v>32813</v>
      </c>
      <c r="C215" s="81">
        <v>1.2589999999999999</v>
      </c>
      <c r="D215" s="81">
        <v>18.32</v>
      </c>
      <c r="E215" s="24">
        <f t="shared" si="8"/>
        <v>2.9079933592459843</v>
      </c>
      <c r="F215" s="81">
        <v>45.310147355043689</v>
      </c>
      <c r="G215" s="24">
        <f t="shared" si="9"/>
        <v>3.8135310108265656</v>
      </c>
      <c r="H215" s="84">
        <f>Table1[[#This Row],[Log(Inflation-adjusted)]]-G214</f>
        <v>-2.3404160082711734E-3</v>
      </c>
      <c r="I215" s="83">
        <f t="shared" si="7"/>
        <v>0.32404662446028576</v>
      </c>
      <c r="S215" s="22"/>
      <c r="T215" s="22"/>
    </row>
    <row r="216" spans="2:20" ht="16.2" x14ac:dyDescent="0.45">
      <c r="B216" s="80">
        <v>32843</v>
      </c>
      <c r="C216" s="81">
        <v>1.2629999999999999</v>
      </c>
      <c r="D216" s="81">
        <v>20.05</v>
      </c>
      <c r="E216" s="24">
        <f t="shared" si="8"/>
        <v>2.998229153752578</v>
      </c>
      <c r="F216" s="81">
        <v>49.431838321456858</v>
      </c>
      <c r="G216" s="24">
        <f t="shared" si="9"/>
        <v>3.9005947170270159</v>
      </c>
      <c r="H216" s="84">
        <f>Table1[[#This Row],[Log(Inflation-adjusted)]]-G215</f>
        <v>8.706370620045023E-2</v>
      </c>
      <c r="I216" s="83">
        <f t="shared" si="7"/>
        <v>0.30599348663489634</v>
      </c>
      <c r="S216" s="22"/>
      <c r="T216" s="22"/>
    </row>
    <row r="217" spans="2:20" ht="16.2" x14ac:dyDescent="0.45">
      <c r="B217" s="80">
        <v>32874</v>
      </c>
      <c r="C217" s="81">
        <v>1.2749999999999999</v>
      </c>
      <c r="D217" s="81">
        <v>20.51</v>
      </c>
      <c r="E217" s="24">
        <f t="shared" si="8"/>
        <v>3.0209125720842893</v>
      </c>
      <c r="F217" s="81">
        <v>50.090020674509816</v>
      </c>
      <c r="G217" s="24">
        <f t="shared" si="9"/>
        <v>3.9138218001166916</v>
      </c>
      <c r="H217" s="84">
        <f>Table1[[#This Row],[Log(Inflation-adjusted)]]-G216</f>
        <v>1.3227083089675684E-2</v>
      </c>
      <c r="I217" s="83">
        <f t="shared" ref="I217:I280" si="10">G217-G205</f>
        <v>0.19515267868265429</v>
      </c>
      <c r="S217" s="22"/>
      <c r="T217" s="22"/>
    </row>
    <row r="218" spans="2:20" ht="16.2" x14ac:dyDescent="0.45">
      <c r="B218" s="80">
        <v>32905</v>
      </c>
      <c r="C218" s="81">
        <v>1.28</v>
      </c>
      <c r="D218" s="81">
        <v>19.78</v>
      </c>
      <c r="E218" s="24">
        <f t="shared" ref="E218:E281" si="11">LN(D218)</f>
        <v>2.9846713261945661</v>
      </c>
      <c r="F218" s="81">
        <v>48.118496937500005</v>
      </c>
      <c r="G218" s="24">
        <f t="shared" ref="G218:G281" si="12">LN(F218)</f>
        <v>3.8736666549058318</v>
      </c>
      <c r="H218" s="84">
        <f>Table1[[#This Row],[Log(Inflation-adjusted)]]-G217</f>
        <v>-4.0155145210859722E-2</v>
      </c>
      <c r="I218" s="83">
        <f t="shared" si="10"/>
        <v>0.12337310818181235</v>
      </c>
      <c r="S218" s="22"/>
      <c r="T218" s="22"/>
    </row>
    <row r="219" spans="2:20" ht="16.2" x14ac:dyDescent="0.45">
      <c r="B219" s="80">
        <v>32933</v>
      </c>
      <c r="C219" s="81">
        <v>1.286</v>
      </c>
      <c r="D219" s="81">
        <v>18.940000000000001</v>
      </c>
      <c r="E219" s="24">
        <f t="shared" si="11"/>
        <v>2.9412760877579323</v>
      </c>
      <c r="F219" s="81">
        <v>45.860072970451014</v>
      </c>
      <c r="G219" s="24">
        <f t="shared" si="12"/>
        <v>3.8255948685852963</v>
      </c>
      <c r="H219" s="84">
        <f>Table1[[#This Row],[Log(Inflation-adjusted)]]-G218</f>
        <v>-4.8071786320535548E-2</v>
      </c>
      <c r="I219" s="83">
        <f t="shared" si="10"/>
        <v>1.2716680525348245E-2</v>
      </c>
      <c r="S219" s="22"/>
      <c r="T219" s="22"/>
    </row>
    <row r="220" spans="2:20" ht="16.2" x14ac:dyDescent="0.45">
      <c r="B220" s="80">
        <v>32964</v>
      </c>
      <c r="C220" s="81">
        <v>1.2889999999999999</v>
      </c>
      <c r="D220" s="81">
        <v>16.66</v>
      </c>
      <c r="E220" s="24">
        <f t="shared" si="11"/>
        <v>2.8130106367386967</v>
      </c>
      <c r="F220" s="81">
        <v>40.245545197827781</v>
      </c>
      <c r="G220" s="24">
        <f t="shared" si="12"/>
        <v>3.6949993194244382</v>
      </c>
      <c r="H220" s="84">
        <f>Table1[[#This Row],[Log(Inflation-adjusted)]]-G219</f>
        <v>-0.13059554916085814</v>
      </c>
      <c r="I220" s="83">
        <f t="shared" si="10"/>
        <v>-0.20804847197248622</v>
      </c>
      <c r="S220" s="22"/>
      <c r="T220" s="22"/>
    </row>
    <row r="221" spans="2:20" ht="16.2" x14ac:dyDescent="0.45">
      <c r="B221" s="80">
        <v>32994</v>
      </c>
      <c r="C221" s="81">
        <v>1.2909999999999999</v>
      </c>
      <c r="D221" s="81">
        <v>16.07</v>
      </c>
      <c r="E221" s="24">
        <f t="shared" si="11"/>
        <v>2.776954179749421</v>
      </c>
      <c r="F221" s="81">
        <v>38.760142927962825</v>
      </c>
      <c r="G221" s="24">
        <f t="shared" si="12"/>
        <v>3.6573924745277075</v>
      </c>
      <c r="H221" s="84">
        <f>Table1[[#This Row],[Log(Inflation-adjusted)]]-G220</f>
        <v>-3.7606844896730607E-2</v>
      </c>
      <c r="I221" s="83">
        <f t="shared" si="10"/>
        <v>-0.21284094027744294</v>
      </c>
      <c r="S221" s="22"/>
      <c r="T221" s="22"/>
    </row>
    <row r="222" spans="2:20" ht="16.2" x14ac:dyDescent="0.45">
      <c r="B222" s="80">
        <v>33025</v>
      </c>
      <c r="C222" s="81">
        <v>1.2989999999999999</v>
      </c>
      <c r="D222" s="81">
        <v>15.15</v>
      </c>
      <c r="E222" s="24">
        <f t="shared" si="11"/>
        <v>2.7180005319553784</v>
      </c>
      <c r="F222" s="81">
        <v>36.316101154734412</v>
      </c>
      <c r="G222" s="24">
        <f t="shared" si="12"/>
        <v>3.5922612009097072</v>
      </c>
      <c r="H222" s="84">
        <f>Table1[[#This Row],[Log(Inflation-adjusted)]]-G221</f>
        <v>-6.5131273618000307E-2</v>
      </c>
      <c r="I222" s="83">
        <f t="shared" si="10"/>
        <v>-0.23293706990052909</v>
      </c>
      <c r="S222" s="22"/>
      <c r="T222" s="22"/>
    </row>
    <row r="223" spans="2:20" ht="16.2" x14ac:dyDescent="0.45">
      <c r="B223" s="80">
        <v>33055</v>
      </c>
      <c r="C223" s="81">
        <v>1.3049999999999999</v>
      </c>
      <c r="D223" s="81">
        <v>16.54</v>
      </c>
      <c r="E223" s="24">
        <f t="shared" si="11"/>
        <v>2.8057816895955452</v>
      </c>
      <c r="F223" s="81">
        <v>39.4657834789272</v>
      </c>
      <c r="G223" s="24">
        <f t="shared" si="12"/>
        <v>3.67543405546368</v>
      </c>
      <c r="H223" s="84">
        <f>Table1[[#This Row],[Log(Inflation-adjusted)]]-G222</f>
        <v>8.3172854553972719E-2</v>
      </c>
      <c r="I223" s="83">
        <f t="shared" si="10"/>
        <v>-0.13110186922488198</v>
      </c>
      <c r="S223" s="22"/>
      <c r="T223" s="22"/>
    </row>
    <row r="224" spans="2:20" ht="16.2" x14ac:dyDescent="0.45">
      <c r="B224" s="80">
        <v>33086</v>
      </c>
      <c r="C224" s="81">
        <v>1.3160000000000001</v>
      </c>
      <c r="D224" s="81">
        <v>24.26</v>
      </c>
      <c r="E224" s="24">
        <f t="shared" si="11"/>
        <v>3.1888289035159043</v>
      </c>
      <c r="F224" s="81">
        <v>57.402478237082072</v>
      </c>
      <c r="G224" s="24">
        <f t="shared" si="12"/>
        <v>4.0500874772555706</v>
      </c>
      <c r="H224" s="84">
        <f>Table1[[#This Row],[Log(Inflation-adjusted)]]-G223</f>
        <v>0.37465342179189065</v>
      </c>
      <c r="I224" s="83">
        <f t="shared" si="10"/>
        <v>0.28671554998961168</v>
      </c>
      <c r="S224" s="22"/>
      <c r="T224" s="22"/>
    </row>
    <row r="225" spans="2:20" ht="16.2" x14ac:dyDescent="0.45">
      <c r="B225" s="80">
        <v>33117</v>
      </c>
      <c r="C225" s="81">
        <v>1.325</v>
      </c>
      <c r="D225" s="81">
        <v>29.88</v>
      </c>
      <c r="E225" s="24">
        <f t="shared" si="11"/>
        <v>3.3971893602646164</v>
      </c>
      <c r="F225" s="81">
        <v>70.219939381132079</v>
      </c>
      <c r="G225" s="24">
        <f t="shared" si="12"/>
        <v>4.2516323074692224</v>
      </c>
      <c r="H225" s="84">
        <f>Table1[[#This Row],[Log(Inflation-adjusted)]]-G224</f>
        <v>0.20154483021365177</v>
      </c>
      <c r="I225" s="83">
        <f t="shared" si="10"/>
        <v>0.4682845502656332</v>
      </c>
      <c r="S225" s="22"/>
      <c r="T225" s="22"/>
    </row>
    <row r="226" spans="2:20" ht="16.2" x14ac:dyDescent="0.45">
      <c r="B226" s="80">
        <v>33147</v>
      </c>
      <c r="C226" s="81">
        <v>1.3340000000000001</v>
      </c>
      <c r="D226" s="81">
        <v>32.880000000000003</v>
      </c>
      <c r="E226" s="24">
        <f t="shared" si="11"/>
        <v>3.492864570187979</v>
      </c>
      <c r="F226" s="81">
        <v>76.74882134932534</v>
      </c>
      <c r="G226" s="24">
        <f t="shared" si="12"/>
        <v>4.3405380293373383</v>
      </c>
      <c r="H226" s="84">
        <f>Table1[[#This Row],[Log(Inflation-adjusted)]]-G225</f>
        <v>8.8905721868115961E-2</v>
      </c>
      <c r="I226" s="83">
        <f t="shared" si="10"/>
        <v>0.52466660250250152</v>
      </c>
      <c r="S226" s="22"/>
      <c r="T226" s="22"/>
    </row>
    <row r="227" spans="2:20" ht="16.2" x14ac:dyDescent="0.45">
      <c r="B227" s="80">
        <v>33178</v>
      </c>
      <c r="C227" s="81">
        <v>1.337</v>
      </c>
      <c r="D227" s="81">
        <v>30.19</v>
      </c>
      <c r="E227" s="24">
        <f t="shared" si="11"/>
        <v>3.4075107437187473</v>
      </c>
      <c r="F227" s="81">
        <v>70.311674525056105</v>
      </c>
      <c r="G227" s="24">
        <f t="shared" si="12"/>
        <v>4.2529378522417334</v>
      </c>
      <c r="H227" s="84">
        <f>Table1[[#This Row],[Log(Inflation-adjusted)]]-G226</f>
        <v>-8.760017709560497E-2</v>
      </c>
      <c r="I227" s="83">
        <f t="shared" si="10"/>
        <v>0.43940684141516773</v>
      </c>
      <c r="S227" s="22"/>
      <c r="T227" s="22"/>
    </row>
    <row r="228" spans="2:20" ht="16.2" x14ac:dyDescent="0.45">
      <c r="B228" s="80">
        <v>33208</v>
      </c>
      <c r="C228" s="81">
        <v>1.3420000000000001</v>
      </c>
      <c r="D228" s="81">
        <v>25.56</v>
      </c>
      <c r="E228" s="24">
        <f t="shared" si="11"/>
        <v>3.241028629509334</v>
      </c>
      <c r="F228" s="81">
        <v>59.30674229508196</v>
      </c>
      <c r="G228" s="24">
        <f t="shared" si="12"/>
        <v>4.0827229976026356</v>
      </c>
      <c r="H228" s="84">
        <f>Table1[[#This Row],[Log(Inflation-adjusted)]]-G227</f>
        <v>-0.1702148546390978</v>
      </c>
      <c r="I228" s="83">
        <f t="shared" si="10"/>
        <v>0.18212828057561969</v>
      </c>
      <c r="S228" s="22"/>
      <c r="T228" s="22"/>
    </row>
    <row r="229" spans="2:20" ht="16.2" x14ac:dyDescent="0.45">
      <c r="B229" s="80">
        <v>33239</v>
      </c>
      <c r="C229" s="81">
        <v>1.347</v>
      </c>
      <c r="D229" s="81">
        <v>22.3</v>
      </c>
      <c r="E229" s="24">
        <f t="shared" si="11"/>
        <v>3.1045866784660729</v>
      </c>
      <c r="F229" s="81">
        <v>51.550514328136607</v>
      </c>
      <c r="G229" s="24">
        <f t="shared" si="12"/>
        <v>3.9425621876806378</v>
      </c>
      <c r="H229" s="84">
        <f>Table1[[#This Row],[Log(Inflation-adjusted)]]-G228</f>
        <v>-0.14016080992199775</v>
      </c>
      <c r="I229" s="83">
        <f t="shared" si="10"/>
        <v>2.8740387563946257E-2</v>
      </c>
      <c r="S229" s="22"/>
      <c r="T229" s="22"/>
    </row>
    <row r="230" spans="2:20" ht="16.2" x14ac:dyDescent="0.45">
      <c r="B230" s="80">
        <v>33270</v>
      </c>
      <c r="C230" s="81">
        <v>1.3480000000000001</v>
      </c>
      <c r="D230" s="81">
        <v>18.3</v>
      </c>
      <c r="E230" s="24">
        <f t="shared" si="11"/>
        <v>2.9069010598473755</v>
      </c>
      <c r="F230" s="81">
        <v>42.272402670623144</v>
      </c>
      <c r="G230" s="24">
        <f t="shared" si="12"/>
        <v>3.7441344540000516</v>
      </c>
      <c r="H230" s="84">
        <f>Table1[[#This Row],[Log(Inflation-adjusted)]]-G229</f>
        <v>-0.19842773368058619</v>
      </c>
      <c r="I230" s="83">
        <f t="shared" si="10"/>
        <v>-0.12953220090578021</v>
      </c>
      <c r="S230" s="22"/>
      <c r="T230" s="22"/>
    </row>
    <row r="231" spans="2:20" ht="16.2" x14ac:dyDescent="0.45">
      <c r="B231" s="80">
        <v>33298</v>
      </c>
      <c r="C231" s="81">
        <v>1.3480000000000001</v>
      </c>
      <c r="D231" s="81">
        <v>17.579999999999998</v>
      </c>
      <c r="E231" s="24">
        <f t="shared" si="11"/>
        <v>2.8667618922570308</v>
      </c>
      <c r="F231" s="81">
        <v>40.609226172106816</v>
      </c>
      <c r="G231" s="24">
        <f t="shared" si="12"/>
        <v>3.703995286409707</v>
      </c>
      <c r="H231" s="84">
        <f>Table1[[#This Row],[Log(Inflation-adjusted)]]-G230</f>
        <v>-4.0139167590344638E-2</v>
      </c>
      <c r="I231" s="83">
        <f t="shared" si="10"/>
        <v>-0.1215995821755893</v>
      </c>
      <c r="S231" s="22"/>
      <c r="T231" s="22"/>
    </row>
    <row r="232" spans="2:20" ht="16.2" x14ac:dyDescent="0.45">
      <c r="B232" s="80">
        <v>33329</v>
      </c>
      <c r="C232" s="81">
        <v>1.351</v>
      </c>
      <c r="D232" s="81">
        <v>18.32</v>
      </c>
      <c r="E232" s="24">
        <f t="shared" si="11"/>
        <v>2.9079933592459843</v>
      </c>
      <c r="F232" s="81">
        <v>42.224630288675058</v>
      </c>
      <c r="G232" s="24">
        <f t="shared" si="12"/>
        <v>3.7430037069107138</v>
      </c>
      <c r="H232" s="84">
        <f>Table1[[#This Row],[Log(Inflation-adjusted)]]-G231</f>
        <v>3.9008420501006835E-2</v>
      </c>
      <c r="I232" s="83">
        <f t="shared" si="10"/>
        <v>4.8004387486275668E-2</v>
      </c>
      <c r="S232" s="22"/>
      <c r="T232" s="22"/>
    </row>
    <row r="233" spans="2:20" ht="16.2" x14ac:dyDescent="0.45">
      <c r="B233" s="80">
        <v>33359</v>
      </c>
      <c r="C233" s="81">
        <v>1.3560000000000001</v>
      </c>
      <c r="D233" s="81">
        <v>18.36</v>
      </c>
      <c r="E233" s="24">
        <f t="shared" si="11"/>
        <v>2.9101743851923443</v>
      </c>
      <c r="F233" s="81">
        <v>42.160788318584068</v>
      </c>
      <c r="G233" s="24">
        <f t="shared" si="12"/>
        <v>3.7414906023169321</v>
      </c>
      <c r="H233" s="84">
        <f>Table1[[#This Row],[Log(Inflation-adjusted)]]-G232</f>
        <v>-1.5131045937817333E-3</v>
      </c>
      <c r="I233" s="83">
        <f t="shared" si="10"/>
        <v>8.4098127789224542E-2</v>
      </c>
      <c r="S233" s="22"/>
      <c r="T233" s="22"/>
    </row>
    <row r="234" spans="2:20" ht="16.2" x14ac:dyDescent="0.45">
      <c r="B234" s="80">
        <v>33390</v>
      </c>
      <c r="C234" s="81">
        <v>1.36</v>
      </c>
      <c r="D234" s="81">
        <v>17.78</v>
      </c>
      <c r="E234" s="24">
        <f t="shared" si="11"/>
        <v>2.8780742300857587</v>
      </c>
      <c r="F234" s="81">
        <v>40.708826529411766</v>
      </c>
      <c r="G234" s="24">
        <f t="shared" si="12"/>
        <v>3.7064449369805894</v>
      </c>
      <c r="H234" s="84">
        <f>Table1[[#This Row],[Log(Inflation-adjusted)]]-G233</f>
        <v>-3.504566533634268E-2</v>
      </c>
      <c r="I234" s="83">
        <f t="shared" si="10"/>
        <v>0.11418373607088217</v>
      </c>
      <c r="S234" s="22"/>
      <c r="T234" s="22"/>
    </row>
    <row r="235" spans="2:20" ht="16.2" x14ac:dyDescent="0.45">
      <c r="B235" s="80">
        <v>33420</v>
      </c>
      <c r="C235" s="81">
        <v>1.3620000000000001</v>
      </c>
      <c r="D235" s="81">
        <v>18.14</v>
      </c>
      <c r="E235" s="24">
        <f t="shared" si="11"/>
        <v>2.8981194446869907</v>
      </c>
      <c r="F235" s="81">
        <v>41.472088869309836</v>
      </c>
      <c r="G235" s="24">
        <f t="shared" si="12"/>
        <v>3.7250206436024613</v>
      </c>
      <c r="H235" s="84">
        <f>Table1[[#This Row],[Log(Inflation-adjusted)]]-G234</f>
        <v>1.8575706621871912E-2</v>
      </c>
      <c r="I235" s="83">
        <f t="shared" si="10"/>
        <v>4.9586588138781362E-2</v>
      </c>
      <c r="S235" s="22"/>
      <c r="T235" s="22"/>
    </row>
    <row r="236" spans="2:20" ht="16.2" x14ac:dyDescent="0.45">
      <c r="B236" s="80">
        <v>33451</v>
      </c>
      <c r="C236" s="81">
        <v>1.3660000000000001</v>
      </c>
      <c r="D236" s="81">
        <v>18.71</v>
      </c>
      <c r="E236" s="24">
        <f t="shared" si="11"/>
        <v>2.9290581402859983</v>
      </c>
      <c r="F236" s="81">
        <v>42.649979180087847</v>
      </c>
      <c r="G236" s="24">
        <f t="shared" si="12"/>
        <v>3.7530267857801913</v>
      </c>
      <c r="H236" s="84">
        <f>Table1[[#This Row],[Log(Inflation-adjusted)]]-G235</f>
        <v>2.8006142177730009E-2</v>
      </c>
      <c r="I236" s="83">
        <f t="shared" si="10"/>
        <v>-0.29706069147537928</v>
      </c>
      <c r="S236" s="22"/>
      <c r="T236" s="22"/>
    </row>
    <row r="237" spans="2:20" ht="16.2" x14ac:dyDescent="0.45">
      <c r="B237" s="80">
        <v>33482</v>
      </c>
      <c r="C237" s="81">
        <v>1.37</v>
      </c>
      <c r="D237" s="81">
        <v>19</v>
      </c>
      <c r="E237" s="24">
        <f t="shared" si="11"/>
        <v>2.9444389791664403</v>
      </c>
      <c r="F237" s="81">
        <v>43.184586861313861</v>
      </c>
      <c r="G237" s="24">
        <f t="shared" si="12"/>
        <v>3.7654836459691983</v>
      </c>
      <c r="H237" s="84">
        <f>Table1[[#This Row],[Log(Inflation-adjusted)]]-G236</f>
        <v>1.2456860189006935E-2</v>
      </c>
      <c r="I237" s="83">
        <f t="shared" si="10"/>
        <v>-0.48614866150002412</v>
      </c>
      <c r="S237" s="22"/>
      <c r="T237" s="22"/>
    </row>
    <row r="238" spans="2:20" ht="16.2" x14ac:dyDescent="0.45">
      <c r="B238" s="80">
        <v>33512</v>
      </c>
      <c r="C238" s="81">
        <v>1.3720000000000001</v>
      </c>
      <c r="D238" s="81">
        <v>19.86</v>
      </c>
      <c r="E238" s="24">
        <f t="shared" si="11"/>
        <v>2.9887076586170265</v>
      </c>
      <c r="F238" s="81">
        <v>45.073456967930028</v>
      </c>
      <c r="G238" s="24">
        <f t="shared" si="12"/>
        <v>3.8082935359561247</v>
      </c>
      <c r="H238" s="84">
        <f>Table1[[#This Row],[Log(Inflation-adjusted)]]-G237</f>
        <v>4.2809889986926475E-2</v>
      </c>
      <c r="I238" s="83">
        <f t="shared" si="10"/>
        <v>-0.5322444933812136</v>
      </c>
      <c r="S238" s="22"/>
      <c r="T238" s="22"/>
    </row>
    <row r="239" spans="2:20" ht="16.2" x14ac:dyDescent="0.45">
      <c r="B239" s="80">
        <v>33543</v>
      </c>
      <c r="C239" s="81">
        <v>1.3779999999999999</v>
      </c>
      <c r="D239" s="81">
        <v>19.350000000000001</v>
      </c>
      <c r="E239" s="24">
        <f t="shared" si="11"/>
        <v>2.9626924194757911</v>
      </c>
      <c r="F239" s="81">
        <v>43.724765312046451</v>
      </c>
      <c r="G239" s="24">
        <f t="shared" si="12"/>
        <v>3.7779146535271155</v>
      </c>
      <c r="H239" s="84">
        <f>Table1[[#This Row],[Log(Inflation-adjusted)]]-G238</f>
        <v>-3.0378882429009213E-2</v>
      </c>
      <c r="I239" s="83">
        <f t="shared" si="10"/>
        <v>-0.47502319871461784</v>
      </c>
      <c r="S239" s="22"/>
      <c r="T239" s="22"/>
    </row>
    <row r="240" spans="2:20" ht="16.2" x14ac:dyDescent="0.45">
      <c r="B240" s="80">
        <v>33573</v>
      </c>
      <c r="C240" s="81">
        <v>1.3819999999999999</v>
      </c>
      <c r="D240" s="81">
        <v>17.170000000000002</v>
      </c>
      <c r="E240" s="24">
        <f t="shared" si="11"/>
        <v>2.843163674909384</v>
      </c>
      <c r="F240" s="81">
        <v>38.686370564399425</v>
      </c>
      <c r="G240" s="24">
        <f t="shared" si="12"/>
        <v>3.6554873562066974</v>
      </c>
      <c r="H240" s="84">
        <f>Table1[[#This Row],[Log(Inflation-adjusted)]]-G239</f>
        <v>-0.12242729732041813</v>
      </c>
      <c r="I240" s="83">
        <f t="shared" si="10"/>
        <v>-0.42723564139593817</v>
      </c>
      <c r="S240" s="22"/>
      <c r="T240" s="22"/>
    </row>
    <row r="241" spans="2:20" ht="16.2" x14ac:dyDescent="0.45">
      <c r="B241" s="80">
        <v>33604</v>
      </c>
      <c r="C241" s="81">
        <v>1.383</v>
      </c>
      <c r="D241" s="81">
        <v>16.100000000000001</v>
      </c>
      <c r="E241" s="24">
        <f t="shared" si="11"/>
        <v>2.7788192719904172</v>
      </c>
      <c r="F241" s="81">
        <v>36.249283875632685</v>
      </c>
      <c r="G241" s="24">
        <f t="shared" si="12"/>
        <v>3.5904196259505876</v>
      </c>
      <c r="H241" s="84">
        <f>Table1[[#This Row],[Log(Inflation-adjusted)]]-G240</f>
        <v>-6.506773025610979E-2</v>
      </c>
      <c r="I241" s="83">
        <f t="shared" si="10"/>
        <v>-0.35214256173005021</v>
      </c>
      <c r="S241" s="22"/>
      <c r="T241" s="22"/>
    </row>
    <row r="242" spans="2:20" ht="16.2" x14ac:dyDescent="0.45">
      <c r="B242" s="80">
        <v>33635</v>
      </c>
      <c r="C242" s="81">
        <v>1.3859999999999999</v>
      </c>
      <c r="D242" s="81">
        <v>16</v>
      </c>
      <c r="E242" s="24">
        <f t="shared" si="11"/>
        <v>2.7725887222397811</v>
      </c>
      <c r="F242" s="81">
        <v>35.946158730158736</v>
      </c>
      <c r="G242" s="24">
        <f t="shared" si="12"/>
        <v>3.5820222281148615</v>
      </c>
      <c r="H242" s="84">
        <f>Table1[[#This Row],[Log(Inflation-adjusted)]]-G241</f>
        <v>-8.3973978357261281E-3</v>
      </c>
      <c r="I242" s="83">
        <f t="shared" si="10"/>
        <v>-0.16211222588519014</v>
      </c>
      <c r="S242" s="22"/>
      <c r="T242" s="22"/>
    </row>
    <row r="243" spans="2:20" ht="16.2" x14ac:dyDescent="0.45">
      <c r="B243" s="80">
        <v>33664</v>
      </c>
      <c r="C243" s="81">
        <v>1.391</v>
      </c>
      <c r="D243" s="81">
        <v>16.36</v>
      </c>
      <c r="E243" s="24">
        <f t="shared" si="11"/>
        <v>2.7948393311746011</v>
      </c>
      <c r="F243" s="81">
        <v>36.622830309130123</v>
      </c>
      <c r="G243" s="24">
        <f t="shared" si="12"/>
        <v>3.6006718248760867</v>
      </c>
      <c r="H243" s="84">
        <f>Table1[[#This Row],[Log(Inflation-adjusted)]]-G242</f>
        <v>1.864959676122524E-2</v>
      </c>
      <c r="I243" s="83">
        <f t="shared" si="10"/>
        <v>-0.10332346153362026</v>
      </c>
      <c r="S243" s="22"/>
      <c r="T243" s="22"/>
    </row>
    <row r="244" spans="2:20" ht="16.2" x14ac:dyDescent="0.45">
      <c r="B244" s="80">
        <v>33695</v>
      </c>
      <c r="C244" s="81">
        <v>1.3939999999999999</v>
      </c>
      <c r="D244" s="81">
        <v>17.37</v>
      </c>
      <c r="E244" s="24">
        <f t="shared" si="11"/>
        <v>2.8547445802530138</v>
      </c>
      <c r="F244" s="81">
        <v>38.800094203730275</v>
      </c>
      <c r="G244" s="24">
        <f t="shared" si="12"/>
        <v>3.6584226745574728</v>
      </c>
      <c r="H244" s="84">
        <f>Table1[[#This Row],[Log(Inflation-adjusted)]]-G243</f>
        <v>5.7750849681386107E-2</v>
      </c>
      <c r="I244" s="83">
        <f t="shared" si="10"/>
        <v>-8.4581032353240992E-2</v>
      </c>
      <c r="S244" s="22"/>
      <c r="T244" s="22"/>
    </row>
    <row r="245" spans="2:20" ht="16.2" x14ac:dyDescent="0.45">
      <c r="B245" s="80">
        <v>33725</v>
      </c>
      <c r="C245" s="81">
        <v>1.397</v>
      </c>
      <c r="D245" s="81">
        <v>18.79</v>
      </c>
      <c r="E245" s="24">
        <f t="shared" si="11"/>
        <v>2.933324813425374</v>
      </c>
      <c r="F245" s="81">
        <v>41.881874330708662</v>
      </c>
      <c r="G245" s="24">
        <f t="shared" si="12"/>
        <v>3.7348531397933407</v>
      </c>
      <c r="H245" s="84">
        <f>Table1[[#This Row],[Log(Inflation-adjusted)]]-G244</f>
        <v>7.6430465235867828E-2</v>
      </c>
      <c r="I245" s="83">
        <f t="shared" si="10"/>
        <v>-6.6374625235914309E-3</v>
      </c>
      <c r="S245" s="22"/>
      <c r="T245" s="22"/>
    </row>
    <row r="246" spans="2:20" ht="16.2" x14ac:dyDescent="0.45">
      <c r="B246" s="80">
        <v>33756</v>
      </c>
      <c r="C246" s="81">
        <v>1.401</v>
      </c>
      <c r="D246" s="81">
        <v>19.829999999999998</v>
      </c>
      <c r="E246" s="24">
        <f t="shared" si="11"/>
        <v>2.9871959425317045</v>
      </c>
      <c r="F246" s="81">
        <v>44.073781498929335</v>
      </c>
      <c r="G246" s="24">
        <f t="shared" si="12"/>
        <v>3.785865081819626</v>
      </c>
      <c r="H246" s="84">
        <f>Table1[[#This Row],[Log(Inflation-adjusted)]]-G245</f>
        <v>5.101194202628534E-2</v>
      </c>
      <c r="I246" s="83">
        <f t="shared" si="10"/>
        <v>7.9420144839036588E-2</v>
      </c>
      <c r="S246" s="22"/>
      <c r="T246" s="22"/>
    </row>
    <row r="247" spans="2:20" ht="16.2" x14ac:dyDescent="0.45">
      <c r="B247" s="80">
        <v>33786</v>
      </c>
      <c r="C247" s="81">
        <v>1.405</v>
      </c>
      <c r="D247" s="81">
        <v>19.739999999999998</v>
      </c>
      <c r="E247" s="24">
        <f t="shared" si="11"/>
        <v>2.9826470340053355</v>
      </c>
      <c r="F247" s="81">
        <v>43.748841736654803</v>
      </c>
      <c r="G247" s="24">
        <f t="shared" si="12"/>
        <v>3.7784651378624181</v>
      </c>
      <c r="H247" s="84">
        <f>Table1[[#This Row],[Log(Inflation-adjusted)]]-G246</f>
        <v>-7.3999439572078884E-3</v>
      </c>
      <c r="I247" s="83">
        <f t="shared" si="10"/>
        <v>5.3444494259956787E-2</v>
      </c>
      <c r="S247" s="22"/>
      <c r="T247" s="22"/>
    </row>
    <row r="248" spans="2:20" ht="16.2" x14ac:dyDescent="0.45">
      <c r="B248" s="80">
        <v>33817</v>
      </c>
      <c r="C248" s="81">
        <v>1.4079999999999999</v>
      </c>
      <c r="D248" s="81">
        <v>19.25</v>
      </c>
      <c r="E248" s="24">
        <f t="shared" si="11"/>
        <v>2.9575110607337933</v>
      </c>
      <c r="F248" s="81">
        <v>42.571976562500005</v>
      </c>
      <c r="G248" s="24">
        <f t="shared" si="12"/>
        <v>3.7511962096407343</v>
      </c>
      <c r="H248" s="84">
        <f>Table1[[#This Row],[Log(Inflation-adjusted)]]-G247</f>
        <v>-2.7268928221683808E-2</v>
      </c>
      <c r="I248" s="83">
        <f t="shared" si="10"/>
        <v>-1.8305761394570297E-3</v>
      </c>
      <c r="S248" s="22"/>
      <c r="T248" s="22"/>
    </row>
    <row r="249" spans="2:20" ht="16.2" x14ac:dyDescent="0.45">
      <c r="B249" s="80">
        <v>33848</v>
      </c>
      <c r="C249" s="81">
        <v>1.411</v>
      </c>
      <c r="D249" s="81">
        <v>19.260000000000002</v>
      </c>
      <c r="E249" s="24">
        <f t="shared" si="11"/>
        <v>2.9580304063699794</v>
      </c>
      <c r="F249" s="81">
        <v>42.50353037562013</v>
      </c>
      <c r="G249" s="24">
        <f t="shared" si="12"/>
        <v>3.7495871401420939</v>
      </c>
      <c r="H249" s="84">
        <f>Table1[[#This Row],[Log(Inflation-adjusted)]]-G248</f>
        <v>-1.6090694986403697E-3</v>
      </c>
      <c r="I249" s="83">
        <f t="shared" si="10"/>
        <v>-1.5896505827104335E-2</v>
      </c>
      <c r="S249" s="22"/>
      <c r="T249" s="22"/>
    </row>
    <row r="250" spans="2:20" ht="16.2" x14ac:dyDescent="0.45">
      <c r="B250" s="80">
        <v>33878</v>
      </c>
      <c r="C250" s="81">
        <v>1.417</v>
      </c>
      <c r="D250" s="81">
        <v>19.34</v>
      </c>
      <c r="E250" s="24">
        <f t="shared" si="11"/>
        <v>2.9621754900251482</v>
      </c>
      <c r="F250" s="81">
        <v>42.499356556104445</v>
      </c>
      <c r="G250" s="24">
        <f t="shared" si="12"/>
        <v>3.7494889359593961</v>
      </c>
      <c r="H250" s="84">
        <f>Table1[[#This Row],[Log(Inflation-adjusted)]]-G249</f>
        <v>-9.8204182697791964E-5</v>
      </c>
      <c r="I250" s="83">
        <f t="shared" si="10"/>
        <v>-5.8804599996728601E-2</v>
      </c>
      <c r="S250" s="22"/>
      <c r="T250" s="22"/>
    </row>
    <row r="251" spans="2:20" ht="16.2" x14ac:dyDescent="0.45">
      <c r="B251" s="80">
        <v>33909</v>
      </c>
      <c r="C251" s="81">
        <v>1.421</v>
      </c>
      <c r="D251" s="81">
        <v>18.399999999999999</v>
      </c>
      <c r="E251" s="24">
        <f t="shared" si="11"/>
        <v>2.91235066461494</v>
      </c>
      <c r="F251" s="81">
        <v>40.319903166783952</v>
      </c>
      <c r="G251" s="24">
        <f t="shared" si="12"/>
        <v>3.6968452221427679</v>
      </c>
      <c r="H251" s="84">
        <f>Table1[[#This Row],[Log(Inflation-adjusted)]]-G250</f>
        <v>-5.2643713816628246E-2</v>
      </c>
      <c r="I251" s="83">
        <f t="shared" si="10"/>
        <v>-8.1069431384347634E-2</v>
      </c>
      <c r="S251" s="22"/>
      <c r="T251" s="22"/>
    </row>
    <row r="252" spans="2:20" ht="16.2" x14ac:dyDescent="0.45">
      <c r="B252" s="80">
        <v>33939</v>
      </c>
      <c r="C252" s="81">
        <v>1.423</v>
      </c>
      <c r="D252" s="81">
        <v>16.940000000000001</v>
      </c>
      <c r="E252" s="24">
        <f t="shared" si="11"/>
        <v>2.8296776892239084</v>
      </c>
      <c r="F252" s="81">
        <v>37.068434181307104</v>
      </c>
      <c r="G252" s="24">
        <f t="shared" si="12"/>
        <v>3.6127657767589847</v>
      </c>
      <c r="H252" s="84">
        <f>Table1[[#This Row],[Log(Inflation-adjusted)]]-G251</f>
        <v>-8.4079445383783202E-2</v>
      </c>
      <c r="I252" s="83">
        <f t="shared" si="10"/>
        <v>-4.272157944771271E-2</v>
      </c>
      <c r="S252" s="22"/>
      <c r="T252" s="22"/>
    </row>
    <row r="253" spans="2:20" ht="16.2" x14ac:dyDescent="0.45">
      <c r="B253" s="80">
        <v>33970</v>
      </c>
      <c r="C253" s="81">
        <v>1.4279999999999999</v>
      </c>
      <c r="D253" s="81">
        <v>16.8</v>
      </c>
      <c r="E253" s="24">
        <f t="shared" si="11"/>
        <v>2.8213788864092133</v>
      </c>
      <c r="F253" s="81">
        <v>36.633364705882357</v>
      </c>
      <c r="G253" s="24">
        <f t="shared" si="12"/>
        <v>3.6009594291346123</v>
      </c>
      <c r="H253" s="84">
        <f>Table1[[#This Row],[Log(Inflation-adjusted)]]-G252</f>
        <v>-1.1806347624372382E-2</v>
      </c>
      <c r="I253" s="83">
        <f t="shared" si="10"/>
        <v>1.0539803184024699E-2</v>
      </c>
      <c r="S253" s="22"/>
      <c r="T253" s="22"/>
    </row>
    <row r="254" spans="2:20" ht="16.2" x14ac:dyDescent="0.45">
      <c r="B254" s="80">
        <v>34001</v>
      </c>
      <c r="C254" s="81">
        <v>1.431</v>
      </c>
      <c r="D254" s="81">
        <v>17.41</v>
      </c>
      <c r="E254" s="24">
        <f t="shared" si="11"/>
        <v>2.8570447537800976</v>
      </c>
      <c r="F254" s="81">
        <v>37.883916673654788</v>
      </c>
      <c r="G254" s="24">
        <f t="shared" si="12"/>
        <v>3.6345266598485755</v>
      </c>
      <c r="H254" s="84">
        <f>Table1[[#This Row],[Log(Inflation-adjusted)]]-G253</f>
        <v>3.356723071396317E-2</v>
      </c>
      <c r="I254" s="83">
        <f t="shared" si="10"/>
        <v>5.2504431733713997E-2</v>
      </c>
      <c r="S254" s="22"/>
      <c r="T254" s="22"/>
    </row>
    <row r="255" spans="2:20" ht="16.2" x14ac:dyDescent="0.45">
      <c r="B255" s="80">
        <v>34029</v>
      </c>
      <c r="C255" s="81">
        <v>1.4330000000000001</v>
      </c>
      <c r="D255" s="81">
        <v>17.82</v>
      </c>
      <c r="E255" s="24">
        <f t="shared" si="11"/>
        <v>2.8803214220426634</v>
      </c>
      <c r="F255" s="81">
        <v>38.721952212142355</v>
      </c>
      <c r="G255" s="24">
        <f t="shared" si="12"/>
        <v>3.6564066798394199</v>
      </c>
      <c r="H255" s="84">
        <f>Table1[[#This Row],[Log(Inflation-adjusted)]]-G254</f>
        <v>2.1880019990844435E-2</v>
      </c>
      <c r="I255" s="83">
        <f t="shared" si="10"/>
        <v>5.5734854963333191E-2</v>
      </c>
      <c r="S255" s="22"/>
      <c r="T255" s="22"/>
    </row>
    <row r="256" spans="2:20" ht="16.2" x14ac:dyDescent="0.45">
      <c r="B256" s="80">
        <v>34060</v>
      </c>
      <c r="C256" s="81">
        <v>1.4379999999999999</v>
      </c>
      <c r="D256" s="81">
        <v>18.350000000000001</v>
      </c>
      <c r="E256" s="24">
        <f t="shared" si="11"/>
        <v>2.9096295745005794</v>
      </c>
      <c r="F256" s="81">
        <v>39.734972600834496</v>
      </c>
      <c r="G256" s="24">
        <f t="shared" si="12"/>
        <v>3.682231721844516</v>
      </c>
      <c r="H256" s="84">
        <f>Table1[[#This Row],[Log(Inflation-adjusted)]]-G255</f>
        <v>2.5825042005096055E-2</v>
      </c>
      <c r="I256" s="83">
        <f t="shared" si="10"/>
        <v>2.3809047287043139E-2</v>
      </c>
      <c r="S256" s="22"/>
      <c r="T256" s="22"/>
    </row>
    <row r="257" spans="2:20" ht="16.2" x14ac:dyDescent="0.45">
      <c r="B257" s="80">
        <v>34090</v>
      </c>
      <c r="C257" s="81">
        <v>1.4419999999999999</v>
      </c>
      <c r="D257" s="81">
        <v>17.89</v>
      </c>
      <c r="E257" s="24">
        <f t="shared" si="11"/>
        <v>2.8842418975206279</v>
      </c>
      <c r="F257" s="81">
        <v>38.631432760055482</v>
      </c>
      <c r="G257" s="24">
        <f t="shared" si="12"/>
        <v>3.6540662653006621</v>
      </c>
      <c r="H257" s="84">
        <f>Table1[[#This Row],[Log(Inflation-adjusted)]]-G256</f>
        <v>-2.8165456543853828E-2</v>
      </c>
      <c r="I257" s="83">
        <f t="shared" si="10"/>
        <v>-8.0786874492678518E-2</v>
      </c>
      <c r="S257" s="22"/>
      <c r="T257" s="22"/>
    </row>
    <row r="258" spans="2:20" ht="16.2" x14ac:dyDescent="0.45">
      <c r="B258" s="80">
        <v>34121</v>
      </c>
      <c r="C258" s="81">
        <v>1.4430000000000001</v>
      </c>
      <c r="D258" s="81">
        <v>16.8</v>
      </c>
      <c r="E258" s="24">
        <f t="shared" si="11"/>
        <v>2.8213788864092133</v>
      </c>
      <c r="F258" s="81">
        <v>36.252560498960499</v>
      </c>
      <c r="G258" s="24">
        <f t="shared" si="12"/>
        <v>3.5905100132602707</v>
      </c>
      <c r="H258" s="84">
        <f>Table1[[#This Row],[Log(Inflation-adjusted)]]-G257</f>
        <v>-6.3556252040391392E-2</v>
      </c>
      <c r="I258" s="83">
        <f t="shared" si="10"/>
        <v>-0.19535506855935525</v>
      </c>
      <c r="S258" s="22"/>
      <c r="T258" s="22"/>
    </row>
    <row r="259" spans="2:20" ht="16.2" x14ac:dyDescent="0.45">
      <c r="B259" s="80">
        <v>34151</v>
      </c>
      <c r="C259" s="81">
        <v>1.4450000000000001</v>
      </c>
      <c r="D259" s="81">
        <v>15.81</v>
      </c>
      <c r="E259" s="24">
        <f t="shared" si="11"/>
        <v>2.7606426512213806</v>
      </c>
      <c r="F259" s="81">
        <v>34.069029176470586</v>
      </c>
      <c r="G259" s="24">
        <f t="shared" si="12"/>
        <v>3.5283887362997768</v>
      </c>
      <c r="H259" s="84">
        <f>Table1[[#This Row],[Log(Inflation-adjusted)]]-G258</f>
        <v>-6.2121276960493965E-2</v>
      </c>
      <c r="I259" s="83">
        <f t="shared" si="10"/>
        <v>-0.25007640156264133</v>
      </c>
      <c r="S259" s="22"/>
      <c r="T259" s="22"/>
    </row>
    <row r="260" spans="2:20" ht="16.2" x14ac:dyDescent="0.45">
      <c r="B260" s="80">
        <v>34182</v>
      </c>
      <c r="C260" s="81">
        <v>1.448</v>
      </c>
      <c r="D260" s="81">
        <v>15.64</v>
      </c>
      <c r="E260" s="24">
        <f t="shared" si="11"/>
        <v>2.7498317351171653</v>
      </c>
      <c r="F260" s="81">
        <v>33.632869502762432</v>
      </c>
      <c r="G260" s="24">
        <f t="shared" si="12"/>
        <v>3.515503847796432</v>
      </c>
      <c r="H260" s="84">
        <f>Table1[[#This Row],[Log(Inflation-adjusted)]]-G259</f>
        <v>-1.2884888503344794E-2</v>
      </c>
      <c r="I260" s="83">
        <f t="shared" si="10"/>
        <v>-0.23569236184430231</v>
      </c>
      <c r="S260" s="22"/>
      <c r="T260" s="22"/>
    </row>
    <row r="261" spans="2:20" ht="16.2" x14ac:dyDescent="0.45">
      <c r="B261" s="80">
        <v>34213</v>
      </c>
      <c r="C261" s="81">
        <v>1.45</v>
      </c>
      <c r="D261" s="81">
        <v>15.32</v>
      </c>
      <c r="E261" s="24">
        <f t="shared" si="11"/>
        <v>2.7291591643124451</v>
      </c>
      <c r="F261" s="81">
        <v>32.899287944827584</v>
      </c>
      <c r="G261" s="24">
        <f t="shared" si="12"/>
        <v>3.4934510145227535</v>
      </c>
      <c r="H261" s="84">
        <f>Table1[[#This Row],[Log(Inflation-adjusted)]]-G260</f>
        <v>-2.2052833273678463E-2</v>
      </c>
      <c r="I261" s="83">
        <f t="shared" si="10"/>
        <v>-0.2561361256193404</v>
      </c>
      <c r="S261" s="22"/>
      <c r="T261" s="22"/>
    </row>
    <row r="262" spans="2:20" ht="16.2" x14ac:dyDescent="0.45">
      <c r="B262" s="80">
        <v>34243</v>
      </c>
      <c r="C262" s="81">
        <v>1.456</v>
      </c>
      <c r="D262" s="81">
        <v>15.59</v>
      </c>
      <c r="E262" s="24">
        <f t="shared" si="11"/>
        <v>2.7466296830696852</v>
      </c>
      <c r="F262" s="81">
        <v>33.341142335164832</v>
      </c>
      <c r="G262" s="24">
        <f t="shared" si="12"/>
        <v>3.5067921399379824</v>
      </c>
      <c r="H262" s="84">
        <f>Table1[[#This Row],[Log(Inflation-adjusted)]]-G261</f>
        <v>1.3341125415228916E-2</v>
      </c>
      <c r="I262" s="83">
        <f t="shared" si="10"/>
        <v>-0.2426967960214137</v>
      </c>
      <c r="S262" s="22"/>
      <c r="T262" s="22"/>
    </row>
    <row r="263" spans="2:20" ht="16.2" x14ac:dyDescent="0.45">
      <c r="B263" s="80">
        <v>34274</v>
      </c>
      <c r="C263" s="81">
        <v>1.46</v>
      </c>
      <c r="D263" s="81">
        <v>14.05</v>
      </c>
      <c r="E263" s="24">
        <f t="shared" si="11"/>
        <v>2.642622395779755</v>
      </c>
      <c r="F263" s="81">
        <v>29.965339589041097</v>
      </c>
      <c r="G263" s="24">
        <f t="shared" si="12"/>
        <v>3.4000413667023013</v>
      </c>
      <c r="H263" s="84">
        <f>Table1[[#This Row],[Log(Inflation-adjusted)]]-G262</f>
        <v>-0.10675077323568116</v>
      </c>
      <c r="I263" s="83">
        <f t="shared" si="10"/>
        <v>-0.29680385544046661</v>
      </c>
      <c r="S263" s="22"/>
      <c r="T263" s="22"/>
    </row>
    <row r="264" spans="2:20" ht="16.2" x14ac:dyDescent="0.45">
      <c r="B264" s="80">
        <v>34304</v>
      </c>
      <c r="C264" s="81">
        <v>1.4630000000000001</v>
      </c>
      <c r="D264" s="81">
        <v>12.56</v>
      </c>
      <c r="E264" s="24">
        <f t="shared" si="11"/>
        <v>2.5305171610400525</v>
      </c>
      <c r="F264" s="81">
        <v>26.732590676691729</v>
      </c>
      <c r="G264" s="24">
        <f t="shared" si="12"/>
        <v>3.2858834456448567</v>
      </c>
      <c r="H264" s="84">
        <f>Table1[[#This Row],[Log(Inflation-adjusted)]]-G263</f>
        <v>-0.1141579210574446</v>
      </c>
      <c r="I264" s="83">
        <f t="shared" si="10"/>
        <v>-0.32688233111412801</v>
      </c>
      <c r="S264" s="22"/>
      <c r="T264" s="22"/>
    </row>
    <row r="265" spans="2:20" ht="16.2" x14ac:dyDescent="0.45">
      <c r="B265" s="80">
        <v>34335</v>
      </c>
      <c r="C265" s="81">
        <v>1.4630000000000001</v>
      </c>
      <c r="D265" s="81">
        <v>12.93</v>
      </c>
      <c r="E265" s="24">
        <f t="shared" si="11"/>
        <v>2.5595501927837661</v>
      </c>
      <c r="F265" s="81">
        <v>27.520095338345861</v>
      </c>
      <c r="G265" s="24">
        <f t="shared" si="12"/>
        <v>3.3149164773885702</v>
      </c>
      <c r="H265" s="84">
        <f>Table1[[#This Row],[Log(Inflation-adjusted)]]-G264</f>
        <v>2.9033031743713522E-2</v>
      </c>
      <c r="I265" s="83">
        <f t="shared" si="10"/>
        <v>-0.28604295174604211</v>
      </c>
      <c r="S265" s="22"/>
      <c r="T265" s="22"/>
    </row>
    <row r="266" spans="2:20" ht="16.2" x14ac:dyDescent="0.45">
      <c r="B266" s="80">
        <v>34366</v>
      </c>
      <c r="C266" s="81">
        <v>1.4670000000000001</v>
      </c>
      <c r="D266" s="81">
        <v>12.9</v>
      </c>
      <c r="E266" s="24">
        <f t="shared" si="11"/>
        <v>2.5572273113676265</v>
      </c>
      <c r="F266" s="81">
        <v>27.381379959100205</v>
      </c>
      <c r="G266" s="24">
        <f t="shared" si="12"/>
        <v>3.3098632188495731</v>
      </c>
      <c r="H266" s="84">
        <f>Table1[[#This Row],[Log(Inflation-adjusted)]]-G265</f>
        <v>-5.0532585389970741E-3</v>
      </c>
      <c r="I266" s="83">
        <f t="shared" si="10"/>
        <v>-0.32466344099900235</v>
      </c>
      <c r="S266" s="22"/>
      <c r="T266" s="22"/>
    </row>
    <row r="267" spans="2:20" ht="16.2" x14ac:dyDescent="0.45">
      <c r="B267" s="80">
        <v>34394</v>
      </c>
      <c r="C267" s="81">
        <v>1.4710000000000001</v>
      </c>
      <c r="D267" s="81">
        <v>13.18</v>
      </c>
      <c r="E267" s="24">
        <f t="shared" si="11"/>
        <v>2.5787005290743612</v>
      </c>
      <c r="F267" s="81">
        <v>27.899631869476547</v>
      </c>
      <c r="G267" s="24">
        <f t="shared" si="12"/>
        <v>3.3286134940978522</v>
      </c>
      <c r="H267" s="84">
        <f>Table1[[#This Row],[Log(Inflation-adjusted)]]-G266</f>
        <v>1.8750275248279102E-2</v>
      </c>
      <c r="I267" s="83">
        <f t="shared" si="10"/>
        <v>-0.32779318574156768</v>
      </c>
      <c r="S267" s="22"/>
      <c r="T267" s="22"/>
    </row>
    <row r="268" spans="2:20" ht="16.2" x14ac:dyDescent="0.45">
      <c r="B268" s="80">
        <v>34425</v>
      </c>
      <c r="C268" s="81">
        <v>1.472</v>
      </c>
      <c r="D268" s="81">
        <v>14.54</v>
      </c>
      <c r="E268" s="24">
        <f t="shared" si="11"/>
        <v>2.6769034721053733</v>
      </c>
      <c r="F268" s="81">
        <v>30.757592010869566</v>
      </c>
      <c r="G268" s="24">
        <f t="shared" si="12"/>
        <v>3.4261368584414802</v>
      </c>
      <c r="H268" s="84">
        <f>Table1[[#This Row],[Log(Inflation-adjusted)]]-G267</f>
        <v>9.7523364343627961E-2</v>
      </c>
      <c r="I268" s="83">
        <f t="shared" si="10"/>
        <v>-0.25609486340303578</v>
      </c>
      <c r="S268" s="22"/>
      <c r="T268" s="22"/>
    </row>
    <row r="269" spans="2:20" ht="16.2" x14ac:dyDescent="0.45">
      <c r="B269" s="80">
        <v>34455</v>
      </c>
      <c r="C269" s="81">
        <v>1.4750000000000001</v>
      </c>
      <c r="D269" s="81">
        <v>15.74</v>
      </c>
      <c r="E269" s="24">
        <f t="shared" si="11"/>
        <v>2.7562052429892572</v>
      </c>
      <c r="F269" s="81">
        <v>33.228324501694914</v>
      </c>
      <c r="G269" s="24">
        <f t="shared" si="12"/>
        <v>3.5034026598402654</v>
      </c>
      <c r="H269" s="84">
        <f>Table1[[#This Row],[Log(Inflation-adjusted)]]-G268</f>
        <v>7.726580139878525E-2</v>
      </c>
      <c r="I269" s="83">
        <f t="shared" si="10"/>
        <v>-0.1506636054603967</v>
      </c>
      <c r="S269" s="22"/>
      <c r="T269" s="22"/>
    </row>
    <row r="270" spans="2:20" ht="16.2" x14ac:dyDescent="0.45">
      <c r="B270" s="80">
        <v>34486</v>
      </c>
      <c r="C270" s="81">
        <v>1.4790000000000001</v>
      </c>
      <c r="D270" s="81">
        <v>17.04</v>
      </c>
      <c r="E270" s="24">
        <f t="shared" si="11"/>
        <v>2.8355635214011694</v>
      </c>
      <c r="F270" s="81">
        <v>35.875433022312372</v>
      </c>
      <c r="G270" s="24">
        <f t="shared" si="12"/>
        <v>3.5800527443152985</v>
      </c>
      <c r="H270" s="84">
        <f>Table1[[#This Row],[Log(Inflation-adjusted)]]-G269</f>
        <v>7.6650084475033076E-2</v>
      </c>
      <c r="I270" s="83">
        <f t="shared" si="10"/>
        <v>-1.0457268944972231E-2</v>
      </c>
      <c r="S270" s="22"/>
      <c r="T270" s="22"/>
    </row>
    <row r="271" spans="2:20" ht="16.2" x14ac:dyDescent="0.45">
      <c r="B271" s="80">
        <v>34516</v>
      </c>
      <c r="C271" s="81">
        <v>1.484</v>
      </c>
      <c r="D271" s="81">
        <v>17.52</v>
      </c>
      <c r="E271" s="24">
        <f t="shared" si="11"/>
        <v>2.8633430855082453</v>
      </c>
      <c r="F271" s="81">
        <v>36.761729595687335</v>
      </c>
      <c r="G271" s="24">
        <f t="shared" si="12"/>
        <v>3.6044573474058481</v>
      </c>
      <c r="H271" s="84">
        <f>Table1[[#This Row],[Log(Inflation-adjusted)]]-G270</f>
        <v>2.4404603090549593E-2</v>
      </c>
      <c r="I271" s="83">
        <f t="shared" si="10"/>
        <v>7.6068611106071327E-2</v>
      </c>
      <c r="S271" s="22"/>
      <c r="T271" s="22"/>
    </row>
    <row r="272" spans="2:20" ht="16.2" x14ac:dyDescent="0.45">
      <c r="B272" s="80">
        <v>34547</v>
      </c>
      <c r="C272" s="81">
        <v>1.49</v>
      </c>
      <c r="D272" s="81">
        <v>16.66</v>
      </c>
      <c r="E272" s="24">
        <f t="shared" si="11"/>
        <v>2.8130106367386967</v>
      </c>
      <c r="F272" s="81">
        <v>34.816448161073829</v>
      </c>
      <c r="G272" s="24">
        <f t="shared" si="12"/>
        <v>3.5500899234241206</v>
      </c>
      <c r="H272" s="84">
        <f>Table1[[#This Row],[Log(Inflation-adjusted)]]-G271</f>
        <v>-5.4367423981727558E-2</v>
      </c>
      <c r="I272" s="83">
        <f t="shared" si="10"/>
        <v>3.4586075627688562E-2</v>
      </c>
      <c r="S272" s="22"/>
      <c r="T272" s="22"/>
    </row>
    <row r="273" spans="2:20" ht="16.2" x14ac:dyDescent="0.45">
      <c r="B273" s="80">
        <v>34578</v>
      </c>
      <c r="C273" s="81">
        <v>1.4930000000000001</v>
      </c>
      <c r="D273" s="81">
        <v>15.91</v>
      </c>
      <c r="E273" s="24">
        <f t="shared" si="11"/>
        <v>2.7669478423496954</v>
      </c>
      <c r="F273" s="81">
        <v>33.182271105157398</v>
      </c>
      <c r="G273" s="24">
        <f t="shared" si="12"/>
        <v>3.5020157304354336</v>
      </c>
      <c r="H273" s="84">
        <f>Table1[[#This Row],[Log(Inflation-adjusted)]]-G272</f>
        <v>-4.8074192988686981E-2</v>
      </c>
      <c r="I273" s="83">
        <f t="shared" si="10"/>
        <v>8.5647159126800432E-3</v>
      </c>
      <c r="S273" s="22"/>
      <c r="T273" s="22"/>
    </row>
    <row r="274" spans="2:20" ht="16.2" x14ac:dyDescent="0.45">
      <c r="B274" s="80">
        <v>34608</v>
      </c>
      <c r="C274" s="81">
        <v>1.494</v>
      </c>
      <c r="D274" s="81">
        <v>16.27</v>
      </c>
      <c r="E274" s="24">
        <f t="shared" si="11"/>
        <v>2.7893229212309465</v>
      </c>
      <c r="F274" s="81">
        <v>33.91038267737617</v>
      </c>
      <c r="G274" s="24">
        <f t="shared" si="12"/>
        <v>3.5237212411631122</v>
      </c>
      <c r="H274" s="84">
        <f>Table1[[#This Row],[Log(Inflation-adjusted)]]-G273</f>
        <v>2.1705510727678679E-2</v>
      </c>
      <c r="I274" s="83">
        <f t="shared" si="10"/>
        <v>1.6929101225129806E-2</v>
      </c>
      <c r="S274" s="22"/>
      <c r="T274" s="22"/>
    </row>
    <row r="275" spans="2:20" ht="16.2" x14ac:dyDescent="0.45">
      <c r="B275" s="80">
        <v>34639</v>
      </c>
      <c r="C275" s="81">
        <v>1.498</v>
      </c>
      <c r="D275" s="81">
        <v>16.46</v>
      </c>
      <c r="E275" s="24">
        <f t="shared" si="11"/>
        <v>2.8009331952489238</v>
      </c>
      <c r="F275" s="81">
        <v>34.214780080106813</v>
      </c>
      <c r="G275" s="24">
        <f t="shared" si="12"/>
        <v>3.5326577167966877</v>
      </c>
      <c r="H275" s="84">
        <f>Table1[[#This Row],[Log(Inflation-adjusted)]]-G274</f>
        <v>8.9364756335754691E-3</v>
      </c>
      <c r="I275" s="83">
        <f t="shared" si="10"/>
        <v>0.13261635009438644</v>
      </c>
      <c r="S275" s="22"/>
      <c r="T275" s="22"/>
    </row>
    <row r="276" spans="2:20" ht="16.2" x14ac:dyDescent="0.45">
      <c r="B276" s="80">
        <v>34669</v>
      </c>
      <c r="C276" s="81">
        <v>1.5009999999999999</v>
      </c>
      <c r="D276" s="81">
        <v>15.78</v>
      </c>
      <c r="E276" s="24">
        <f t="shared" si="11"/>
        <v>2.7587433154177283</v>
      </c>
      <c r="F276" s="81">
        <v>32.735730899400401</v>
      </c>
      <c r="G276" s="24">
        <f t="shared" si="12"/>
        <v>3.4884671694091947</v>
      </c>
      <c r="H276" s="84">
        <f>Table1[[#This Row],[Log(Inflation-adjusted)]]-G275</f>
        <v>-4.4190547387493062E-2</v>
      </c>
      <c r="I276" s="83">
        <f t="shared" si="10"/>
        <v>0.20258372376433798</v>
      </c>
      <c r="S276" s="22"/>
      <c r="T276" s="22"/>
    </row>
    <row r="277" spans="2:20" ht="16.2" x14ac:dyDescent="0.45">
      <c r="B277" s="80">
        <v>34700</v>
      </c>
      <c r="C277" s="81">
        <v>1.5049999999999999</v>
      </c>
      <c r="D277" s="81">
        <v>16.559999999999999</v>
      </c>
      <c r="E277" s="24">
        <f t="shared" si="11"/>
        <v>2.8069901489571136</v>
      </c>
      <c r="F277" s="81">
        <v>34.262540970099671</v>
      </c>
      <c r="G277" s="24">
        <f t="shared" si="12"/>
        <v>3.5340526573990663</v>
      </c>
      <c r="H277" s="84">
        <f>Table1[[#This Row],[Log(Inflation-adjusted)]]-G276</f>
        <v>4.5585487989871609E-2</v>
      </c>
      <c r="I277" s="83">
        <f t="shared" si="10"/>
        <v>0.21913618001049606</v>
      </c>
      <c r="S277" s="22"/>
      <c r="T277" s="22"/>
    </row>
    <row r="278" spans="2:20" ht="16.2" x14ac:dyDescent="0.45">
      <c r="B278" s="80">
        <v>34731</v>
      </c>
      <c r="C278" s="81">
        <v>1.5089999999999999</v>
      </c>
      <c r="D278" s="81">
        <v>17.21</v>
      </c>
      <c r="E278" s="24">
        <f t="shared" si="11"/>
        <v>2.8454906102234481</v>
      </c>
      <c r="F278" s="81">
        <v>35.513000371106699</v>
      </c>
      <c r="G278" s="24">
        <f t="shared" si="12"/>
        <v>3.5698988370805278</v>
      </c>
      <c r="H278" s="84">
        <f>Table1[[#This Row],[Log(Inflation-adjusted)]]-G277</f>
        <v>3.5846179681461532E-2</v>
      </c>
      <c r="I278" s="83">
        <f t="shared" si="10"/>
        <v>0.26003561823095467</v>
      </c>
      <c r="S278" s="22"/>
      <c r="T278" s="22"/>
    </row>
    <row r="279" spans="2:20" ht="16.2" x14ac:dyDescent="0.45">
      <c r="B279" s="80">
        <v>34759</v>
      </c>
      <c r="C279" s="81">
        <v>1.512</v>
      </c>
      <c r="D279" s="81">
        <v>17.21</v>
      </c>
      <c r="E279" s="24">
        <f t="shared" si="11"/>
        <v>2.8454906102234481</v>
      </c>
      <c r="F279" s="81">
        <v>35.442538068783072</v>
      </c>
      <c r="G279" s="24">
        <f t="shared" si="12"/>
        <v>3.5679127391088983</v>
      </c>
      <c r="H279" s="84">
        <f>Table1[[#This Row],[Log(Inflation-adjusted)]]-G278</f>
        <v>-1.9860979716295191E-3</v>
      </c>
      <c r="I279" s="83">
        <f t="shared" si="10"/>
        <v>0.23929924501104605</v>
      </c>
      <c r="S279" s="22"/>
      <c r="T279" s="22"/>
    </row>
    <row r="280" spans="2:20" ht="16.2" x14ac:dyDescent="0.45">
      <c r="B280" s="80">
        <v>34790</v>
      </c>
      <c r="C280" s="81">
        <v>1.518</v>
      </c>
      <c r="D280" s="81">
        <v>18.7</v>
      </c>
      <c r="E280" s="24">
        <f t="shared" si="11"/>
        <v>2.9285235238605409</v>
      </c>
      <c r="F280" s="81">
        <v>38.358849275362317</v>
      </c>
      <c r="G280" s="24">
        <f t="shared" si="12"/>
        <v>3.6469852515298942</v>
      </c>
      <c r="H280" s="84">
        <f>Table1[[#This Row],[Log(Inflation-adjusted)]]-G279</f>
        <v>7.9072512420995889E-2</v>
      </c>
      <c r="I280" s="83">
        <f t="shared" si="10"/>
        <v>0.22084839308841397</v>
      </c>
      <c r="S280" s="22"/>
      <c r="T280" s="22"/>
    </row>
    <row r="281" spans="2:20" ht="16.2" x14ac:dyDescent="0.45">
      <c r="B281" s="80">
        <v>34820</v>
      </c>
      <c r="C281" s="81">
        <v>1.5209999999999999</v>
      </c>
      <c r="D281" s="81">
        <v>18.559999999999999</v>
      </c>
      <c r="E281" s="24">
        <f t="shared" si="11"/>
        <v>2.9210087273580543</v>
      </c>
      <c r="F281" s="81">
        <v>37.996578671926365</v>
      </c>
      <c r="G281" s="24">
        <f t="shared" si="12"/>
        <v>3.6374961207236902</v>
      </c>
      <c r="H281" s="84">
        <f>Table1[[#This Row],[Log(Inflation-adjusted)]]-G280</f>
        <v>-9.4891308062039492E-3</v>
      </c>
      <c r="I281" s="83">
        <f t="shared" ref="I281:I344" si="13">G281-G269</f>
        <v>0.13409346088342478</v>
      </c>
      <c r="S281" s="22"/>
      <c r="T281" s="22"/>
    </row>
    <row r="282" spans="2:20" ht="16.2" x14ac:dyDescent="0.45">
      <c r="B282" s="80">
        <v>34851</v>
      </c>
      <c r="C282" s="81">
        <v>1.524</v>
      </c>
      <c r="D282" s="81">
        <v>17.43</v>
      </c>
      <c r="E282" s="24">
        <f t="shared" ref="E282:E345" si="14">LN(D282)</f>
        <v>2.8581928595319295</v>
      </c>
      <c r="F282" s="81">
        <v>35.612966850393697</v>
      </c>
      <c r="G282" s="24">
        <f t="shared" ref="G282:G345" si="15">LN(F282)</f>
        <v>3.5727098089102665</v>
      </c>
      <c r="H282" s="84">
        <f>Table1[[#This Row],[Log(Inflation-adjusted)]]-G281</f>
        <v>-6.4786311813423758E-2</v>
      </c>
      <c r="I282" s="83">
        <f t="shared" si="13"/>
        <v>-7.3429354050320583E-3</v>
      </c>
      <c r="S282" s="22"/>
      <c r="T282" s="22"/>
    </row>
    <row r="283" spans="2:20" ht="16.2" x14ac:dyDescent="0.45">
      <c r="B283" s="80">
        <v>34881</v>
      </c>
      <c r="C283" s="81">
        <v>1.526</v>
      </c>
      <c r="D283" s="81">
        <v>16.5</v>
      </c>
      <c r="E283" s="24">
        <f t="shared" si="14"/>
        <v>2.8033603809065348</v>
      </c>
      <c r="F283" s="81">
        <v>33.668606815203148</v>
      </c>
      <c r="G283" s="24">
        <f t="shared" si="15"/>
        <v>3.5165658546870611</v>
      </c>
      <c r="H283" s="84">
        <f>Table1[[#This Row],[Log(Inflation-adjusted)]]-G282</f>
        <v>-5.6143954223205395E-2</v>
      </c>
      <c r="I283" s="83">
        <f t="shared" si="13"/>
        <v>-8.7891492718787045E-2</v>
      </c>
      <c r="S283" s="22"/>
      <c r="T283" s="22"/>
    </row>
    <row r="284" spans="2:20" ht="16.2" x14ac:dyDescent="0.45">
      <c r="B284" s="80">
        <v>34912</v>
      </c>
      <c r="C284" s="81">
        <v>1.5289999999999999</v>
      </c>
      <c r="D284" s="81">
        <v>16.54</v>
      </c>
      <c r="E284" s="24">
        <f t="shared" si="14"/>
        <v>2.8057816895955452</v>
      </c>
      <c r="F284" s="81">
        <v>33.684007482014387</v>
      </c>
      <c r="G284" s="24">
        <f t="shared" si="15"/>
        <v>3.5170231692914116</v>
      </c>
      <c r="H284" s="84">
        <f>Table1[[#This Row],[Log(Inflation-adjusted)]]-G283</f>
        <v>4.5731460435050053E-4</v>
      </c>
      <c r="I284" s="83">
        <f t="shared" si="13"/>
        <v>-3.3066754132708986E-2</v>
      </c>
      <c r="S284" s="22"/>
      <c r="T284" s="22"/>
    </row>
    <row r="285" spans="2:20" ht="16.2" x14ac:dyDescent="0.45">
      <c r="B285" s="80">
        <v>34943</v>
      </c>
      <c r="C285" s="81">
        <v>1.5309999999999999</v>
      </c>
      <c r="D285" s="81">
        <v>16.71</v>
      </c>
      <c r="E285" s="24">
        <f t="shared" si="14"/>
        <v>2.8160073426073025</v>
      </c>
      <c r="F285" s="81">
        <v>33.985760653167866</v>
      </c>
      <c r="G285" s="24">
        <f t="shared" si="15"/>
        <v>3.5259416325745474</v>
      </c>
      <c r="H285" s="84">
        <f>Table1[[#This Row],[Log(Inflation-adjusted)]]-G284</f>
        <v>8.9184632831358357E-3</v>
      </c>
      <c r="I285" s="83">
        <f t="shared" si="13"/>
        <v>2.392590213911383E-2</v>
      </c>
      <c r="S285" s="22"/>
      <c r="T285" s="22"/>
    </row>
    <row r="286" spans="2:20" ht="16.2" x14ac:dyDescent="0.45">
      <c r="B286" s="80">
        <v>34973</v>
      </c>
      <c r="C286" s="81">
        <v>1.5349999999999999</v>
      </c>
      <c r="D286" s="81">
        <v>16.29</v>
      </c>
      <c r="E286" s="24">
        <f t="shared" si="14"/>
        <v>2.7905514226139538</v>
      </c>
      <c r="F286" s="81">
        <v>33.045204195439737</v>
      </c>
      <c r="G286" s="24">
        <f t="shared" si="15"/>
        <v>3.4978764482175846</v>
      </c>
      <c r="H286" s="84">
        <f>Table1[[#This Row],[Log(Inflation-adjusted)]]-G285</f>
        <v>-2.8065184356962813E-2</v>
      </c>
      <c r="I286" s="83">
        <f t="shared" si="13"/>
        <v>-2.5844792945527661E-2</v>
      </c>
      <c r="S286" s="22"/>
      <c r="T286" s="22"/>
    </row>
    <row r="287" spans="2:20" ht="16.2" x14ac:dyDescent="0.45">
      <c r="B287" s="80">
        <v>35004</v>
      </c>
      <c r="C287" s="81">
        <v>1.5369999999999999</v>
      </c>
      <c r="D287" s="81">
        <v>16.52</v>
      </c>
      <c r="E287" s="24">
        <f t="shared" si="14"/>
        <v>2.8045717680928322</v>
      </c>
      <c r="F287" s="81">
        <v>33.468165725439164</v>
      </c>
      <c r="G287" s="24">
        <f t="shared" si="15"/>
        <v>3.5105947101791646</v>
      </c>
      <c r="H287" s="84">
        <f>Table1[[#This Row],[Log(Inflation-adjusted)]]-G286</f>
        <v>1.2718261961579991E-2</v>
      </c>
      <c r="I287" s="83">
        <f t="shared" si="13"/>
        <v>-2.206300661752314E-2</v>
      </c>
      <c r="S287" s="22"/>
      <c r="T287" s="22"/>
    </row>
    <row r="288" spans="2:20" ht="16.2" x14ac:dyDescent="0.45">
      <c r="B288" s="80">
        <v>35034</v>
      </c>
      <c r="C288" s="81">
        <v>1.5389999999999999</v>
      </c>
      <c r="D288" s="81">
        <v>17.53</v>
      </c>
      <c r="E288" s="24">
        <f t="shared" si="14"/>
        <v>2.8639136989331431</v>
      </c>
      <c r="F288" s="81">
        <v>35.46819043534763</v>
      </c>
      <c r="G288" s="24">
        <f t="shared" si="15"/>
        <v>3.5686362507191927</v>
      </c>
      <c r="H288" s="84">
        <f>Table1[[#This Row],[Log(Inflation-adjusted)]]-G287</f>
        <v>5.804154054002808E-2</v>
      </c>
      <c r="I288" s="83">
        <f t="shared" si="13"/>
        <v>8.0169081309998003E-2</v>
      </c>
      <c r="S288" s="22"/>
      <c r="T288" s="22"/>
    </row>
    <row r="289" spans="2:20" ht="16.2" x14ac:dyDescent="0.45">
      <c r="B289" s="80">
        <v>35065</v>
      </c>
      <c r="C289" s="81">
        <v>1.5469999999999999</v>
      </c>
      <c r="D289" s="81">
        <v>17.48</v>
      </c>
      <c r="E289" s="24">
        <f t="shared" si="14"/>
        <v>2.8610573702273894</v>
      </c>
      <c r="F289" s="81">
        <v>35.184132695539759</v>
      </c>
      <c r="G289" s="24">
        <f t="shared" si="15"/>
        <v>3.560595205279252</v>
      </c>
      <c r="H289" s="84">
        <f>Table1[[#This Row],[Log(Inflation-adjusted)]]-G288</f>
        <v>-8.0410454399406639E-3</v>
      </c>
      <c r="I289" s="83">
        <f t="shared" si="13"/>
        <v>2.654254788018573E-2</v>
      </c>
      <c r="S289" s="22"/>
      <c r="T289" s="22"/>
    </row>
    <row r="290" spans="2:20" ht="16.2" x14ac:dyDescent="0.45">
      <c r="B290" s="80">
        <v>35096</v>
      </c>
      <c r="C290" s="81">
        <v>1.55</v>
      </c>
      <c r="D290" s="81">
        <v>17.77</v>
      </c>
      <c r="E290" s="24">
        <f t="shared" si="14"/>
        <v>2.8775116421665601</v>
      </c>
      <c r="F290" s="81">
        <v>35.698623045161291</v>
      </c>
      <c r="G290" s="24">
        <f t="shared" si="15"/>
        <v>3.5751121178781964</v>
      </c>
      <c r="H290" s="84">
        <f>Table1[[#This Row],[Log(Inflation-adjusted)]]-G289</f>
        <v>1.4516912598944387E-2</v>
      </c>
      <c r="I290" s="83">
        <f t="shared" si="13"/>
        <v>5.2132807976685847E-3</v>
      </c>
      <c r="S290" s="22"/>
      <c r="T290" s="22"/>
    </row>
    <row r="291" spans="2:20" ht="16.2" x14ac:dyDescent="0.45">
      <c r="B291" s="80">
        <v>35125</v>
      </c>
      <c r="C291" s="81">
        <v>1.5549999999999999</v>
      </c>
      <c r="D291" s="81">
        <v>19.899999999999999</v>
      </c>
      <c r="E291" s="24">
        <f t="shared" si="14"/>
        <v>2.9907197317304468</v>
      </c>
      <c r="F291" s="81">
        <v>39.849090932475882</v>
      </c>
      <c r="G291" s="24">
        <f t="shared" si="15"/>
        <v>3.6850995927420409</v>
      </c>
      <c r="H291" s="84">
        <f>Table1[[#This Row],[Log(Inflation-adjusted)]]-G290</f>
        <v>0.10998747486384453</v>
      </c>
      <c r="I291" s="83">
        <f t="shared" si="13"/>
        <v>0.11718685363314263</v>
      </c>
      <c r="S291" s="22"/>
      <c r="T291" s="22"/>
    </row>
    <row r="292" spans="2:20" ht="16.2" x14ac:dyDescent="0.45">
      <c r="B292" s="80">
        <v>35156</v>
      </c>
      <c r="C292" s="81">
        <v>1.5609999999999999</v>
      </c>
      <c r="D292" s="81">
        <v>21.33</v>
      </c>
      <c r="E292" s="24">
        <f t="shared" si="14"/>
        <v>3.0601145324832593</v>
      </c>
      <c r="F292" s="81">
        <v>42.548444509929531</v>
      </c>
      <c r="G292" s="24">
        <f t="shared" si="15"/>
        <v>3.7506432975927555</v>
      </c>
      <c r="H292" s="84">
        <f>Table1[[#This Row],[Log(Inflation-adjusted)]]-G291</f>
        <v>6.554370485071459E-2</v>
      </c>
      <c r="I292" s="83">
        <f t="shared" si="13"/>
        <v>0.10365804606286133</v>
      </c>
      <c r="S292" s="22"/>
      <c r="T292" s="22"/>
    </row>
    <row r="293" spans="2:20" ht="16.2" x14ac:dyDescent="0.45">
      <c r="B293" s="80">
        <v>35186</v>
      </c>
      <c r="C293" s="81">
        <v>1.5640000000000001</v>
      </c>
      <c r="D293" s="81">
        <v>20.12</v>
      </c>
      <c r="E293" s="24">
        <f t="shared" si="14"/>
        <v>3.0017143452315387</v>
      </c>
      <c r="F293" s="81">
        <v>40.057787928388748</v>
      </c>
      <c r="G293" s="24">
        <f t="shared" si="15"/>
        <v>3.6903231097512106</v>
      </c>
      <c r="H293" s="84">
        <f>Table1[[#This Row],[Log(Inflation-adjusted)]]-G292</f>
        <v>-6.0320187841544914E-2</v>
      </c>
      <c r="I293" s="83">
        <f t="shared" si="13"/>
        <v>5.2826989027520366E-2</v>
      </c>
      <c r="S293" s="22"/>
      <c r="T293" s="22"/>
    </row>
    <row r="294" spans="2:20" ht="16.2" x14ac:dyDescent="0.45">
      <c r="B294" s="80">
        <v>35217</v>
      </c>
      <c r="C294" s="81">
        <v>1.5669999999999999</v>
      </c>
      <c r="D294" s="81">
        <v>19.32</v>
      </c>
      <c r="E294" s="24">
        <f t="shared" si="14"/>
        <v>2.9611408287843721</v>
      </c>
      <c r="F294" s="81">
        <v>38.391392163369495</v>
      </c>
      <c r="G294" s="24">
        <f t="shared" si="15"/>
        <v>3.6478332720532798</v>
      </c>
      <c r="H294" s="84">
        <f>Table1[[#This Row],[Log(Inflation-adjusted)]]-G293</f>
        <v>-4.2489837697930799E-2</v>
      </c>
      <c r="I294" s="83">
        <f t="shared" si="13"/>
        <v>7.5123463143013325E-2</v>
      </c>
      <c r="S294" s="22"/>
      <c r="T294" s="22"/>
    </row>
    <row r="295" spans="2:20" ht="16.2" x14ac:dyDescent="0.45">
      <c r="B295" s="80">
        <v>35247</v>
      </c>
      <c r="C295" s="81">
        <v>1.57</v>
      </c>
      <c r="D295" s="81">
        <v>19.600000000000001</v>
      </c>
      <c r="E295" s="24">
        <f t="shared" si="14"/>
        <v>2.9755295662364718</v>
      </c>
      <c r="F295" s="81">
        <v>38.873366624203825</v>
      </c>
      <c r="G295" s="24">
        <f t="shared" si="15"/>
        <v>3.6603093535190463</v>
      </c>
      <c r="H295" s="84">
        <f>Table1[[#This Row],[Log(Inflation-adjusted)]]-G294</f>
        <v>1.2476081465766509E-2</v>
      </c>
      <c r="I295" s="83">
        <f t="shared" si="13"/>
        <v>0.14374349883198523</v>
      </c>
      <c r="S295" s="22"/>
      <c r="T295" s="22"/>
    </row>
    <row r="296" spans="2:20" ht="16.2" x14ac:dyDescent="0.45">
      <c r="B296" s="80">
        <v>35278</v>
      </c>
      <c r="C296" s="81">
        <v>1.5720000000000001</v>
      </c>
      <c r="D296" s="81">
        <v>20.53</v>
      </c>
      <c r="E296" s="24">
        <f t="shared" si="14"/>
        <v>3.0218872310308424</v>
      </c>
      <c r="F296" s="81">
        <v>40.666064300254455</v>
      </c>
      <c r="G296" s="24">
        <f t="shared" si="15"/>
        <v>3.705393943666619</v>
      </c>
      <c r="H296" s="84">
        <f>Table1[[#This Row],[Log(Inflation-adjusted)]]-G295</f>
        <v>4.5084590147572712E-2</v>
      </c>
      <c r="I296" s="83">
        <f t="shared" si="13"/>
        <v>0.18837077437520744</v>
      </c>
      <c r="S296" s="22"/>
      <c r="T296" s="22"/>
    </row>
    <row r="297" spans="2:20" ht="16.2" x14ac:dyDescent="0.45">
      <c r="B297" s="80">
        <v>35309</v>
      </c>
      <c r="C297" s="81">
        <v>1.577</v>
      </c>
      <c r="D297" s="81">
        <v>22.04</v>
      </c>
      <c r="E297" s="24">
        <f t="shared" si="14"/>
        <v>3.0928589842847138</v>
      </c>
      <c r="F297" s="81">
        <v>43.518671807228912</v>
      </c>
      <c r="G297" s="24">
        <f t="shared" si="15"/>
        <v>3.7731900829466039</v>
      </c>
      <c r="H297" s="84">
        <f>Table1[[#This Row],[Log(Inflation-adjusted)]]-G296</f>
        <v>6.7796139279984846E-2</v>
      </c>
      <c r="I297" s="83">
        <f t="shared" si="13"/>
        <v>0.24724845037205645</v>
      </c>
      <c r="S297" s="22"/>
      <c r="T297" s="22"/>
    </row>
    <row r="298" spans="2:20" ht="16.2" x14ac:dyDescent="0.45">
      <c r="B298" s="80">
        <v>35339</v>
      </c>
      <c r="C298" s="81">
        <v>1.5820000000000001</v>
      </c>
      <c r="D298" s="81">
        <v>23.22</v>
      </c>
      <c r="E298" s="24">
        <f t="shared" si="14"/>
        <v>3.1450139762697455</v>
      </c>
      <c r="F298" s="81">
        <v>45.703711706700375</v>
      </c>
      <c r="G298" s="24">
        <f t="shared" si="15"/>
        <v>3.8221795135670749</v>
      </c>
      <c r="H298" s="84">
        <f>Table1[[#This Row],[Log(Inflation-adjusted)]]-G297</f>
        <v>4.8989430620471008E-2</v>
      </c>
      <c r="I298" s="83">
        <f t="shared" si="13"/>
        <v>0.32430306534949027</v>
      </c>
      <c r="S298" s="22"/>
      <c r="T298" s="22"/>
    </row>
    <row r="299" spans="2:20" ht="16.2" x14ac:dyDescent="0.45">
      <c r="B299" s="80">
        <v>35370</v>
      </c>
      <c r="C299" s="81">
        <v>1.587</v>
      </c>
      <c r="D299" s="81">
        <v>22.66</v>
      </c>
      <c r="E299" s="24">
        <f t="shared" si="14"/>
        <v>3.1206012555998601</v>
      </c>
      <c r="F299" s="81">
        <v>44.460947548834284</v>
      </c>
      <c r="G299" s="24">
        <f t="shared" si="15"/>
        <v>3.7946112206983797</v>
      </c>
      <c r="H299" s="84">
        <f>Table1[[#This Row],[Log(Inflation-adjusted)]]-G298</f>
        <v>-2.756829286869511E-2</v>
      </c>
      <c r="I299" s="83">
        <f t="shared" si="13"/>
        <v>0.28401651051921517</v>
      </c>
      <c r="S299" s="22"/>
      <c r="T299" s="22"/>
    </row>
    <row r="300" spans="2:20" ht="16.2" x14ac:dyDescent="0.45">
      <c r="B300" s="80">
        <v>35400</v>
      </c>
      <c r="C300" s="81">
        <v>1.591</v>
      </c>
      <c r="D300" s="81">
        <v>23.22</v>
      </c>
      <c r="E300" s="24">
        <f t="shared" si="14"/>
        <v>3.1450139762697455</v>
      </c>
      <c r="F300" s="81">
        <v>45.445174054054057</v>
      </c>
      <c r="G300" s="24">
        <f t="shared" si="15"/>
        <v>3.8165066335568874</v>
      </c>
      <c r="H300" s="84">
        <f>Table1[[#This Row],[Log(Inflation-adjusted)]]-G299</f>
        <v>2.1895412858507601E-2</v>
      </c>
      <c r="I300" s="83">
        <f t="shared" si="13"/>
        <v>0.24787038283769469</v>
      </c>
      <c r="S300" s="22"/>
      <c r="T300" s="22"/>
    </row>
    <row r="301" spans="2:20" ht="16.2" x14ac:dyDescent="0.45">
      <c r="B301" s="80">
        <v>35431</v>
      </c>
      <c r="C301" s="81">
        <v>1.5940000000000001</v>
      </c>
      <c r="D301" s="81">
        <v>23.02</v>
      </c>
      <c r="E301" s="24">
        <f t="shared" si="14"/>
        <v>3.1363634032937364</v>
      </c>
      <c r="F301" s="81">
        <v>44.968949008782936</v>
      </c>
      <c r="G301" s="24">
        <f t="shared" si="15"/>
        <v>3.8059722295685048</v>
      </c>
      <c r="H301" s="84">
        <f>Table1[[#This Row],[Log(Inflation-adjusted)]]-G300</f>
        <v>-1.0534403988382568E-2</v>
      </c>
      <c r="I301" s="83">
        <f t="shared" si="13"/>
        <v>0.24537702428925279</v>
      </c>
      <c r="S301" s="22"/>
      <c r="T301" s="22"/>
    </row>
    <row r="302" spans="2:20" ht="16.2" x14ac:dyDescent="0.45">
      <c r="B302" s="80">
        <v>35462</v>
      </c>
      <c r="C302" s="81">
        <v>1.597</v>
      </c>
      <c r="D302" s="81">
        <v>20.88</v>
      </c>
      <c r="E302" s="24">
        <f t="shared" si="14"/>
        <v>3.0387917630144381</v>
      </c>
      <c r="F302" s="81">
        <v>40.711894602379466</v>
      </c>
      <c r="G302" s="24">
        <f t="shared" si="15"/>
        <v>3.7065203004243541</v>
      </c>
      <c r="H302" s="84">
        <f>Table1[[#This Row],[Log(Inflation-adjusted)]]-G301</f>
        <v>-9.9451929144150686E-2</v>
      </c>
      <c r="I302" s="83">
        <f t="shared" si="13"/>
        <v>0.13140818254615771</v>
      </c>
      <c r="S302" s="22"/>
      <c r="T302" s="22"/>
    </row>
    <row r="303" spans="2:20" ht="16.2" x14ac:dyDescent="0.45">
      <c r="B303" s="80">
        <v>35490</v>
      </c>
      <c r="C303" s="81">
        <v>1.5980000000000001</v>
      </c>
      <c r="D303" s="81">
        <v>19.16</v>
      </c>
      <c r="E303" s="24">
        <f t="shared" si="14"/>
        <v>2.9528247725427144</v>
      </c>
      <c r="F303" s="81">
        <v>37.334854668335417</v>
      </c>
      <c r="G303" s="24">
        <f t="shared" si="15"/>
        <v>3.6199273318414229</v>
      </c>
      <c r="H303" s="84">
        <f>Table1[[#This Row],[Log(Inflation-adjusted)]]-G302</f>
        <v>-8.6592968582931196E-2</v>
      </c>
      <c r="I303" s="83">
        <f t="shared" si="13"/>
        <v>-6.5172260900618006E-2</v>
      </c>
      <c r="S303" s="22"/>
      <c r="T303" s="22"/>
    </row>
    <row r="304" spans="2:20" ht="16.2" x14ac:dyDescent="0.45">
      <c r="B304" s="80">
        <v>35521</v>
      </c>
      <c r="C304" s="81">
        <v>1.599</v>
      </c>
      <c r="D304" s="81">
        <v>17.829999999999998</v>
      </c>
      <c r="E304" s="24">
        <f t="shared" si="14"/>
        <v>2.8808824318750488</v>
      </c>
      <c r="F304" s="81">
        <v>34.721510869293304</v>
      </c>
      <c r="G304" s="24">
        <f t="shared" si="15"/>
        <v>3.5473594046660231</v>
      </c>
      <c r="H304" s="84">
        <f>Table1[[#This Row],[Log(Inflation-adjusted)]]-G303</f>
        <v>-7.2567927175399838E-2</v>
      </c>
      <c r="I304" s="83">
        <f t="shared" si="13"/>
        <v>-0.20328389292673243</v>
      </c>
      <c r="S304" s="22"/>
      <c r="T304" s="22"/>
    </row>
    <row r="305" spans="2:20" ht="16.2" x14ac:dyDescent="0.45">
      <c r="B305" s="80">
        <v>35551</v>
      </c>
      <c r="C305" s="81">
        <v>1.599</v>
      </c>
      <c r="D305" s="81">
        <v>18.55</v>
      </c>
      <c r="E305" s="24">
        <f t="shared" si="14"/>
        <v>2.9204697890534441</v>
      </c>
      <c r="F305" s="81">
        <v>36.123613383364606</v>
      </c>
      <c r="G305" s="24">
        <f t="shared" si="15"/>
        <v>3.5869467618444184</v>
      </c>
      <c r="H305" s="84">
        <f>Table1[[#This Row],[Log(Inflation-adjusted)]]-G304</f>
        <v>3.9587357178395344E-2</v>
      </c>
      <c r="I305" s="83">
        <f t="shared" si="13"/>
        <v>-0.10337634790679218</v>
      </c>
      <c r="S305" s="22"/>
      <c r="T305" s="22"/>
    </row>
    <row r="306" spans="2:20" ht="16.2" x14ac:dyDescent="0.45">
      <c r="B306" s="80">
        <v>35582</v>
      </c>
      <c r="C306" s="81">
        <v>1.6020000000000001</v>
      </c>
      <c r="D306" s="81">
        <v>17.350000000000001</v>
      </c>
      <c r="E306" s="24">
        <f t="shared" si="14"/>
        <v>2.8535925063928684</v>
      </c>
      <c r="F306" s="81">
        <v>33.723504744069913</v>
      </c>
      <c r="G306" s="24">
        <f t="shared" si="15"/>
        <v>3.5181950643894924</v>
      </c>
      <c r="H306" s="84">
        <f>Table1[[#This Row],[Log(Inflation-adjusted)]]-G305</f>
        <v>-6.8751697454926042E-2</v>
      </c>
      <c r="I306" s="83">
        <f t="shared" si="13"/>
        <v>-0.12963820766378742</v>
      </c>
      <c r="S306" s="22"/>
      <c r="T306" s="22"/>
    </row>
    <row r="307" spans="2:20" ht="16.2" x14ac:dyDescent="0.45">
      <c r="B307" s="80">
        <v>35612</v>
      </c>
      <c r="C307" s="81">
        <v>1.6040000000000001</v>
      </c>
      <c r="D307" s="81">
        <v>17.489999999999998</v>
      </c>
      <c r="E307" s="24">
        <f t="shared" si="14"/>
        <v>2.8616292890305104</v>
      </c>
      <c r="F307" s="81">
        <v>33.953236683291763</v>
      </c>
      <c r="G307" s="24">
        <f t="shared" si="15"/>
        <v>3.5249841862289792</v>
      </c>
      <c r="H307" s="84">
        <f>Table1[[#This Row],[Log(Inflation-adjusted)]]-G306</f>
        <v>6.789121839486878E-3</v>
      </c>
      <c r="I307" s="83">
        <f t="shared" si="13"/>
        <v>-0.13532516729006705</v>
      </c>
      <c r="S307" s="22"/>
      <c r="T307" s="22"/>
    </row>
    <row r="308" spans="2:20" ht="16.2" x14ac:dyDescent="0.45">
      <c r="B308" s="80">
        <v>35643</v>
      </c>
      <c r="C308" s="81">
        <v>1.6080000000000001</v>
      </c>
      <c r="D308" s="81">
        <v>17.96</v>
      </c>
      <c r="E308" s="24">
        <f t="shared" si="14"/>
        <v>2.8881470628740535</v>
      </c>
      <c r="F308" s="81">
        <v>34.778914527363185</v>
      </c>
      <c r="G308" s="24">
        <f t="shared" si="15"/>
        <v>3.5490112987600706</v>
      </c>
      <c r="H308" s="84">
        <f>Table1[[#This Row],[Log(Inflation-adjusted)]]-G307</f>
        <v>2.4027112531091355E-2</v>
      </c>
      <c r="I308" s="83">
        <f t="shared" si="13"/>
        <v>-0.15638264490654841</v>
      </c>
      <c r="S308" s="22"/>
      <c r="T308" s="22"/>
    </row>
    <row r="309" spans="2:20" ht="16.2" x14ac:dyDescent="0.45">
      <c r="B309" s="80">
        <v>35674</v>
      </c>
      <c r="C309" s="81">
        <v>1.6120000000000001</v>
      </c>
      <c r="D309" s="81">
        <v>17.850000000000001</v>
      </c>
      <c r="E309" s="24">
        <f t="shared" si="14"/>
        <v>2.8820035082256483</v>
      </c>
      <c r="F309" s="81">
        <v>34.480131885856082</v>
      </c>
      <c r="G309" s="24">
        <f t="shared" si="15"/>
        <v>3.5403832707840031</v>
      </c>
      <c r="H309" s="84">
        <f>Table1[[#This Row],[Log(Inflation-adjusted)]]-G308</f>
        <v>-8.6280279760675427E-3</v>
      </c>
      <c r="I309" s="83">
        <f t="shared" si="13"/>
        <v>-0.2328068121626008</v>
      </c>
      <c r="S309" s="22"/>
      <c r="T309" s="22"/>
    </row>
    <row r="310" spans="2:20" ht="16.2" x14ac:dyDescent="0.45">
      <c r="B310" s="80">
        <v>35704</v>
      </c>
      <c r="C310" s="81">
        <v>1.615</v>
      </c>
      <c r="D310" s="81">
        <v>18.73</v>
      </c>
      <c r="E310" s="24">
        <f t="shared" si="14"/>
        <v>2.9301265164559971</v>
      </c>
      <c r="F310" s="81">
        <v>36.112785312693497</v>
      </c>
      <c r="G310" s="24">
        <f t="shared" si="15"/>
        <v>3.5866469664241687</v>
      </c>
      <c r="H310" s="84">
        <f>Table1[[#This Row],[Log(Inflation-adjusted)]]-G309</f>
        <v>4.6263695640165636E-2</v>
      </c>
      <c r="I310" s="83">
        <f t="shared" si="13"/>
        <v>-0.23553254714290617</v>
      </c>
      <c r="S310" s="22"/>
      <c r="T310" s="22"/>
    </row>
    <row r="311" spans="2:20" ht="16.2" x14ac:dyDescent="0.45">
      <c r="B311" s="80">
        <v>35735</v>
      </c>
      <c r="C311" s="81">
        <v>1.617</v>
      </c>
      <c r="D311" s="81">
        <v>17.88</v>
      </c>
      <c r="E311" s="24">
        <f t="shared" si="14"/>
        <v>2.8836827697453682</v>
      </c>
      <c r="F311" s="81">
        <v>34.431284897959181</v>
      </c>
      <c r="G311" s="24">
        <f t="shared" si="15"/>
        <v>3.5389655957931896</v>
      </c>
      <c r="H311" s="84">
        <f>Table1[[#This Row],[Log(Inflation-adjusted)]]-G310</f>
        <v>-4.7681370630979103E-2</v>
      </c>
      <c r="I311" s="83">
        <f t="shared" si="13"/>
        <v>-0.25564562490519016</v>
      </c>
      <c r="S311" s="22"/>
      <c r="T311" s="22"/>
    </row>
    <row r="312" spans="2:20" ht="16.2" x14ac:dyDescent="0.45">
      <c r="B312" s="80">
        <v>35765</v>
      </c>
      <c r="C312" s="81">
        <v>1.6180000000000001</v>
      </c>
      <c r="D312" s="81">
        <v>15.95</v>
      </c>
      <c r="E312" s="24">
        <f t="shared" si="14"/>
        <v>2.7694588292308535</v>
      </c>
      <c r="F312" s="81">
        <v>30.695725710754015</v>
      </c>
      <c r="G312" s="24">
        <f t="shared" si="15"/>
        <v>3.4241234172373449</v>
      </c>
      <c r="H312" s="84">
        <f>Table1[[#This Row],[Log(Inflation-adjusted)]]-G311</f>
        <v>-0.11484217855584467</v>
      </c>
      <c r="I312" s="83">
        <f t="shared" si="13"/>
        <v>-0.39238321631954243</v>
      </c>
      <c r="S312" s="22"/>
      <c r="T312" s="22"/>
    </row>
    <row r="313" spans="2:20" ht="16.2" x14ac:dyDescent="0.45">
      <c r="B313" s="80">
        <v>35796</v>
      </c>
      <c r="C313" s="81">
        <v>1.62</v>
      </c>
      <c r="D313" s="81">
        <v>14.33</v>
      </c>
      <c r="E313" s="24">
        <f t="shared" si="14"/>
        <v>2.6623552418400807</v>
      </c>
      <c r="F313" s="81">
        <v>27.543993753086419</v>
      </c>
      <c r="G313" s="24">
        <f t="shared" si="15"/>
        <v>3.3157844992385792</v>
      </c>
      <c r="H313" s="84">
        <f>Table1[[#This Row],[Log(Inflation-adjusted)]]-G312</f>
        <v>-0.10833891799876572</v>
      </c>
      <c r="I313" s="83">
        <f t="shared" si="13"/>
        <v>-0.49018773032992558</v>
      </c>
      <c r="S313" s="22"/>
      <c r="T313" s="22"/>
    </row>
    <row r="314" spans="2:20" ht="16.2" x14ac:dyDescent="0.45">
      <c r="B314" s="80">
        <v>35827</v>
      </c>
      <c r="C314" s="81">
        <v>1.62</v>
      </c>
      <c r="D314" s="81">
        <v>13.32</v>
      </c>
      <c r="E314" s="24">
        <f t="shared" si="14"/>
        <v>2.5892666651122429</v>
      </c>
      <c r="F314" s="81">
        <v>25.602651555555553</v>
      </c>
      <c r="G314" s="24">
        <f t="shared" si="15"/>
        <v>3.2426959225107419</v>
      </c>
      <c r="H314" s="84">
        <f>Table1[[#This Row],[Log(Inflation-adjusted)]]-G313</f>
        <v>-7.3088576727837307E-2</v>
      </c>
      <c r="I314" s="83">
        <f t="shared" si="13"/>
        <v>-0.4638243779136122</v>
      </c>
      <c r="S314" s="22"/>
      <c r="T314" s="22"/>
    </row>
    <row r="315" spans="2:20" ht="16.2" x14ac:dyDescent="0.45">
      <c r="B315" s="80">
        <v>35855</v>
      </c>
      <c r="C315" s="81">
        <v>1.62</v>
      </c>
      <c r="D315" s="81">
        <v>12.34</v>
      </c>
      <c r="E315" s="24">
        <f t="shared" si="14"/>
        <v>2.5128460184772416</v>
      </c>
      <c r="F315" s="81">
        <v>23.718972987654322</v>
      </c>
      <c r="G315" s="24">
        <f t="shared" si="15"/>
        <v>3.1662752758757406</v>
      </c>
      <c r="H315" s="84">
        <f>Table1[[#This Row],[Log(Inflation-adjusted)]]-G314</f>
        <v>-7.6420646635001255E-2</v>
      </c>
      <c r="I315" s="83">
        <f t="shared" si="13"/>
        <v>-0.45365205596568225</v>
      </c>
      <c r="S315" s="22"/>
      <c r="T315" s="22"/>
    </row>
    <row r="316" spans="2:20" ht="16.2" x14ac:dyDescent="0.45">
      <c r="B316" s="80">
        <v>35886</v>
      </c>
      <c r="C316" s="81">
        <v>1.6220000000000001</v>
      </c>
      <c r="D316" s="81">
        <v>12.81</v>
      </c>
      <c r="E316" s="24">
        <f t="shared" si="14"/>
        <v>2.550226115908643</v>
      </c>
      <c r="F316" s="81">
        <v>24.59200934648582</v>
      </c>
      <c r="G316" s="24">
        <f t="shared" si="15"/>
        <v>3.2024215668582134</v>
      </c>
      <c r="H316" s="84">
        <f>Table1[[#This Row],[Log(Inflation-adjusted)]]-G315</f>
        <v>3.6146290982472795E-2</v>
      </c>
      <c r="I316" s="83">
        <f t="shared" si="13"/>
        <v>-0.34493783780780962</v>
      </c>
      <c r="S316" s="22"/>
      <c r="T316" s="22"/>
    </row>
    <row r="317" spans="2:20" ht="16.2" x14ac:dyDescent="0.45">
      <c r="B317" s="80">
        <v>35916</v>
      </c>
      <c r="C317" s="81">
        <v>1.6259999999999999</v>
      </c>
      <c r="D317" s="81">
        <v>12.61</v>
      </c>
      <c r="E317" s="24">
        <f t="shared" si="14"/>
        <v>2.5344901499768282</v>
      </c>
      <c r="F317" s="81">
        <v>24.148506740467408</v>
      </c>
      <c r="G317" s="24">
        <f t="shared" si="15"/>
        <v>3.1842225454940012</v>
      </c>
      <c r="H317" s="84">
        <f>Table1[[#This Row],[Log(Inflation-adjusted)]]-G316</f>
        <v>-1.8199021364212253E-2</v>
      </c>
      <c r="I317" s="83">
        <f t="shared" si="13"/>
        <v>-0.40272421635041722</v>
      </c>
      <c r="S317" s="22"/>
      <c r="T317" s="22"/>
    </row>
    <row r="318" spans="2:20" ht="16.2" x14ac:dyDescent="0.45">
      <c r="B318" s="80">
        <v>35947</v>
      </c>
      <c r="C318" s="81">
        <v>1.6279999999999999</v>
      </c>
      <c r="D318" s="81">
        <v>11.61</v>
      </c>
      <c r="E318" s="24">
        <f t="shared" si="14"/>
        <v>2.4518667957098002</v>
      </c>
      <c r="F318" s="81">
        <v>22.206164594594597</v>
      </c>
      <c r="G318" s="24">
        <f t="shared" si="15"/>
        <v>3.1003699347722433</v>
      </c>
      <c r="H318" s="84">
        <f>Table1[[#This Row],[Log(Inflation-adjusted)]]-G317</f>
        <v>-8.385261072175787E-2</v>
      </c>
      <c r="I318" s="83">
        <f t="shared" si="13"/>
        <v>-0.41782512961724905</v>
      </c>
      <c r="S318" s="22"/>
      <c r="T318" s="22"/>
    </row>
    <row r="319" spans="2:20" ht="16.2" x14ac:dyDescent="0.45">
      <c r="B319" s="80">
        <v>35977</v>
      </c>
      <c r="C319" s="81">
        <v>1.6319999999999999</v>
      </c>
      <c r="D319" s="81">
        <v>11.55</v>
      </c>
      <c r="E319" s="24">
        <f t="shared" si="14"/>
        <v>2.4466854369678028</v>
      </c>
      <c r="F319" s="81">
        <v>22.037258455882355</v>
      </c>
      <c r="G319" s="24">
        <f t="shared" si="15"/>
        <v>3.0927345870686791</v>
      </c>
      <c r="H319" s="84">
        <f>Table1[[#This Row],[Log(Inflation-adjusted)]]-G318</f>
        <v>-7.6353477035642214E-3</v>
      </c>
      <c r="I319" s="83">
        <f t="shared" si="13"/>
        <v>-0.43224959916030015</v>
      </c>
      <c r="S319" s="22"/>
      <c r="T319" s="22"/>
    </row>
    <row r="320" spans="2:20" ht="16.2" x14ac:dyDescent="0.45">
      <c r="B320" s="80">
        <v>36008</v>
      </c>
      <c r="C320" s="81">
        <v>1.6339999999999999</v>
      </c>
      <c r="D320" s="81">
        <v>11.34</v>
      </c>
      <c r="E320" s="24">
        <f t="shared" si="14"/>
        <v>2.4283362982996062</v>
      </c>
      <c r="F320" s="81">
        <v>21.610098066095475</v>
      </c>
      <c r="G320" s="24">
        <f t="shared" si="15"/>
        <v>3.0731607085045867</v>
      </c>
      <c r="H320" s="84">
        <f>Table1[[#This Row],[Log(Inflation-adjusted)]]-G319</f>
        <v>-1.9573878564092428E-2</v>
      </c>
      <c r="I320" s="83">
        <f t="shared" si="13"/>
        <v>-0.47585059025548393</v>
      </c>
      <c r="S320" s="22"/>
      <c r="T320" s="22"/>
    </row>
    <row r="321" spans="2:20" ht="16.2" x14ac:dyDescent="0.45">
      <c r="B321" s="80">
        <v>36039</v>
      </c>
      <c r="C321" s="81">
        <v>1.635</v>
      </c>
      <c r="D321" s="81">
        <v>12.77</v>
      </c>
      <c r="E321" s="24">
        <f t="shared" si="14"/>
        <v>2.547098670044448</v>
      </c>
      <c r="F321" s="81">
        <v>24.320297076452597</v>
      </c>
      <c r="G321" s="24">
        <f t="shared" si="15"/>
        <v>3.1913112723380226</v>
      </c>
      <c r="H321" s="84">
        <f>Table1[[#This Row],[Log(Inflation-adjusted)]]-G320</f>
        <v>0.11815056383343592</v>
      </c>
      <c r="I321" s="83">
        <f t="shared" si="13"/>
        <v>-0.34907199844598047</v>
      </c>
      <c r="S321" s="22"/>
      <c r="T321" s="22"/>
    </row>
    <row r="322" spans="2:20" ht="16.2" x14ac:dyDescent="0.45">
      <c r="B322" s="80">
        <v>36069</v>
      </c>
      <c r="C322" s="81">
        <v>1.639</v>
      </c>
      <c r="D322" s="81">
        <v>12.11</v>
      </c>
      <c r="E322" s="24">
        <f t="shared" si="14"/>
        <v>2.4940315575650009</v>
      </c>
      <c r="F322" s="81">
        <v>23.007049395973151</v>
      </c>
      <c r="G322" s="24">
        <f t="shared" si="15"/>
        <v>3.1358006644460996</v>
      </c>
      <c r="H322" s="84">
        <f>Table1[[#This Row],[Log(Inflation-adjusted)]]-G321</f>
        <v>-5.551060789192297E-2</v>
      </c>
      <c r="I322" s="83">
        <f t="shared" si="13"/>
        <v>-0.45084630197806908</v>
      </c>
      <c r="S322" s="22"/>
      <c r="T322" s="22"/>
    </row>
    <row r="323" spans="2:20" ht="16.2" x14ac:dyDescent="0.45">
      <c r="B323" s="80">
        <v>36100</v>
      </c>
      <c r="C323" s="81">
        <v>1.641</v>
      </c>
      <c r="D323" s="81">
        <v>10.99</v>
      </c>
      <c r="E323" s="24">
        <f t="shared" si="14"/>
        <v>2.3969857684155298</v>
      </c>
      <c r="F323" s="81">
        <v>20.853782839731871</v>
      </c>
      <c r="G323" s="24">
        <f t="shared" si="15"/>
        <v>3.0375353629503676</v>
      </c>
      <c r="H323" s="84">
        <f>Table1[[#This Row],[Log(Inflation-adjusted)]]-G322</f>
        <v>-9.8265301495731983E-2</v>
      </c>
      <c r="I323" s="83">
        <f t="shared" si="13"/>
        <v>-0.50143023284282195</v>
      </c>
      <c r="S323" s="22"/>
      <c r="T323" s="22"/>
    </row>
    <row r="324" spans="2:20" ht="16.2" x14ac:dyDescent="0.45">
      <c r="B324" s="80">
        <v>36130</v>
      </c>
      <c r="C324" s="81">
        <v>1.6439999999999999</v>
      </c>
      <c r="D324" s="81">
        <v>9.39</v>
      </c>
      <c r="E324" s="24">
        <f t="shared" si="14"/>
        <v>2.2396452932201716</v>
      </c>
      <c r="F324" s="81">
        <v>17.785231167883214</v>
      </c>
      <c r="G324" s="24">
        <f t="shared" si="15"/>
        <v>2.8783684032289751</v>
      </c>
      <c r="H324" s="84">
        <f>Table1[[#This Row],[Log(Inflation-adjusted)]]-G323</f>
        <v>-0.1591669597213925</v>
      </c>
      <c r="I324" s="83">
        <f t="shared" si="13"/>
        <v>-0.54575501400836979</v>
      </c>
      <c r="S324" s="22"/>
      <c r="T324" s="22"/>
    </row>
    <row r="325" spans="2:20" ht="16.2" x14ac:dyDescent="0.45">
      <c r="B325" s="80">
        <v>36161</v>
      </c>
      <c r="C325" s="81">
        <v>1.647</v>
      </c>
      <c r="D325" s="81">
        <v>10.16</v>
      </c>
      <c r="E325" s="24">
        <f t="shared" si="14"/>
        <v>2.318458442150336</v>
      </c>
      <c r="F325" s="81">
        <v>19.208605804493018</v>
      </c>
      <c r="G325" s="24">
        <f t="shared" si="15"/>
        <v>2.9553583975976241</v>
      </c>
      <c r="H325" s="84">
        <f>Table1[[#This Row],[Log(Inflation-adjusted)]]-G324</f>
        <v>7.6989994368648951E-2</v>
      </c>
      <c r="I325" s="83">
        <f t="shared" si="13"/>
        <v>-0.36042610164095512</v>
      </c>
      <c r="S325" s="22"/>
      <c r="T325" s="22"/>
    </row>
    <row r="326" spans="2:20" ht="16.2" x14ac:dyDescent="0.45">
      <c r="B326" s="80">
        <v>36192</v>
      </c>
      <c r="C326" s="81">
        <v>1.647</v>
      </c>
      <c r="D326" s="81">
        <v>10.33</v>
      </c>
      <c r="E326" s="24">
        <f t="shared" si="14"/>
        <v>2.3350522831315472</v>
      </c>
      <c r="F326" s="81">
        <v>19.530009641772921</v>
      </c>
      <c r="G326" s="24">
        <f t="shared" si="15"/>
        <v>2.9719522385788353</v>
      </c>
      <c r="H326" s="84">
        <f>Table1[[#This Row],[Log(Inflation-adjusted)]]-G325</f>
        <v>1.6593840981211194E-2</v>
      </c>
      <c r="I326" s="83">
        <f t="shared" si="13"/>
        <v>-0.27074368393190662</v>
      </c>
      <c r="S326" s="22"/>
      <c r="T326" s="22"/>
    </row>
    <row r="327" spans="2:20" ht="16.2" x14ac:dyDescent="0.45">
      <c r="B327" s="80">
        <v>36220</v>
      </c>
      <c r="C327" s="81">
        <v>1.6479999999999999</v>
      </c>
      <c r="D327" s="81">
        <v>12.1</v>
      </c>
      <c r="E327" s="24">
        <f t="shared" si="14"/>
        <v>2.4932054526026954</v>
      </c>
      <c r="F327" s="81">
        <v>22.862509466019418</v>
      </c>
      <c r="G327" s="24">
        <f t="shared" si="15"/>
        <v>3.129498427758207</v>
      </c>
      <c r="H327" s="84">
        <f>Table1[[#This Row],[Log(Inflation-adjusted)]]-G326</f>
        <v>0.15754618917937169</v>
      </c>
      <c r="I327" s="83">
        <f t="shared" si="13"/>
        <v>-3.6776848117533678E-2</v>
      </c>
      <c r="S327" s="22"/>
      <c r="T327" s="22"/>
    </row>
    <row r="328" spans="2:20" ht="16.2" x14ac:dyDescent="0.45">
      <c r="B328" s="80">
        <v>36251</v>
      </c>
      <c r="C328" s="81">
        <v>1.659</v>
      </c>
      <c r="D328" s="81">
        <v>14.82</v>
      </c>
      <c r="E328" s="24">
        <f t="shared" si="14"/>
        <v>2.695977619867941</v>
      </c>
      <c r="F328" s="81">
        <v>27.816184159132007</v>
      </c>
      <c r="G328" s="24">
        <f t="shared" si="15"/>
        <v>3.3256180153024251</v>
      </c>
      <c r="H328" s="84">
        <f>Table1[[#This Row],[Log(Inflation-adjusted)]]-G327</f>
        <v>0.1961195875442181</v>
      </c>
      <c r="I328" s="83">
        <f t="shared" si="13"/>
        <v>0.12319644844421163</v>
      </c>
      <c r="S328" s="22"/>
      <c r="T328" s="22"/>
    </row>
    <row r="329" spans="2:20" ht="16.2" x14ac:dyDescent="0.45">
      <c r="B329" s="80">
        <v>36281</v>
      </c>
      <c r="C329" s="81">
        <v>1.66</v>
      </c>
      <c r="D329" s="81">
        <v>15.57</v>
      </c>
      <c r="E329" s="24">
        <f t="shared" si="14"/>
        <v>2.7453459858459071</v>
      </c>
      <c r="F329" s="81">
        <v>29.206281036144581</v>
      </c>
      <c r="G329" s="24">
        <f t="shared" si="15"/>
        <v>3.3743837901202469</v>
      </c>
      <c r="H329" s="84">
        <f>Table1[[#This Row],[Log(Inflation-adjusted)]]-G328</f>
        <v>4.876577481782185E-2</v>
      </c>
      <c r="I329" s="83">
        <f t="shared" si="13"/>
        <v>0.19016124462624573</v>
      </c>
      <c r="S329" s="22"/>
      <c r="T329" s="22"/>
    </row>
    <row r="330" spans="2:20" ht="16.2" x14ac:dyDescent="0.45">
      <c r="B330" s="80">
        <v>36312</v>
      </c>
      <c r="C330" s="81">
        <v>1.66</v>
      </c>
      <c r="D330" s="81">
        <v>15.91</v>
      </c>
      <c r="E330" s="24">
        <f t="shared" si="14"/>
        <v>2.7669478423496954</v>
      </c>
      <c r="F330" s="81">
        <v>29.844054674698796</v>
      </c>
      <c r="G330" s="24">
        <f t="shared" si="15"/>
        <v>3.3959856466240352</v>
      </c>
      <c r="H330" s="84">
        <f>Table1[[#This Row],[Log(Inflation-adjusted)]]-G329</f>
        <v>2.1601856503788319E-2</v>
      </c>
      <c r="I330" s="83">
        <f t="shared" si="13"/>
        <v>0.29561571185179192</v>
      </c>
      <c r="S330" s="22"/>
      <c r="T330" s="22"/>
    </row>
    <row r="331" spans="2:20" ht="16.2" x14ac:dyDescent="0.45">
      <c r="B331" s="80">
        <v>36342</v>
      </c>
      <c r="C331" s="81">
        <v>1.667</v>
      </c>
      <c r="D331" s="81">
        <v>18.05</v>
      </c>
      <c r="E331" s="24">
        <f t="shared" si="14"/>
        <v>2.8931456847788901</v>
      </c>
      <c r="F331" s="81">
        <v>33.716100659868026</v>
      </c>
      <c r="G331" s="24">
        <f t="shared" si="15"/>
        <v>3.5179754876530245</v>
      </c>
      <c r="H331" s="84">
        <f>Table1[[#This Row],[Log(Inflation-adjusted)]]-G330</f>
        <v>0.12198984102898924</v>
      </c>
      <c r="I331" s="83">
        <f t="shared" si="13"/>
        <v>0.42524090058434538</v>
      </c>
      <c r="S331" s="22"/>
      <c r="T331" s="22"/>
    </row>
    <row r="332" spans="2:20" ht="16.2" x14ac:dyDescent="0.45">
      <c r="B332" s="80">
        <v>36373</v>
      </c>
      <c r="C332" s="81">
        <v>1.671</v>
      </c>
      <c r="D332" s="81">
        <v>19.559999999999999</v>
      </c>
      <c r="E332" s="24">
        <f t="shared" si="14"/>
        <v>2.9734866646066713</v>
      </c>
      <c r="F332" s="81">
        <v>36.449211346499098</v>
      </c>
      <c r="G332" s="24">
        <f t="shared" si="15"/>
        <v>3.595919821636206</v>
      </c>
      <c r="H332" s="84">
        <f>Table1[[#This Row],[Log(Inflation-adjusted)]]-G331</f>
        <v>7.7944333983181568E-2</v>
      </c>
      <c r="I332" s="83">
        <f t="shared" si="13"/>
        <v>0.52275911313161938</v>
      </c>
      <c r="S332" s="22"/>
      <c r="T332" s="22"/>
    </row>
    <row r="333" spans="2:20" ht="16.2" x14ac:dyDescent="0.45">
      <c r="B333" s="80">
        <v>36404</v>
      </c>
      <c r="C333" s="81">
        <v>1.6779999999999999</v>
      </c>
      <c r="D333" s="81">
        <v>21.64</v>
      </c>
      <c r="E333" s="24">
        <f t="shared" si="14"/>
        <v>3.074543453978281</v>
      </c>
      <c r="F333" s="81">
        <v>40.15697916567342</v>
      </c>
      <c r="G333" s="24">
        <f t="shared" si="15"/>
        <v>3.6927962525760578</v>
      </c>
      <c r="H333" s="84">
        <f>Table1[[#This Row],[Log(Inflation-adjusted)]]-G332</f>
        <v>9.6876430939851765E-2</v>
      </c>
      <c r="I333" s="83">
        <f t="shared" si="13"/>
        <v>0.50148498023803523</v>
      </c>
      <c r="S333" s="22"/>
      <c r="T333" s="22"/>
    </row>
    <row r="334" spans="2:20" ht="16.2" x14ac:dyDescent="0.45">
      <c r="B334" s="80">
        <v>36434</v>
      </c>
      <c r="C334" s="81">
        <v>1.681</v>
      </c>
      <c r="D334" s="81">
        <v>21.62</v>
      </c>
      <c r="E334" s="24">
        <f t="shared" si="14"/>
        <v>3.0736188122110621</v>
      </c>
      <c r="F334" s="81">
        <v>40.048265508625818</v>
      </c>
      <c r="G334" s="24">
        <f t="shared" si="15"/>
        <v>3.6900853644273752</v>
      </c>
      <c r="H334" s="84">
        <f>Table1[[#This Row],[Log(Inflation-adjusted)]]-G333</f>
        <v>-2.7108881486825886E-3</v>
      </c>
      <c r="I334" s="83">
        <f t="shared" si="13"/>
        <v>0.55428469998127561</v>
      </c>
      <c r="S334" s="22"/>
      <c r="T334" s="22"/>
    </row>
    <row r="335" spans="2:20" ht="16.2" x14ac:dyDescent="0.45">
      <c r="B335" s="80">
        <v>36465</v>
      </c>
      <c r="C335" s="81">
        <v>1.6839999999999999</v>
      </c>
      <c r="D335" s="81">
        <v>23.14</v>
      </c>
      <c r="E335" s="24">
        <f t="shared" si="14"/>
        <v>3.1415627217655304</v>
      </c>
      <c r="F335" s="81">
        <v>42.787508931116392</v>
      </c>
      <c r="G335" s="24">
        <f t="shared" si="15"/>
        <v>3.756246212588187</v>
      </c>
      <c r="H335" s="84">
        <f>Table1[[#This Row],[Log(Inflation-adjusted)]]-G334</f>
        <v>6.6160848160811803E-2</v>
      </c>
      <c r="I335" s="83">
        <f t="shared" si="13"/>
        <v>0.71871084963781939</v>
      </c>
      <c r="S335" s="22"/>
      <c r="T335" s="22"/>
    </row>
    <row r="336" spans="2:20" ht="16.2" x14ac:dyDescent="0.45">
      <c r="B336" s="80">
        <v>36495</v>
      </c>
      <c r="C336" s="81">
        <v>1.6879999999999999</v>
      </c>
      <c r="D336" s="81">
        <v>24.35</v>
      </c>
      <c r="E336" s="24">
        <f t="shared" si="14"/>
        <v>3.1925318495285988</v>
      </c>
      <c r="F336" s="81">
        <v>44.918191113744079</v>
      </c>
      <c r="G336" s="24">
        <f t="shared" si="15"/>
        <v>3.8048428599976249</v>
      </c>
      <c r="H336" s="84">
        <f>Table1[[#This Row],[Log(Inflation-adjusted)]]-G335</f>
        <v>4.8596647409437921E-2</v>
      </c>
      <c r="I336" s="83">
        <f t="shared" si="13"/>
        <v>0.92647445676864981</v>
      </c>
      <c r="S336" s="22"/>
      <c r="T336" s="22"/>
    </row>
    <row r="337" spans="2:20" ht="16.2" x14ac:dyDescent="0.45">
      <c r="B337" s="80">
        <v>36526</v>
      </c>
      <c r="C337" s="81">
        <v>1.6930000000000001</v>
      </c>
      <c r="D337" s="81">
        <v>25.29</v>
      </c>
      <c r="E337" s="24">
        <f t="shared" si="14"/>
        <v>3.2304090606818736</v>
      </c>
      <c r="F337" s="81">
        <v>46.514419633786176</v>
      </c>
      <c r="G337" s="24">
        <f t="shared" si="15"/>
        <v>3.8397623641736671</v>
      </c>
      <c r="H337" s="84">
        <f>Table1[[#This Row],[Log(Inflation-adjusted)]]-G336</f>
        <v>3.4919504176042171E-2</v>
      </c>
      <c r="I337" s="83">
        <f t="shared" si="13"/>
        <v>0.88440396657604303</v>
      </c>
      <c r="S337" s="22"/>
      <c r="T337" s="22"/>
    </row>
    <row r="338" spans="2:20" ht="16.2" x14ac:dyDescent="0.45">
      <c r="B338" s="80">
        <v>36557</v>
      </c>
      <c r="C338" s="81">
        <v>1.7</v>
      </c>
      <c r="D338" s="81">
        <v>27.39</v>
      </c>
      <c r="E338" s="24">
        <f t="shared" si="14"/>
        <v>3.3101779832749867</v>
      </c>
      <c r="F338" s="81">
        <v>50.169392964705892</v>
      </c>
      <c r="G338" s="24">
        <f t="shared" si="15"/>
        <v>3.9154051388556081</v>
      </c>
      <c r="H338" s="84">
        <f>Table1[[#This Row],[Log(Inflation-adjusted)]]-G337</f>
        <v>7.5642774681941027E-2</v>
      </c>
      <c r="I338" s="83">
        <f t="shared" si="13"/>
        <v>0.94345290027677287</v>
      </c>
      <c r="S338" s="22"/>
      <c r="T338" s="22"/>
    </row>
    <row r="339" spans="2:20" ht="16.2" x14ac:dyDescent="0.45">
      <c r="B339" s="80">
        <v>36586</v>
      </c>
      <c r="C339" s="81">
        <v>1.71</v>
      </c>
      <c r="D339" s="81">
        <v>27.7</v>
      </c>
      <c r="E339" s="24">
        <f t="shared" si="14"/>
        <v>3.3214324131932926</v>
      </c>
      <c r="F339" s="81">
        <v>50.440501286549704</v>
      </c>
      <c r="G339" s="24">
        <f t="shared" si="15"/>
        <v>3.9207944493215159</v>
      </c>
      <c r="H339" s="84">
        <f>Table1[[#This Row],[Log(Inflation-adjusted)]]-G338</f>
        <v>5.3893104659077373E-3</v>
      </c>
      <c r="I339" s="83">
        <f t="shared" si="13"/>
        <v>0.79129602156330892</v>
      </c>
      <c r="S339" s="22"/>
      <c r="T339" s="22"/>
    </row>
    <row r="340" spans="2:20" ht="16.2" x14ac:dyDescent="0.45">
      <c r="B340" s="80">
        <v>36617</v>
      </c>
      <c r="C340" s="81">
        <v>1.7090000000000001</v>
      </c>
      <c r="D340" s="81">
        <v>24.29</v>
      </c>
      <c r="E340" s="24">
        <f t="shared" si="14"/>
        <v>3.1900647430140809</v>
      </c>
      <c r="F340" s="81">
        <v>44.256920093621993</v>
      </c>
      <c r="G340" s="24">
        <f t="shared" si="15"/>
        <v>3.7900117455234188</v>
      </c>
      <c r="H340" s="84">
        <f>Table1[[#This Row],[Log(Inflation-adjusted)]]-G339</f>
        <v>-0.13078270379809709</v>
      </c>
      <c r="I340" s="83">
        <f t="shared" si="13"/>
        <v>0.46439373022099373</v>
      </c>
      <c r="S340" s="22"/>
      <c r="T340" s="22"/>
    </row>
    <row r="341" spans="2:20" ht="16.2" x14ac:dyDescent="0.45">
      <c r="B341" s="80">
        <v>36647</v>
      </c>
      <c r="C341" s="81">
        <v>1.712</v>
      </c>
      <c r="D341" s="81">
        <v>26.35</v>
      </c>
      <c r="E341" s="24">
        <f t="shared" si="14"/>
        <v>3.2714682749873716</v>
      </c>
      <c r="F341" s="81">
        <v>47.926155724299072</v>
      </c>
      <c r="G341" s="24">
        <f t="shared" si="15"/>
        <v>3.8696614039106128</v>
      </c>
      <c r="H341" s="84">
        <f>Table1[[#This Row],[Log(Inflation-adjusted)]]-G340</f>
        <v>7.9649658387193956E-2</v>
      </c>
      <c r="I341" s="83">
        <f t="shared" si="13"/>
        <v>0.49527761379036583</v>
      </c>
      <c r="S341" s="22"/>
      <c r="T341" s="22"/>
    </row>
    <row r="342" spans="2:20" ht="16.2" x14ac:dyDescent="0.45">
      <c r="B342" s="80">
        <v>36678</v>
      </c>
      <c r="C342" s="81">
        <v>1.722</v>
      </c>
      <c r="D342" s="81">
        <v>28.91</v>
      </c>
      <c r="E342" s="24">
        <f t="shared" si="14"/>
        <v>3.3641875560282548</v>
      </c>
      <c r="F342" s="81">
        <v>52.277002764227639</v>
      </c>
      <c r="G342" s="24">
        <f t="shared" si="15"/>
        <v>3.956556556665507</v>
      </c>
      <c r="H342" s="84">
        <f>Table1[[#This Row],[Log(Inflation-adjusted)]]-G341</f>
        <v>8.6895152754894234E-2</v>
      </c>
      <c r="I342" s="83">
        <f t="shared" si="13"/>
        <v>0.56057091004147175</v>
      </c>
      <c r="S342" s="22"/>
      <c r="T342" s="22"/>
    </row>
    <row r="343" spans="2:20" ht="16.2" x14ac:dyDescent="0.45">
      <c r="B343" s="80">
        <v>36708</v>
      </c>
      <c r="C343" s="81">
        <v>1.7270000000000001</v>
      </c>
      <c r="D343" s="81">
        <v>28</v>
      </c>
      <c r="E343" s="24">
        <f t="shared" si="14"/>
        <v>3.3322045101752038</v>
      </c>
      <c r="F343" s="81">
        <v>50.484891719745221</v>
      </c>
      <c r="G343" s="24">
        <f t="shared" si="15"/>
        <v>3.921674117653454</v>
      </c>
      <c r="H343" s="84">
        <f>Table1[[#This Row],[Log(Inflation-adjusted)]]-G342</f>
        <v>-3.4882439012053013E-2</v>
      </c>
      <c r="I343" s="83">
        <f t="shared" si="13"/>
        <v>0.40369863000042949</v>
      </c>
      <c r="S343" s="22"/>
      <c r="T343" s="22"/>
    </row>
    <row r="344" spans="2:20" ht="16.2" x14ac:dyDescent="0.45">
      <c r="B344" s="80">
        <v>36739</v>
      </c>
      <c r="C344" s="81">
        <v>1.7270000000000001</v>
      </c>
      <c r="D344" s="81">
        <v>28.8</v>
      </c>
      <c r="E344" s="24">
        <f t="shared" si="14"/>
        <v>3.3603753871419002</v>
      </c>
      <c r="F344" s="81">
        <v>51.927317197452226</v>
      </c>
      <c r="G344" s="24">
        <f t="shared" si="15"/>
        <v>3.9498449946201499</v>
      </c>
      <c r="H344" s="84">
        <f>Table1[[#This Row],[Log(Inflation-adjusted)]]-G343</f>
        <v>2.8170876966695957E-2</v>
      </c>
      <c r="I344" s="83">
        <f t="shared" si="13"/>
        <v>0.35392517298394388</v>
      </c>
      <c r="S344" s="22"/>
      <c r="T344" s="22"/>
    </row>
    <row r="345" spans="2:20" ht="16.2" x14ac:dyDescent="0.45">
      <c r="B345" s="80">
        <v>36770</v>
      </c>
      <c r="C345" s="81">
        <v>1.736</v>
      </c>
      <c r="D345" s="81">
        <v>30.56</v>
      </c>
      <c r="E345" s="24">
        <f t="shared" si="14"/>
        <v>3.4196919642983197</v>
      </c>
      <c r="F345" s="81">
        <v>54.814993179723501</v>
      </c>
      <c r="G345" s="24">
        <f t="shared" si="15"/>
        <v>4.0039637547029532</v>
      </c>
      <c r="H345" s="84">
        <f>Table1[[#This Row],[Log(Inflation-adjusted)]]-G344</f>
        <v>5.4118760082803252E-2</v>
      </c>
      <c r="I345" s="83">
        <f t="shared" ref="I345:I408" si="16">G345-G333</f>
        <v>0.31116750212689537</v>
      </c>
      <c r="S345" s="22"/>
      <c r="T345" s="22"/>
    </row>
    <row r="346" spans="2:20" ht="16.2" x14ac:dyDescent="0.45">
      <c r="B346" s="80">
        <v>36800</v>
      </c>
      <c r="C346" s="81">
        <v>1.7390000000000001</v>
      </c>
      <c r="D346" s="81">
        <v>29.71</v>
      </c>
      <c r="E346" s="24">
        <f t="shared" ref="E346:E409" si="17">LN(D346)</f>
        <v>3.3914836894745162</v>
      </c>
      <c r="F346" s="81">
        <v>53.198428729154685</v>
      </c>
      <c r="G346" s="24">
        <f t="shared" ref="G346:G409" si="18">LN(F346)</f>
        <v>3.9740288607451619</v>
      </c>
      <c r="H346" s="84">
        <f>Table1[[#This Row],[Log(Inflation-adjusted)]]-G345</f>
        <v>-2.9934893957791253E-2</v>
      </c>
      <c r="I346" s="83">
        <f t="shared" si="16"/>
        <v>0.2839434963177867</v>
      </c>
      <c r="S346" s="22"/>
      <c r="T346" s="22"/>
    </row>
    <row r="347" spans="2:20" ht="16.2" x14ac:dyDescent="0.45">
      <c r="B347" s="80">
        <v>36831</v>
      </c>
      <c r="C347" s="81">
        <v>1.742</v>
      </c>
      <c r="D347" s="81">
        <v>30</v>
      </c>
      <c r="E347" s="24">
        <f t="shared" si="17"/>
        <v>3.4011973816621555</v>
      </c>
      <c r="F347" s="81">
        <v>53.625189437428247</v>
      </c>
      <c r="G347" s="24">
        <f t="shared" si="18"/>
        <v>3.9820189098746357</v>
      </c>
      <c r="H347" s="84">
        <f>Table1[[#This Row],[Log(Inflation-adjusted)]]-G346</f>
        <v>7.9900491294737641E-3</v>
      </c>
      <c r="I347" s="83">
        <f t="shared" si="16"/>
        <v>0.22577269728644866</v>
      </c>
      <c r="S347" s="22"/>
      <c r="T347" s="22"/>
    </row>
    <row r="348" spans="2:20" ht="16.2" x14ac:dyDescent="0.45">
      <c r="B348" s="80">
        <v>36861</v>
      </c>
      <c r="C348" s="81">
        <v>1.746</v>
      </c>
      <c r="D348" s="81">
        <v>25.19</v>
      </c>
      <c r="E348" s="24">
        <f t="shared" si="17"/>
        <v>3.2264470903645188</v>
      </c>
      <c r="F348" s="81">
        <v>44.924128774341348</v>
      </c>
      <c r="G348" s="24">
        <f t="shared" si="18"/>
        <v>3.8049750395898996</v>
      </c>
      <c r="H348" s="84">
        <f>Table1[[#This Row],[Log(Inflation-adjusted)]]-G347</f>
        <v>-0.17704387028473612</v>
      </c>
      <c r="I348" s="83">
        <f t="shared" si="16"/>
        <v>1.3217959227462828E-4</v>
      </c>
      <c r="S348" s="22"/>
      <c r="T348" s="22"/>
    </row>
    <row r="349" spans="2:20" ht="16.2" x14ac:dyDescent="0.45">
      <c r="B349" s="80">
        <v>36892</v>
      </c>
      <c r="C349" s="81">
        <v>1.756</v>
      </c>
      <c r="D349" s="81">
        <v>24.49</v>
      </c>
      <c r="E349" s="24">
        <f t="shared" si="17"/>
        <v>3.1982648709640764</v>
      </c>
      <c r="F349" s="81">
        <v>43.427018018223229</v>
      </c>
      <c r="G349" s="24">
        <f t="shared" si="18"/>
        <v>3.7710817823939426</v>
      </c>
      <c r="H349" s="84">
        <f>Table1[[#This Row],[Log(Inflation-adjusted)]]-G348</f>
        <v>-3.3893257195956927E-2</v>
      </c>
      <c r="I349" s="83">
        <f t="shared" si="16"/>
        <v>-6.868058177972447E-2</v>
      </c>
      <c r="S349" s="22"/>
      <c r="T349" s="22"/>
    </row>
    <row r="350" spans="2:20" ht="16.2" x14ac:dyDescent="0.45">
      <c r="B350" s="80">
        <v>36923</v>
      </c>
      <c r="C350" s="81">
        <v>1.76</v>
      </c>
      <c r="D350" s="81">
        <v>24.97</v>
      </c>
      <c r="E350" s="24">
        <f t="shared" si="17"/>
        <v>3.2176751042916818</v>
      </c>
      <c r="F350" s="81">
        <v>44.177548250000001</v>
      </c>
      <c r="G350" s="24">
        <f t="shared" si="18"/>
        <v>3.7882167018844131</v>
      </c>
      <c r="H350" s="84">
        <f>Table1[[#This Row],[Log(Inflation-adjusted)]]-G349</f>
        <v>1.7134919490470413E-2</v>
      </c>
      <c r="I350" s="83">
        <f t="shared" si="16"/>
        <v>-0.12718843697119508</v>
      </c>
      <c r="S350" s="22"/>
      <c r="T350" s="22"/>
    </row>
    <row r="351" spans="2:20" ht="16.2" x14ac:dyDescent="0.45">
      <c r="B351" s="80">
        <v>36951</v>
      </c>
      <c r="C351" s="81">
        <v>1.7609999999999999</v>
      </c>
      <c r="D351" s="81">
        <v>23.01</v>
      </c>
      <c r="E351" s="24">
        <f t="shared" si="17"/>
        <v>3.1359289040472746</v>
      </c>
      <c r="F351" s="81">
        <v>40.686749778534924</v>
      </c>
      <c r="G351" s="24">
        <f t="shared" si="18"/>
        <v>3.7059024811759969</v>
      </c>
      <c r="H351" s="84">
        <f>Table1[[#This Row],[Log(Inflation-adjusted)]]-G350</f>
        <v>-8.2314220708416208E-2</v>
      </c>
      <c r="I351" s="83">
        <f t="shared" si="16"/>
        <v>-0.21489196814551903</v>
      </c>
      <c r="S351" s="22"/>
      <c r="T351" s="22"/>
    </row>
    <row r="352" spans="2:20" ht="16.2" x14ac:dyDescent="0.45">
      <c r="B352" s="80">
        <v>36982</v>
      </c>
      <c r="C352" s="81">
        <v>1.764</v>
      </c>
      <c r="D352" s="81">
        <v>22.99</v>
      </c>
      <c r="E352" s="24">
        <f t="shared" si="17"/>
        <v>3.1350593387750902</v>
      </c>
      <c r="F352" s="81">
        <v>40.582250362811791</v>
      </c>
      <c r="G352" s="24">
        <f t="shared" si="18"/>
        <v>3.703330787833282</v>
      </c>
      <c r="H352" s="84">
        <f>Table1[[#This Row],[Log(Inflation-adjusted)]]-G351</f>
        <v>-2.571693342714898E-3</v>
      </c>
      <c r="I352" s="83">
        <f t="shared" si="16"/>
        <v>-8.6680957690136839E-2</v>
      </c>
      <c r="S352" s="22"/>
      <c r="T352" s="22"/>
    </row>
    <row r="353" spans="2:20" ht="16.2" x14ac:dyDescent="0.45">
      <c r="B353" s="80">
        <v>37012</v>
      </c>
      <c r="C353" s="81">
        <v>1.7729999999999999</v>
      </c>
      <c r="D353" s="81">
        <v>24.63</v>
      </c>
      <c r="E353" s="24">
        <f t="shared" si="17"/>
        <v>3.2039652121324464</v>
      </c>
      <c r="F353" s="81">
        <v>43.2565034856176</v>
      </c>
      <c r="G353" s="24">
        <f t="shared" si="18"/>
        <v>3.7671475916831674</v>
      </c>
      <c r="H353" s="84">
        <f>Table1[[#This Row],[Log(Inflation-adjusted)]]-G352</f>
        <v>6.3816803849885417E-2</v>
      </c>
      <c r="I353" s="83">
        <f t="shared" si="16"/>
        <v>-0.10251381222744538</v>
      </c>
      <c r="S353" s="22"/>
      <c r="T353" s="22"/>
    </row>
    <row r="354" spans="2:20" ht="16.2" x14ac:dyDescent="0.45">
      <c r="B354" s="80">
        <v>37043</v>
      </c>
      <c r="C354" s="81">
        <v>1.7769999999999999</v>
      </c>
      <c r="D354" s="81">
        <v>23.95</v>
      </c>
      <c r="E354" s="24">
        <f t="shared" si="17"/>
        <v>3.1759683238569241</v>
      </c>
      <c r="F354" s="81">
        <v>41.967570174451325</v>
      </c>
      <c r="G354" s="24">
        <f t="shared" si="18"/>
        <v>3.7368971813272016</v>
      </c>
      <c r="H354" s="84">
        <f>Table1[[#This Row],[Log(Inflation-adjusted)]]-G353</f>
        <v>-3.0250410355965762E-2</v>
      </c>
      <c r="I354" s="83">
        <f t="shared" si="16"/>
        <v>-0.21965937533830537</v>
      </c>
      <c r="S354" s="22"/>
      <c r="T354" s="22"/>
    </row>
    <row r="355" spans="2:20" ht="16.2" x14ac:dyDescent="0.45">
      <c r="B355" s="80">
        <v>37073</v>
      </c>
      <c r="C355" s="81">
        <v>1.774</v>
      </c>
      <c r="D355" s="81">
        <v>22.76</v>
      </c>
      <c r="E355" s="24">
        <f t="shared" si="17"/>
        <v>3.1250046092581303</v>
      </c>
      <c r="F355" s="81">
        <v>39.949778669673059</v>
      </c>
      <c r="G355" s="24">
        <f t="shared" si="18"/>
        <v>3.6876231320135342</v>
      </c>
      <c r="H355" s="84">
        <f>Table1[[#This Row],[Log(Inflation-adjusted)]]-G354</f>
        <v>-4.9274049313667412E-2</v>
      </c>
      <c r="I355" s="83">
        <f t="shared" si="16"/>
        <v>-0.23405098563991977</v>
      </c>
      <c r="S355" s="22"/>
      <c r="T355" s="22"/>
    </row>
    <row r="356" spans="2:20" ht="16.2" x14ac:dyDescent="0.45">
      <c r="B356" s="80">
        <v>37104</v>
      </c>
      <c r="C356" s="81">
        <v>1.774</v>
      </c>
      <c r="D356" s="81">
        <v>23.77</v>
      </c>
      <c r="E356" s="24">
        <f t="shared" si="17"/>
        <v>3.1684242813721024</v>
      </c>
      <c r="F356" s="81">
        <v>41.722593979706872</v>
      </c>
      <c r="G356" s="24">
        <f t="shared" si="18"/>
        <v>3.7310428041275063</v>
      </c>
      <c r="H356" s="84">
        <f>Table1[[#This Row],[Log(Inflation-adjusted)]]-G355</f>
        <v>4.341967211397213E-2</v>
      </c>
      <c r="I356" s="83">
        <f t="shared" si="16"/>
        <v>-0.2188021904926436</v>
      </c>
      <c r="S356" s="22"/>
      <c r="T356" s="22"/>
    </row>
    <row r="357" spans="2:20" ht="16.2" x14ac:dyDescent="0.45">
      <c r="B357" s="80">
        <v>37135</v>
      </c>
      <c r="C357" s="81">
        <v>1.7809999999999999</v>
      </c>
      <c r="D357" s="81">
        <v>22.51</v>
      </c>
      <c r="E357" s="24">
        <f t="shared" si="17"/>
        <v>3.113959654918641</v>
      </c>
      <c r="F357" s="81">
        <v>39.355670050533412</v>
      </c>
      <c r="G357" s="24">
        <f t="shared" si="18"/>
        <v>3.6726400572539077</v>
      </c>
      <c r="H357" s="84">
        <f>Table1[[#This Row],[Log(Inflation-adjusted)]]-G356</f>
        <v>-5.8402746873598588E-2</v>
      </c>
      <c r="I357" s="83">
        <f t="shared" si="16"/>
        <v>-0.33132369744904544</v>
      </c>
      <c r="S357" s="22"/>
      <c r="T357" s="22"/>
    </row>
    <row r="358" spans="2:20" ht="16.2" x14ac:dyDescent="0.45">
      <c r="B358" s="80">
        <v>37165</v>
      </c>
      <c r="C358" s="81">
        <v>1.776</v>
      </c>
      <c r="D358" s="81">
        <v>18.760000000000002</v>
      </c>
      <c r="E358" s="24">
        <f t="shared" si="17"/>
        <v>2.9317269435780786</v>
      </c>
      <c r="F358" s="81">
        <v>32.891646036036043</v>
      </c>
      <c r="G358" s="24">
        <f t="shared" si="18"/>
        <v>3.4932187056508921</v>
      </c>
      <c r="H358" s="84">
        <f>Table1[[#This Row],[Log(Inflation-adjusted)]]-G357</f>
        <v>-0.17942135160301564</v>
      </c>
      <c r="I358" s="83">
        <f t="shared" si="16"/>
        <v>-0.48081015509426983</v>
      </c>
      <c r="S358" s="22"/>
      <c r="T358" s="22"/>
    </row>
    <row r="359" spans="2:20" ht="16.2" x14ac:dyDescent="0.45">
      <c r="B359" s="80">
        <v>37196</v>
      </c>
      <c r="C359" s="81">
        <v>1.7749999999999999</v>
      </c>
      <c r="D359" s="81">
        <v>16.059999999999999</v>
      </c>
      <c r="E359" s="24">
        <f t="shared" si="17"/>
        <v>2.7763317085186157</v>
      </c>
      <c r="F359" s="81">
        <v>28.173637273239439</v>
      </c>
      <c r="G359" s="24">
        <f t="shared" si="18"/>
        <v>3.3383866922340282</v>
      </c>
      <c r="H359" s="84">
        <f>Table1[[#This Row],[Log(Inflation-adjusted)]]-G358</f>
        <v>-0.15483201341686392</v>
      </c>
      <c r="I359" s="83">
        <f t="shared" si="16"/>
        <v>-0.64363221764060752</v>
      </c>
      <c r="S359" s="22"/>
      <c r="T359" s="22"/>
    </row>
    <row r="360" spans="2:20" ht="16.2" x14ac:dyDescent="0.45">
      <c r="B360" s="80">
        <v>37226</v>
      </c>
      <c r="C360" s="81">
        <v>1.774</v>
      </c>
      <c r="D360" s="81">
        <v>15.95</v>
      </c>
      <c r="E360" s="24">
        <f t="shared" si="17"/>
        <v>2.7694588292308535</v>
      </c>
      <c r="F360" s="81">
        <v>27.996439797068771</v>
      </c>
      <c r="G360" s="24">
        <f t="shared" si="18"/>
        <v>3.3320773519862574</v>
      </c>
      <c r="H360" s="84">
        <f>Table1[[#This Row],[Log(Inflation-adjusted)]]-G359</f>
        <v>-6.309340247770745E-3</v>
      </c>
      <c r="I360" s="83">
        <f t="shared" si="16"/>
        <v>-0.47289768760364215</v>
      </c>
      <c r="S360" s="22"/>
      <c r="T360" s="22"/>
    </row>
    <row r="361" spans="2:20" ht="16.2" x14ac:dyDescent="0.45">
      <c r="B361" s="80">
        <v>37257</v>
      </c>
      <c r="C361" s="81">
        <v>1.7769999999999999</v>
      </c>
      <c r="D361" s="81">
        <v>17.04</v>
      </c>
      <c r="E361" s="24">
        <f t="shared" si="17"/>
        <v>2.8355635214011694</v>
      </c>
      <c r="F361" s="81">
        <v>29.859181451885203</v>
      </c>
      <c r="G361" s="24">
        <f t="shared" si="18"/>
        <v>3.3964923788714469</v>
      </c>
      <c r="H361" s="84">
        <f>Table1[[#This Row],[Log(Inflation-adjusted)]]-G360</f>
        <v>6.4415026885189519E-2</v>
      </c>
      <c r="I361" s="83">
        <f t="shared" si="16"/>
        <v>-0.3745894035224957</v>
      </c>
      <c r="S361" s="22"/>
      <c r="T361" s="22"/>
    </row>
    <row r="362" spans="2:20" ht="16.2" x14ac:dyDescent="0.45">
      <c r="B362" s="80">
        <v>37288</v>
      </c>
      <c r="C362" s="81">
        <v>1.78</v>
      </c>
      <c r="D362" s="81">
        <v>18.239999999999998</v>
      </c>
      <c r="E362" s="24">
        <f t="shared" si="17"/>
        <v>2.9036169846461855</v>
      </c>
      <c r="F362" s="81">
        <v>31.90807226966292</v>
      </c>
      <c r="G362" s="24">
        <f t="shared" si="18"/>
        <v>3.462859026984983</v>
      </c>
      <c r="H362" s="84">
        <f>Table1[[#This Row],[Log(Inflation-adjusted)]]-G361</f>
        <v>6.6366648113536097E-2</v>
      </c>
      <c r="I362" s="83">
        <f t="shared" si="16"/>
        <v>-0.32535767489943002</v>
      </c>
      <c r="S362" s="22"/>
      <c r="T362" s="22"/>
    </row>
    <row r="363" spans="2:20" ht="16.2" x14ac:dyDescent="0.45">
      <c r="B363" s="80">
        <v>37316</v>
      </c>
      <c r="C363" s="81">
        <v>1.7849999999999999</v>
      </c>
      <c r="D363" s="81">
        <v>22.29</v>
      </c>
      <c r="E363" s="24">
        <f t="shared" si="17"/>
        <v>3.1041381473977774</v>
      </c>
      <c r="F363" s="81">
        <v>38.883699966386551</v>
      </c>
      <c r="G363" s="24">
        <f t="shared" si="18"/>
        <v>3.6605751388089667</v>
      </c>
      <c r="H363" s="84">
        <f>Table1[[#This Row],[Log(Inflation-adjusted)]]-G362</f>
        <v>0.19771611182398363</v>
      </c>
      <c r="I363" s="83">
        <f t="shared" si="16"/>
        <v>-4.5327342367030177E-2</v>
      </c>
      <c r="S363" s="22"/>
      <c r="T363" s="22"/>
    </row>
    <row r="364" spans="2:20" ht="16.2" x14ac:dyDescent="0.45">
      <c r="B364" s="80">
        <v>37347</v>
      </c>
      <c r="C364" s="81">
        <v>1.7929999999999999</v>
      </c>
      <c r="D364" s="81">
        <v>23.98</v>
      </c>
      <c r="E364" s="24">
        <f t="shared" si="17"/>
        <v>3.1772201495993682</v>
      </c>
      <c r="F364" s="81">
        <v>41.645168588957063</v>
      </c>
      <c r="G364" s="24">
        <f t="shared" si="18"/>
        <v>3.7291853616191641</v>
      </c>
      <c r="H364" s="84">
        <f>Table1[[#This Row],[Log(Inflation-adjusted)]]-G363</f>
        <v>6.8610222810197463E-2</v>
      </c>
      <c r="I364" s="83">
        <f t="shared" si="16"/>
        <v>2.5854573785882184E-2</v>
      </c>
      <c r="S364" s="22"/>
      <c r="T364" s="22"/>
    </row>
    <row r="365" spans="2:20" ht="16.2" x14ac:dyDescent="0.45">
      <c r="B365" s="80">
        <v>37377</v>
      </c>
      <c r="C365" s="81">
        <v>1.7949999999999999</v>
      </c>
      <c r="D365" s="81">
        <v>24.44</v>
      </c>
      <c r="E365" s="24">
        <f t="shared" si="17"/>
        <v>3.1962211343033946</v>
      </c>
      <c r="F365" s="81">
        <v>42.396741972144852</v>
      </c>
      <c r="G365" s="24">
        <f t="shared" si="18"/>
        <v>3.747071519005944</v>
      </c>
      <c r="H365" s="84">
        <f>Table1[[#This Row],[Log(Inflation-adjusted)]]-G364</f>
        <v>1.78861573867799E-2</v>
      </c>
      <c r="I365" s="83">
        <f t="shared" si="16"/>
        <v>-2.0076072677223333E-2</v>
      </c>
      <c r="S365" s="22"/>
      <c r="T365" s="22"/>
    </row>
    <row r="366" spans="2:20" ht="16.2" x14ac:dyDescent="0.45">
      <c r="B366" s="80">
        <v>37408</v>
      </c>
      <c r="C366" s="81">
        <v>1.796</v>
      </c>
      <c r="D366" s="81">
        <v>23.45</v>
      </c>
      <c r="E366" s="24">
        <f t="shared" si="17"/>
        <v>3.1548704948922883</v>
      </c>
      <c r="F366" s="81">
        <v>40.656711692650333</v>
      </c>
      <c r="G366" s="24">
        <f t="shared" si="18"/>
        <v>3.705163931655072</v>
      </c>
      <c r="H366" s="84">
        <f>Table1[[#This Row],[Log(Inflation-adjusted)]]-G365</f>
        <v>-4.1907587350872078E-2</v>
      </c>
      <c r="I366" s="83">
        <f t="shared" si="16"/>
        <v>-3.1733249672129649E-2</v>
      </c>
      <c r="S366" s="22"/>
      <c r="T366" s="22"/>
    </row>
    <row r="367" spans="2:20" ht="16.2" x14ac:dyDescent="0.45">
      <c r="B367" s="80">
        <v>37438</v>
      </c>
      <c r="C367" s="81">
        <v>1.8</v>
      </c>
      <c r="D367" s="81">
        <v>24.99</v>
      </c>
      <c r="E367" s="24">
        <f t="shared" si="17"/>
        <v>3.2184757448468608</v>
      </c>
      <c r="F367" s="81">
        <v>43.230423133333332</v>
      </c>
      <c r="G367" s="24">
        <f t="shared" si="18"/>
        <v>3.7665444865875335</v>
      </c>
      <c r="H367" s="84">
        <f>Table1[[#This Row],[Log(Inflation-adjusted)]]-G366</f>
        <v>6.1380554932461528E-2</v>
      </c>
      <c r="I367" s="83">
        <f t="shared" si="16"/>
        <v>7.8921354573999292E-2</v>
      </c>
      <c r="S367" s="22"/>
      <c r="T367" s="22"/>
    </row>
    <row r="368" spans="2:20" ht="16.2" x14ac:dyDescent="0.45">
      <c r="B368" s="80">
        <v>37469</v>
      </c>
      <c r="C368" s="81">
        <v>1.8049999999999999</v>
      </c>
      <c r="D368" s="81">
        <v>25.68</v>
      </c>
      <c r="E368" s="24">
        <f t="shared" si="17"/>
        <v>3.2457124788217606</v>
      </c>
      <c r="F368" s="81">
        <v>44.301001927977836</v>
      </c>
      <c r="G368" s="24">
        <f t="shared" si="18"/>
        <v>3.7910072936797077</v>
      </c>
      <c r="H368" s="84">
        <f>Table1[[#This Row],[Log(Inflation-adjusted)]]-G367</f>
        <v>2.4462807092174188E-2</v>
      </c>
      <c r="I368" s="83">
        <f t="shared" si="16"/>
        <v>5.996448955220135E-2</v>
      </c>
      <c r="S368" s="22"/>
      <c r="T368" s="22"/>
    </row>
    <row r="369" spans="2:20" ht="16.2" x14ac:dyDescent="0.45">
      <c r="B369" s="80">
        <v>37500</v>
      </c>
      <c r="C369" s="81">
        <v>1.8080000000000001</v>
      </c>
      <c r="D369" s="81">
        <v>27.14</v>
      </c>
      <c r="E369" s="24">
        <f t="shared" si="17"/>
        <v>3.301008654406723</v>
      </c>
      <c r="F369" s="81">
        <v>46.741985088495575</v>
      </c>
      <c r="G369" s="24">
        <f t="shared" si="18"/>
        <v>3.84464279907953</v>
      </c>
      <c r="H369" s="84">
        <f>Table1[[#This Row],[Log(Inflation-adjusted)]]-G368</f>
        <v>5.3635505399822314E-2</v>
      </c>
      <c r="I369" s="83">
        <f t="shared" si="16"/>
        <v>0.17200274182562225</v>
      </c>
      <c r="S369" s="22"/>
      <c r="T369" s="22"/>
    </row>
    <row r="370" spans="2:20" ht="16.2" x14ac:dyDescent="0.45">
      <c r="B370" s="80">
        <v>37530</v>
      </c>
      <c r="C370" s="81">
        <v>1.8120000000000001</v>
      </c>
      <c r="D370" s="81">
        <v>25.99</v>
      </c>
      <c r="E370" s="24">
        <f t="shared" si="17"/>
        <v>3.2577118486533987</v>
      </c>
      <c r="F370" s="81">
        <v>44.662581479028695</v>
      </c>
      <c r="G370" s="24">
        <f t="shared" si="18"/>
        <v>3.7991360476754026</v>
      </c>
      <c r="H370" s="84">
        <f>Table1[[#This Row],[Log(Inflation-adjusted)]]-G369</f>
        <v>-4.550675140412741E-2</v>
      </c>
      <c r="I370" s="83">
        <f t="shared" si="16"/>
        <v>0.30591734202451049</v>
      </c>
      <c r="S370" s="22"/>
      <c r="T370" s="22"/>
    </row>
    <row r="371" spans="2:20" ht="16.2" x14ac:dyDescent="0.45">
      <c r="B371" s="80">
        <v>37561</v>
      </c>
      <c r="C371" s="81">
        <v>1.8149999999999999</v>
      </c>
      <c r="D371" s="81">
        <v>23.68</v>
      </c>
      <c r="E371" s="24">
        <f t="shared" si="17"/>
        <v>3.1646308100158049</v>
      </c>
      <c r="F371" s="81">
        <v>40.625695030303028</v>
      </c>
      <c r="G371" s="24">
        <f t="shared" si="18"/>
        <v>3.7044007489417821</v>
      </c>
      <c r="H371" s="84">
        <f>Table1[[#This Row],[Log(Inflation-adjusted)]]-G370</f>
        <v>-9.4735298733620521E-2</v>
      </c>
      <c r="I371" s="83">
        <f t="shared" si="16"/>
        <v>0.36601405670775389</v>
      </c>
      <c r="S371" s="22"/>
      <c r="T371" s="22"/>
    </row>
    <row r="372" spans="2:20" ht="16.2" x14ac:dyDescent="0.45">
      <c r="B372" s="80">
        <v>37591</v>
      </c>
      <c r="C372" s="81">
        <v>1.8180000000000001</v>
      </c>
      <c r="D372" s="81">
        <v>26.68</v>
      </c>
      <c r="E372" s="24">
        <f t="shared" si="17"/>
        <v>3.2839142210474228</v>
      </c>
      <c r="F372" s="81">
        <v>45.696999163916388</v>
      </c>
      <c r="G372" s="24">
        <f t="shared" si="18"/>
        <v>3.8220326319349271</v>
      </c>
      <c r="H372" s="84">
        <f>Table1[[#This Row],[Log(Inflation-adjusted)]]-G371</f>
        <v>0.11763188299314509</v>
      </c>
      <c r="I372" s="83">
        <f t="shared" si="16"/>
        <v>0.48995527994866972</v>
      </c>
      <c r="S372" s="22"/>
      <c r="T372" s="22"/>
    </row>
    <row r="373" spans="2:20" ht="16.2" x14ac:dyDescent="0.45">
      <c r="B373" s="80">
        <v>37622</v>
      </c>
      <c r="C373" s="81">
        <v>1.8260000000000001</v>
      </c>
      <c r="D373" s="81">
        <v>30.3</v>
      </c>
      <c r="E373" s="24">
        <f t="shared" si="17"/>
        <v>3.4111477125153233</v>
      </c>
      <c r="F373" s="81">
        <v>51.669896385542167</v>
      </c>
      <c r="G373" s="24">
        <f t="shared" si="18"/>
        <v>3.944875336985338</v>
      </c>
      <c r="H373" s="84">
        <f>Table1[[#This Row],[Log(Inflation-adjusted)]]-G372</f>
        <v>0.12284270505041084</v>
      </c>
      <c r="I373" s="83">
        <f t="shared" si="16"/>
        <v>0.54838295811389104</v>
      </c>
      <c r="S373" s="22"/>
      <c r="T373" s="22"/>
    </row>
    <row r="374" spans="2:20" ht="16.2" x14ac:dyDescent="0.45">
      <c r="B374" s="80">
        <v>37653</v>
      </c>
      <c r="C374" s="81">
        <v>1.8360000000000001</v>
      </c>
      <c r="D374" s="81">
        <v>32.229999999999997</v>
      </c>
      <c r="E374" s="24">
        <f t="shared" si="17"/>
        <v>3.4728976958273465</v>
      </c>
      <c r="F374" s="81">
        <v>54.661728910675372</v>
      </c>
      <c r="G374" s="24">
        <f t="shared" si="18"/>
        <v>4.001163810271839</v>
      </c>
      <c r="H374" s="84">
        <f>Table1[[#This Row],[Log(Inflation-adjusted)]]-G373</f>
        <v>5.6288473286500995E-2</v>
      </c>
      <c r="I374" s="83">
        <f t="shared" si="16"/>
        <v>0.53830478328685594</v>
      </c>
      <c r="S374" s="22"/>
      <c r="T374" s="22"/>
    </row>
    <row r="375" spans="2:20" ht="16.2" x14ac:dyDescent="0.45">
      <c r="B375" s="80">
        <v>37681</v>
      </c>
      <c r="C375" s="81">
        <v>1.839</v>
      </c>
      <c r="D375" s="81">
        <v>29.23</v>
      </c>
      <c r="E375" s="24">
        <f t="shared" si="17"/>
        <v>3.3751955791231545</v>
      </c>
      <c r="F375" s="81">
        <v>49.492890853724859</v>
      </c>
      <c r="G375" s="24">
        <f t="shared" si="18"/>
        <v>3.9018290401437623</v>
      </c>
      <c r="H375" s="84">
        <f>Table1[[#This Row],[Log(Inflation-adjusted)]]-G374</f>
        <v>-9.9334770128076677E-2</v>
      </c>
      <c r="I375" s="83">
        <f t="shared" si="16"/>
        <v>0.24125390133479563</v>
      </c>
      <c r="S375" s="22"/>
      <c r="T375" s="22"/>
    </row>
    <row r="376" spans="2:20" ht="16.2" x14ac:dyDescent="0.45">
      <c r="B376" s="80">
        <v>37712</v>
      </c>
      <c r="C376" s="81">
        <v>1.8320000000000001</v>
      </c>
      <c r="D376" s="81">
        <v>24.48</v>
      </c>
      <c r="E376" s="24">
        <f t="shared" si="17"/>
        <v>3.1978564576441255</v>
      </c>
      <c r="F376" s="81">
        <v>41.608463580786029</v>
      </c>
      <c r="G376" s="24">
        <f t="shared" si="18"/>
        <v>3.7283035980349784</v>
      </c>
      <c r="H376" s="84">
        <f>Table1[[#This Row],[Log(Inflation-adjusted)]]-G375</f>
        <v>-0.17352544210878396</v>
      </c>
      <c r="I376" s="83">
        <f t="shared" si="16"/>
        <v>-8.8176358418579071E-4</v>
      </c>
      <c r="S376" s="22"/>
      <c r="T376" s="22"/>
    </row>
    <row r="377" spans="2:20" ht="16.2" x14ac:dyDescent="0.45">
      <c r="B377" s="80">
        <v>37742</v>
      </c>
      <c r="C377" s="81">
        <v>1.829</v>
      </c>
      <c r="D377" s="81">
        <v>25.15</v>
      </c>
      <c r="E377" s="24">
        <f t="shared" si="17"/>
        <v>3.2248578965457479</v>
      </c>
      <c r="F377" s="81">
        <v>42.817373100054674</v>
      </c>
      <c r="G377" s="24">
        <f t="shared" si="18"/>
        <v>3.756943933779811</v>
      </c>
      <c r="H377" s="84">
        <f>Table1[[#This Row],[Log(Inflation-adjusted)]]-G376</f>
        <v>2.8640335744832601E-2</v>
      </c>
      <c r="I377" s="83">
        <f t="shared" si="16"/>
        <v>9.872414773866911E-3</v>
      </c>
      <c r="S377" s="22"/>
      <c r="T377" s="22"/>
    </row>
    <row r="378" spans="2:20" ht="16.2" x14ac:dyDescent="0.45">
      <c r="B378" s="80">
        <v>37773</v>
      </c>
      <c r="C378" s="81">
        <v>1.831</v>
      </c>
      <c r="D378" s="81">
        <v>27.22</v>
      </c>
      <c r="E378" s="24">
        <f t="shared" si="17"/>
        <v>3.30395199722332</v>
      </c>
      <c r="F378" s="81">
        <v>46.290887995630804</v>
      </c>
      <c r="G378" s="24">
        <f t="shared" si="18"/>
        <v>3.8349451381737381</v>
      </c>
      <c r="H378" s="84">
        <f>Table1[[#This Row],[Log(Inflation-adjusted)]]-G377</f>
        <v>7.8001204393927104E-2</v>
      </c>
      <c r="I378" s="83">
        <f t="shared" si="16"/>
        <v>0.12978120651866609</v>
      </c>
      <c r="S378" s="22"/>
      <c r="T378" s="22"/>
    </row>
    <row r="379" spans="2:20" ht="16.2" x14ac:dyDescent="0.45">
      <c r="B379" s="80">
        <v>37803</v>
      </c>
      <c r="C379" s="81">
        <v>1.837</v>
      </c>
      <c r="D379" s="81">
        <v>27.95</v>
      </c>
      <c r="E379" s="24">
        <f t="shared" si="17"/>
        <v>3.3304171996011083</v>
      </c>
      <c r="F379" s="81">
        <v>47.377091017964077</v>
      </c>
      <c r="G379" s="24">
        <f t="shared" si="18"/>
        <v>3.8581388000109111</v>
      </c>
      <c r="H379" s="84">
        <f>Table1[[#This Row],[Log(Inflation-adjusted)]]-G378</f>
        <v>2.3193661837173085E-2</v>
      </c>
      <c r="I379" s="83">
        <f t="shared" si="16"/>
        <v>9.1594313423377649E-2</v>
      </c>
      <c r="S379" s="22"/>
      <c r="T379" s="22"/>
    </row>
    <row r="380" spans="2:20" ht="16.2" x14ac:dyDescent="0.45">
      <c r="B380" s="80">
        <v>37834</v>
      </c>
      <c r="C380" s="81">
        <v>1.845</v>
      </c>
      <c r="D380" s="81">
        <v>28.5</v>
      </c>
      <c r="E380" s="24">
        <f t="shared" si="17"/>
        <v>3.3499040872746049</v>
      </c>
      <c r="F380" s="81">
        <v>48.099905691056911</v>
      </c>
      <c r="G380" s="24">
        <f t="shared" si="18"/>
        <v>3.8732802164249058</v>
      </c>
      <c r="H380" s="84">
        <f>Table1[[#This Row],[Log(Inflation-adjusted)]]-G379</f>
        <v>1.5141416413994691E-2</v>
      </c>
      <c r="I380" s="83">
        <f t="shared" si="16"/>
        <v>8.2272922745198152E-2</v>
      </c>
      <c r="S380" s="22"/>
      <c r="T380" s="22"/>
    </row>
    <row r="381" spans="2:20" ht="16.2" x14ac:dyDescent="0.45">
      <c r="B381" s="80">
        <v>37865</v>
      </c>
      <c r="C381" s="81">
        <v>1.851</v>
      </c>
      <c r="D381" s="81">
        <v>25.66</v>
      </c>
      <c r="E381" s="24">
        <f t="shared" si="17"/>
        <v>3.2449333591874905</v>
      </c>
      <c r="F381" s="81">
        <v>43.166413700702321</v>
      </c>
      <c r="G381" s="24">
        <f t="shared" si="18"/>
        <v>3.7650627322389214</v>
      </c>
      <c r="H381" s="84">
        <f>Table1[[#This Row],[Log(Inflation-adjusted)]]-G380</f>
        <v>-0.10821748418598442</v>
      </c>
      <c r="I381" s="83">
        <f t="shared" si="16"/>
        <v>-7.9580066840608588E-2</v>
      </c>
      <c r="S381" s="22"/>
      <c r="T381" s="22"/>
    </row>
    <row r="382" spans="2:20" ht="16.2" x14ac:dyDescent="0.45">
      <c r="B382" s="80">
        <v>37895</v>
      </c>
      <c r="C382" s="81">
        <v>1.849</v>
      </c>
      <c r="D382" s="81">
        <v>27.32</v>
      </c>
      <c r="E382" s="24">
        <f t="shared" si="17"/>
        <v>3.3076190347025891</v>
      </c>
      <c r="F382" s="81">
        <v>46.008653066522442</v>
      </c>
      <c r="G382" s="24">
        <f t="shared" si="18"/>
        <v>3.8288294889403929</v>
      </c>
      <c r="H382" s="84">
        <f>Table1[[#This Row],[Log(Inflation-adjusted)]]-G381</f>
        <v>6.3766756701471472E-2</v>
      </c>
      <c r="I382" s="83">
        <f t="shared" si="16"/>
        <v>2.9693441264990295E-2</v>
      </c>
      <c r="S382" s="22"/>
      <c r="T382" s="22"/>
    </row>
    <row r="383" spans="2:20" ht="16.2" x14ac:dyDescent="0.45">
      <c r="B383" s="80">
        <v>37926</v>
      </c>
      <c r="C383" s="81">
        <v>1.85</v>
      </c>
      <c r="D383" s="81">
        <v>27.47</v>
      </c>
      <c r="E383" s="24">
        <f t="shared" si="17"/>
        <v>3.3130945001071823</v>
      </c>
      <c r="F383" s="81">
        <v>46.236256713513505</v>
      </c>
      <c r="G383" s="24">
        <f t="shared" si="18"/>
        <v>3.8337642676597405</v>
      </c>
      <c r="H383" s="84">
        <f>Table1[[#This Row],[Log(Inflation-adjusted)]]-G382</f>
        <v>4.9347787193476655E-3</v>
      </c>
      <c r="I383" s="83">
        <f t="shared" si="16"/>
        <v>0.12936351871795848</v>
      </c>
      <c r="S383" s="22"/>
      <c r="T383" s="22"/>
    </row>
    <row r="384" spans="2:20" ht="16.2" x14ac:dyDescent="0.45">
      <c r="B384" s="80">
        <v>37956</v>
      </c>
      <c r="C384" s="81">
        <v>1.855</v>
      </c>
      <c r="D384" s="81">
        <v>28.63</v>
      </c>
      <c r="E384" s="24">
        <f t="shared" si="17"/>
        <v>3.3544551191100238</v>
      </c>
      <c r="F384" s="81">
        <v>48.058827320754716</v>
      </c>
      <c r="G384" s="24">
        <f t="shared" si="18"/>
        <v>3.8724258296934169</v>
      </c>
      <c r="H384" s="84">
        <f>Table1[[#This Row],[Log(Inflation-adjusted)]]-G383</f>
        <v>3.8661562033676322E-2</v>
      </c>
      <c r="I384" s="83">
        <f t="shared" si="16"/>
        <v>5.0393197758489716E-2</v>
      </c>
      <c r="S384" s="22"/>
      <c r="T384" s="22"/>
    </row>
    <row r="385" spans="2:20" ht="16.2" x14ac:dyDescent="0.45">
      <c r="B385" s="80">
        <v>37987</v>
      </c>
      <c r="C385" s="81">
        <v>1.863</v>
      </c>
      <c r="D385" s="81">
        <v>30.11</v>
      </c>
      <c r="E385" s="24">
        <f t="shared" si="17"/>
        <v>3.4048573424936426</v>
      </c>
      <c r="F385" s="81">
        <v>50.326141685453571</v>
      </c>
      <c r="G385" s="24">
        <f t="shared" si="18"/>
        <v>3.9185246575169828</v>
      </c>
      <c r="H385" s="84">
        <f>Table1[[#This Row],[Log(Inflation-adjusted)]]-G384</f>
        <v>4.6098827823565891E-2</v>
      </c>
      <c r="I385" s="83">
        <f t="shared" si="16"/>
        <v>-2.6350679468355231E-2</v>
      </c>
      <c r="S385" s="22"/>
      <c r="T385" s="22"/>
    </row>
    <row r="386" spans="2:20" ht="16.2" x14ac:dyDescent="0.45">
      <c r="B386" s="80">
        <v>38018</v>
      </c>
      <c r="C386" s="81">
        <v>1.867</v>
      </c>
      <c r="D386" s="81">
        <v>30.69</v>
      </c>
      <c r="E386" s="24">
        <f t="shared" si="17"/>
        <v>3.4239368686316447</v>
      </c>
      <c r="F386" s="81">
        <v>51.185659796464925</v>
      </c>
      <c r="G386" s="24">
        <f t="shared" si="18"/>
        <v>3.9354594107148508</v>
      </c>
      <c r="H386" s="84">
        <f>Table1[[#This Row],[Log(Inflation-adjusted)]]-G385</f>
        <v>1.693475319786808E-2</v>
      </c>
      <c r="I386" s="83">
        <f t="shared" si="16"/>
        <v>-6.5704399556988147E-2</v>
      </c>
      <c r="S386" s="22"/>
      <c r="T386" s="22"/>
    </row>
    <row r="387" spans="2:20" ht="16.2" x14ac:dyDescent="0.45">
      <c r="B387" s="80">
        <v>38047</v>
      </c>
      <c r="C387" s="81">
        <v>1.871</v>
      </c>
      <c r="D387" s="81">
        <v>32.159999999999997</v>
      </c>
      <c r="E387" s="24">
        <f t="shared" si="17"/>
        <v>3.4707234443107655</v>
      </c>
      <c r="F387" s="81">
        <v>53.522696825227143</v>
      </c>
      <c r="G387" s="24">
        <f t="shared" si="18"/>
        <v>3.9801058036616044</v>
      </c>
      <c r="H387" s="84">
        <f>Table1[[#This Row],[Log(Inflation-adjusted)]]-G386</f>
        <v>4.4646392946753544E-2</v>
      </c>
      <c r="I387" s="83">
        <f t="shared" si="16"/>
        <v>7.8276763517842074E-2</v>
      </c>
      <c r="S387" s="22"/>
      <c r="T387" s="22"/>
    </row>
    <row r="388" spans="2:20" ht="16.2" x14ac:dyDescent="0.45">
      <c r="B388" s="80">
        <v>38078</v>
      </c>
      <c r="C388" s="81">
        <v>1.8740000000000001</v>
      </c>
      <c r="D388" s="81">
        <v>32.340000000000003</v>
      </c>
      <c r="E388" s="24">
        <f t="shared" si="17"/>
        <v>3.4763048541489607</v>
      </c>
      <c r="F388" s="81">
        <v>53.736102582710785</v>
      </c>
      <c r="G388" s="24">
        <f t="shared" si="18"/>
        <v>3.9840850769755218</v>
      </c>
      <c r="H388" s="84">
        <f>Table1[[#This Row],[Log(Inflation-adjusted)]]-G387</f>
        <v>3.979273313917453E-3</v>
      </c>
      <c r="I388" s="83">
        <f t="shared" si="16"/>
        <v>0.25578147894054348</v>
      </c>
      <c r="S388" s="22"/>
      <c r="T388" s="22"/>
    </row>
    <row r="389" spans="2:20" ht="16.2" x14ac:dyDescent="0.45">
      <c r="B389" s="80">
        <v>38108</v>
      </c>
      <c r="C389" s="81">
        <v>1.8819999999999999</v>
      </c>
      <c r="D389" s="81">
        <v>35.68</v>
      </c>
      <c r="E389" s="24">
        <f t="shared" si="17"/>
        <v>3.5745903077118086</v>
      </c>
      <c r="F389" s="81">
        <v>59.033830223166845</v>
      </c>
      <c r="G389" s="24">
        <f t="shared" si="18"/>
        <v>4.0781106731914125</v>
      </c>
      <c r="H389" s="84">
        <f>Table1[[#This Row],[Log(Inflation-adjusted)]]-G388</f>
        <v>9.4025596215890683E-2</v>
      </c>
      <c r="I389" s="83">
        <f t="shared" si="16"/>
        <v>0.32116673941160157</v>
      </c>
      <c r="S389" s="22"/>
      <c r="T389" s="22"/>
    </row>
    <row r="390" spans="2:20" ht="16.2" x14ac:dyDescent="0.45">
      <c r="B390" s="80">
        <v>38139</v>
      </c>
      <c r="C390" s="81">
        <v>1.889</v>
      </c>
      <c r="D390" s="81">
        <v>33.450000000000003</v>
      </c>
      <c r="E390" s="24">
        <f t="shared" si="17"/>
        <v>3.5100517865742376</v>
      </c>
      <c r="F390" s="81">
        <v>55.13912874536792</v>
      </c>
      <c r="G390" s="24">
        <f t="shared" si="18"/>
        <v>4.0098596046976569</v>
      </c>
      <c r="H390" s="84">
        <f>Table1[[#This Row],[Log(Inflation-adjusted)]]-G389</f>
        <v>-6.8251068493755618E-2</v>
      </c>
      <c r="I390" s="83">
        <f t="shared" si="16"/>
        <v>0.17491446652391884</v>
      </c>
      <c r="S390" s="22"/>
      <c r="T390" s="22"/>
    </row>
    <row r="391" spans="2:20" ht="16.2" x14ac:dyDescent="0.45">
      <c r="B391" s="80">
        <v>38169</v>
      </c>
      <c r="C391" s="81">
        <v>1.891</v>
      </c>
      <c r="D391" s="81">
        <v>35.89</v>
      </c>
      <c r="E391" s="24">
        <f t="shared" si="17"/>
        <v>3.5804587051595158</v>
      </c>
      <c r="F391" s="81">
        <v>59.098664219989423</v>
      </c>
      <c r="G391" s="24">
        <f t="shared" si="18"/>
        <v>4.0792083221259867</v>
      </c>
      <c r="H391" s="84">
        <f>Table1[[#This Row],[Log(Inflation-adjusted)]]-G390</f>
        <v>6.934871742832982E-2</v>
      </c>
      <c r="I391" s="83">
        <f t="shared" si="16"/>
        <v>0.22106952211507558</v>
      </c>
      <c r="S391" s="22"/>
      <c r="T391" s="22"/>
    </row>
    <row r="392" spans="2:20" ht="16.2" x14ac:dyDescent="0.45">
      <c r="B392" s="80">
        <v>38200</v>
      </c>
      <c r="C392" s="81">
        <v>1.8919999999999999</v>
      </c>
      <c r="D392" s="81">
        <v>39.46</v>
      </c>
      <c r="E392" s="24">
        <f t="shared" si="17"/>
        <v>3.6752875005944694</v>
      </c>
      <c r="F392" s="81">
        <v>64.942900930232554</v>
      </c>
      <c r="G392" s="24">
        <f t="shared" si="18"/>
        <v>4.1735084366075741</v>
      </c>
      <c r="H392" s="84">
        <f>Table1[[#This Row],[Log(Inflation-adjusted)]]-G391</f>
        <v>9.4300114481587372E-2</v>
      </c>
      <c r="I392" s="83">
        <f t="shared" si="16"/>
        <v>0.30022822018266826</v>
      </c>
      <c r="S392" s="22"/>
      <c r="T392" s="22"/>
    </row>
    <row r="393" spans="2:20" ht="16.2" x14ac:dyDescent="0.45">
      <c r="B393" s="80">
        <v>38231</v>
      </c>
      <c r="C393" s="81">
        <v>1.8979999999999999</v>
      </c>
      <c r="D393" s="81">
        <v>40.42</v>
      </c>
      <c r="E393" s="24">
        <f t="shared" si="17"/>
        <v>3.6993247119754749</v>
      </c>
      <c r="F393" s="81">
        <v>66.312566448893577</v>
      </c>
      <c r="G393" s="24">
        <f t="shared" si="18"/>
        <v>4.1943794184305307</v>
      </c>
      <c r="H393" s="84">
        <f>Table1[[#This Row],[Log(Inflation-adjusted)]]-G392</f>
        <v>2.0870981822956658E-2</v>
      </c>
      <c r="I393" s="83">
        <f t="shared" si="16"/>
        <v>0.42931668619160934</v>
      </c>
      <c r="S393" s="22"/>
      <c r="T393" s="22"/>
    </row>
    <row r="394" spans="2:20" ht="16.2" x14ac:dyDescent="0.45">
      <c r="B394" s="80">
        <v>38261</v>
      </c>
      <c r="C394" s="81">
        <v>1.9079999999999999</v>
      </c>
      <c r="D394" s="81">
        <v>45.36</v>
      </c>
      <c r="E394" s="24">
        <f t="shared" si="17"/>
        <v>3.8146306594194965</v>
      </c>
      <c r="F394" s="81">
        <v>74.0270445283019</v>
      </c>
      <c r="G394" s="24">
        <f t="shared" si="18"/>
        <v>4.3044304930361932</v>
      </c>
      <c r="H394" s="84">
        <f>Table1[[#This Row],[Log(Inflation-adjusted)]]-G393</f>
        <v>0.11005107460566244</v>
      </c>
      <c r="I394" s="83">
        <f t="shared" si="16"/>
        <v>0.47560100409580031</v>
      </c>
      <c r="S394" s="22"/>
      <c r="T394" s="22"/>
    </row>
    <row r="395" spans="2:20" ht="16.2" x14ac:dyDescent="0.45">
      <c r="B395" s="80">
        <v>38292</v>
      </c>
      <c r="C395" s="81">
        <v>1.917</v>
      </c>
      <c r="D395" s="81">
        <v>39.89</v>
      </c>
      <c r="E395" s="24">
        <f t="shared" si="17"/>
        <v>3.6861256659173152</v>
      </c>
      <c r="F395" s="81">
        <v>64.794427772561292</v>
      </c>
      <c r="G395" s="24">
        <f t="shared" si="18"/>
        <v>4.1712196084965996</v>
      </c>
      <c r="H395" s="84">
        <f>Table1[[#This Row],[Log(Inflation-adjusted)]]-G394</f>
        <v>-0.13321088453959362</v>
      </c>
      <c r="I395" s="83">
        <f t="shared" si="16"/>
        <v>0.33745534083685902</v>
      </c>
      <c r="S395" s="22"/>
      <c r="T395" s="22"/>
    </row>
    <row r="396" spans="2:20" ht="16.2" x14ac:dyDescent="0.45">
      <c r="B396" s="80">
        <v>38322</v>
      </c>
      <c r="C396" s="81">
        <v>1.917</v>
      </c>
      <c r="D396" s="81">
        <v>34.07</v>
      </c>
      <c r="E396" s="24">
        <f t="shared" si="17"/>
        <v>3.5284172316728752</v>
      </c>
      <c r="F396" s="81">
        <v>55.340841168492432</v>
      </c>
      <c r="G396" s="24">
        <f t="shared" si="18"/>
        <v>4.0135111742521588</v>
      </c>
      <c r="H396" s="84">
        <f>Table1[[#This Row],[Log(Inflation-adjusted)]]-G395</f>
        <v>-0.15770843424444081</v>
      </c>
      <c r="I396" s="83">
        <f t="shared" si="16"/>
        <v>0.14108534455874189</v>
      </c>
      <c r="S396" s="22"/>
      <c r="T396" s="22"/>
    </row>
    <row r="397" spans="2:20" ht="16.2" x14ac:dyDescent="0.45">
      <c r="B397" s="80">
        <v>38353</v>
      </c>
      <c r="C397" s="81">
        <v>1.9159999999999999</v>
      </c>
      <c r="D397" s="81">
        <v>37.56</v>
      </c>
      <c r="E397" s="24">
        <f t="shared" si="17"/>
        <v>3.6259396543400624</v>
      </c>
      <c r="F397" s="81">
        <v>61.041586722338216</v>
      </c>
      <c r="G397" s="24">
        <f t="shared" si="18"/>
        <v>4.1115553814341848</v>
      </c>
      <c r="H397" s="84">
        <f>Table1[[#This Row],[Log(Inflation-adjusted)]]-G396</f>
        <v>9.8044207182026E-2</v>
      </c>
      <c r="I397" s="83">
        <f t="shared" si="16"/>
        <v>0.193030723917202</v>
      </c>
      <c r="S397" s="22"/>
      <c r="T397" s="22"/>
    </row>
    <row r="398" spans="2:20" ht="16.2" x14ac:dyDescent="0.45">
      <c r="B398" s="80">
        <v>38384</v>
      </c>
      <c r="C398" s="81">
        <v>1.9239999999999999</v>
      </c>
      <c r="D398" s="81">
        <v>39.72</v>
      </c>
      <c r="E398" s="24">
        <f t="shared" si="17"/>
        <v>3.6818548391769719</v>
      </c>
      <c r="F398" s="81">
        <v>64.283558170478173</v>
      </c>
      <c r="G398" s="24">
        <f t="shared" si="18"/>
        <v>4.1633038935762485</v>
      </c>
      <c r="H398" s="84">
        <f>Table1[[#This Row],[Log(Inflation-adjusted)]]-G397</f>
        <v>5.1748512142063774E-2</v>
      </c>
      <c r="I398" s="83">
        <f t="shared" si="16"/>
        <v>0.22784448286139769</v>
      </c>
      <c r="S398" s="22"/>
      <c r="T398" s="22"/>
    </row>
    <row r="399" spans="2:20" ht="16.2" x14ac:dyDescent="0.45">
      <c r="B399" s="80">
        <v>38412</v>
      </c>
      <c r="C399" s="81">
        <v>1.931</v>
      </c>
      <c r="D399" s="81">
        <v>45.73</v>
      </c>
      <c r="E399" s="24">
        <f t="shared" si="17"/>
        <v>3.8227545376699639</v>
      </c>
      <c r="F399" s="81">
        <v>73.741957679958574</v>
      </c>
      <c r="G399" s="24">
        <f t="shared" si="18"/>
        <v>4.3005719408663783</v>
      </c>
      <c r="H399" s="84">
        <f>Table1[[#This Row],[Log(Inflation-adjusted)]]-G398</f>
        <v>0.13726804729012976</v>
      </c>
      <c r="I399" s="83">
        <f t="shared" si="16"/>
        <v>0.3204661372047739</v>
      </c>
      <c r="S399" s="22"/>
      <c r="T399" s="22"/>
    </row>
    <row r="400" spans="2:20" ht="16.2" x14ac:dyDescent="0.45">
      <c r="B400" s="80">
        <v>38443</v>
      </c>
      <c r="C400" s="81">
        <v>1.9370000000000001</v>
      </c>
      <c r="D400" s="81">
        <v>45.25</v>
      </c>
      <c r="E400" s="24">
        <f t="shared" si="17"/>
        <v>3.8122026701459353</v>
      </c>
      <c r="F400" s="81">
        <v>72.74190965410429</v>
      </c>
      <c r="G400" s="24">
        <f t="shared" si="18"/>
        <v>4.2869176923638683</v>
      </c>
      <c r="H400" s="84">
        <f>Table1[[#This Row],[Log(Inflation-adjusted)]]-G399</f>
        <v>-1.3654248502509958E-2</v>
      </c>
      <c r="I400" s="83">
        <f t="shared" si="16"/>
        <v>0.30283261538834649</v>
      </c>
      <c r="S400" s="22"/>
      <c r="T400" s="22"/>
    </row>
    <row r="401" spans="2:20" ht="16.2" x14ac:dyDescent="0.45">
      <c r="B401" s="80">
        <v>38473</v>
      </c>
      <c r="C401" s="81">
        <v>1.9359999999999999</v>
      </c>
      <c r="D401" s="81">
        <v>43.19</v>
      </c>
      <c r="E401" s="24">
        <f t="shared" si="17"/>
        <v>3.7656089869726097</v>
      </c>
      <c r="F401" s="81">
        <v>69.466207045454553</v>
      </c>
      <c r="G401" s="24">
        <f t="shared" si="18"/>
        <v>4.2408404047610162</v>
      </c>
      <c r="H401" s="84">
        <f>Table1[[#This Row],[Log(Inflation-adjusted)]]-G400</f>
        <v>-4.6077287602852124E-2</v>
      </c>
      <c r="I401" s="83">
        <f t="shared" si="16"/>
        <v>0.16272973156960369</v>
      </c>
      <c r="S401" s="22"/>
      <c r="T401" s="22"/>
    </row>
    <row r="402" spans="2:20" ht="16.2" x14ac:dyDescent="0.45">
      <c r="B402" s="80">
        <v>38504</v>
      </c>
      <c r="C402" s="81">
        <v>1.9370000000000001</v>
      </c>
      <c r="D402" s="81">
        <v>49.28</v>
      </c>
      <c r="E402" s="24">
        <f t="shared" si="17"/>
        <v>3.8975183192252643</v>
      </c>
      <c r="F402" s="81">
        <v>79.220360392359325</v>
      </c>
      <c r="G402" s="24">
        <f t="shared" si="18"/>
        <v>4.3722333414431969</v>
      </c>
      <c r="H402" s="84">
        <f>Table1[[#This Row],[Log(Inflation-adjusted)]]-G401</f>
        <v>0.13139293668218066</v>
      </c>
      <c r="I402" s="83">
        <f t="shared" si="16"/>
        <v>0.36237373674553996</v>
      </c>
      <c r="S402" s="22"/>
      <c r="T402" s="22"/>
    </row>
    <row r="403" spans="2:20" ht="16.2" x14ac:dyDescent="0.45">
      <c r="B403" s="80">
        <v>38534</v>
      </c>
      <c r="C403" s="81">
        <v>1.9490000000000001</v>
      </c>
      <c r="D403" s="81">
        <v>52.79</v>
      </c>
      <c r="E403" s="24">
        <f t="shared" si="17"/>
        <v>3.9663217788355247</v>
      </c>
      <c r="F403" s="81">
        <v>84.340380933812213</v>
      </c>
      <c r="G403" s="24">
        <f t="shared" si="18"/>
        <v>4.4348607649528926</v>
      </c>
      <c r="H403" s="84">
        <f>Table1[[#This Row],[Log(Inflation-adjusted)]]-G402</f>
        <v>6.2627423509695745E-2</v>
      </c>
      <c r="I403" s="83">
        <f t="shared" si="16"/>
        <v>0.35565244282690589</v>
      </c>
      <c r="S403" s="22"/>
      <c r="T403" s="22"/>
    </row>
    <row r="404" spans="2:20" ht="16.2" x14ac:dyDescent="0.45">
      <c r="B404" s="80">
        <v>38565</v>
      </c>
      <c r="C404" s="81">
        <v>1.9610000000000001</v>
      </c>
      <c r="D404" s="81">
        <v>58.67</v>
      </c>
      <c r="E404" s="24">
        <f t="shared" si="17"/>
        <v>4.0719285229377684</v>
      </c>
      <c r="F404" s="81">
        <v>93.161018929117802</v>
      </c>
      <c r="G404" s="24">
        <f t="shared" si="18"/>
        <v>4.5343293823663506</v>
      </c>
      <c r="H404" s="84">
        <f>Table1[[#This Row],[Log(Inflation-adjusted)]]-G403</f>
        <v>9.9468617413458027E-2</v>
      </c>
      <c r="I404" s="83">
        <f t="shared" si="16"/>
        <v>0.36082094575877655</v>
      </c>
      <c r="S404" s="22"/>
      <c r="T404" s="22"/>
    </row>
    <row r="405" spans="2:20" ht="16.2" x14ac:dyDescent="0.45">
      <c r="B405" s="80">
        <v>38596</v>
      </c>
      <c r="C405" s="81">
        <v>1.988</v>
      </c>
      <c r="D405" s="81">
        <v>58.79</v>
      </c>
      <c r="E405" s="24">
        <f t="shared" si="17"/>
        <v>4.073971772414164</v>
      </c>
      <c r="F405" s="81">
        <v>92.083711488933602</v>
      </c>
      <c r="G405" s="24">
        <f t="shared" si="18"/>
        <v>4.5226980708225728</v>
      </c>
      <c r="H405" s="84">
        <f>Table1[[#This Row],[Log(Inflation-adjusted)]]-G404</f>
        <v>-1.1631311543777834E-2</v>
      </c>
      <c r="I405" s="83">
        <f t="shared" si="16"/>
        <v>0.32831865239204205</v>
      </c>
      <c r="S405" s="22"/>
      <c r="T405" s="22"/>
    </row>
    <row r="406" spans="2:20" ht="16.2" x14ac:dyDescent="0.45">
      <c r="B406" s="80">
        <v>38626</v>
      </c>
      <c r="C406" s="81">
        <v>1.9910000000000001</v>
      </c>
      <c r="D406" s="81">
        <v>55.31</v>
      </c>
      <c r="E406" s="24">
        <f t="shared" si="17"/>
        <v>4.0129537240065867</v>
      </c>
      <c r="F406" s="81">
        <v>86.502395359116022</v>
      </c>
      <c r="G406" s="24">
        <f t="shared" si="18"/>
        <v>4.4601721055673194</v>
      </c>
      <c r="H406" s="84">
        <f>Table1[[#This Row],[Log(Inflation-adjusted)]]-G405</f>
        <v>-6.2525965255253446E-2</v>
      </c>
      <c r="I406" s="83">
        <f t="shared" si="16"/>
        <v>0.15574161253112617</v>
      </c>
      <c r="S406" s="22"/>
      <c r="T406" s="22"/>
    </row>
    <row r="407" spans="2:20" ht="16.2" x14ac:dyDescent="0.45">
      <c r="B407" s="80">
        <v>38657</v>
      </c>
      <c r="C407" s="81">
        <v>1.9810000000000001</v>
      </c>
      <c r="D407" s="81">
        <v>49.97</v>
      </c>
      <c r="E407" s="24">
        <f t="shared" si="17"/>
        <v>3.9114228253561136</v>
      </c>
      <c r="F407" s="81">
        <v>78.545373508329121</v>
      </c>
      <c r="G407" s="24">
        <f t="shared" si="18"/>
        <v>4.3636764642824915</v>
      </c>
      <c r="H407" s="84">
        <f>Table1[[#This Row],[Log(Inflation-adjusted)]]-G406</f>
        <v>-9.6495641284827904E-2</v>
      </c>
      <c r="I407" s="83">
        <f t="shared" si="16"/>
        <v>0.19245685578589189</v>
      </c>
      <c r="S407" s="22"/>
      <c r="T407" s="22"/>
    </row>
    <row r="408" spans="2:20" ht="16.2" x14ac:dyDescent="0.45">
      <c r="B408" s="80">
        <v>38687</v>
      </c>
      <c r="C408" s="81">
        <v>1.9810000000000001</v>
      </c>
      <c r="D408" s="81">
        <v>50.85</v>
      </c>
      <c r="E408" s="24">
        <f t="shared" si="17"/>
        <v>3.9288801224945691</v>
      </c>
      <c r="F408" s="81">
        <v>79.928602019182222</v>
      </c>
      <c r="G408" s="24">
        <f t="shared" si="18"/>
        <v>4.3811337614209469</v>
      </c>
      <c r="H408" s="84">
        <f>Table1[[#This Row],[Log(Inflation-adjusted)]]-G407</f>
        <v>1.7457297138455452E-2</v>
      </c>
      <c r="I408" s="83">
        <f t="shared" si="16"/>
        <v>0.36762258716878815</v>
      </c>
      <c r="S408" s="22"/>
      <c r="T408" s="22"/>
    </row>
    <row r="409" spans="2:20" ht="16.2" x14ac:dyDescent="0.45">
      <c r="B409" s="80">
        <v>38718</v>
      </c>
      <c r="C409" s="81">
        <v>1.9930000000000001</v>
      </c>
      <c r="D409" s="81">
        <v>55.85</v>
      </c>
      <c r="E409" s="24">
        <f t="shared" si="17"/>
        <v>4.0226695255152096</v>
      </c>
      <c r="F409" s="81">
        <v>87.259277772202708</v>
      </c>
      <c r="G409" s="24">
        <f t="shared" si="18"/>
        <v>4.4688838909273434</v>
      </c>
      <c r="H409" s="84">
        <f>Table1[[#This Row],[Log(Inflation-adjusted)]]-G408</f>
        <v>8.775012950639649E-2</v>
      </c>
      <c r="I409" s="83">
        <f t="shared" ref="I409:I472" si="19">G409-G397</f>
        <v>0.35732850949315864</v>
      </c>
      <c r="S409" s="22"/>
      <c r="T409" s="22"/>
    </row>
    <row r="410" spans="2:20" ht="16.2" x14ac:dyDescent="0.45">
      <c r="B410" s="80">
        <v>38749</v>
      </c>
      <c r="C410" s="81">
        <v>1.994</v>
      </c>
      <c r="D410" s="81">
        <v>52.8</v>
      </c>
      <c r="E410" s="24">
        <f t="shared" ref="E410:E473" si="20">LN(D410)</f>
        <v>3.9665111907122159</v>
      </c>
      <c r="F410" s="81">
        <v>82.452628284854569</v>
      </c>
      <c r="G410" s="24">
        <f t="shared" ref="G410:G473" si="21">LN(F410)</f>
        <v>4.4122239258153604</v>
      </c>
      <c r="H410" s="84">
        <f>Table1[[#This Row],[Log(Inflation-adjusted)]]-G409</f>
        <v>-5.6659965111983013E-2</v>
      </c>
      <c r="I410" s="83">
        <f t="shared" si="19"/>
        <v>0.24892003223911185</v>
      </c>
      <c r="S410" s="22"/>
      <c r="T410" s="22"/>
    </row>
    <row r="411" spans="2:20" ht="16.2" x14ac:dyDescent="0.45">
      <c r="B411" s="80">
        <v>38777</v>
      </c>
      <c r="C411" s="81">
        <v>1.9970000000000001</v>
      </c>
      <c r="D411" s="81">
        <v>55.31</v>
      </c>
      <c r="E411" s="24">
        <f t="shared" si="20"/>
        <v>4.0129537240065867</v>
      </c>
      <c r="F411" s="81">
        <v>86.242498327491234</v>
      </c>
      <c r="G411" s="24">
        <f t="shared" si="21"/>
        <v>4.4571630762157</v>
      </c>
      <c r="H411" s="84">
        <f>Table1[[#This Row],[Log(Inflation-adjusted)]]-G410</f>
        <v>4.4939150400339578E-2</v>
      </c>
      <c r="I411" s="83">
        <f t="shared" si="19"/>
        <v>0.15659113534932168</v>
      </c>
      <c r="S411" s="22"/>
      <c r="T411" s="22"/>
    </row>
    <row r="412" spans="2:20" ht="16.2" x14ac:dyDescent="0.45">
      <c r="B412" s="80">
        <v>38808</v>
      </c>
      <c r="C412" s="81">
        <v>2.0070000000000001</v>
      </c>
      <c r="D412" s="81">
        <v>62.41</v>
      </c>
      <c r="E412" s="24">
        <f t="shared" si="20"/>
        <v>4.1337255189459512</v>
      </c>
      <c r="F412" s="81">
        <v>96.828353143995997</v>
      </c>
      <c r="G412" s="24">
        <f t="shared" si="21"/>
        <v>4.5729398557745418</v>
      </c>
      <c r="H412" s="84">
        <f>Table1[[#This Row],[Log(Inflation-adjusted)]]-G411</f>
        <v>0.1157767795588418</v>
      </c>
      <c r="I412" s="83">
        <f t="shared" si="19"/>
        <v>0.28602216341067344</v>
      </c>
      <c r="S412" s="22"/>
      <c r="T412" s="22"/>
    </row>
    <row r="413" spans="2:20" ht="16.2" x14ac:dyDescent="0.45">
      <c r="B413" s="80">
        <v>38838</v>
      </c>
      <c r="C413" s="81">
        <v>2.0129999999999999</v>
      </c>
      <c r="D413" s="81">
        <v>64.39</v>
      </c>
      <c r="E413" s="24">
        <f t="shared" si="20"/>
        <v>4.1649583415500917</v>
      </c>
      <c r="F413" s="81">
        <v>99.602533551912572</v>
      </c>
      <c r="G413" s="24">
        <f t="shared" si="21"/>
        <v>4.6011876015352291</v>
      </c>
      <c r="H413" s="84">
        <f>Table1[[#This Row],[Log(Inflation-adjusted)]]-G412</f>
        <v>2.8247745760687337E-2</v>
      </c>
      <c r="I413" s="83">
        <f t="shared" si="19"/>
        <v>0.3603471967742129</v>
      </c>
      <c r="S413" s="22"/>
      <c r="T413" s="22"/>
    </row>
    <row r="414" spans="2:20" ht="16.2" x14ac:dyDescent="0.45">
      <c r="B414" s="80">
        <v>38869</v>
      </c>
      <c r="C414" s="81">
        <v>2.0179999999999998</v>
      </c>
      <c r="D414" s="81">
        <v>63.79</v>
      </c>
      <c r="E414" s="24">
        <f t="shared" si="20"/>
        <v>4.1555964382538635</v>
      </c>
      <c r="F414" s="81">
        <v>98.429929851337974</v>
      </c>
      <c r="G414" s="24">
        <f t="shared" si="21"/>
        <v>4.5893449229652381</v>
      </c>
      <c r="H414" s="84">
        <f>Table1[[#This Row],[Log(Inflation-adjusted)]]-G413</f>
        <v>-1.1842678569990994E-2</v>
      </c>
      <c r="I414" s="83">
        <f t="shared" si="19"/>
        <v>0.21711158152204124</v>
      </c>
      <c r="S414" s="22"/>
      <c r="T414" s="22"/>
    </row>
    <row r="415" spans="2:20" ht="16.2" x14ac:dyDescent="0.45">
      <c r="B415" s="80">
        <v>38899</v>
      </c>
      <c r="C415" s="81">
        <v>2.0289999999999999</v>
      </c>
      <c r="D415" s="81">
        <v>67.989999999999995</v>
      </c>
      <c r="E415" s="24">
        <f t="shared" si="20"/>
        <v>4.2193606355383686</v>
      </c>
      <c r="F415" s="81">
        <v>104.34189730901923</v>
      </c>
      <c r="G415" s="24">
        <f t="shared" si="21"/>
        <v>4.6476729813374824</v>
      </c>
      <c r="H415" s="84">
        <f>Table1[[#This Row],[Log(Inflation-adjusted)]]-G414</f>
        <v>5.8328058372244307E-2</v>
      </c>
      <c r="I415" s="83">
        <f t="shared" si="19"/>
        <v>0.2128122163845898</v>
      </c>
      <c r="S415" s="22"/>
      <c r="T415" s="22"/>
    </row>
    <row r="416" spans="2:20" ht="16.2" x14ac:dyDescent="0.45">
      <c r="B416" s="80">
        <v>38930</v>
      </c>
      <c r="C416" s="81">
        <v>2.0379999999999998</v>
      </c>
      <c r="D416" s="81">
        <v>66.45</v>
      </c>
      <c r="E416" s="24">
        <f t="shared" si="20"/>
        <v>4.1964497851592544</v>
      </c>
      <c r="F416" s="81">
        <v>101.52816594700688</v>
      </c>
      <c r="G416" s="24">
        <f t="shared" si="21"/>
        <v>4.6203362570015125</v>
      </c>
      <c r="H416" s="84">
        <f>Table1[[#This Row],[Log(Inflation-adjusted)]]-G415</f>
        <v>-2.7336724335969897E-2</v>
      </c>
      <c r="I416" s="83">
        <f t="shared" si="19"/>
        <v>8.6006874635161878E-2</v>
      </c>
      <c r="S416" s="22"/>
      <c r="T416" s="22"/>
    </row>
    <row r="417" spans="2:20" ht="16.2" x14ac:dyDescent="0.45">
      <c r="B417" s="80">
        <v>38961</v>
      </c>
      <c r="C417" s="81">
        <v>2.028</v>
      </c>
      <c r="D417" s="81">
        <v>57.29</v>
      </c>
      <c r="E417" s="24">
        <f t="shared" si="20"/>
        <v>4.0481260884204868</v>
      </c>
      <c r="F417" s="81">
        <v>87.964331577909263</v>
      </c>
      <c r="G417" s="24">
        <f t="shared" si="21"/>
        <v>4.4769314093343411</v>
      </c>
      <c r="H417" s="84">
        <f>Table1[[#This Row],[Log(Inflation-adjusted)]]-G416</f>
        <v>-0.14340484766717143</v>
      </c>
      <c r="I417" s="83">
        <f t="shared" si="19"/>
        <v>-4.5766661488231719E-2</v>
      </c>
      <c r="S417" s="22"/>
      <c r="T417" s="22"/>
    </row>
    <row r="418" spans="2:20" ht="16.2" x14ac:dyDescent="0.45">
      <c r="B418" s="80">
        <v>38991</v>
      </c>
      <c r="C418" s="81">
        <v>2.0190000000000001</v>
      </c>
      <c r="D418" s="81">
        <v>52.7</v>
      </c>
      <c r="E418" s="24">
        <f t="shared" si="20"/>
        <v>3.9646154555473165</v>
      </c>
      <c r="F418" s="81">
        <v>81.277442892521051</v>
      </c>
      <c r="G418" s="24">
        <f t="shared" si="21"/>
        <v>4.3978685228594081</v>
      </c>
      <c r="H418" s="84">
        <f>Table1[[#This Row],[Log(Inflation-adjusted)]]-G417</f>
        <v>-7.9062886474932981E-2</v>
      </c>
      <c r="I418" s="83">
        <f t="shared" si="19"/>
        <v>-6.2303582707911254E-2</v>
      </c>
      <c r="S418" s="22"/>
      <c r="T418" s="22"/>
    </row>
    <row r="419" spans="2:20" ht="16.2" x14ac:dyDescent="0.45">
      <c r="B419" s="80">
        <v>39022</v>
      </c>
      <c r="C419" s="81">
        <v>2.02</v>
      </c>
      <c r="D419" s="81">
        <v>52.7</v>
      </c>
      <c r="E419" s="24">
        <f t="shared" si="20"/>
        <v>3.9646154555473165</v>
      </c>
      <c r="F419" s="81">
        <v>81.237206534653467</v>
      </c>
      <c r="G419" s="24">
        <f t="shared" si="21"/>
        <v>4.397373350776995</v>
      </c>
      <c r="H419" s="84">
        <f>Table1[[#This Row],[Log(Inflation-adjusted)]]-G418</f>
        <v>-4.9517208241312005E-4</v>
      </c>
      <c r="I419" s="83">
        <f t="shared" si="19"/>
        <v>3.3696886494503531E-2</v>
      </c>
      <c r="S419" s="22"/>
      <c r="T419" s="22"/>
    </row>
    <row r="420" spans="2:20" ht="16.2" x14ac:dyDescent="0.45">
      <c r="B420" s="80">
        <v>39052</v>
      </c>
      <c r="C420" s="81">
        <v>2.0310000000000001</v>
      </c>
      <c r="D420" s="81">
        <v>54.97</v>
      </c>
      <c r="E420" s="24">
        <f t="shared" si="20"/>
        <v>4.0067875818725689</v>
      </c>
      <c r="F420" s="81">
        <v>84.277481496799595</v>
      </c>
      <c r="G420" s="24">
        <f t="shared" si="21"/>
        <v>4.4341147059171124</v>
      </c>
      <c r="H420" s="84">
        <f>Table1[[#This Row],[Log(Inflation-adjusted)]]-G419</f>
        <v>3.6741355140117449E-2</v>
      </c>
      <c r="I420" s="83">
        <f t="shared" si="19"/>
        <v>5.2980944496165527E-2</v>
      </c>
      <c r="S420" s="22"/>
      <c r="T420" s="22"/>
    </row>
    <row r="421" spans="2:20" ht="16.2" x14ac:dyDescent="0.45">
      <c r="B421" s="80">
        <v>39083</v>
      </c>
      <c r="C421" s="81">
        <v>2.03437</v>
      </c>
      <c r="D421" s="81">
        <v>49.57</v>
      </c>
      <c r="E421" s="24">
        <f t="shared" si="20"/>
        <v>3.9033858120324827</v>
      </c>
      <c r="F421" s="81">
        <v>75.872555395527854</v>
      </c>
      <c r="G421" s="24">
        <f t="shared" si="21"/>
        <v>4.3290550300207942</v>
      </c>
      <c r="H421" s="84">
        <f>Table1[[#This Row],[Log(Inflation-adjusted)]]-G420</f>
        <v>-0.10505967589631826</v>
      </c>
      <c r="I421" s="83">
        <f t="shared" si="19"/>
        <v>-0.13982886090654922</v>
      </c>
      <c r="S421" s="22"/>
      <c r="T421" s="22"/>
    </row>
    <row r="422" spans="2:20" ht="16.2" x14ac:dyDescent="0.45">
      <c r="B422" s="80">
        <v>39114</v>
      </c>
      <c r="C422" s="81">
        <v>2.0422600000000002</v>
      </c>
      <c r="D422" s="81">
        <v>53.77</v>
      </c>
      <c r="E422" s="24">
        <f t="shared" si="20"/>
        <v>3.9847156908215866</v>
      </c>
      <c r="F422" s="81">
        <v>81.983176343854353</v>
      </c>
      <c r="G422" s="24">
        <f t="shared" si="21"/>
        <v>4.4065140596763586</v>
      </c>
      <c r="H422" s="84">
        <f>Table1[[#This Row],[Log(Inflation-adjusted)]]-G421</f>
        <v>7.7459029655564393E-2</v>
      </c>
      <c r="I422" s="83">
        <f t="shared" si="19"/>
        <v>-5.7098661390018179E-3</v>
      </c>
      <c r="S422" s="22"/>
      <c r="T422" s="22"/>
    </row>
    <row r="423" spans="2:20" ht="16.2" x14ac:dyDescent="0.45">
      <c r="B423" s="80">
        <v>39142</v>
      </c>
      <c r="C423" s="81">
        <v>2.05288</v>
      </c>
      <c r="D423" s="81">
        <v>56.31</v>
      </c>
      <c r="E423" s="24">
        <f t="shared" si="20"/>
        <v>4.0308721392665268</v>
      </c>
      <c r="F423" s="81">
        <v>85.411765500175363</v>
      </c>
      <c r="G423" s="24">
        <f t="shared" si="21"/>
        <v>4.4474838606280995</v>
      </c>
      <c r="H423" s="84">
        <f>Table1[[#This Row],[Log(Inflation-adjusted)]]-G422</f>
        <v>4.0969800951740964E-2</v>
      </c>
      <c r="I423" s="83">
        <f t="shared" si="19"/>
        <v>-9.6792155876004315E-3</v>
      </c>
      <c r="S423" s="22"/>
      <c r="T423" s="22"/>
    </row>
    <row r="424" spans="2:20" ht="16.2" x14ac:dyDescent="0.45">
      <c r="B424" s="80">
        <v>39173</v>
      </c>
      <c r="C424" s="81">
        <v>2.05904</v>
      </c>
      <c r="D424" s="81">
        <v>60.45</v>
      </c>
      <c r="E424" s="24">
        <f t="shared" si="20"/>
        <v>4.1018165770608022</v>
      </c>
      <c r="F424" s="81">
        <v>91.417061446110807</v>
      </c>
      <c r="G424" s="24">
        <f t="shared" si="21"/>
        <v>4.5154321289403754</v>
      </c>
      <c r="H424" s="84">
        <f>Table1[[#This Row],[Log(Inflation-adjusted)]]-G423</f>
        <v>6.794826831227585E-2</v>
      </c>
      <c r="I424" s="83">
        <f t="shared" si="19"/>
        <v>-5.7507726834166384E-2</v>
      </c>
      <c r="S424" s="22"/>
      <c r="T424" s="22"/>
    </row>
    <row r="425" spans="2:20" ht="16.2" x14ac:dyDescent="0.45">
      <c r="B425" s="80">
        <v>39203</v>
      </c>
      <c r="C425" s="81">
        <v>2.0675500000000002</v>
      </c>
      <c r="D425" s="81">
        <v>61.55</v>
      </c>
      <c r="E425" s="24">
        <f t="shared" si="20"/>
        <v>4.1198498526304625</v>
      </c>
      <c r="F425" s="81">
        <v>92.69744663974268</v>
      </c>
      <c r="G425" s="24">
        <f t="shared" si="21"/>
        <v>4.529340927853112</v>
      </c>
      <c r="H425" s="84">
        <f>Table1[[#This Row],[Log(Inflation-adjusted)]]-G424</f>
        <v>1.3908798912736664E-2</v>
      </c>
      <c r="I425" s="83">
        <f t="shared" si="19"/>
        <v>-7.1846673682117057E-2</v>
      </c>
      <c r="S425" s="22"/>
      <c r="T425" s="22"/>
    </row>
    <row r="426" spans="2:20" ht="16.2" x14ac:dyDescent="0.45">
      <c r="B426" s="80">
        <v>39234</v>
      </c>
      <c r="C426" s="81">
        <v>2.0723400000000001</v>
      </c>
      <c r="D426" s="81">
        <v>65.239999999999995</v>
      </c>
      <c r="E426" s="24">
        <f t="shared" si="20"/>
        <v>4.1780727777528126</v>
      </c>
      <c r="F426" s="81">
        <v>98.02766951368983</v>
      </c>
      <c r="G426" s="24">
        <f t="shared" si="21"/>
        <v>4.585249780796004</v>
      </c>
      <c r="H426" s="84">
        <f>Table1[[#This Row],[Log(Inflation-adjusted)]]-G425</f>
        <v>5.590885294289194E-2</v>
      </c>
      <c r="I426" s="83">
        <f t="shared" si="19"/>
        <v>-4.0951421692341228E-3</v>
      </c>
      <c r="S426" s="22"/>
      <c r="T426" s="22"/>
    </row>
    <row r="427" spans="2:20" ht="16.2" x14ac:dyDescent="0.45">
      <c r="B427" s="80">
        <v>39264</v>
      </c>
      <c r="C427" s="81">
        <v>2.0760299999999998</v>
      </c>
      <c r="D427" s="81">
        <v>70.75</v>
      </c>
      <c r="E427" s="24">
        <f t="shared" si="20"/>
        <v>4.2591525365233469</v>
      </c>
      <c r="F427" s="81">
        <v>106.11787739098183</v>
      </c>
      <c r="G427" s="24">
        <f t="shared" si="21"/>
        <v>4.6645505270998573</v>
      </c>
      <c r="H427" s="84">
        <f>Table1[[#This Row],[Log(Inflation-adjusted)]]-G426</f>
        <v>7.9300746303853309E-2</v>
      </c>
      <c r="I427" s="83">
        <f t="shared" si="19"/>
        <v>1.6877545762374879E-2</v>
      </c>
      <c r="S427" s="22"/>
      <c r="T427" s="22"/>
    </row>
    <row r="428" spans="2:20" ht="16.2" x14ac:dyDescent="0.45">
      <c r="B428" s="80">
        <v>39295</v>
      </c>
      <c r="C428" s="81">
        <v>2.07667</v>
      </c>
      <c r="D428" s="81">
        <v>68.28</v>
      </c>
      <c r="E428" s="24">
        <f t="shared" si="20"/>
        <v>4.2236168979262398</v>
      </c>
      <c r="F428" s="81">
        <v>102.38156379203244</v>
      </c>
      <c r="G428" s="24">
        <f t="shared" si="21"/>
        <v>4.628706655302631</v>
      </c>
      <c r="H428" s="84">
        <f>Table1[[#This Row],[Log(Inflation-adjusted)]]-G427</f>
        <v>-3.5843871797226257E-2</v>
      </c>
      <c r="I428" s="83">
        <f t="shared" si="19"/>
        <v>8.3703983011185201E-3</v>
      </c>
      <c r="S428" s="22"/>
      <c r="T428" s="22"/>
    </row>
    <row r="429" spans="2:20" ht="16.2" x14ac:dyDescent="0.45">
      <c r="B429" s="80">
        <v>39326</v>
      </c>
      <c r="C429" s="81">
        <v>2.0854699999999999</v>
      </c>
      <c r="D429" s="81">
        <v>72.34</v>
      </c>
      <c r="E429" s="24">
        <f t="shared" si="20"/>
        <v>4.2813772265239516</v>
      </c>
      <c r="F429" s="81">
        <v>108.01157352539236</v>
      </c>
      <c r="G429" s="24">
        <f t="shared" si="21"/>
        <v>4.6822383836549051</v>
      </c>
      <c r="H429" s="84">
        <f>Table1[[#This Row],[Log(Inflation-adjusted)]]-G428</f>
        <v>5.3531728352274044E-2</v>
      </c>
      <c r="I429" s="83">
        <f t="shared" si="19"/>
        <v>0.205306974320564</v>
      </c>
      <c r="S429" s="22"/>
      <c r="T429" s="22"/>
    </row>
    <row r="430" spans="2:20" ht="16.2" x14ac:dyDescent="0.45">
      <c r="B430" s="80">
        <v>39356</v>
      </c>
      <c r="C430" s="81">
        <v>2.0918999999999999</v>
      </c>
      <c r="D430" s="81">
        <v>78.61</v>
      </c>
      <c r="E430" s="24">
        <f t="shared" si="20"/>
        <v>4.3644989178056655</v>
      </c>
      <c r="F430" s="81">
        <v>117.01259522921747</v>
      </c>
      <c r="G430" s="24">
        <f t="shared" si="21"/>
        <v>4.762281580535519</v>
      </c>
      <c r="H430" s="84">
        <f>Table1[[#This Row],[Log(Inflation-adjusted)]]-G429</f>
        <v>8.0043196880613898E-2</v>
      </c>
      <c r="I430" s="83">
        <f t="shared" si="19"/>
        <v>0.36441305767611087</v>
      </c>
      <c r="S430" s="22"/>
      <c r="T430" s="22"/>
    </row>
    <row r="431" spans="2:20" ht="16.2" x14ac:dyDescent="0.45">
      <c r="B431" s="80">
        <v>39387</v>
      </c>
      <c r="C431" s="81">
        <v>2.1083400000000001</v>
      </c>
      <c r="D431" s="81">
        <v>85.53</v>
      </c>
      <c r="E431" s="24">
        <f t="shared" si="20"/>
        <v>4.4488671915926901</v>
      </c>
      <c r="F431" s="81">
        <v>126.32041942001764</v>
      </c>
      <c r="G431" s="24">
        <f t="shared" si="21"/>
        <v>4.838821690239671</v>
      </c>
      <c r="H431" s="84">
        <f>Table1[[#This Row],[Log(Inflation-adjusted)]]-G430</f>
        <v>7.6540109704152037E-2</v>
      </c>
      <c r="I431" s="83">
        <f t="shared" si="19"/>
        <v>0.44144833946267603</v>
      </c>
      <c r="S431" s="22"/>
      <c r="T431" s="22"/>
    </row>
    <row r="432" spans="2:20" ht="16.2" x14ac:dyDescent="0.45">
      <c r="B432" s="80">
        <v>39417</v>
      </c>
      <c r="C432" s="81">
        <v>2.1144500000000002</v>
      </c>
      <c r="D432" s="81">
        <v>83.21</v>
      </c>
      <c r="E432" s="24">
        <f t="shared" si="20"/>
        <v>4.4213675329123383</v>
      </c>
      <c r="F432" s="81">
        <v>122.53886048854309</v>
      </c>
      <c r="G432" s="24">
        <f t="shared" si="21"/>
        <v>4.8084282081563696</v>
      </c>
      <c r="H432" s="84">
        <f>Table1[[#This Row],[Log(Inflation-adjusted)]]-G431</f>
        <v>-3.0393482083301393E-2</v>
      </c>
      <c r="I432" s="83">
        <f t="shared" si="19"/>
        <v>0.37431350223925719</v>
      </c>
      <c r="S432" s="22"/>
      <c r="T432" s="22"/>
    </row>
    <row r="433" spans="2:20" ht="16.2" x14ac:dyDescent="0.45">
      <c r="B433" s="80">
        <v>39448</v>
      </c>
      <c r="C433" s="81">
        <v>2.12174</v>
      </c>
      <c r="D433" s="81">
        <v>84.82</v>
      </c>
      <c r="E433" s="24">
        <f t="shared" si="20"/>
        <v>4.4405313640464446</v>
      </c>
      <c r="F433" s="81">
        <v>124.48064773252143</v>
      </c>
      <c r="G433" s="24">
        <f t="shared" si="21"/>
        <v>4.8241502639233032</v>
      </c>
      <c r="H433" s="84">
        <f>Table1[[#This Row],[Log(Inflation-adjusted)]]-G432</f>
        <v>1.5722055766933529E-2</v>
      </c>
      <c r="I433" s="83">
        <f t="shared" si="19"/>
        <v>0.49509523390250898</v>
      </c>
      <c r="S433" s="22"/>
      <c r="T433" s="22"/>
    </row>
    <row r="434" spans="2:20" ht="16.2" x14ac:dyDescent="0.45">
      <c r="B434" s="80">
        <v>39479</v>
      </c>
      <c r="C434" s="81">
        <v>2.1268699999999998</v>
      </c>
      <c r="D434" s="81">
        <v>87.41</v>
      </c>
      <c r="E434" s="24">
        <f t="shared" si="20"/>
        <v>4.4706096925923964</v>
      </c>
      <c r="F434" s="81">
        <v>127.97228075058655</v>
      </c>
      <c r="G434" s="24">
        <f t="shared" si="21"/>
        <v>4.8518136838318009</v>
      </c>
      <c r="H434" s="84">
        <f>Table1[[#This Row],[Log(Inflation-adjusted)]]-G433</f>
        <v>2.7663419908497744E-2</v>
      </c>
      <c r="I434" s="83">
        <f t="shared" si="19"/>
        <v>0.44529962415544233</v>
      </c>
      <c r="S434" s="22"/>
      <c r="T434" s="22"/>
    </row>
    <row r="435" spans="2:20" ht="16.2" x14ac:dyDescent="0.45">
      <c r="B435" s="80">
        <v>39508</v>
      </c>
      <c r="C435" s="81">
        <v>2.1344799999999999</v>
      </c>
      <c r="D435" s="81">
        <v>96.96</v>
      </c>
      <c r="E435" s="24">
        <f t="shared" si="20"/>
        <v>4.574298522321004</v>
      </c>
      <c r="F435" s="81">
        <v>141.44781799782615</v>
      </c>
      <c r="G435" s="24">
        <f t="shared" si="21"/>
        <v>4.9519308716676624</v>
      </c>
      <c r="H435" s="84">
        <f>Table1[[#This Row],[Log(Inflation-adjusted)]]-G434</f>
        <v>0.10011718783586154</v>
      </c>
      <c r="I435" s="83">
        <f t="shared" si="19"/>
        <v>0.50444701103956291</v>
      </c>
      <c r="S435" s="22"/>
      <c r="T435" s="22"/>
    </row>
    <row r="436" spans="2:20" ht="16.2" x14ac:dyDescent="0.45">
      <c r="B436" s="80">
        <v>39539</v>
      </c>
      <c r="C436" s="81">
        <v>2.1394199999999999</v>
      </c>
      <c r="D436" s="81">
        <v>104.72</v>
      </c>
      <c r="E436" s="24">
        <f t="shared" si="20"/>
        <v>4.6512901216016447</v>
      </c>
      <c r="F436" s="81">
        <v>152.4155639939797</v>
      </c>
      <c r="G436" s="24">
        <f t="shared" si="21"/>
        <v>5.026610763982795</v>
      </c>
      <c r="H436" s="84">
        <f>Table1[[#This Row],[Log(Inflation-adjusted)]]-G435</f>
        <v>7.4679892315132612E-2</v>
      </c>
      <c r="I436" s="83">
        <f t="shared" si="19"/>
        <v>0.51117863504241967</v>
      </c>
      <c r="S436" s="22"/>
      <c r="T436" s="22"/>
    </row>
    <row r="437" spans="2:20" ht="16.2" x14ac:dyDescent="0.45">
      <c r="B437" s="80">
        <v>39569</v>
      </c>
      <c r="C437" s="81">
        <v>2.1520800000000002</v>
      </c>
      <c r="D437" s="81">
        <v>116.55</v>
      </c>
      <c r="E437" s="24">
        <f t="shared" si="20"/>
        <v>4.7583203654817661</v>
      </c>
      <c r="F437" s="81">
        <v>168.63573185011708</v>
      </c>
      <c r="G437" s="24">
        <f t="shared" si="21"/>
        <v>5.1277409557947928</v>
      </c>
      <c r="H437" s="84">
        <f>Table1[[#This Row],[Log(Inflation-adjusted)]]-G436</f>
        <v>0.10113019181199778</v>
      </c>
      <c r="I437" s="83">
        <f t="shared" si="19"/>
        <v>0.59840002794168079</v>
      </c>
      <c r="S437" s="22"/>
      <c r="T437" s="22"/>
    </row>
    <row r="438" spans="2:20" ht="16.2" x14ac:dyDescent="0.45">
      <c r="B438" s="80">
        <v>39600</v>
      </c>
      <c r="C438" s="81">
        <v>2.1746300000000001</v>
      </c>
      <c r="D438" s="81">
        <v>126.22</v>
      </c>
      <c r="E438" s="24">
        <f t="shared" si="20"/>
        <v>4.8380264161560937</v>
      </c>
      <c r="F438" s="81">
        <v>180.73344887176211</v>
      </c>
      <c r="G438" s="24">
        <f t="shared" si="21"/>
        <v>5.1970232876719544</v>
      </c>
      <c r="H438" s="84">
        <f>Table1[[#This Row],[Log(Inflation-adjusted)]]-G437</f>
        <v>6.9282331877161596E-2</v>
      </c>
      <c r="I438" s="83">
        <f t="shared" si="19"/>
        <v>0.61177350687595045</v>
      </c>
      <c r="S438" s="22"/>
      <c r="T438" s="22"/>
    </row>
    <row r="439" spans="2:20" ht="16.2" x14ac:dyDescent="0.45">
      <c r="B439" s="80">
        <v>39630</v>
      </c>
      <c r="C439" s="81">
        <v>2.1901600000000001</v>
      </c>
      <c r="D439" s="81">
        <v>127.77</v>
      </c>
      <c r="E439" s="24">
        <f t="shared" si="20"/>
        <v>4.850231772603232</v>
      </c>
      <c r="F439" s="81">
        <v>181.65559854987762</v>
      </c>
      <c r="G439" s="24">
        <f t="shared" si="21"/>
        <v>5.202112578725588</v>
      </c>
      <c r="H439" s="84">
        <f>Table1[[#This Row],[Log(Inflation-adjusted)]]-G438</f>
        <v>5.0892910536335378E-3</v>
      </c>
      <c r="I439" s="83">
        <f t="shared" si="19"/>
        <v>0.53756205162573067</v>
      </c>
      <c r="S439" s="22"/>
      <c r="T439" s="22"/>
    </row>
    <row r="440" spans="2:20" ht="16.2" x14ac:dyDescent="0.45">
      <c r="B440" s="80">
        <v>39661</v>
      </c>
      <c r="C440" s="81">
        <v>2.1869000000000001</v>
      </c>
      <c r="D440" s="81">
        <v>111.19</v>
      </c>
      <c r="E440" s="24">
        <f t="shared" si="20"/>
        <v>4.7112404497151577</v>
      </c>
      <c r="F440" s="81">
        <v>158.31881880287165</v>
      </c>
      <c r="G440" s="24">
        <f t="shared" si="21"/>
        <v>5.064610840445809</v>
      </c>
      <c r="H440" s="84">
        <f>Table1[[#This Row],[Log(Inflation-adjusted)]]-G439</f>
        <v>-0.13750173827977896</v>
      </c>
      <c r="I440" s="83">
        <f t="shared" si="19"/>
        <v>0.43590418514317797</v>
      </c>
      <c r="S440" s="22"/>
      <c r="T440" s="22"/>
    </row>
    <row r="441" spans="2:20" ht="16.2" x14ac:dyDescent="0.45">
      <c r="B441" s="80">
        <v>39692</v>
      </c>
      <c r="C441" s="81">
        <v>2.1887699999999999</v>
      </c>
      <c r="D441" s="81">
        <v>96.38</v>
      </c>
      <c r="E441" s="24">
        <f t="shared" si="20"/>
        <v>4.5682987112121864</v>
      </c>
      <c r="F441" s="81">
        <v>137.11423022062618</v>
      </c>
      <c r="G441" s="24">
        <f t="shared" si="21"/>
        <v>4.9208143756431646</v>
      </c>
      <c r="H441" s="84">
        <f>Table1[[#This Row],[Log(Inflation-adjusted)]]-G440</f>
        <v>-0.14379646480264441</v>
      </c>
      <c r="I441" s="83">
        <f t="shared" si="19"/>
        <v>0.23857599198825952</v>
      </c>
      <c r="S441" s="22"/>
      <c r="T441" s="22"/>
    </row>
    <row r="442" spans="2:20" ht="16.2" x14ac:dyDescent="0.45">
      <c r="B442" s="80">
        <v>39722</v>
      </c>
      <c r="C442" s="81">
        <v>2.16995</v>
      </c>
      <c r="D442" s="81">
        <v>70.84</v>
      </c>
      <c r="E442" s="24">
        <f t="shared" si="20"/>
        <v>4.2604238129146328</v>
      </c>
      <c r="F442" s="81">
        <v>101.65402071015461</v>
      </c>
      <c r="G442" s="24">
        <f t="shared" si="21"/>
        <v>4.6215750937451689</v>
      </c>
      <c r="H442" s="84">
        <f>Table1[[#This Row],[Log(Inflation-adjusted)]]-G441</f>
        <v>-0.29923928189799565</v>
      </c>
      <c r="I442" s="83">
        <f t="shared" si="19"/>
        <v>-0.14070648679035003</v>
      </c>
      <c r="S442" s="22"/>
      <c r="T442" s="22"/>
    </row>
    <row r="443" spans="2:20" ht="16.2" x14ac:dyDescent="0.45">
      <c r="B443" s="80">
        <v>39753</v>
      </c>
      <c r="C443" s="81">
        <v>2.1315300000000001</v>
      </c>
      <c r="D443" s="81">
        <v>49.1</v>
      </c>
      <c r="E443" s="24">
        <f t="shared" si="20"/>
        <v>3.8938590348004749</v>
      </c>
      <c r="F443" s="81">
        <v>71.727513851552644</v>
      </c>
      <c r="G443" s="24">
        <f t="shared" si="21"/>
        <v>4.2728744097238289</v>
      </c>
      <c r="H443" s="84">
        <f>Table1[[#This Row],[Log(Inflation-adjusted)]]-G442</f>
        <v>-0.34870068402134002</v>
      </c>
      <c r="I443" s="83">
        <f t="shared" si="19"/>
        <v>-0.56594728051584209</v>
      </c>
      <c r="S443" s="22"/>
      <c r="T443" s="22"/>
    </row>
    <row r="444" spans="2:20" ht="16.2" x14ac:dyDescent="0.45">
      <c r="B444" s="80">
        <v>39783</v>
      </c>
      <c r="C444" s="81">
        <v>2.1139800000000002</v>
      </c>
      <c r="D444" s="81">
        <v>35.590000000000003</v>
      </c>
      <c r="E444" s="24">
        <f t="shared" si="20"/>
        <v>3.5720646995221013</v>
      </c>
      <c r="F444" s="81">
        <v>52.423118118430644</v>
      </c>
      <c r="G444" s="24">
        <f t="shared" si="21"/>
        <v>3.9593476794995377</v>
      </c>
      <c r="H444" s="84">
        <f>Table1[[#This Row],[Log(Inflation-adjusted)]]-G443</f>
        <v>-0.31352673022429123</v>
      </c>
      <c r="I444" s="83">
        <f t="shared" si="19"/>
        <v>-0.84908052865683192</v>
      </c>
      <c r="S444" s="22"/>
      <c r="T444" s="22"/>
    </row>
    <row r="445" spans="2:20" ht="16.2" x14ac:dyDescent="0.45">
      <c r="B445" s="80">
        <v>39814</v>
      </c>
      <c r="C445" s="81">
        <v>2.1193300000000002</v>
      </c>
      <c r="D445" s="81">
        <v>36.840000000000003</v>
      </c>
      <c r="E445" s="24">
        <f t="shared" si="20"/>
        <v>3.6065842113871063</v>
      </c>
      <c r="F445" s="81">
        <v>54.127350738204996</v>
      </c>
      <c r="G445" s="24">
        <f t="shared" si="21"/>
        <v>3.991339617032275</v>
      </c>
      <c r="H445" s="84">
        <f>Table1[[#This Row],[Log(Inflation-adjusted)]]-G444</f>
        <v>3.1991937532737325E-2</v>
      </c>
      <c r="I445" s="83">
        <f t="shared" si="19"/>
        <v>-0.83281064689102813</v>
      </c>
      <c r="S445" s="22"/>
      <c r="T445" s="22"/>
    </row>
    <row r="446" spans="2:20" ht="16.2" x14ac:dyDescent="0.45">
      <c r="B446" s="80">
        <v>39845</v>
      </c>
      <c r="C446" s="81">
        <v>2.1270500000000001</v>
      </c>
      <c r="D446" s="81">
        <v>38.56</v>
      </c>
      <c r="E446" s="24">
        <f t="shared" si="20"/>
        <v>3.652215469742345</v>
      </c>
      <c r="F446" s="81">
        <v>56.448845189346748</v>
      </c>
      <c r="G446" s="24">
        <f t="shared" si="21"/>
        <v>4.0333348331560694</v>
      </c>
      <c r="H446" s="84">
        <f>Table1[[#This Row],[Log(Inflation-adjusted)]]-G445</f>
        <v>4.1995216123794421E-2</v>
      </c>
      <c r="I446" s="83">
        <f t="shared" si="19"/>
        <v>-0.81847885067573145</v>
      </c>
      <c r="S446" s="22"/>
      <c r="T446" s="22"/>
    </row>
    <row r="447" spans="2:20" ht="16.2" x14ac:dyDescent="0.45">
      <c r="B447" s="80">
        <v>39873</v>
      </c>
      <c r="C447" s="81">
        <v>2.1249500000000001</v>
      </c>
      <c r="D447" s="81">
        <v>45.96</v>
      </c>
      <c r="E447" s="24">
        <f t="shared" si="20"/>
        <v>3.8277714529805551</v>
      </c>
      <c r="F447" s="81">
        <v>67.348362342643355</v>
      </c>
      <c r="G447" s="24">
        <f t="shared" si="21"/>
        <v>4.2098785869355515</v>
      </c>
      <c r="H447" s="84">
        <f>Table1[[#This Row],[Log(Inflation-adjusted)]]-G446</f>
        <v>0.17654375377948206</v>
      </c>
      <c r="I447" s="83">
        <f t="shared" si="19"/>
        <v>-0.74205228473211093</v>
      </c>
      <c r="S447" s="22"/>
      <c r="T447" s="22"/>
    </row>
    <row r="448" spans="2:20" ht="16.2" x14ac:dyDescent="0.45">
      <c r="B448" s="80">
        <v>39904</v>
      </c>
      <c r="C448" s="81">
        <v>2.1270899999999999</v>
      </c>
      <c r="D448" s="81">
        <v>49.58</v>
      </c>
      <c r="E448" s="24">
        <f t="shared" si="20"/>
        <v>3.9035875266070446</v>
      </c>
      <c r="F448" s="81">
        <v>72.579904414011637</v>
      </c>
      <c r="G448" s="24">
        <f t="shared" si="21"/>
        <v>4.2846880848098445</v>
      </c>
      <c r="H448" s="84">
        <f>Table1[[#This Row],[Log(Inflation-adjusted)]]-G447</f>
        <v>7.4809497874293029E-2</v>
      </c>
      <c r="I448" s="83">
        <f t="shared" si="19"/>
        <v>-0.74192267917295052</v>
      </c>
      <c r="S448" s="22"/>
      <c r="T448" s="22"/>
    </row>
    <row r="449" spans="2:20" ht="16.2" x14ac:dyDescent="0.45">
      <c r="B449" s="80">
        <v>39934</v>
      </c>
      <c r="C449" s="81">
        <v>2.13022</v>
      </c>
      <c r="D449" s="81">
        <v>56.77</v>
      </c>
      <c r="E449" s="24">
        <f t="shared" si="20"/>
        <v>4.0390080171826348</v>
      </c>
      <c r="F449" s="81">
        <v>82.983198786979756</v>
      </c>
      <c r="G449" s="24">
        <f t="shared" si="21"/>
        <v>4.4186381630527878</v>
      </c>
      <c r="H449" s="84">
        <f>Table1[[#This Row],[Log(Inflation-adjusted)]]-G448</f>
        <v>0.13395007824294325</v>
      </c>
      <c r="I449" s="83">
        <f t="shared" si="19"/>
        <v>-0.70910279274200505</v>
      </c>
      <c r="S449" s="22"/>
      <c r="T449" s="22"/>
    </row>
    <row r="450" spans="2:20" ht="16.2" x14ac:dyDescent="0.45">
      <c r="B450" s="80">
        <v>39965</v>
      </c>
      <c r="C450" s="81">
        <v>2.1478999999999999</v>
      </c>
      <c r="D450" s="81">
        <v>66.37</v>
      </c>
      <c r="E450" s="24">
        <f t="shared" si="20"/>
        <v>4.1952451471578334</v>
      </c>
      <c r="F450" s="81">
        <v>96.217372931700737</v>
      </c>
      <c r="G450" s="24">
        <f t="shared" si="21"/>
        <v>4.5666099331725443</v>
      </c>
      <c r="H450" s="84">
        <f>Table1[[#This Row],[Log(Inflation-adjusted)]]-G449</f>
        <v>0.14797177011975648</v>
      </c>
      <c r="I450" s="83">
        <f t="shared" si="19"/>
        <v>-0.63041335449941016</v>
      </c>
      <c r="S450" s="22"/>
      <c r="T450" s="22"/>
    </row>
    <row r="451" spans="2:20" ht="16.2" x14ac:dyDescent="0.45">
      <c r="B451" s="80">
        <v>39995</v>
      </c>
      <c r="C451" s="81">
        <v>2.1472600000000002</v>
      </c>
      <c r="D451" s="81">
        <v>63.46</v>
      </c>
      <c r="E451" s="24">
        <f t="shared" si="20"/>
        <v>4.1504097861550493</v>
      </c>
      <c r="F451" s="81">
        <v>92.026132168437911</v>
      </c>
      <c r="G451" s="24">
        <f t="shared" si="21"/>
        <v>4.5220725820249168</v>
      </c>
      <c r="H451" s="84">
        <f>Table1[[#This Row],[Log(Inflation-adjusted)]]-G450</f>
        <v>-4.4537351147627469E-2</v>
      </c>
      <c r="I451" s="83">
        <f t="shared" si="19"/>
        <v>-0.68003999670067117</v>
      </c>
      <c r="S451" s="22"/>
      <c r="T451" s="22"/>
    </row>
    <row r="452" spans="2:20" ht="16.2" x14ac:dyDescent="0.45">
      <c r="B452" s="80">
        <v>40026</v>
      </c>
      <c r="C452" s="81">
        <v>2.1544500000000002</v>
      </c>
      <c r="D452" s="81">
        <v>68.09</v>
      </c>
      <c r="E452" s="24">
        <f t="shared" si="20"/>
        <v>4.2208303594948751</v>
      </c>
      <c r="F452" s="81">
        <v>98.410774554990837</v>
      </c>
      <c r="G452" s="24">
        <f t="shared" si="21"/>
        <v>4.5891502955738623</v>
      </c>
      <c r="H452" s="84">
        <f>Table1[[#This Row],[Log(Inflation-adjusted)]]-G451</f>
        <v>6.7077713548945539E-2</v>
      </c>
      <c r="I452" s="83">
        <f t="shared" si="19"/>
        <v>-0.47546054487194667</v>
      </c>
      <c r="S452" s="22"/>
      <c r="T452" s="22"/>
    </row>
    <row r="453" spans="2:20" ht="16.2" x14ac:dyDescent="0.45">
      <c r="B453" s="80">
        <v>40057</v>
      </c>
      <c r="C453" s="81">
        <v>2.1586099999999999</v>
      </c>
      <c r="D453" s="81">
        <v>67.650000000000006</v>
      </c>
      <c r="E453" s="24">
        <f t="shared" si="20"/>
        <v>4.2143473546167973</v>
      </c>
      <c r="F453" s="81">
        <v>97.586412274565589</v>
      </c>
      <c r="G453" s="24">
        <f t="shared" si="21"/>
        <v>4.5807382652289483</v>
      </c>
      <c r="H453" s="84">
        <f>Table1[[#This Row],[Log(Inflation-adjusted)]]-G452</f>
        <v>-8.412030344914001E-3</v>
      </c>
      <c r="I453" s="83">
        <f t="shared" si="19"/>
        <v>-0.34007611041421626</v>
      </c>
      <c r="S453" s="22"/>
      <c r="T453" s="22"/>
    </row>
    <row r="454" spans="2:20" ht="16.2" x14ac:dyDescent="0.45">
      <c r="B454" s="80">
        <v>40087</v>
      </c>
      <c r="C454" s="81">
        <v>2.1650900000000002</v>
      </c>
      <c r="D454" s="81">
        <v>72.06</v>
      </c>
      <c r="E454" s="24">
        <f t="shared" si="20"/>
        <v>4.2774991053199471</v>
      </c>
      <c r="F454" s="81">
        <v>103.63681055291005</v>
      </c>
      <c r="G454" s="24">
        <f t="shared" si="21"/>
        <v>4.6408925809335129</v>
      </c>
      <c r="H454" s="84">
        <f>Table1[[#This Row],[Log(Inflation-adjusted)]]-G453</f>
        <v>6.0154315704564532E-2</v>
      </c>
      <c r="I454" s="83">
        <f t="shared" si="19"/>
        <v>1.9317487188343918E-2</v>
      </c>
      <c r="S454" s="22"/>
      <c r="T454" s="22"/>
    </row>
    <row r="455" spans="2:20" ht="16.2" x14ac:dyDescent="0.45">
      <c r="B455" s="80">
        <v>40118</v>
      </c>
      <c r="C455" s="81">
        <v>2.1723400000000002</v>
      </c>
      <c r="D455" s="81">
        <v>74.400000000000006</v>
      </c>
      <c r="E455" s="24">
        <f t="shared" si="20"/>
        <v>4.3094559418390466</v>
      </c>
      <c r="F455" s="81">
        <v>106.64509165231962</v>
      </c>
      <c r="G455" s="24">
        <f t="shared" si="21"/>
        <v>4.6695064209076813</v>
      </c>
      <c r="H455" s="84">
        <f>Table1[[#This Row],[Log(Inflation-adjusted)]]-G454</f>
        <v>2.8613839974168442E-2</v>
      </c>
      <c r="I455" s="83">
        <f t="shared" si="19"/>
        <v>0.39663201118385238</v>
      </c>
      <c r="S455" s="22"/>
      <c r="T455" s="22"/>
    </row>
    <row r="456" spans="2:20" ht="16.2" x14ac:dyDescent="0.45">
      <c r="B456" s="80">
        <v>40148</v>
      </c>
      <c r="C456" s="81">
        <v>2.17347</v>
      </c>
      <c r="D456" s="81">
        <v>72.67</v>
      </c>
      <c r="E456" s="24">
        <f t="shared" si="20"/>
        <v>4.2859286446285445</v>
      </c>
      <c r="F456" s="81">
        <v>104.11115042765717</v>
      </c>
      <c r="G456" s="24">
        <f t="shared" si="21"/>
        <v>4.6454590825423816</v>
      </c>
      <c r="H456" s="84">
        <f>Table1[[#This Row],[Log(Inflation-adjusted)]]-G455</f>
        <v>-2.4047338365299709E-2</v>
      </c>
      <c r="I456" s="83">
        <f t="shared" si="19"/>
        <v>0.6861114030428439</v>
      </c>
      <c r="S456" s="22"/>
      <c r="T456" s="22"/>
    </row>
    <row r="457" spans="2:20" ht="16.2" x14ac:dyDescent="0.45">
      <c r="B457" s="80">
        <v>40179</v>
      </c>
      <c r="C457" s="81">
        <v>2.1748799999999999</v>
      </c>
      <c r="D457" s="81">
        <v>75.069999999999993</v>
      </c>
      <c r="E457" s="24">
        <f t="shared" si="20"/>
        <v>4.3184210115849107</v>
      </c>
      <c r="F457" s="81">
        <v>107.47980050393583</v>
      </c>
      <c r="G457" s="24">
        <f t="shared" si="21"/>
        <v>4.6773029276229012</v>
      </c>
      <c r="H457" s="84">
        <f>Table1[[#This Row],[Log(Inflation-adjusted)]]-G456</f>
        <v>3.1843845080519628E-2</v>
      </c>
      <c r="I457" s="83">
        <f t="shared" si="19"/>
        <v>0.68596331059062621</v>
      </c>
      <c r="S457" s="22"/>
      <c r="T457" s="22"/>
    </row>
    <row r="458" spans="2:20" ht="16.2" x14ac:dyDescent="0.45">
      <c r="B458" s="80">
        <v>40210</v>
      </c>
      <c r="C458" s="81">
        <v>2.1728100000000001</v>
      </c>
      <c r="D458" s="81">
        <v>73.73</v>
      </c>
      <c r="E458" s="24">
        <f t="shared" si="20"/>
        <v>4.3004097720015588</v>
      </c>
      <c r="F458" s="81">
        <v>105.66185183241977</v>
      </c>
      <c r="G458" s="24">
        <f t="shared" si="21"/>
        <v>4.6602439179162953</v>
      </c>
      <c r="H458" s="84">
        <f>Table1[[#This Row],[Log(Inflation-adjusted)]]-G457</f>
        <v>-1.7059009706605899E-2</v>
      </c>
      <c r="I458" s="83">
        <f t="shared" si="19"/>
        <v>0.62690908476022589</v>
      </c>
      <c r="S458" s="22"/>
      <c r="T458" s="22"/>
    </row>
    <row r="459" spans="2:20" ht="16.2" x14ac:dyDescent="0.45">
      <c r="B459" s="80">
        <v>40238</v>
      </c>
      <c r="C459" s="81">
        <v>2.17353</v>
      </c>
      <c r="D459" s="81">
        <v>76.77</v>
      </c>
      <c r="E459" s="24">
        <f t="shared" si="20"/>
        <v>4.3408139388398075</v>
      </c>
      <c r="F459" s="81">
        <v>109.98200610067494</v>
      </c>
      <c r="G459" s="24">
        <f t="shared" si="21"/>
        <v>4.7003167715086462</v>
      </c>
      <c r="H459" s="84">
        <f>Table1[[#This Row],[Log(Inflation-adjusted)]]-G458</f>
        <v>4.007285359235091E-2</v>
      </c>
      <c r="I459" s="83">
        <f t="shared" si="19"/>
        <v>0.49043818457309474</v>
      </c>
      <c r="S459" s="22"/>
      <c r="T459" s="22"/>
    </row>
    <row r="460" spans="2:20" ht="16.2" x14ac:dyDescent="0.45">
      <c r="B460" s="80">
        <v>40269</v>
      </c>
      <c r="C460" s="81">
        <v>2.1740300000000001</v>
      </c>
      <c r="D460" s="81">
        <v>80.03</v>
      </c>
      <c r="E460" s="24">
        <f t="shared" si="20"/>
        <v>4.3824015643789549</v>
      </c>
      <c r="F460" s="81">
        <v>114.62596885967535</v>
      </c>
      <c r="G460" s="24">
        <f t="shared" si="21"/>
        <v>4.7416743829699177</v>
      </c>
      <c r="H460" s="84">
        <f>Table1[[#This Row],[Log(Inflation-adjusted)]]-G459</f>
        <v>4.1357611461271482E-2</v>
      </c>
      <c r="I460" s="83">
        <f t="shared" si="19"/>
        <v>0.45698629816007319</v>
      </c>
      <c r="S460" s="22"/>
      <c r="T460" s="22"/>
    </row>
    <row r="461" spans="2:20" ht="16.2" x14ac:dyDescent="0.45">
      <c r="B461" s="80">
        <v>40299</v>
      </c>
      <c r="C461" s="81">
        <v>2.1728999999999998</v>
      </c>
      <c r="D461" s="81">
        <v>71.150000000000006</v>
      </c>
      <c r="E461" s="24">
        <f t="shared" si="20"/>
        <v>4.2647903245358618</v>
      </c>
      <c r="F461" s="81">
        <v>101.9602519213954</v>
      </c>
      <c r="G461" s="24">
        <f t="shared" si="21"/>
        <v>4.6245830502913998</v>
      </c>
      <c r="H461" s="84">
        <f>Table1[[#This Row],[Log(Inflation-adjusted)]]-G460</f>
        <v>-0.1170913326785179</v>
      </c>
      <c r="I461" s="83">
        <f t="shared" si="19"/>
        <v>0.20594488723861204</v>
      </c>
      <c r="S461" s="22"/>
      <c r="T461" s="22"/>
    </row>
    <row r="462" spans="2:20" ht="16.2" x14ac:dyDescent="0.45">
      <c r="B462" s="80">
        <v>40330</v>
      </c>
      <c r="C462" s="81">
        <v>2.1719900000000001</v>
      </c>
      <c r="D462" s="81">
        <v>71.91</v>
      </c>
      <c r="E462" s="24">
        <f t="shared" si="20"/>
        <v>4.2754153371144028</v>
      </c>
      <c r="F462" s="81">
        <v>103.09253116266649</v>
      </c>
      <c r="G462" s="24">
        <f t="shared" si="21"/>
        <v>4.6356269457476689</v>
      </c>
      <c r="H462" s="84">
        <f>Table1[[#This Row],[Log(Inflation-adjusted)]]-G461</f>
        <v>1.1043895456269048E-2</v>
      </c>
      <c r="I462" s="83">
        <f t="shared" si="19"/>
        <v>6.9017012575124603E-2</v>
      </c>
      <c r="S462" s="22"/>
      <c r="T462" s="22"/>
    </row>
    <row r="463" spans="2:20" ht="16.2" x14ac:dyDescent="0.45">
      <c r="B463" s="80">
        <v>40360</v>
      </c>
      <c r="C463" s="81">
        <v>2.17605</v>
      </c>
      <c r="D463" s="81">
        <v>73.27</v>
      </c>
      <c r="E463" s="24">
        <f t="shared" si="20"/>
        <v>4.2941512481718727</v>
      </c>
      <c r="F463" s="81">
        <v>104.8462874106753</v>
      </c>
      <c r="G463" s="24">
        <f t="shared" si="21"/>
        <v>4.6524953481437805</v>
      </c>
      <c r="H463" s="84">
        <f>Table1[[#This Row],[Log(Inflation-adjusted)]]-G462</f>
        <v>1.6868402396111648E-2</v>
      </c>
      <c r="I463" s="83">
        <f t="shared" si="19"/>
        <v>0.13042276611886372</v>
      </c>
      <c r="S463" s="22"/>
      <c r="T463" s="22"/>
    </row>
    <row r="464" spans="2:20" ht="16.2" x14ac:dyDescent="0.45">
      <c r="B464" s="80">
        <v>40391</v>
      </c>
      <c r="C464" s="81">
        <v>2.17923</v>
      </c>
      <c r="D464" s="81">
        <v>73.52</v>
      </c>
      <c r="E464" s="24">
        <f t="shared" si="20"/>
        <v>4.2975574780474313</v>
      </c>
      <c r="F464" s="81">
        <v>105.0505099140522</v>
      </c>
      <c r="G464" s="24">
        <f t="shared" si="21"/>
        <v>4.654441281292101</v>
      </c>
      <c r="H464" s="84">
        <f>Table1[[#This Row],[Log(Inflation-adjusted)]]-G463</f>
        <v>1.9459331483204778E-3</v>
      </c>
      <c r="I464" s="83">
        <f t="shared" si="19"/>
        <v>6.5290985718238659E-2</v>
      </c>
      <c r="S464" s="22"/>
      <c r="T464" s="22"/>
    </row>
    <row r="465" spans="2:20" ht="16.2" x14ac:dyDescent="0.45">
      <c r="B465" s="80">
        <v>40422</v>
      </c>
      <c r="C465" s="81">
        <v>2.18275</v>
      </c>
      <c r="D465" s="81">
        <v>73.150000000000006</v>
      </c>
      <c r="E465" s="24">
        <f t="shared" si="20"/>
        <v>4.2925121274661331</v>
      </c>
      <c r="F465" s="81">
        <v>104.35327151529036</v>
      </c>
      <c r="G465" s="24">
        <f t="shared" si="21"/>
        <v>4.6477819844001447</v>
      </c>
      <c r="H465" s="84">
        <f>Table1[[#This Row],[Log(Inflation-adjusted)]]-G464</f>
        <v>-6.6592968919563233E-3</v>
      </c>
      <c r="I465" s="83">
        <f t="shared" si="19"/>
        <v>6.7043719171196337E-2</v>
      </c>
      <c r="S465" s="22"/>
      <c r="T465" s="22"/>
    </row>
    <row r="466" spans="2:20" ht="16.2" x14ac:dyDescent="0.45">
      <c r="B466" s="80">
        <v>40452</v>
      </c>
      <c r="C466" s="81">
        <v>2.19035</v>
      </c>
      <c r="D466" s="81">
        <v>76.900000000000006</v>
      </c>
      <c r="E466" s="24">
        <f t="shared" si="20"/>
        <v>4.3425058765115985</v>
      </c>
      <c r="F466" s="81">
        <v>109.32224913826558</v>
      </c>
      <c r="G466" s="24">
        <f t="shared" si="21"/>
        <v>4.6942999347438148</v>
      </c>
      <c r="H466" s="84">
        <f>Table1[[#This Row],[Log(Inflation-adjusted)]]-G465</f>
        <v>4.6517950343670122E-2</v>
      </c>
      <c r="I466" s="83">
        <f t="shared" si="19"/>
        <v>5.3407353810301927E-2</v>
      </c>
      <c r="S466" s="22"/>
      <c r="T466" s="22"/>
    </row>
    <row r="467" spans="2:20" ht="16.2" x14ac:dyDescent="0.45">
      <c r="B467" s="80">
        <v>40483</v>
      </c>
      <c r="C467" s="81">
        <v>2.1959</v>
      </c>
      <c r="D467" s="81">
        <v>79.92</v>
      </c>
      <c r="E467" s="24">
        <f t="shared" si="20"/>
        <v>4.3810261343402983</v>
      </c>
      <c r="F467" s="81">
        <v>113.32837247597797</v>
      </c>
      <c r="G467" s="24">
        <f t="shared" si="21"/>
        <v>4.7302895557132807</v>
      </c>
      <c r="H467" s="84">
        <f>Table1[[#This Row],[Log(Inflation-adjusted)]]-G466</f>
        <v>3.5989620969465896E-2</v>
      </c>
      <c r="I467" s="83">
        <f t="shared" si="19"/>
        <v>6.0783134805599381E-2</v>
      </c>
      <c r="S467" s="22"/>
      <c r="T467" s="22"/>
    </row>
    <row r="468" spans="2:20" ht="16.2" x14ac:dyDescent="0.45">
      <c r="B468" s="80">
        <v>40513</v>
      </c>
      <c r="C468" s="81">
        <v>2.20472</v>
      </c>
      <c r="D468" s="81">
        <v>85.59</v>
      </c>
      <c r="E468" s="24">
        <f t="shared" si="20"/>
        <v>4.4495684538935185</v>
      </c>
      <c r="F468" s="81">
        <v>120.88302516419319</v>
      </c>
      <c r="G468" s="24">
        <f t="shared" si="21"/>
        <v>4.7948233438276517</v>
      </c>
      <c r="H468" s="84">
        <f>Table1[[#This Row],[Log(Inflation-adjusted)]]-G467</f>
        <v>6.4533788114371049E-2</v>
      </c>
      <c r="I468" s="83">
        <f t="shared" si="19"/>
        <v>0.14936426128527014</v>
      </c>
      <c r="S468" s="22"/>
      <c r="T468" s="22"/>
    </row>
    <row r="469" spans="2:20" ht="16.2" x14ac:dyDescent="0.45">
      <c r="B469" s="80">
        <v>40544</v>
      </c>
      <c r="C469" s="81">
        <v>2.2118699999999998</v>
      </c>
      <c r="D469" s="81">
        <v>87.61</v>
      </c>
      <c r="E469" s="24">
        <f t="shared" si="20"/>
        <v>4.4728951466782725</v>
      </c>
      <c r="F469" s="81">
        <v>123.33598808248225</v>
      </c>
      <c r="G469" s="24">
        <f t="shared" si="21"/>
        <v>4.8149122417316006</v>
      </c>
      <c r="H469" s="84">
        <f>Table1[[#This Row],[Log(Inflation-adjusted)]]-G468</f>
        <v>2.0088897903948855E-2</v>
      </c>
      <c r="I469" s="83">
        <f t="shared" si="19"/>
        <v>0.13760931410869937</v>
      </c>
      <c r="S469" s="22"/>
      <c r="T469" s="22"/>
    </row>
    <row r="470" spans="2:20" ht="16.2" x14ac:dyDescent="0.45">
      <c r="B470" s="80">
        <v>40575</v>
      </c>
      <c r="C470" s="81">
        <v>2.2189800000000002</v>
      </c>
      <c r="D470" s="81">
        <v>91.42</v>
      </c>
      <c r="E470" s="24">
        <f t="shared" si="20"/>
        <v>4.5154642729035981</v>
      </c>
      <c r="F470" s="81">
        <v>128.28727033141354</v>
      </c>
      <c r="G470" s="24">
        <f t="shared" si="21"/>
        <v>4.8542720487055009</v>
      </c>
      <c r="H470" s="84">
        <f>Table1[[#This Row],[Log(Inflation-adjusted)]]-G469</f>
        <v>3.9359806973900291E-2</v>
      </c>
      <c r="I470" s="83">
        <f t="shared" si="19"/>
        <v>0.19402813078920556</v>
      </c>
      <c r="S470" s="22"/>
      <c r="T470" s="22"/>
    </row>
    <row r="471" spans="2:20" ht="16.2" x14ac:dyDescent="0.45">
      <c r="B471" s="80">
        <v>40603</v>
      </c>
      <c r="C471" s="81">
        <v>2.2304599999999999</v>
      </c>
      <c r="D471" s="81">
        <v>102.43</v>
      </c>
      <c r="E471" s="24">
        <f t="shared" si="20"/>
        <v>4.6291796384484432</v>
      </c>
      <c r="F471" s="81">
        <v>142.99750790419915</v>
      </c>
      <c r="G471" s="24">
        <f t="shared" si="21"/>
        <v>4.9628272028646885</v>
      </c>
      <c r="H471" s="84">
        <f>Table1[[#This Row],[Log(Inflation-adjusted)]]-G470</f>
        <v>0.10855515415918759</v>
      </c>
      <c r="I471" s="83">
        <f t="shared" si="19"/>
        <v>0.26251043135604224</v>
      </c>
      <c r="S471" s="22"/>
      <c r="T471" s="22"/>
    </row>
    <row r="472" spans="2:20" ht="16.2" x14ac:dyDescent="0.45">
      <c r="B472" s="80">
        <v>40634</v>
      </c>
      <c r="C472" s="81">
        <v>2.2409300000000001</v>
      </c>
      <c r="D472" s="81">
        <v>113.02</v>
      </c>
      <c r="E472" s="24">
        <f t="shared" si="20"/>
        <v>4.7275647942016974</v>
      </c>
      <c r="F472" s="81">
        <v>157.04450595065441</v>
      </c>
      <c r="G472" s="24">
        <f t="shared" si="21"/>
        <v>5.056529242568887</v>
      </c>
      <c r="H472" s="84">
        <f>Table1[[#This Row],[Log(Inflation-adjusted)]]-G471</f>
        <v>9.3702039704198548E-2</v>
      </c>
      <c r="I472" s="83">
        <f t="shared" si="19"/>
        <v>0.31485485959896931</v>
      </c>
      <c r="S472" s="22"/>
      <c r="T472" s="22"/>
    </row>
    <row r="473" spans="2:20" ht="16.2" x14ac:dyDescent="0.45">
      <c r="B473" s="80">
        <v>40664</v>
      </c>
      <c r="C473" s="81">
        <v>2.2480600000000002</v>
      </c>
      <c r="D473" s="81">
        <v>107.98</v>
      </c>
      <c r="E473" s="24">
        <f t="shared" si="20"/>
        <v>4.6819460247901405</v>
      </c>
      <c r="F473" s="81">
        <v>149.56540807629688</v>
      </c>
      <c r="G473" s="24">
        <f t="shared" si="21"/>
        <v>5.0077338093662105</v>
      </c>
      <c r="H473" s="84">
        <f>Table1[[#This Row],[Log(Inflation-adjusted)]]-G472</f>
        <v>-4.8795433202676541E-2</v>
      </c>
      <c r="I473" s="83">
        <f t="shared" ref="I473:I536" si="22">G473-G461</f>
        <v>0.38315075907481067</v>
      </c>
      <c r="S473" s="22"/>
      <c r="T473" s="22"/>
    </row>
    <row r="474" spans="2:20" ht="16.2" x14ac:dyDescent="0.45">
      <c r="B474" s="80">
        <v>40695</v>
      </c>
      <c r="C474" s="81">
        <v>2.2480600000000002</v>
      </c>
      <c r="D474" s="81">
        <v>105.38</v>
      </c>
      <c r="E474" s="24">
        <f t="shared" ref="E474:E537" si="23">LN(D474)</f>
        <v>4.6575728647811401</v>
      </c>
      <c r="F474" s="81">
        <v>145.96409245304841</v>
      </c>
      <c r="G474" s="24">
        <f t="shared" ref="G474:G537" si="24">LN(F474)</f>
        <v>4.98336064935721</v>
      </c>
      <c r="H474" s="84">
        <f>Table1[[#This Row],[Log(Inflation-adjusted)]]-G473</f>
        <v>-2.4373160009000472E-2</v>
      </c>
      <c r="I474" s="83">
        <f t="shared" si="22"/>
        <v>0.34773370360954114</v>
      </c>
      <c r="S474" s="22"/>
      <c r="T474" s="22"/>
    </row>
    <row r="475" spans="2:20" ht="16.2" x14ac:dyDescent="0.45">
      <c r="B475" s="80">
        <v>40725</v>
      </c>
      <c r="C475" s="81">
        <v>2.2539500000000001</v>
      </c>
      <c r="D475" s="81">
        <v>105.94</v>
      </c>
      <c r="E475" s="24">
        <f t="shared" si="23"/>
        <v>4.6628728961163803</v>
      </c>
      <c r="F475" s="81">
        <v>146.35630153286453</v>
      </c>
      <c r="G475" s="24">
        <f t="shared" si="24"/>
        <v>4.9860440701737874</v>
      </c>
      <c r="H475" s="84">
        <f>Table1[[#This Row],[Log(Inflation-adjusted)]]-G474</f>
        <v>2.6834208165773532E-3</v>
      </c>
      <c r="I475" s="83">
        <f t="shared" si="22"/>
        <v>0.33354872203000685</v>
      </c>
      <c r="S475" s="22"/>
      <c r="T475" s="22"/>
    </row>
    <row r="476" spans="2:20" ht="16.2" x14ac:dyDescent="0.45">
      <c r="B476" s="80">
        <v>40756</v>
      </c>
      <c r="C476" s="81">
        <v>2.2610600000000001</v>
      </c>
      <c r="D476" s="81">
        <v>99</v>
      </c>
      <c r="E476" s="24">
        <f t="shared" si="23"/>
        <v>4.5951198501345898</v>
      </c>
      <c r="F476" s="81">
        <v>136.33860401758469</v>
      </c>
      <c r="G476" s="24">
        <f t="shared" si="24"/>
        <v>4.9151415269030849</v>
      </c>
      <c r="H476" s="84">
        <f>Table1[[#This Row],[Log(Inflation-adjusted)]]-G475</f>
        <v>-7.0902543270702445E-2</v>
      </c>
      <c r="I476" s="83">
        <f t="shared" si="22"/>
        <v>0.26070024561098393</v>
      </c>
      <c r="S476" s="22"/>
      <c r="T476" s="22"/>
    </row>
    <row r="477" spans="2:20" ht="16.2" x14ac:dyDescent="0.45">
      <c r="B477" s="80">
        <v>40787</v>
      </c>
      <c r="C477" s="81">
        <v>2.2659699999999998</v>
      </c>
      <c r="D477" s="81">
        <v>101.05</v>
      </c>
      <c r="E477" s="24">
        <f t="shared" si="23"/>
        <v>4.61561544384963</v>
      </c>
      <c r="F477" s="81">
        <v>138.86023548414147</v>
      </c>
      <c r="G477" s="24">
        <f t="shared" si="24"/>
        <v>4.9334679271622424</v>
      </c>
      <c r="H477" s="84">
        <f>Table1[[#This Row],[Log(Inflation-adjusted)]]-G476</f>
        <v>1.8326400259157438E-2</v>
      </c>
      <c r="I477" s="83">
        <f t="shared" si="22"/>
        <v>0.28568594276209769</v>
      </c>
      <c r="S477" s="22"/>
      <c r="T477" s="22"/>
    </row>
    <row r="478" spans="2:20" ht="16.2" x14ac:dyDescent="0.45">
      <c r="B478" s="80">
        <v>40817</v>
      </c>
      <c r="C478" s="81">
        <v>2.2675000000000001</v>
      </c>
      <c r="D478" s="81">
        <v>101.99</v>
      </c>
      <c r="E478" s="24">
        <f t="shared" si="23"/>
        <v>4.6248747692624264</v>
      </c>
      <c r="F478" s="81">
        <v>140.057390800441</v>
      </c>
      <c r="G478" s="24">
        <f t="shared" si="24"/>
        <v>4.9420522728980636</v>
      </c>
      <c r="H478" s="84">
        <f>Table1[[#This Row],[Log(Inflation-adjusted)]]-G477</f>
        <v>8.5843457358212305E-3</v>
      </c>
      <c r="I478" s="83">
        <f t="shared" si="22"/>
        <v>0.2477523381542488</v>
      </c>
      <c r="S478" s="22"/>
      <c r="T478" s="22"/>
    </row>
    <row r="479" spans="2:20" ht="16.2" x14ac:dyDescent="0.45">
      <c r="B479" s="80">
        <v>40848</v>
      </c>
      <c r="C479" s="81">
        <v>2.27169</v>
      </c>
      <c r="D479" s="81">
        <v>107.67</v>
      </c>
      <c r="E479" s="24">
        <f t="shared" si="23"/>
        <v>4.6790709938276258</v>
      </c>
      <c r="F479" s="81">
        <v>147.58471539690714</v>
      </c>
      <c r="G479" s="24">
        <f t="shared" si="24"/>
        <v>4.9944023525827674</v>
      </c>
      <c r="H479" s="84">
        <f>Table1[[#This Row],[Log(Inflation-adjusted)]]-G478</f>
        <v>5.2350079684703843E-2</v>
      </c>
      <c r="I479" s="83">
        <f t="shared" si="22"/>
        <v>0.26411279686948674</v>
      </c>
      <c r="S479" s="22"/>
      <c r="T479" s="22"/>
    </row>
    <row r="480" spans="2:20" ht="16.2" x14ac:dyDescent="0.45">
      <c r="B480" s="80">
        <v>40878</v>
      </c>
      <c r="C480" s="81">
        <v>2.27223</v>
      </c>
      <c r="D480" s="81">
        <v>106.52</v>
      </c>
      <c r="E480" s="24">
        <f t="shared" si="23"/>
        <v>4.6683327609457317</v>
      </c>
      <c r="F480" s="81">
        <v>145.97369576143259</v>
      </c>
      <c r="G480" s="24">
        <f t="shared" si="24"/>
        <v>4.9834264394589045</v>
      </c>
      <c r="H480" s="84">
        <f>Table1[[#This Row],[Log(Inflation-adjusted)]]-G479</f>
        <v>-1.0975913123862924E-2</v>
      </c>
      <c r="I480" s="83">
        <f t="shared" si="22"/>
        <v>0.18860309563125277</v>
      </c>
      <c r="S480" s="22"/>
      <c r="T480" s="22"/>
    </row>
    <row r="481" spans="2:20" ht="16.2" x14ac:dyDescent="0.45">
      <c r="B481" s="80">
        <v>40909</v>
      </c>
      <c r="C481" s="81">
        <v>2.2784200000000001</v>
      </c>
      <c r="D481" s="81">
        <v>105.25</v>
      </c>
      <c r="E481" s="24">
        <f t="shared" si="23"/>
        <v>4.6563384725624912</v>
      </c>
      <c r="F481" s="81">
        <v>143.84145109330149</v>
      </c>
      <c r="G481" s="24">
        <f t="shared" si="24"/>
        <v>4.9687116589184024</v>
      </c>
      <c r="H481" s="84">
        <f>Table1[[#This Row],[Log(Inflation-adjusted)]]-G480</f>
        <v>-1.4714780540502126E-2</v>
      </c>
      <c r="I481" s="83">
        <f t="shared" si="22"/>
        <v>0.15379941718680179</v>
      </c>
      <c r="S481" s="22"/>
      <c r="T481" s="22"/>
    </row>
    <row r="482" spans="2:20" ht="16.2" x14ac:dyDescent="0.45">
      <c r="B482" s="80">
        <v>40940</v>
      </c>
      <c r="C482" s="81">
        <v>2.28329</v>
      </c>
      <c r="D482" s="81">
        <v>108.08</v>
      </c>
      <c r="E482" s="24">
        <f t="shared" si="23"/>
        <v>4.6828716936519434</v>
      </c>
      <c r="F482" s="81">
        <v>147.39406509028638</v>
      </c>
      <c r="G482" s="24">
        <f t="shared" si="24"/>
        <v>4.9931097149709869</v>
      </c>
      <c r="H482" s="84">
        <f>Table1[[#This Row],[Log(Inflation-adjusted)]]-G481</f>
        <v>2.4398056052584494E-2</v>
      </c>
      <c r="I482" s="83">
        <f t="shared" si="22"/>
        <v>0.13883766626548599</v>
      </c>
      <c r="S482" s="22"/>
      <c r="T482" s="22"/>
    </row>
    <row r="483" spans="2:20" ht="16.2" x14ac:dyDescent="0.45">
      <c r="B483" s="80">
        <v>40969</v>
      </c>
      <c r="C483" s="81">
        <v>2.2880699999999998</v>
      </c>
      <c r="D483" s="81">
        <v>111</v>
      </c>
      <c r="E483" s="24">
        <f t="shared" si="23"/>
        <v>4.7095302013123339</v>
      </c>
      <c r="F483" s="81">
        <v>151.05997456371529</v>
      </c>
      <c r="G483" s="24">
        <f t="shared" si="24"/>
        <v>5.017676940499979</v>
      </c>
      <c r="H483" s="84">
        <f>Table1[[#This Row],[Log(Inflation-adjusted)]]-G482</f>
        <v>2.4567225528992154E-2</v>
      </c>
      <c r="I483" s="83">
        <f t="shared" si="22"/>
        <v>5.4849737635290552E-2</v>
      </c>
      <c r="S483" s="22"/>
      <c r="T483" s="22"/>
    </row>
    <row r="484" spans="2:20" ht="16.2" x14ac:dyDescent="0.45">
      <c r="B484" s="80">
        <v>41000</v>
      </c>
      <c r="C484" s="81">
        <v>2.2918699999999999</v>
      </c>
      <c r="D484" s="81">
        <v>108.54</v>
      </c>
      <c r="E484" s="24">
        <f t="shared" si="23"/>
        <v>4.6871187686352584</v>
      </c>
      <c r="F484" s="81">
        <v>147.46724702535488</v>
      </c>
      <c r="G484" s="24">
        <f t="shared" si="24"/>
        <v>4.9936060970568299</v>
      </c>
      <c r="H484" s="84">
        <f>Table1[[#This Row],[Log(Inflation-adjusted)]]-G483</f>
        <v>-2.4070843443149137E-2</v>
      </c>
      <c r="I484" s="83">
        <f t="shared" si="22"/>
        <v>-6.2923145512057133E-2</v>
      </c>
      <c r="S484" s="22"/>
      <c r="T484" s="22"/>
    </row>
    <row r="485" spans="2:20" ht="16.2" x14ac:dyDescent="0.45">
      <c r="B485" s="80">
        <v>41030</v>
      </c>
      <c r="C485" s="81">
        <v>2.2871299999999999</v>
      </c>
      <c r="D485" s="81">
        <v>103.26</v>
      </c>
      <c r="E485" s="24">
        <f t="shared" si="23"/>
        <v>4.637250079451503</v>
      </c>
      <c r="F485" s="81">
        <v>140.58435915754683</v>
      </c>
      <c r="G485" s="24">
        <f t="shared" si="24"/>
        <v>4.9458077296433567</v>
      </c>
      <c r="H485" s="84">
        <f>Table1[[#This Row],[Log(Inflation-adjusted)]]-G484</f>
        <v>-4.7798367413473208E-2</v>
      </c>
      <c r="I485" s="83">
        <f t="shared" si="22"/>
        <v>-6.19260797228538E-2</v>
      </c>
      <c r="S485" s="22"/>
      <c r="T485" s="22"/>
    </row>
    <row r="486" spans="2:20" ht="16.2" x14ac:dyDescent="0.45">
      <c r="B486" s="80">
        <v>41061</v>
      </c>
      <c r="C486" s="81">
        <v>2.2852399999999999</v>
      </c>
      <c r="D486" s="81">
        <v>92.18</v>
      </c>
      <c r="E486" s="24">
        <f t="shared" si="23"/>
        <v>4.5237431872923626</v>
      </c>
      <c r="F486" s="81">
        <v>125.60317624407065</v>
      </c>
      <c r="G486" s="24">
        <f t="shared" si="24"/>
        <v>4.8331275422817894</v>
      </c>
      <c r="H486" s="84">
        <f>Table1[[#This Row],[Log(Inflation-adjusted)]]-G485</f>
        <v>-0.11268018736156726</v>
      </c>
      <c r="I486" s="83">
        <f t="shared" si="22"/>
        <v>-0.15023310707542059</v>
      </c>
      <c r="S486" s="22"/>
      <c r="T486" s="22"/>
    </row>
    <row r="487" spans="2:20" ht="16.2" x14ac:dyDescent="0.45">
      <c r="B487" s="80">
        <v>41091</v>
      </c>
      <c r="C487" s="81">
        <v>2.2858999999999998</v>
      </c>
      <c r="D487" s="81">
        <v>92.99</v>
      </c>
      <c r="E487" s="24">
        <f t="shared" si="23"/>
        <v>4.5324919604901055</v>
      </c>
      <c r="F487" s="81">
        <v>126.6702872566604</v>
      </c>
      <c r="G487" s="24">
        <f t="shared" si="24"/>
        <v>4.8415875472490324</v>
      </c>
      <c r="H487" s="84">
        <f>Table1[[#This Row],[Log(Inflation-adjusted)]]-G486</f>
        <v>8.4600049672429734E-3</v>
      </c>
      <c r="I487" s="83">
        <f t="shared" si="22"/>
        <v>-0.14445652292475497</v>
      </c>
      <c r="S487" s="22"/>
      <c r="T487" s="22"/>
    </row>
    <row r="488" spans="2:20" ht="16.2" x14ac:dyDescent="0.45">
      <c r="B488" s="80">
        <v>41122</v>
      </c>
      <c r="C488" s="81">
        <v>2.2991799999999998</v>
      </c>
      <c r="D488" s="81">
        <v>97.04</v>
      </c>
      <c r="E488" s="24">
        <f t="shared" si="23"/>
        <v>4.5751232646357947</v>
      </c>
      <c r="F488" s="81">
        <v>131.42365775624356</v>
      </c>
      <c r="G488" s="24">
        <f t="shared" si="24"/>
        <v>4.8784261336515975</v>
      </c>
      <c r="H488" s="84">
        <f>Table1[[#This Row],[Log(Inflation-adjusted)]]-G487</f>
        <v>3.6838586402565099E-2</v>
      </c>
      <c r="I488" s="83">
        <f t="shared" si="22"/>
        <v>-3.6715393251487427E-2</v>
      </c>
      <c r="S488" s="22"/>
      <c r="T488" s="22"/>
    </row>
    <row r="489" spans="2:20" ht="16.2" x14ac:dyDescent="0.45">
      <c r="B489" s="80">
        <v>41153</v>
      </c>
      <c r="C489" s="81">
        <v>2.3101500000000001</v>
      </c>
      <c r="D489" s="81">
        <v>101.82</v>
      </c>
      <c r="E489" s="24">
        <f t="shared" si="23"/>
        <v>4.6232065484741902</v>
      </c>
      <c r="F489" s="81">
        <v>137.24250872021295</v>
      </c>
      <c r="G489" s="24">
        <f t="shared" si="24"/>
        <v>4.9217494976265339</v>
      </c>
      <c r="H489" s="84">
        <f>Table1[[#This Row],[Log(Inflation-adjusted)]]-G488</f>
        <v>4.3323363974936413E-2</v>
      </c>
      <c r="I489" s="83">
        <f t="shared" si="22"/>
        <v>-1.1718429535708452E-2</v>
      </c>
      <c r="S489" s="22"/>
      <c r="T489" s="22"/>
    </row>
    <row r="490" spans="2:20" ht="16.2" x14ac:dyDescent="0.45">
      <c r="B490" s="80">
        <v>41183</v>
      </c>
      <c r="C490" s="81">
        <v>2.3163800000000001</v>
      </c>
      <c r="D490" s="81">
        <v>100.92</v>
      </c>
      <c r="E490" s="24">
        <f t="shared" si="23"/>
        <v>4.6143281237728573</v>
      </c>
      <c r="F490" s="81">
        <v>135.66354791528158</v>
      </c>
      <c r="G490" s="24">
        <f t="shared" si="24"/>
        <v>4.9101779081708017</v>
      </c>
      <c r="H490" s="84">
        <f>Table1[[#This Row],[Log(Inflation-adjusted)]]-G489</f>
        <v>-1.1571589455732223E-2</v>
      </c>
      <c r="I490" s="83">
        <f t="shared" si="22"/>
        <v>-3.1874364727261906E-2</v>
      </c>
      <c r="S490" s="22"/>
      <c r="T490" s="22"/>
    </row>
    <row r="491" spans="2:20" ht="16.2" x14ac:dyDescent="0.45">
      <c r="B491" s="80">
        <v>41214</v>
      </c>
      <c r="C491" s="81">
        <v>2.3124899999999999</v>
      </c>
      <c r="D491" s="81">
        <v>98.07</v>
      </c>
      <c r="E491" s="24">
        <f t="shared" si="23"/>
        <v>4.5856815094042291</v>
      </c>
      <c r="F491" s="81">
        <v>132.05414791847747</v>
      </c>
      <c r="G491" s="24">
        <f t="shared" si="24"/>
        <v>4.883212049976251</v>
      </c>
      <c r="H491" s="84">
        <f>Table1[[#This Row],[Log(Inflation-adjusted)]]-G490</f>
        <v>-2.6965858194550663E-2</v>
      </c>
      <c r="I491" s="83">
        <f t="shared" si="22"/>
        <v>-0.11119030260651641</v>
      </c>
      <c r="S491" s="22"/>
      <c r="T491" s="22"/>
    </row>
    <row r="492" spans="2:20" ht="16.2" x14ac:dyDescent="0.45">
      <c r="B492" s="80">
        <v>41244</v>
      </c>
      <c r="C492" s="81">
        <v>2.3122099999999999</v>
      </c>
      <c r="D492" s="81">
        <v>93.7</v>
      </c>
      <c r="E492" s="24">
        <f t="shared" si="23"/>
        <v>4.5400981892443761</v>
      </c>
      <c r="F492" s="81">
        <v>126.18509270351741</v>
      </c>
      <c r="G492" s="24">
        <f t="shared" si="24"/>
        <v>4.8377498187520453</v>
      </c>
      <c r="H492" s="84">
        <f>Table1[[#This Row],[Log(Inflation-adjusted)]]-G491</f>
        <v>-4.5462231224205674E-2</v>
      </c>
      <c r="I492" s="83">
        <f t="shared" si="22"/>
        <v>-0.14567662070685916</v>
      </c>
      <c r="S492" s="22"/>
      <c r="T492" s="22"/>
    </row>
    <row r="493" spans="2:20" ht="16.2" x14ac:dyDescent="0.45">
      <c r="B493" s="80">
        <v>41275</v>
      </c>
      <c r="C493" s="81">
        <v>2.3167900000000001</v>
      </c>
      <c r="D493" s="81">
        <v>97.91</v>
      </c>
      <c r="E493" s="24">
        <f t="shared" si="23"/>
        <v>4.5840486893659795</v>
      </c>
      <c r="F493" s="81">
        <v>131.5940084168181</v>
      </c>
      <c r="G493" s="24">
        <f t="shared" si="24"/>
        <v>4.879721489107169</v>
      </c>
      <c r="H493" s="84">
        <f>Table1[[#This Row],[Log(Inflation-adjusted)]]-G492</f>
        <v>4.1971670355123614E-2</v>
      </c>
      <c r="I493" s="83">
        <f t="shared" si="22"/>
        <v>-8.8990169811233422E-2</v>
      </c>
      <c r="S493" s="22"/>
      <c r="T493" s="22"/>
    </row>
    <row r="494" spans="2:20" ht="16.2" x14ac:dyDescent="0.45">
      <c r="B494" s="80">
        <v>41306</v>
      </c>
      <c r="C494" s="81">
        <v>2.3293699999999999</v>
      </c>
      <c r="D494" s="81">
        <v>99.23</v>
      </c>
      <c r="E494" s="24">
        <f t="shared" si="23"/>
        <v>4.5974403879261505</v>
      </c>
      <c r="F494" s="81">
        <v>132.64786027123213</v>
      </c>
      <c r="G494" s="24">
        <f t="shared" si="24"/>
        <v>4.8876979498183841</v>
      </c>
      <c r="H494" s="84">
        <f>Table1[[#This Row],[Log(Inflation-adjusted)]]-G493</f>
        <v>7.9764607112151609E-3</v>
      </c>
      <c r="I494" s="83">
        <f t="shared" si="22"/>
        <v>-0.10541176515260275</v>
      </c>
      <c r="S494" s="22"/>
      <c r="T494" s="22"/>
    </row>
    <row r="495" spans="2:20" ht="16.2" x14ac:dyDescent="0.45">
      <c r="B495" s="80">
        <v>41334</v>
      </c>
      <c r="C495" s="81">
        <v>2.3228200000000001</v>
      </c>
      <c r="D495" s="81">
        <v>99.11</v>
      </c>
      <c r="E495" s="24">
        <f t="shared" si="23"/>
        <v>4.5962303444186174</v>
      </c>
      <c r="F495" s="81">
        <v>132.86104216426585</v>
      </c>
      <c r="G495" s="24">
        <f t="shared" si="24"/>
        <v>4.8893037862848026</v>
      </c>
      <c r="H495" s="84">
        <f>Table1[[#This Row],[Log(Inflation-adjusted)]]-G494</f>
        <v>1.605836466418431E-3</v>
      </c>
      <c r="I495" s="83">
        <f t="shared" si="22"/>
        <v>-0.12837315421517648</v>
      </c>
      <c r="S495" s="22"/>
      <c r="T495" s="22"/>
    </row>
    <row r="496" spans="2:20" ht="16.2" x14ac:dyDescent="0.45">
      <c r="B496" s="80">
        <v>41365</v>
      </c>
      <c r="C496" s="81">
        <v>2.3179699999999999</v>
      </c>
      <c r="D496" s="81">
        <v>96.45</v>
      </c>
      <c r="E496" s="24">
        <f t="shared" si="23"/>
        <v>4.5690247393517378</v>
      </c>
      <c r="F496" s="81">
        <v>129.56573303364584</v>
      </c>
      <c r="G496" s="24">
        <f t="shared" si="24"/>
        <v>4.8641883433522652</v>
      </c>
      <c r="H496" s="84">
        <f>Table1[[#This Row],[Log(Inflation-adjusted)]]-G495</f>
        <v>-2.5115442932537313E-2</v>
      </c>
      <c r="I496" s="83">
        <f t="shared" si="22"/>
        <v>-0.12941775370456465</v>
      </c>
      <c r="S496" s="22"/>
      <c r="T496" s="22"/>
    </row>
    <row r="497" spans="2:20" ht="16.2" x14ac:dyDescent="0.45">
      <c r="B497" s="80">
        <v>41395</v>
      </c>
      <c r="C497" s="81">
        <v>2.3189299999999999</v>
      </c>
      <c r="D497" s="81">
        <v>98.5</v>
      </c>
      <c r="E497" s="24">
        <f t="shared" si="23"/>
        <v>4.5900565481780431</v>
      </c>
      <c r="F497" s="81">
        <v>132.26481437559565</v>
      </c>
      <c r="G497" s="24">
        <f t="shared" si="24"/>
        <v>4.8848060824277812</v>
      </c>
      <c r="H497" s="84">
        <f>Table1[[#This Row],[Log(Inflation-adjusted)]]-G496</f>
        <v>2.0617739075516006E-2</v>
      </c>
      <c r="I497" s="83">
        <f t="shared" si="22"/>
        <v>-6.1001647215575439E-2</v>
      </c>
      <c r="S497" s="22"/>
      <c r="T497" s="22"/>
    </row>
    <row r="498" spans="2:20" ht="16.2" x14ac:dyDescent="0.45">
      <c r="B498" s="80">
        <v>41426</v>
      </c>
      <c r="C498" s="81">
        <v>2.3244500000000001</v>
      </c>
      <c r="D498" s="81">
        <v>97.17</v>
      </c>
      <c r="E498" s="24">
        <f t="shared" si="23"/>
        <v>4.5764620218513477</v>
      </c>
      <c r="F498" s="81">
        <v>130.1690482135559</v>
      </c>
      <c r="G498" s="24">
        <f t="shared" si="24"/>
        <v>4.8688339765791309</v>
      </c>
      <c r="H498" s="84">
        <f>Table1[[#This Row],[Log(Inflation-adjusted)]]-G497</f>
        <v>-1.5972105848650386E-2</v>
      </c>
      <c r="I498" s="83">
        <f t="shared" si="22"/>
        <v>3.5706434297341438E-2</v>
      </c>
      <c r="S498" s="22"/>
      <c r="T498" s="22"/>
    </row>
    <row r="499" spans="2:20" ht="16.2" x14ac:dyDescent="0.45">
      <c r="B499" s="80">
        <v>41456</v>
      </c>
      <c r="C499" s="81">
        <v>2.3290000000000002</v>
      </c>
      <c r="D499" s="81">
        <v>101.56</v>
      </c>
      <c r="E499" s="24">
        <f t="shared" si="23"/>
        <v>4.6206497568364773</v>
      </c>
      <c r="F499" s="81">
        <v>135.78410655216831</v>
      </c>
      <c r="G499" s="24">
        <f t="shared" si="24"/>
        <v>4.9110661725770655</v>
      </c>
      <c r="H499" s="84">
        <f>Table1[[#This Row],[Log(Inflation-adjusted)]]-G498</f>
        <v>4.2232195997934596E-2</v>
      </c>
      <c r="I499" s="83">
        <f t="shared" si="22"/>
        <v>6.9478625328033061E-2</v>
      </c>
      <c r="S499" s="22"/>
      <c r="T499" s="22"/>
    </row>
    <row r="500" spans="2:20" ht="16.2" x14ac:dyDescent="0.45">
      <c r="B500" s="80">
        <v>41487</v>
      </c>
      <c r="C500" s="81">
        <v>2.3345600000000002</v>
      </c>
      <c r="D500" s="81">
        <v>104.16</v>
      </c>
      <c r="E500" s="24">
        <f t="shared" si="23"/>
        <v>4.6459281784602595</v>
      </c>
      <c r="F500" s="81">
        <v>138.92860228908228</v>
      </c>
      <c r="G500" s="24">
        <f t="shared" si="24"/>
        <v>4.9339601485694748</v>
      </c>
      <c r="H500" s="84">
        <f>Table1[[#This Row],[Log(Inflation-adjusted)]]-G499</f>
        <v>2.2893975992409388E-2</v>
      </c>
      <c r="I500" s="83">
        <f t="shared" si="22"/>
        <v>5.553401491787735E-2</v>
      </c>
      <c r="S500" s="22"/>
      <c r="T500" s="22"/>
    </row>
    <row r="501" spans="2:20" ht="16.2" x14ac:dyDescent="0.45">
      <c r="B501" s="80">
        <v>41518</v>
      </c>
      <c r="C501" s="81">
        <v>2.3354400000000002</v>
      </c>
      <c r="D501" s="81">
        <v>103.49</v>
      </c>
      <c r="E501" s="24">
        <f t="shared" si="23"/>
        <v>4.6394749896800818</v>
      </c>
      <c r="F501" s="81">
        <v>137.98294438735311</v>
      </c>
      <c r="G501" s="24">
        <f t="shared" si="24"/>
        <v>4.9271300861231673</v>
      </c>
      <c r="H501" s="84">
        <f>Table1[[#This Row],[Log(Inflation-adjusted)]]-G500</f>
        <v>-6.8300624463075721E-3</v>
      </c>
      <c r="I501" s="83">
        <f t="shared" si="22"/>
        <v>5.380588496633365E-3</v>
      </c>
      <c r="S501" s="22"/>
      <c r="T501" s="22"/>
    </row>
    <row r="502" spans="2:20" ht="16.2" x14ac:dyDescent="0.45">
      <c r="B502" s="80">
        <v>41548</v>
      </c>
      <c r="C502" s="81">
        <v>2.3366899999999999</v>
      </c>
      <c r="D502" s="81">
        <v>97.84</v>
      </c>
      <c r="E502" s="24">
        <f t="shared" si="23"/>
        <v>4.5833334913789168</v>
      </c>
      <c r="F502" s="81">
        <v>130.38003082993467</v>
      </c>
      <c r="G502" s="24">
        <f t="shared" si="24"/>
        <v>4.8704534999585123</v>
      </c>
      <c r="H502" s="84">
        <f>Table1[[#This Row],[Log(Inflation-adjusted)]]-G501</f>
        <v>-5.6676586164654985E-2</v>
      </c>
      <c r="I502" s="83">
        <f t="shared" si="22"/>
        <v>-3.9724408212289397E-2</v>
      </c>
      <c r="S502" s="22"/>
      <c r="T502" s="22"/>
    </row>
    <row r="503" spans="2:20" ht="16.2" x14ac:dyDescent="0.45">
      <c r="B503" s="80">
        <v>41579</v>
      </c>
      <c r="C503" s="81">
        <v>2.3410000000000002</v>
      </c>
      <c r="D503" s="81">
        <v>90.36</v>
      </c>
      <c r="E503" s="24">
        <f t="shared" si="23"/>
        <v>4.5038016915998025</v>
      </c>
      <c r="F503" s="81">
        <v>120.19061126014523</v>
      </c>
      <c r="G503" s="24">
        <f t="shared" si="24"/>
        <v>4.7890789097338207</v>
      </c>
      <c r="H503" s="84">
        <f>Table1[[#This Row],[Log(Inflation-adjusted)]]-G502</f>
        <v>-8.1374590224691623E-2</v>
      </c>
      <c r="I503" s="83">
        <f t="shared" si="22"/>
        <v>-9.4133140242430358E-2</v>
      </c>
      <c r="S503" s="22"/>
      <c r="T503" s="22"/>
    </row>
    <row r="504" spans="2:20" ht="16.2" x14ac:dyDescent="0.45">
      <c r="B504" s="80">
        <v>41609</v>
      </c>
      <c r="C504" s="81">
        <v>2.3471899999999999</v>
      </c>
      <c r="D504" s="81">
        <v>90.57</v>
      </c>
      <c r="E504" s="24">
        <f t="shared" si="23"/>
        <v>4.5061230323868573</v>
      </c>
      <c r="F504" s="81">
        <v>120.15223587353387</v>
      </c>
      <c r="G504" s="24">
        <f t="shared" si="24"/>
        <v>4.7887595710275086</v>
      </c>
      <c r="H504" s="84">
        <f>Table1[[#This Row],[Log(Inflation-adjusted)]]-G503</f>
        <v>-3.1933870631206673E-4</v>
      </c>
      <c r="I504" s="83">
        <f t="shared" si="22"/>
        <v>-4.8990247724536751E-2</v>
      </c>
      <c r="S504" s="22"/>
      <c r="T504" s="22"/>
    </row>
    <row r="505" spans="2:20" ht="16.2" x14ac:dyDescent="0.45">
      <c r="B505" s="80">
        <v>41640</v>
      </c>
      <c r="C505" s="81">
        <v>2.3528799999999999</v>
      </c>
      <c r="D505" s="81">
        <v>89.71</v>
      </c>
      <c r="E505" s="24">
        <f t="shared" si="23"/>
        <v>4.4965822455711919</v>
      </c>
      <c r="F505" s="81">
        <v>118.72353352487164</v>
      </c>
      <c r="G505" s="24">
        <f t="shared" si="24"/>
        <v>4.7767975424942692</v>
      </c>
      <c r="H505" s="84">
        <f>Table1[[#This Row],[Log(Inflation-adjusted)]]-G504</f>
        <v>-1.1962028533239355E-2</v>
      </c>
      <c r="I505" s="83">
        <f t="shared" si="22"/>
        <v>-0.10292394661289972</v>
      </c>
      <c r="S505" s="22"/>
      <c r="T505" s="22"/>
    </row>
    <row r="506" spans="2:20" ht="16.2" x14ac:dyDescent="0.45">
      <c r="B506" s="80">
        <v>41671</v>
      </c>
      <c r="C506" s="81">
        <v>2.35547</v>
      </c>
      <c r="D506" s="81">
        <v>96.1</v>
      </c>
      <c r="E506" s="24">
        <f t="shared" si="23"/>
        <v>4.5653893159762466</v>
      </c>
      <c r="F506" s="81">
        <v>127.04031025655176</v>
      </c>
      <c r="G506" s="24">
        <f t="shared" si="24"/>
        <v>4.8445044396916224</v>
      </c>
      <c r="H506" s="84">
        <f>Table1[[#This Row],[Log(Inflation-adjusted)]]-G505</f>
        <v>6.7706897197353122E-2</v>
      </c>
      <c r="I506" s="83">
        <f t="shared" si="22"/>
        <v>-4.3193510126761758E-2</v>
      </c>
      <c r="S506" s="22"/>
      <c r="T506" s="22"/>
    </row>
    <row r="507" spans="2:20" ht="16.2" x14ac:dyDescent="0.45">
      <c r="B507" s="80">
        <v>41699</v>
      </c>
      <c r="C507" s="81">
        <v>2.3602799999999999</v>
      </c>
      <c r="D507" s="81">
        <v>97.13</v>
      </c>
      <c r="E507" s="24">
        <f t="shared" si="23"/>
        <v>4.5760502874142395</v>
      </c>
      <c r="F507" s="81">
        <v>128.14025907095768</v>
      </c>
      <c r="G507" s="24">
        <f t="shared" si="24"/>
        <v>4.853125437989366</v>
      </c>
      <c r="H507" s="84">
        <f>Table1[[#This Row],[Log(Inflation-adjusted)]]-G506</f>
        <v>8.6209982977436539E-3</v>
      </c>
      <c r="I507" s="83">
        <f t="shared" si="22"/>
        <v>-3.6178348295436535E-2</v>
      </c>
      <c r="S507" s="22"/>
      <c r="T507" s="22"/>
    </row>
    <row r="508" spans="2:20" ht="16.2" x14ac:dyDescent="0.45">
      <c r="B508" s="80">
        <v>41730</v>
      </c>
      <c r="C508" s="81">
        <v>2.3646799999999999</v>
      </c>
      <c r="D508" s="81">
        <v>97.33</v>
      </c>
      <c r="E508" s="24">
        <f t="shared" si="23"/>
        <v>4.5781072664384022</v>
      </c>
      <c r="F508" s="81">
        <v>128.16518847370469</v>
      </c>
      <c r="G508" s="24">
        <f t="shared" si="24"/>
        <v>4.8533199668459659</v>
      </c>
      <c r="H508" s="84">
        <f>Table1[[#This Row],[Log(Inflation-adjusted)]]-G507</f>
        <v>1.9452885659987373E-4</v>
      </c>
      <c r="I508" s="83">
        <f t="shared" si="22"/>
        <v>-1.0868376506299349E-2</v>
      </c>
      <c r="S508" s="22"/>
      <c r="T508" s="22"/>
    </row>
    <row r="509" spans="2:20" ht="16.2" x14ac:dyDescent="0.45">
      <c r="B509" s="80">
        <v>41760</v>
      </c>
      <c r="C509" s="81">
        <v>2.3691800000000001</v>
      </c>
      <c r="D509" s="81">
        <v>98.46</v>
      </c>
      <c r="E509" s="24">
        <f t="shared" si="23"/>
        <v>4.5896503743300547</v>
      </c>
      <c r="F509" s="81">
        <v>129.40692246262421</v>
      </c>
      <c r="G509" s="24">
        <f t="shared" si="24"/>
        <v>4.862961877255878</v>
      </c>
      <c r="H509" s="84">
        <f>Table1[[#This Row],[Log(Inflation-adjusted)]]-G508</f>
        <v>9.6419104099121355E-3</v>
      </c>
      <c r="I509" s="83">
        <f t="shared" si="22"/>
        <v>-2.1844205171903219E-2</v>
      </c>
      <c r="S509" s="22"/>
      <c r="T509" s="22"/>
    </row>
    <row r="510" spans="2:20" ht="16.2" x14ac:dyDescent="0.45">
      <c r="B510" s="80">
        <v>41791</v>
      </c>
      <c r="C510" s="81">
        <v>2.3723100000000001</v>
      </c>
      <c r="D510" s="81">
        <v>100.26</v>
      </c>
      <c r="E510" s="24">
        <f t="shared" si="23"/>
        <v>4.607766811835357</v>
      </c>
      <c r="F510" s="81">
        <v>131.59882028908532</v>
      </c>
      <c r="G510" s="24">
        <f t="shared" si="24"/>
        <v>4.8797580544823838</v>
      </c>
      <c r="H510" s="84">
        <f>Table1[[#This Row],[Log(Inflation-adjusted)]]-G509</f>
        <v>1.6796177226505726E-2</v>
      </c>
      <c r="I510" s="83">
        <f t="shared" si="22"/>
        <v>1.0924077903252893E-2</v>
      </c>
      <c r="S510" s="22"/>
      <c r="T510" s="22"/>
    </row>
    <row r="511" spans="2:20" ht="16.2" x14ac:dyDescent="0.45">
      <c r="B511" s="80">
        <v>41821</v>
      </c>
      <c r="C511" s="81">
        <v>2.3749799999999999</v>
      </c>
      <c r="D511" s="81">
        <v>98.75</v>
      </c>
      <c r="E511" s="24">
        <f t="shared" si="23"/>
        <v>4.5925914037812312</v>
      </c>
      <c r="F511" s="81">
        <v>129.47111344095529</v>
      </c>
      <c r="G511" s="24">
        <f t="shared" si="24"/>
        <v>4.863457794025507</v>
      </c>
      <c r="H511" s="84">
        <f>Table1[[#This Row],[Log(Inflation-adjusted)]]-G510</f>
        <v>-1.6300260456876714E-2</v>
      </c>
      <c r="I511" s="83">
        <f t="shared" si="22"/>
        <v>-4.7608378551558417E-2</v>
      </c>
      <c r="S511" s="22"/>
      <c r="T511" s="22"/>
    </row>
    <row r="512" spans="2:20" ht="16.2" x14ac:dyDescent="0.45">
      <c r="B512" s="80">
        <v>41852</v>
      </c>
      <c r="C512" s="81">
        <v>2.3746</v>
      </c>
      <c r="D512" s="81">
        <v>93.23</v>
      </c>
      <c r="E512" s="24">
        <f t="shared" si="23"/>
        <v>4.535069558308602</v>
      </c>
      <c r="F512" s="81">
        <v>122.25340279626042</v>
      </c>
      <c r="G512" s="24">
        <f t="shared" si="24"/>
        <v>4.8060959627018391</v>
      </c>
      <c r="H512" s="84">
        <f>Table1[[#This Row],[Log(Inflation-adjusted)]]-G511</f>
        <v>-5.73618313236679E-2</v>
      </c>
      <c r="I512" s="83">
        <f t="shared" si="22"/>
        <v>-0.1278641858676357</v>
      </c>
      <c r="S512" s="22"/>
      <c r="T512" s="22"/>
    </row>
    <row r="513" spans="2:20" ht="16.2" x14ac:dyDescent="0.45">
      <c r="B513" s="80">
        <v>41883</v>
      </c>
      <c r="C513" s="81">
        <v>2.3747699999999998</v>
      </c>
      <c r="D513" s="81">
        <v>89.38</v>
      </c>
      <c r="E513" s="24">
        <f t="shared" si="23"/>
        <v>4.492896943505305</v>
      </c>
      <c r="F513" s="81">
        <v>117.19647026027783</v>
      </c>
      <c r="G513" s="24">
        <f t="shared" si="24"/>
        <v>4.7638517594562551</v>
      </c>
      <c r="H513" s="84">
        <f>Table1[[#This Row],[Log(Inflation-adjusted)]]-G512</f>
        <v>-4.2244203245584089E-2</v>
      </c>
      <c r="I513" s="83">
        <f t="shared" si="22"/>
        <v>-0.16327832666691222</v>
      </c>
      <c r="S513" s="22"/>
      <c r="T513" s="22"/>
    </row>
    <row r="514" spans="2:20" ht="16.2" x14ac:dyDescent="0.45">
      <c r="B514" s="80">
        <v>41913</v>
      </c>
      <c r="C514" s="81">
        <v>2.3742999999999999</v>
      </c>
      <c r="D514" s="81">
        <v>82.75</v>
      </c>
      <c r="E514" s="24">
        <f t="shared" si="23"/>
        <v>4.4158240142571721</v>
      </c>
      <c r="F514" s="81">
        <v>108.52458787853264</v>
      </c>
      <c r="G514" s="24">
        <f t="shared" si="24"/>
        <v>4.6869767636989046</v>
      </c>
      <c r="H514" s="84">
        <f>Table1[[#This Row],[Log(Inflation-adjusted)]]-G513</f>
        <v>-7.6874995757350462E-2</v>
      </c>
      <c r="I514" s="83">
        <f t="shared" si="22"/>
        <v>-0.1834767362596077</v>
      </c>
      <c r="S514" s="22"/>
      <c r="T514" s="22"/>
    </row>
    <row r="515" spans="2:20" ht="16.2" x14ac:dyDescent="0.45">
      <c r="B515" s="80">
        <v>41944</v>
      </c>
      <c r="C515" s="81">
        <v>2.3698299999999999</v>
      </c>
      <c r="D515" s="81">
        <v>74.34</v>
      </c>
      <c r="E515" s="24">
        <f t="shared" si="23"/>
        <v>4.3086491648691059</v>
      </c>
      <c r="F515" s="81">
        <v>97.678976230362522</v>
      </c>
      <c r="G515" s="24">
        <f t="shared" si="24"/>
        <v>4.5816863488953805</v>
      </c>
      <c r="H515" s="84">
        <f>Table1[[#This Row],[Log(Inflation-adjusted)]]-G514</f>
        <v>-0.10529041480352408</v>
      </c>
      <c r="I515" s="83">
        <f t="shared" si="22"/>
        <v>-0.20739256083844015</v>
      </c>
      <c r="S515" s="22"/>
      <c r="T515" s="22"/>
    </row>
    <row r="516" spans="2:20" ht="16.2" x14ac:dyDescent="0.45">
      <c r="B516" s="80">
        <v>41974</v>
      </c>
      <c r="C516" s="81">
        <v>2.36252</v>
      </c>
      <c r="D516" s="81">
        <v>57.36</v>
      </c>
      <c r="E516" s="24">
        <f t="shared" si="23"/>
        <v>4.0493471962913645</v>
      </c>
      <c r="F516" s="81">
        <v>75.601321030086524</v>
      </c>
      <c r="G516" s="24">
        <f t="shared" si="24"/>
        <v>4.3254737569757635</v>
      </c>
      <c r="H516" s="84">
        <f>Table1[[#This Row],[Log(Inflation-adjusted)]]-G515</f>
        <v>-0.25621259191961698</v>
      </c>
      <c r="I516" s="83">
        <f t="shared" si="22"/>
        <v>-0.46328581405174507</v>
      </c>
      <c r="S516" s="22"/>
      <c r="T516" s="22"/>
    </row>
    <row r="517" spans="2:20" ht="16.2" x14ac:dyDescent="0.45">
      <c r="B517" s="80">
        <v>42005</v>
      </c>
      <c r="C517" s="81">
        <v>2.3474699999999999</v>
      </c>
      <c r="D517" s="81">
        <v>44.74</v>
      </c>
      <c r="E517" s="24">
        <f t="shared" si="23"/>
        <v>3.8008679560619836</v>
      </c>
      <c r="F517" s="81">
        <v>59.346028975876166</v>
      </c>
      <c r="G517" s="24">
        <f t="shared" si="24"/>
        <v>4.0833852102388688</v>
      </c>
      <c r="H517" s="84">
        <f>Table1[[#This Row],[Log(Inflation-adjusted)]]-G516</f>
        <v>-0.24208854673689473</v>
      </c>
      <c r="I517" s="83">
        <f t="shared" si="22"/>
        <v>-0.69341233225540044</v>
      </c>
      <c r="S517" s="22"/>
      <c r="T517" s="22"/>
    </row>
    <row r="518" spans="2:20" ht="16.2" x14ac:dyDescent="0.45">
      <c r="B518" s="80">
        <v>42036</v>
      </c>
      <c r="C518" s="81">
        <v>2.3534199999999998</v>
      </c>
      <c r="D518" s="81">
        <v>47.18</v>
      </c>
      <c r="E518" s="24">
        <f t="shared" si="23"/>
        <v>3.8539700739795291</v>
      </c>
      <c r="F518" s="81">
        <v>62.424379192834259</v>
      </c>
      <c r="G518" s="24">
        <f t="shared" si="24"/>
        <v>4.1339558912679166</v>
      </c>
      <c r="H518" s="84">
        <f>Table1[[#This Row],[Log(Inflation-adjusted)]]-G517</f>
        <v>5.0570681029047826E-2</v>
      </c>
      <c r="I518" s="83">
        <f t="shared" si="22"/>
        <v>-0.71054854842370574</v>
      </c>
      <c r="S518" s="22"/>
      <c r="T518" s="22"/>
    </row>
    <row r="519" spans="2:20" ht="16.2" x14ac:dyDescent="0.45">
      <c r="B519" s="80">
        <v>42064</v>
      </c>
      <c r="C519" s="81">
        <v>2.3597600000000001</v>
      </c>
      <c r="D519" s="81">
        <v>47.22</v>
      </c>
      <c r="E519" s="24">
        <f t="shared" si="23"/>
        <v>3.8548175316573667</v>
      </c>
      <c r="F519" s="81">
        <v>62.309444994406206</v>
      </c>
      <c r="G519" s="24">
        <f t="shared" si="24"/>
        <v>4.1321130193491724</v>
      </c>
      <c r="H519" s="84">
        <f>Table1[[#This Row],[Log(Inflation-adjusted)]]-G518</f>
        <v>-1.8428719187442155E-3</v>
      </c>
      <c r="I519" s="83">
        <f t="shared" si="22"/>
        <v>-0.72101241864019361</v>
      </c>
      <c r="S519" s="22"/>
      <c r="T519" s="22"/>
    </row>
    <row r="520" spans="2:20" ht="16.2" x14ac:dyDescent="0.45">
      <c r="B520" s="80">
        <v>42095</v>
      </c>
      <c r="C520" s="81">
        <v>2.3622200000000002</v>
      </c>
      <c r="D520" s="81">
        <v>51.62</v>
      </c>
      <c r="E520" s="24">
        <f t="shared" si="23"/>
        <v>3.9439091942904678</v>
      </c>
      <c r="F520" s="81">
        <v>68.04455737399563</v>
      </c>
      <c r="G520" s="24">
        <f t="shared" si="24"/>
        <v>4.2201627460898914</v>
      </c>
      <c r="H520" s="84">
        <f>Table1[[#This Row],[Log(Inflation-adjusted)]]-G519</f>
        <v>8.8049726740718981E-2</v>
      </c>
      <c r="I520" s="83">
        <f t="shared" si="22"/>
        <v>-0.6331572207560745</v>
      </c>
      <c r="S520" s="22"/>
      <c r="T520" s="22"/>
    </row>
    <row r="521" spans="2:20" ht="16.2" x14ac:dyDescent="0.45">
      <c r="B521" s="80">
        <v>42125</v>
      </c>
      <c r="C521" s="81">
        <v>2.3700100000000002</v>
      </c>
      <c r="D521" s="81">
        <v>57.51</v>
      </c>
      <c r="E521" s="24">
        <f t="shared" si="23"/>
        <v>4.0519588457256628</v>
      </c>
      <c r="F521" s="81">
        <v>75.559473740617122</v>
      </c>
      <c r="G521" s="24">
        <f t="shared" si="24"/>
        <v>4.3249200778210337</v>
      </c>
      <c r="H521" s="84">
        <f>Table1[[#This Row],[Log(Inflation-adjusted)]]-G520</f>
        <v>0.10475733173114232</v>
      </c>
      <c r="I521" s="83">
        <f t="shared" si="22"/>
        <v>-0.53804179943484431</v>
      </c>
      <c r="S521" s="22"/>
      <c r="T521" s="22"/>
    </row>
    <row r="522" spans="2:20" ht="16.2" x14ac:dyDescent="0.45">
      <c r="B522" s="80">
        <v>42156</v>
      </c>
      <c r="C522" s="81">
        <v>2.3765700000000001</v>
      </c>
      <c r="D522" s="81">
        <v>58.89</v>
      </c>
      <c r="E522" s="24">
        <f t="shared" si="23"/>
        <v>4.0756712969564797</v>
      </c>
      <c r="F522" s="81">
        <v>77.159015741173206</v>
      </c>
      <c r="G522" s="24">
        <f t="shared" si="24"/>
        <v>4.3458684318801346</v>
      </c>
      <c r="H522" s="84">
        <f>Table1[[#This Row],[Log(Inflation-adjusted)]]-G521</f>
        <v>2.0948354059100893E-2</v>
      </c>
      <c r="I522" s="83">
        <f t="shared" si="22"/>
        <v>-0.53388962260224915</v>
      </c>
      <c r="S522" s="22"/>
      <c r="T522" s="22"/>
    </row>
    <row r="523" spans="2:20" ht="16.2" x14ac:dyDescent="0.45">
      <c r="B523" s="80">
        <v>42186</v>
      </c>
      <c r="C523" s="81">
        <v>2.3803399999999999</v>
      </c>
      <c r="D523" s="81">
        <v>52.42</v>
      </c>
      <c r="E523" s="24">
        <f t="shared" si="23"/>
        <v>3.9592881978952601</v>
      </c>
      <c r="F523" s="81">
        <v>68.573095910668229</v>
      </c>
      <c r="G523" s="24">
        <f t="shared" si="24"/>
        <v>4.2279002699149215</v>
      </c>
      <c r="H523" s="84">
        <f>Table1[[#This Row],[Log(Inflation-adjusted)]]-G522</f>
        <v>-0.11796816196521309</v>
      </c>
      <c r="I523" s="83">
        <f t="shared" si="22"/>
        <v>-0.63555752411058553</v>
      </c>
      <c r="S523" s="22"/>
      <c r="T523" s="22"/>
    </row>
    <row r="524" spans="2:20" ht="16.2" x14ac:dyDescent="0.45">
      <c r="B524" s="80">
        <v>42217</v>
      </c>
      <c r="C524" s="81">
        <v>2.3803299999999998</v>
      </c>
      <c r="D524" s="81">
        <v>43.23</v>
      </c>
      <c r="E524" s="24">
        <f t="shared" si="23"/>
        <v>3.7665346986795405</v>
      </c>
      <c r="F524" s="81">
        <v>56.551457268529994</v>
      </c>
      <c r="G524" s="24">
        <f t="shared" si="24"/>
        <v>4.0351509717885437</v>
      </c>
      <c r="H524" s="84">
        <f>Table1[[#This Row],[Log(Inflation-adjusted)]]-G523</f>
        <v>-0.19274929812637787</v>
      </c>
      <c r="I524" s="83">
        <f t="shared" si="22"/>
        <v>-0.77094499091329549</v>
      </c>
      <c r="S524" s="22"/>
      <c r="T524" s="22"/>
    </row>
    <row r="525" spans="2:20" ht="16.2" x14ac:dyDescent="0.45">
      <c r="B525" s="80">
        <v>42248</v>
      </c>
      <c r="C525" s="81">
        <v>2.3749799999999999</v>
      </c>
      <c r="D525" s="81">
        <v>41.12</v>
      </c>
      <c r="E525" s="24">
        <f t="shared" si="23"/>
        <v>3.7164946211469094</v>
      </c>
      <c r="F525" s="81">
        <v>53.912427186755252</v>
      </c>
      <c r="G525" s="24">
        <f t="shared" si="24"/>
        <v>3.9873610113911853</v>
      </c>
      <c r="H525" s="84">
        <f>Table1[[#This Row],[Log(Inflation-adjusted)]]-G524</f>
        <v>-4.7789960397358389E-2</v>
      </c>
      <c r="I525" s="83">
        <f t="shared" si="22"/>
        <v>-0.77649074806506979</v>
      </c>
      <c r="S525" s="22"/>
      <c r="T525" s="22"/>
    </row>
    <row r="526" spans="2:20" ht="16.2" x14ac:dyDescent="0.45">
      <c r="B526" s="80">
        <v>42278</v>
      </c>
      <c r="C526" s="81">
        <v>2.3773300000000002</v>
      </c>
      <c r="D526" s="81">
        <v>42.03</v>
      </c>
      <c r="E526" s="24">
        <f t="shared" si="23"/>
        <v>3.7383836490170252</v>
      </c>
      <c r="F526" s="81">
        <v>55.051056050274887</v>
      </c>
      <c r="G526" s="24">
        <f t="shared" si="24"/>
        <v>4.0082610464592552</v>
      </c>
      <c r="H526" s="84">
        <f>Table1[[#This Row],[Log(Inflation-adjusted)]]-G525</f>
        <v>2.0900035068069922E-2</v>
      </c>
      <c r="I526" s="83">
        <f t="shared" si="22"/>
        <v>-0.67871571723964941</v>
      </c>
      <c r="S526" s="22"/>
      <c r="T526" s="22"/>
    </row>
    <row r="527" spans="2:20" ht="16.2" x14ac:dyDescent="0.45">
      <c r="B527" s="80">
        <v>42309</v>
      </c>
      <c r="C527" s="81">
        <v>2.3801700000000001</v>
      </c>
      <c r="D527" s="81">
        <v>39.049999999999997</v>
      </c>
      <c r="E527" s="24">
        <f t="shared" si="23"/>
        <v>3.6648428762856948</v>
      </c>
      <c r="F527" s="81">
        <v>51.086811362213616</v>
      </c>
      <c r="G527" s="24">
        <f t="shared" si="24"/>
        <v>3.9335263692245732</v>
      </c>
      <c r="H527" s="84">
        <f>Table1[[#This Row],[Log(Inflation-adjusted)]]-G526</f>
        <v>-7.4734677234681968E-2</v>
      </c>
      <c r="I527" s="83">
        <f t="shared" si="22"/>
        <v>-0.6481599796708073</v>
      </c>
      <c r="S527" s="22"/>
      <c r="T527" s="22"/>
    </row>
    <row r="528" spans="2:20" ht="16.2" x14ac:dyDescent="0.45">
      <c r="B528" s="80">
        <v>42339</v>
      </c>
      <c r="C528" s="81">
        <v>2.3776099999999998</v>
      </c>
      <c r="D528" s="81">
        <v>33.159999999999997</v>
      </c>
      <c r="E528" s="24">
        <f t="shared" si="23"/>
        <v>3.5013443302670941</v>
      </c>
      <c r="F528" s="81">
        <v>43.427980938841948</v>
      </c>
      <c r="G528" s="24">
        <f t="shared" si="24"/>
        <v>3.7711039554554895</v>
      </c>
      <c r="H528" s="84">
        <f>Table1[[#This Row],[Log(Inflation-adjusted)]]-G527</f>
        <v>-0.16242241376908373</v>
      </c>
      <c r="I528" s="83">
        <f t="shared" si="22"/>
        <v>-0.55436980152027404</v>
      </c>
      <c r="S528" s="22"/>
      <c r="T528" s="22"/>
    </row>
    <row r="529" spans="2:20" ht="16.2" x14ac:dyDescent="0.45">
      <c r="B529" s="80">
        <v>42370</v>
      </c>
      <c r="C529" s="81">
        <v>2.3765200000000002</v>
      </c>
      <c r="D529" s="81">
        <v>27.48</v>
      </c>
      <c r="E529" s="24">
        <f t="shared" si="23"/>
        <v>3.3134584673541485</v>
      </c>
      <c r="F529" s="81">
        <v>36.005677747294364</v>
      </c>
      <c r="G529" s="24">
        <f t="shared" si="24"/>
        <v>3.5836766412229961</v>
      </c>
      <c r="H529" s="84">
        <f>Table1[[#This Row],[Log(Inflation-adjusted)]]-G528</f>
        <v>-0.18742731423249337</v>
      </c>
      <c r="I529" s="83">
        <f t="shared" si="22"/>
        <v>-0.49970856901587268</v>
      </c>
      <c r="S529" s="22"/>
      <c r="T529" s="22"/>
    </row>
    <row r="530" spans="2:20" ht="16.2" x14ac:dyDescent="0.45">
      <c r="B530" s="80">
        <v>42401</v>
      </c>
      <c r="C530" s="81">
        <v>2.3733599999999999</v>
      </c>
      <c r="D530" s="81">
        <v>26.66</v>
      </c>
      <c r="E530" s="24">
        <f t="shared" si="23"/>
        <v>3.2831643147505627</v>
      </c>
      <c r="F530" s="81">
        <v>34.977781609195404</v>
      </c>
      <c r="G530" s="24">
        <f t="shared" si="24"/>
        <v>3.5547130487456462</v>
      </c>
      <c r="H530" s="84">
        <f>Table1[[#This Row],[Log(Inflation-adjusted)]]-G529</f>
        <v>-2.896359247734992E-2</v>
      </c>
      <c r="I530" s="83">
        <f t="shared" si="22"/>
        <v>-0.57924284252227043</v>
      </c>
      <c r="S530" s="22"/>
      <c r="T530" s="22"/>
    </row>
    <row r="531" spans="2:20" ht="16.2" x14ac:dyDescent="0.45">
      <c r="B531" s="80">
        <v>42430</v>
      </c>
      <c r="C531" s="81">
        <v>2.3807999999999998</v>
      </c>
      <c r="D531" s="81">
        <v>32.24</v>
      </c>
      <c r="E531" s="24">
        <f t="shared" si="23"/>
        <v>3.4732079176384274</v>
      </c>
      <c r="F531" s="81">
        <v>42.166529166666677</v>
      </c>
      <c r="G531" s="24">
        <f t="shared" si="24"/>
        <v>3.7416267586245837</v>
      </c>
      <c r="H531" s="84">
        <f>Table1[[#This Row],[Log(Inflation-adjusted)]]-G530</f>
        <v>0.18691370987893752</v>
      </c>
      <c r="I531" s="83">
        <f t="shared" si="22"/>
        <v>-0.3904862607245887</v>
      </c>
      <c r="S531" s="22"/>
      <c r="T531" s="22"/>
    </row>
    <row r="532" spans="2:20" ht="16.2" x14ac:dyDescent="0.45">
      <c r="B532" s="80">
        <v>42461</v>
      </c>
      <c r="C532" s="81">
        <v>2.38992</v>
      </c>
      <c r="D532" s="81">
        <v>35.9</v>
      </c>
      <c r="E532" s="24">
        <f t="shared" si="23"/>
        <v>3.5807372954942331</v>
      </c>
      <c r="F532" s="81">
        <v>46.774248677780008</v>
      </c>
      <c r="G532" s="24">
        <f t="shared" si="24"/>
        <v>3.8453328095571795</v>
      </c>
      <c r="H532" s="84">
        <f>Table1[[#This Row],[Log(Inflation-adjusted)]]-G531</f>
        <v>0.10370605093259577</v>
      </c>
      <c r="I532" s="83">
        <f t="shared" si="22"/>
        <v>-0.3748299365327119</v>
      </c>
      <c r="S532" s="22"/>
      <c r="T532" s="22"/>
    </row>
    <row r="533" spans="2:20" ht="16.2" x14ac:dyDescent="0.45">
      <c r="B533" s="80">
        <v>42491</v>
      </c>
      <c r="C533" s="81">
        <v>2.3955700000000002</v>
      </c>
      <c r="D533" s="81">
        <v>40.880000000000003</v>
      </c>
      <c r="E533" s="24">
        <f t="shared" si="23"/>
        <v>3.7106409458954492</v>
      </c>
      <c r="F533" s="81">
        <v>53.1370887429714</v>
      </c>
      <c r="G533" s="24">
        <f t="shared" si="24"/>
        <v>3.9728751541672409</v>
      </c>
      <c r="H533" s="84">
        <f>Table1[[#This Row],[Log(Inflation-adjusted)]]-G532</f>
        <v>0.12754234461006142</v>
      </c>
      <c r="I533" s="83">
        <f t="shared" si="22"/>
        <v>-0.35204492365379281</v>
      </c>
      <c r="S533" s="22"/>
      <c r="T533" s="22"/>
    </row>
    <row r="534" spans="2:20" ht="16.2" x14ac:dyDescent="0.45">
      <c r="B534" s="80">
        <v>42522</v>
      </c>
      <c r="C534" s="81">
        <v>2.4022199999999998</v>
      </c>
      <c r="D534" s="81">
        <v>44.13</v>
      </c>
      <c r="E534" s="24">
        <f t="shared" si="23"/>
        <v>3.7871398232814557</v>
      </c>
      <c r="F534" s="81">
        <v>57.202746909109088</v>
      </c>
      <c r="G534" s="24">
        <f t="shared" si="24"/>
        <v>4.0466019201192127</v>
      </c>
      <c r="H534" s="84">
        <f>Table1[[#This Row],[Log(Inflation-adjusted)]]-G533</f>
        <v>7.3726765951971807E-2</v>
      </c>
      <c r="I534" s="83">
        <f t="shared" si="22"/>
        <v>-0.29926651176092189</v>
      </c>
      <c r="S534" s="22"/>
      <c r="T534" s="22"/>
    </row>
    <row r="535" spans="2:20" ht="16.2" x14ac:dyDescent="0.45">
      <c r="B535" s="80">
        <v>42552</v>
      </c>
      <c r="C535" s="81">
        <v>2.4010099999999999</v>
      </c>
      <c r="D535" s="81">
        <v>41.48</v>
      </c>
      <c r="E535" s="24">
        <f t="shared" si="23"/>
        <v>3.7252113833613265</v>
      </c>
      <c r="F535" s="81">
        <v>53.794826877022579</v>
      </c>
      <c r="G535" s="24">
        <f t="shared" si="24"/>
        <v>3.9851773078423967</v>
      </c>
      <c r="H535" s="84">
        <f>Table1[[#This Row],[Log(Inflation-adjusted)]]-G534</f>
        <v>-6.142461227681606E-2</v>
      </c>
      <c r="I535" s="83">
        <f t="shared" si="22"/>
        <v>-0.24272296207252486</v>
      </c>
      <c r="S535" s="22"/>
      <c r="T535" s="22"/>
    </row>
    <row r="536" spans="2:20" ht="16.2" x14ac:dyDescent="0.45">
      <c r="B536" s="80">
        <v>42583</v>
      </c>
      <c r="C536" s="81">
        <v>2.4054500000000001</v>
      </c>
      <c r="D536" s="81">
        <v>41.21</v>
      </c>
      <c r="E536" s="24">
        <f t="shared" si="23"/>
        <v>3.7186809453507261</v>
      </c>
      <c r="F536" s="81">
        <v>53.346019065039812</v>
      </c>
      <c r="G536" s="24">
        <f t="shared" si="24"/>
        <v>3.9767993557516106</v>
      </c>
      <c r="H536" s="84">
        <f>Table1[[#This Row],[Log(Inflation-adjusted)]]-G535</f>
        <v>-8.3779520907860672E-3</v>
      </c>
      <c r="I536" s="83">
        <f t="shared" si="22"/>
        <v>-5.8351616036933063E-2</v>
      </c>
      <c r="S536" s="22"/>
      <c r="T536" s="22"/>
    </row>
    <row r="537" spans="2:20" ht="16.2" x14ac:dyDescent="0.45">
      <c r="B537" s="80">
        <v>42614</v>
      </c>
      <c r="C537" s="81">
        <v>2.4117600000000001</v>
      </c>
      <c r="D537" s="81">
        <v>40.86</v>
      </c>
      <c r="E537" s="24">
        <f t="shared" si="23"/>
        <v>3.7101515893894761</v>
      </c>
      <c r="F537" s="81">
        <v>52.754560553288883</v>
      </c>
      <c r="G537" s="24">
        <f t="shared" si="24"/>
        <v>3.9656502246055916</v>
      </c>
      <c r="H537" s="84">
        <f>Table1[[#This Row],[Log(Inflation-adjusted)]]-G536</f>
        <v>-1.1149131146019009E-2</v>
      </c>
      <c r="I537" s="83">
        <f t="shared" ref="I537:I600" si="25">G537-G525</f>
        <v>-2.1710786785593683E-2</v>
      </c>
      <c r="S537" s="22"/>
      <c r="T537" s="22"/>
    </row>
    <row r="538" spans="2:20" ht="16.2" x14ac:dyDescent="0.45">
      <c r="B538" s="80">
        <v>42644</v>
      </c>
      <c r="C538" s="81">
        <v>2.4174099999999998</v>
      </c>
      <c r="D538" s="81">
        <v>44.76</v>
      </c>
      <c r="E538" s="24">
        <f t="shared" ref="E538:E601" si="26">LN(D538)</f>
        <v>3.8013148834437245</v>
      </c>
      <c r="F538" s="81">
        <v>57.65480384378322</v>
      </c>
      <c r="G538" s="24">
        <f t="shared" ref="G538:G601" si="27">LN(F538)</f>
        <v>4.0544735709760849</v>
      </c>
      <c r="H538" s="84">
        <f>Table1[[#This Row],[Log(Inflation-adjusted)]]-G537</f>
        <v>8.8823346370493272E-2</v>
      </c>
      <c r="I538" s="83">
        <f t="shared" si="25"/>
        <v>4.6212524516829667E-2</v>
      </c>
      <c r="S538" s="22"/>
      <c r="T538" s="22"/>
    </row>
    <row r="539" spans="2:20" ht="16.2" x14ac:dyDescent="0.45">
      <c r="B539" s="80">
        <v>42675</v>
      </c>
      <c r="C539" s="81">
        <v>2.4202599999999999</v>
      </c>
      <c r="D539" s="81">
        <v>41.8</v>
      </c>
      <c r="E539" s="24">
        <f t="shared" si="26"/>
        <v>3.7328963395307104</v>
      </c>
      <c r="F539" s="81">
        <v>53.778662127209472</v>
      </c>
      <c r="G539" s="24">
        <f t="shared" si="27"/>
        <v>3.9848767737594284</v>
      </c>
      <c r="H539" s="84">
        <f>Table1[[#This Row],[Log(Inflation-adjusted)]]-G538</f>
        <v>-6.9596797216656459E-2</v>
      </c>
      <c r="I539" s="83">
        <f t="shared" si="25"/>
        <v>5.1350404534855176E-2</v>
      </c>
      <c r="S539" s="22"/>
      <c r="T539" s="22"/>
    </row>
    <row r="540" spans="2:20" ht="16.2" x14ac:dyDescent="0.45">
      <c r="B540" s="80">
        <v>42705</v>
      </c>
      <c r="C540" s="81">
        <v>2.4263699999999999</v>
      </c>
      <c r="D540" s="81">
        <v>46.72</v>
      </c>
      <c r="E540" s="24">
        <f t="shared" si="26"/>
        <v>3.8441723385199715</v>
      </c>
      <c r="F540" s="81">
        <v>59.957227430276504</v>
      </c>
      <c r="G540" s="24">
        <f t="shared" si="27"/>
        <v>4.0936314318430069</v>
      </c>
      <c r="H540" s="84">
        <f>Table1[[#This Row],[Log(Inflation-adjusted)]]-G539</f>
        <v>0.10875465808357854</v>
      </c>
      <c r="I540" s="83">
        <f t="shared" si="25"/>
        <v>0.32252747638751744</v>
      </c>
      <c r="S540" s="22"/>
      <c r="T540" s="22"/>
    </row>
    <row r="541" spans="2:20" ht="16.2" x14ac:dyDescent="0.45">
      <c r="B541" s="80">
        <v>42736</v>
      </c>
      <c r="C541" s="81">
        <v>2.4361799999999998</v>
      </c>
      <c r="D541" s="81">
        <v>48.12</v>
      </c>
      <c r="E541" s="24">
        <f t="shared" si="26"/>
        <v>3.8736978911064779</v>
      </c>
      <c r="F541" s="81">
        <v>61.505220599463094</v>
      </c>
      <c r="G541" s="24">
        <f t="shared" si="27"/>
        <v>4.1191220590058553</v>
      </c>
      <c r="H541" s="84">
        <f>Table1[[#This Row],[Log(Inflation-adjusted)]]-G540</f>
        <v>2.5490627162848334E-2</v>
      </c>
      <c r="I541" s="83">
        <f t="shared" si="25"/>
        <v>0.53544541778285915</v>
      </c>
      <c r="S541" s="22"/>
      <c r="T541" s="22"/>
    </row>
    <row r="542" spans="2:20" ht="16.2" x14ac:dyDescent="0.45">
      <c r="B542" s="80">
        <v>42767</v>
      </c>
      <c r="C542" s="81">
        <v>2.4400599999999999</v>
      </c>
      <c r="D542" s="81">
        <v>49.38</v>
      </c>
      <c r="E542" s="24">
        <f t="shared" si="26"/>
        <v>3.8995454839170334</v>
      </c>
      <c r="F542" s="81">
        <v>63.015344573494097</v>
      </c>
      <c r="G542" s="24">
        <f t="shared" si="27"/>
        <v>4.1433782613931136</v>
      </c>
      <c r="H542" s="84">
        <f>Table1[[#This Row],[Log(Inflation-adjusted)]]-G541</f>
        <v>2.4256202387258341E-2</v>
      </c>
      <c r="I542" s="83">
        <f t="shared" si="25"/>
        <v>0.58866521264746741</v>
      </c>
      <c r="S542" s="22"/>
      <c r="T542" s="22"/>
    </row>
    <row r="543" spans="2:20" ht="16.2" x14ac:dyDescent="0.45">
      <c r="B543" s="80">
        <v>42795</v>
      </c>
      <c r="C543" s="81">
        <v>2.43892</v>
      </c>
      <c r="D543" s="81">
        <v>46.53</v>
      </c>
      <c r="E543" s="24">
        <f t="shared" si="26"/>
        <v>3.8400972658565573</v>
      </c>
      <c r="F543" s="81">
        <v>59.406126104997291</v>
      </c>
      <c r="G543" s="24">
        <f t="shared" si="27"/>
        <v>4.0843973541315108</v>
      </c>
      <c r="H543" s="84">
        <f>Table1[[#This Row],[Log(Inflation-adjusted)]]-G542</f>
        <v>-5.8980907261602766E-2</v>
      </c>
      <c r="I543" s="83">
        <f t="shared" si="25"/>
        <v>0.34277059550692712</v>
      </c>
      <c r="S543" s="22"/>
      <c r="T543" s="22"/>
    </row>
    <row r="544" spans="2:20" ht="16.2" x14ac:dyDescent="0.45">
      <c r="B544" s="80">
        <v>42826</v>
      </c>
      <c r="C544" s="81">
        <v>2.4419300000000002</v>
      </c>
      <c r="D544" s="81">
        <v>47.47</v>
      </c>
      <c r="E544" s="24">
        <f t="shared" si="26"/>
        <v>3.8600979325632268</v>
      </c>
      <c r="F544" s="81">
        <v>60.531544688013163</v>
      </c>
      <c r="G544" s="24">
        <f t="shared" si="27"/>
        <v>4.1031646289570203</v>
      </c>
      <c r="H544" s="84">
        <f>Table1[[#This Row],[Log(Inflation-adjusted)]]-G543</f>
        <v>1.8767274825509439E-2</v>
      </c>
      <c r="I544" s="83">
        <f t="shared" si="25"/>
        <v>0.25783181939984079</v>
      </c>
      <c r="S544" s="22"/>
      <c r="T544" s="22"/>
    </row>
    <row r="545" spans="2:20" ht="16.2" x14ac:dyDescent="0.45">
      <c r="B545" s="80">
        <v>42856</v>
      </c>
      <c r="C545" s="81">
        <v>2.4400400000000002</v>
      </c>
      <c r="D545" s="81">
        <v>47.21</v>
      </c>
      <c r="E545" s="24">
        <f t="shared" si="26"/>
        <v>3.8546057345581954</v>
      </c>
      <c r="F545" s="81">
        <v>60.246634301077023</v>
      </c>
      <c r="G545" s="24">
        <f t="shared" si="27"/>
        <v>4.0984467085876242</v>
      </c>
      <c r="H545" s="84">
        <f>Table1[[#This Row],[Log(Inflation-adjusted)]]-G544</f>
        <v>-4.7179203693961114E-3</v>
      </c>
      <c r="I545" s="83">
        <f t="shared" si="25"/>
        <v>0.12557155442038326</v>
      </c>
      <c r="S545" s="22"/>
      <c r="T545" s="22"/>
    </row>
    <row r="546" spans="2:20" ht="16.2" x14ac:dyDescent="0.45">
      <c r="B546" s="80">
        <v>42887</v>
      </c>
      <c r="C546" s="81">
        <v>2.44163</v>
      </c>
      <c r="D546" s="81">
        <v>44.03</v>
      </c>
      <c r="E546" s="24">
        <f t="shared" si="26"/>
        <v>3.7848712197676626</v>
      </c>
      <c r="F546" s="81">
        <v>56.151914532504932</v>
      </c>
      <c r="G546" s="24">
        <f t="shared" si="27"/>
        <v>4.0280607773530361</v>
      </c>
      <c r="H546" s="84">
        <f>Table1[[#This Row],[Log(Inflation-adjusted)]]-G545</f>
        <v>-7.0385931234588028E-2</v>
      </c>
      <c r="I546" s="83">
        <f t="shared" si="25"/>
        <v>-1.8541142766176577E-2</v>
      </c>
      <c r="S546" s="22"/>
      <c r="T546" s="22"/>
    </row>
    <row r="547" spans="2:20" ht="16.2" x14ac:dyDescent="0.45">
      <c r="B547" s="80">
        <v>42917</v>
      </c>
      <c r="C547" s="81">
        <v>2.4424299999999999</v>
      </c>
      <c r="D547" s="81">
        <v>44.76</v>
      </c>
      <c r="E547" s="24">
        <f t="shared" si="26"/>
        <v>3.8013148834437245</v>
      </c>
      <c r="F547" s="81">
        <v>57.064194003512888</v>
      </c>
      <c r="G547" s="24">
        <f t="shared" si="27"/>
        <v>4.0441768447230926</v>
      </c>
      <c r="H547" s="84">
        <f>Table1[[#This Row],[Log(Inflation-adjusted)]]-G546</f>
        <v>1.6116067370056442E-2</v>
      </c>
      <c r="I547" s="83">
        <f t="shared" si="25"/>
        <v>5.8999536880695924E-2</v>
      </c>
      <c r="S547" s="22"/>
      <c r="T547" s="22"/>
    </row>
    <row r="548" spans="2:20" ht="16.2" x14ac:dyDescent="0.45">
      <c r="B548" s="80">
        <v>42948</v>
      </c>
      <c r="C548" s="81">
        <v>2.4518300000000002</v>
      </c>
      <c r="D548" s="81">
        <v>47.62</v>
      </c>
      <c r="E548" s="24">
        <f t="shared" si="26"/>
        <v>3.8632528410587166</v>
      </c>
      <c r="F548" s="81">
        <v>60.477631124506992</v>
      </c>
      <c r="G548" s="24">
        <f t="shared" si="27"/>
        <v>4.1022735631892973</v>
      </c>
      <c r="H548" s="84">
        <f>Table1[[#This Row],[Log(Inflation-adjusted)]]-G547</f>
        <v>5.8096718466204678E-2</v>
      </c>
      <c r="I548" s="83">
        <f t="shared" si="25"/>
        <v>0.12547420743768667</v>
      </c>
      <c r="S548" s="22"/>
      <c r="T548" s="22"/>
    </row>
    <row r="549" spans="2:20" ht="16.2" x14ac:dyDescent="0.45">
      <c r="B549" s="80">
        <v>42979</v>
      </c>
      <c r="C549" s="81">
        <v>2.46435</v>
      </c>
      <c r="D549" s="81">
        <v>50.46</v>
      </c>
      <c r="E549" s="24">
        <f t="shared" si="26"/>
        <v>3.9211809432129119</v>
      </c>
      <c r="F549" s="81">
        <v>63.758867271288572</v>
      </c>
      <c r="G549" s="24">
        <f t="shared" si="27"/>
        <v>4.1551082688173846</v>
      </c>
      <c r="H549" s="84">
        <f>Table1[[#This Row],[Log(Inflation-adjusted)]]-G548</f>
        <v>5.2834705628087342E-2</v>
      </c>
      <c r="I549" s="83">
        <f t="shared" si="25"/>
        <v>0.18945804421179302</v>
      </c>
      <c r="S549" s="22"/>
      <c r="T549" s="22"/>
    </row>
    <row r="550" spans="2:20" ht="16.2" x14ac:dyDescent="0.45">
      <c r="B550" s="80">
        <v>43009</v>
      </c>
      <c r="C550" s="81">
        <v>2.4662600000000001</v>
      </c>
      <c r="D550" s="81">
        <v>51.4</v>
      </c>
      <c r="E550" s="24">
        <f t="shared" si="26"/>
        <v>3.9396381724611196</v>
      </c>
      <c r="F550" s="81">
        <v>64.896308742792726</v>
      </c>
      <c r="G550" s="24">
        <f t="shared" si="27"/>
        <v>4.1727907460184674</v>
      </c>
      <c r="H550" s="84">
        <f>Table1[[#This Row],[Log(Inflation-adjusted)]]-G549</f>
        <v>1.7682477201082847E-2</v>
      </c>
      <c r="I550" s="83">
        <f t="shared" si="25"/>
        <v>0.11831717504238259</v>
      </c>
      <c r="S550" s="22"/>
      <c r="T550" s="22"/>
    </row>
    <row r="551" spans="2:20" ht="16.2" x14ac:dyDescent="0.45">
      <c r="B551" s="80">
        <v>43040</v>
      </c>
      <c r="C551" s="81">
        <v>2.4728400000000001</v>
      </c>
      <c r="D551" s="81">
        <v>56.3</v>
      </c>
      <c r="E551" s="24">
        <f t="shared" si="26"/>
        <v>4.0306945351456447</v>
      </c>
      <c r="F551" s="81">
        <v>70.893776710179381</v>
      </c>
      <c r="G551" s="24">
        <f t="shared" si="27"/>
        <v>4.2611826540886728</v>
      </c>
      <c r="H551" s="84">
        <f>Table1[[#This Row],[Log(Inflation-adjusted)]]-G550</f>
        <v>8.8391908070205361E-2</v>
      </c>
      <c r="I551" s="83">
        <f t="shared" si="25"/>
        <v>0.27630588032924441</v>
      </c>
      <c r="S551" s="22"/>
      <c r="T551" s="22"/>
    </row>
    <row r="552" spans="2:20" ht="16.2" x14ac:dyDescent="0.45">
      <c r="B552" s="80">
        <v>43070</v>
      </c>
      <c r="C552" s="81">
        <v>2.4780500000000001</v>
      </c>
      <c r="D552" s="81">
        <v>57.44</v>
      </c>
      <c r="E552" s="24">
        <f t="shared" si="26"/>
        <v>4.0507409247399684</v>
      </c>
      <c r="F552" s="81">
        <v>72.17721185609652</v>
      </c>
      <c r="G552" s="24">
        <f t="shared" si="27"/>
        <v>4.279124370816823</v>
      </c>
      <c r="H552" s="84">
        <f>Table1[[#This Row],[Log(Inflation-adjusted)]]-G551</f>
        <v>1.7941716728150148E-2</v>
      </c>
      <c r="I552" s="83">
        <f t="shared" si="25"/>
        <v>0.18549293897381602</v>
      </c>
      <c r="S552" s="22"/>
      <c r="T552" s="22"/>
    </row>
    <row r="553" spans="2:20" ht="16.2" x14ac:dyDescent="0.45">
      <c r="B553" s="80">
        <v>43101</v>
      </c>
      <c r="C553" s="81">
        <v>2.4885899999999999</v>
      </c>
      <c r="D553" s="81">
        <v>59.71</v>
      </c>
      <c r="E553" s="24">
        <f t="shared" si="26"/>
        <v>4.0894995105589009</v>
      </c>
      <c r="F553" s="81">
        <v>74.711843879465889</v>
      </c>
      <c r="G553" s="24">
        <f t="shared" si="27"/>
        <v>4.3136386321739275</v>
      </c>
      <c r="H553" s="84">
        <f>Table1[[#This Row],[Log(Inflation-adjusted)]]-G552</f>
        <v>3.4514261357104559E-2</v>
      </c>
      <c r="I553" s="83">
        <f t="shared" si="25"/>
        <v>0.19451657316807225</v>
      </c>
      <c r="S553" s="22"/>
      <c r="T553" s="22"/>
    </row>
    <row r="554" spans="2:20" ht="16.2" x14ac:dyDescent="0.45">
      <c r="B554" s="80">
        <v>43132</v>
      </c>
      <c r="C554" s="81">
        <v>2.4952899999999998</v>
      </c>
      <c r="D554" s="81">
        <v>58.03</v>
      </c>
      <c r="E554" s="24">
        <f t="shared" si="26"/>
        <v>4.0609601182025168</v>
      </c>
      <c r="F554" s="81">
        <v>72.41479069767442</v>
      </c>
      <c r="G554" s="24">
        <f t="shared" si="27"/>
        <v>4.2824105699313657</v>
      </c>
      <c r="H554" s="84">
        <f>Table1[[#This Row],[Log(Inflation-adjusted)]]-G553</f>
        <v>-3.1228062242561805E-2</v>
      </c>
      <c r="I554" s="83">
        <f t="shared" si="25"/>
        <v>0.1390323085382521</v>
      </c>
      <c r="S554" s="22"/>
      <c r="T554" s="22"/>
    </row>
    <row r="555" spans="2:20" ht="16.2" x14ac:dyDescent="0.45">
      <c r="B555" s="80">
        <v>43160</v>
      </c>
      <c r="C555" s="81">
        <v>2.4957699999999998</v>
      </c>
      <c r="D555" s="81">
        <v>56.82</v>
      </c>
      <c r="E555" s="24">
        <f t="shared" si="26"/>
        <v>4.0398883764260418</v>
      </c>
      <c r="F555" s="81">
        <v>70.891212539617044</v>
      </c>
      <c r="G555" s="24">
        <f t="shared" si="27"/>
        <v>4.2611464842433859</v>
      </c>
      <c r="H555" s="84">
        <f>Table1[[#This Row],[Log(Inflation-adjusted)]]-G554</f>
        <v>-2.1264085687979772E-2</v>
      </c>
      <c r="I555" s="83">
        <f t="shared" si="25"/>
        <v>0.1767491301118751</v>
      </c>
      <c r="S555" s="22"/>
      <c r="T555" s="22"/>
    </row>
    <row r="556" spans="2:20" ht="16.2" x14ac:dyDescent="0.45">
      <c r="B556" s="80">
        <v>43191</v>
      </c>
      <c r="C556" s="81">
        <v>2.5022700000000002</v>
      </c>
      <c r="D556" s="81">
        <v>61.24</v>
      </c>
      <c r="E556" s="24">
        <f t="shared" si="26"/>
        <v>4.114800570789483</v>
      </c>
      <c r="F556" s="81">
        <v>76.207330399996792</v>
      </c>
      <c r="G556" s="24">
        <f t="shared" si="27"/>
        <v>4.3334576575407517</v>
      </c>
      <c r="H556" s="84">
        <f>Table1[[#This Row],[Log(Inflation-adjusted)]]-G555</f>
        <v>7.2311173297365805E-2</v>
      </c>
      <c r="I556" s="83">
        <f t="shared" si="25"/>
        <v>0.23029302858373146</v>
      </c>
      <c r="S556" s="22"/>
      <c r="T556" s="22"/>
    </row>
    <row r="557" spans="2:20" ht="16.2" x14ac:dyDescent="0.45">
      <c r="B557" s="80">
        <v>43221</v>
      </c>
      <c r="C557" s="81">
        <v>2.5079199999999999</v>
      </c>
      <c r="D557" s="81">
        <v>65.89</v>
      </c>
      <c r="E557" s="24">
        <f t="shared" si="26"/>
        <v>4.1879866849257281</v>
      </c>
      <c r="F557" s="81">
        <v>81.809090417557186</v>
      </c>
      <c r="G557" s="24">
        <f t="shared" si="27"/>
        <v>4.4043883672332305</v>
      </c>
      <c r="H557" s="84">
        <f>Table1[[#This Row],[Log(Inflation-adjusted)]]-G556</f>
        <v>7.0930709692478722E-2</v>
      </c>
      <c r="I557" s="83">
        <f t="shared" si="25"/>
        <v>0.3059416586456063</v>
      </c>
      <c r="S557" s="22"/>
      <c r="T557" s="22"/>
    </row>
    <row r="558" spans="2:20" ht="16.2" x14ac:dyDescent="0.45">
      <c r="B558" s="80">
        <v>43252</v>
      </c>
      <c r="C558" s="81">
        <v>2.5101800000000001</v>
      </c>
      <c r="D558" s="81">
        <v>66.819999999999993</v>
      </c>
      <c r="E558" s="24">
        <f t="shared" si="26"/>
        <v>4.20200243692861</v>
      </c>
      <c r="F558" s="81">
        <v>82.889084256905875</v>
      </c>
      <c r="G558" s="24">
        <f t="shared" si="27"/>
        <v>4.4175033798515635</v>
      </c>
      <c r="H558" s="84">
        <f>Table1[[#This Row],[Log(Inflation-adjusted)]]-G557</f>
        <v>1.3115012618333033E-2</v>
      </c>
      <c r="I558" s="83">
        <f t="shared" si="25"/>
        <v>0.38944260249852736</v>
      </c>
      <c r="S558" s="22"/>
      <c r="T558" s="22"/>
    </row>
    <row r="559" spans="2:20" ht="16.2" x14ac:dyDescent="0.45">
      <c r="B559" s="80">
        <v>43282</v>
      </c>
      <c r="C559" s="81">
        <v>2.51214</v>
      </c>
      <c r="D559" s="81">
        <v>66.62</v>
      </c>
      <c r="E559" s="24">
        <f t="shared" si="26"/>
        <v>4.1990048327655334</v>
      </c>
      <c r="F559" s="81">
        <v>82.576510194495526</v>
      </c>
      <c r="G559" s="24">
        <f t="shared" si="27"/>
        <v>4.4137252598712937</v>
      </c>
      <c r="H559" s="84">
        <f>Table1[[#This Row],[Log(Inflation-adjusted)]]-G558</f>
        <v>-3.7781199802697785E-3</v>
      </c>
      <c r="I559" s="83">
        <f t="shared" si="25"/>
        <v>0.36954841514820114</v>
      </c>
      <c r="S559" s="22"/>
      <c r="T559" s="22"/>
    </row>
    <row r="560" spans="2:20" ht="16.2" x14ac:dyDescent="0.45">
      <c r="B560" s="80">
        <v>43313</v>
      </c>
      <c r="C560" s="81">
        <v>2.5166300000000001</v>
      </c>
      <c r="D560" s="81">
        <v>65.48</v>
      </c>
      <c r="E560" s="24">
        <f t="shared" si="26"/>
        <v>4.1817447525029339</v>
      </c>
      <c r="F560" s="81">
        <v>81.01865640956359</v>
      </c>
      <c r="G560" s="24">
        <f t="shared" si="27"/>
        <v>4.3946794541954626</v>
      </c>
      <c r="H560" s="84">
        <f>Table1[[#This Row],[Log(Inflation-adjusted)]]-G559</f>
        <v>-1.904580567583114E-2</v>
      </c>
      <c r="I560" s="83">
        <f t="shared" si="25"/>
        <v>0.29240589100616532</v>
      </c>
      <c r="S560" s="22"/>
      <c r="T560" s="22"/>
    </row>
    <row r="561" spans="2:20" ht="16.2" x14ac:dyDescent="0.45">
      <c r="B561" s="80">
        <v>43344</v>
      </c>
      <c r="C561" s="81">
        <v>2.52182</v>
      </c>
      <c r="D561" s="81">
        <v>66.7</v>
      </c>
      <c r="E561" s="24">
        <f t="shared" si="26"/>
        <v>4.2002049529215784</v>
      </c>
      <c r="F561" s="81">
        <v>82.358321053842076</v>
      </c>
      <c r="G561" s="24">
        <f t="shared" si="27"/>
        <v>4.4110794964957813</v>
      </c>
      <c r="H561" s="84">
        <f>Table1[[#This Row],[Log(Inflation-adjusted)]]-G560</f>
        <v>1.6400042300318773E-2</v>
      </c>
      <c r="I561" s="83">
        <f t="shared" si="25"/>
        <v>0.25597122767839675</v>
      </c>
      <c r="S561" s="22"/>
      <c r="T561" s="22"/>
    </row>
    <row r="562" spans="2:20" ht="16.2" x14ac:dyDescent="0.45">
      <c r="B562" s="80">
        <v>43374</v>
      </c>
      <c r="C562" s="81">
        <v>2.52772</v>
      </c>
      <c r="D562" s="81">
        <v>67.790000000000006</v>
      </c>
      <c r="E562" s="24">
        <f t="shared" si="26"/>
        <v>4.216414691442874</v>
      </c>
      <c r="F562" s="81">
        <v>83.508831057237359</v>
      </c>
      <c r="G562" s="24">
        <f t="shared" si="27"/>
        <v>4.4249523874290118</v>
      </c>
      <c r="H562" s="84">
        <f>Table1[[#This Row],[Log(Inflation-adjusted)]]-G561</f>
        <v>1.3872890933230408E-2</v>
      </c>
      <c r="I562" s="83">
        <f t="shared" si="25"/>
        <v>0.25216164141054431</v>
      </c>
      <c r="S562" s="22"/>
      <c r="T562" s="22"/>
    </row>
    <row r="563" spans="2:20" ht="16.2" x14ac:dyDescent="0.45">
      <c r="B563" s="80">
        <v>43405</v>
      </c>
      <c r="C563" s="81">
        <v>2.5259399999999999</v>
      </c>
      <c r="D563" s="81">
        <v>54.4</v>
      </c>
      <c r="E563" s="24">
        <f t="shared" si="26"/>
        <v>3.9963641538618968</v>
      </c>
      <c r="F563" s="81">
        <v>67.061243893362473</v>
      </c>
      <c r="G563" s="24">
        <f t="shared" si="27"/>
        <v>4.2056062898276165</v>
      </c>
      <c r="H563" s="84">
        <f>Table1[[#This Row],[Log(Inflation-adjusted)]]-G562</f>
        <v>-0.21934609760139523</v>
      </c>
      <c r="I563" s="83">
        <f t="shared" si="25"/>
        <v>-5.5576364261056277E-2</v>
      </c>
      <c r="S563" s="22"/>
      <c r="T563" s="22"/>
    </row>
    <row r="564" spans="2:20" ht="16.2" x14ac:dyDescent="0.45">
      <c r="B564" s="80">
        <v>43435</v>
      </c>
      <c r="C564" s="81">
        <v>2.5276700000000001</v>
      </c>
      <c r="D564" s="81">
        <v>42.8</v>
      </c>
      <c r="E564" s="24">
        <f t="shared" si="26"/>
        <v>3.7565381025877511</v>
      </c>
      <c r="F564" s="81">
        <v>52.725308604366866</v>
      </c>
      <c r="G564" s="24">
        <f t="shared" si="27"/>
        <v>3.9650955794414382</v>
      </c>
      <c r="H564" s="84">
        <f>Table1[[#This Row],[Log(Inflation-adjusted)]]-G563</f>
        <v>-0.24051071038617833</v>
      </c>
      <c r="I564" s="83">
        <f t="shared" si="25"/>
        <v>-0.31402879137538475</v>
      </c>
      <c r="S564" s="22"/>
      <c r="T564" s="22"/>
    </row>
    <row r="565" spans="2:20" ht="16.2" x14ac:dyDescent="0.45">
      <c r="B565" s="80">
        <v>43466</v>
      </c>
      <c r="C565" s="81">
        <v>2.5256099999999999</v>
      </c>
      <c r="D565" s="81">
        <v>49.71</v>
      </c>
      <c r="E565" s="24">
        <f t="shared" si="26"/>
        <v>3.9062061201065812</v>
      </c>
      <c r="F565" s="81">
        <v>61.287683989214493</v>
      </c>
      <c r="G565" s="24">
        <f t="shared" si="27"/>
        <v>4.115578909040388</v>
      </c>
      <c r="H565" s="84">
        <f>Table1[[#This Row],[Log(Inflation-adjusted)]]-G564</f>
        <v>0.15048332959894983</v>
      </c>
      <c r="I565" s="83">
        <f t="shared" si="25"/>
        <v>-0.19805972313353948</v>
      </c>
      <c r="S565" s="22"/>
      <c r="T565" s="22"/>
    </row>
    <row r="566" spans="2:20" ht="16.2" x14ac:dyDescent="0.45">
      <c r="B566" s="80">
        <v>43497</v>
      </c>
      <c r="C566" s="81">
        <v>2.5331899999999998</v>
      </c>
      <c r="D566" s="81">
        <v>56.66</v>
      </c>
      <c r="E566" s="24">
        <f t="shared" si="26"/>
        <v>4.0370684944023703</v>
      </c>
      <c r="F566" s="81">
        <v>69.647341004820021</v>
      </c>
      <c r="G566" s="24">
        <f t="shared" si="27"/>
        <v>4.2434445229690043</v>
      </c>
      <c r="H566" s="84">
        <f>Table1[[#This Row],[Log(Inflation-adjusted)]]-G565</f>
        <v>0.12786561392861628</v>
      </c>
      <c r="I566" s="83">
        <f t="shared" si="25"/>
        <v>-3.8966046962361389E-2</v>
      </c>
      <c r="S566" s="22"/>
      <c r="T566" s="22"/>
    </row>
    <row r="567" spans="2:20" ht="16.2" x14ac:dyDescent="0.45">
      <c r="B567" s="80">
        <v>43525</v>
      </c>
      <c r="C567" s="81">
        <v>2.54277</v>
      </c>
      <c r="D567" s="81">
        <v>61.14</v>
      </c>
      <c r="E567" s="24">
        <f t="shared" si="26"/>
        <v>4.1131663164626886</v>
      </c>
      <c r="F567" s="81">
        <v>74.87107879989145</v>
      </c>
      <c r="G567" s="24">
        <f t="shared" si="27"/>
        <v>4.3157676851128937</v>
      </c>
      <c r="H567" s="84">
        <f>Table1[[#This Row],[Log(Inflation-adjusted)]]-G566</f>
        <v>7.2323162143889341E-2</v>
      </c>
      <c r="I567" s="83">
        <f t="shared" si="25"/>
        <v>5.4621200869507724E-2</v>
      </c>
      <c r="S567" s="22"/>
      <c r="T567" s="22"/>
    </row>
    <row r="568" spans="2:20" ht="16.2" x14ac:dyDescent="0.45">
      <c r="B568" s="80">
        <v>43556</v>
      </c>
      <c r="C568" s="81">
        <v>2.55233</v>
      </c>
      <c r="D568" s="81">
        <v>65.42</v>
      </c>
      <c r="E568" s="24">
        <f t="shared" si="26"/>
        <v>4.1808280221102381</v>
      </c>
      <c r="F568" s="81">
        <v>79.812230832219981</v>
      </c>
      <c r="G568" s="24">
        <f t="shared" si="27"/>
        <v>4.3796767612855207</v>
      </c>
      <c r="H568" s="84">
        <f>Table1[[#This Row],[Log(Inflation-adjusted)]]-G567</f>
        <v>6.3909076172627088E-2</v>
      </c>
      <c r="I568" s="83">
        <f t="shared" si="25"/>
        <v>4.6219103744769008E-2</v>
      </c>
      <c r="S568" s="22"/>
      <c r="T568" s="22"/>
    </row>
    <row r="569" spans="2:20" ht="16.2" x14ac:dyDescent="0.45">
      <c r="B569" s="80">
        <v>43586</v>
      </c>
      <c r="C569" s="81">
        <v>2.5529600000000001</v>
      </c>
      <c r="D569" s="81">
        <v>65.03</v>
      </c>
      <c r="E569" s="24">
        <f t="shared" si="26"/>
        <v>4.1748487018810607</v>
      </c>
      <c r="F569" s="81">
        <v>79.316853801077954</v>
      </c>
      <c r="G569" s="24">
        <f t="shared" si="27"/>
        <v>4.3734506382290022</v>
      </c>
      <c r="H569" s="84">
        <f>Table1[[#This Row],[Log(Inflation-adjusted)]]-G568</f>
        <v>-6.2261230565185954E-3</v>
      </c>
      <c r="I569" s="83">
        <f t="shared" si="25"/>
        <v>-3.0937729004228309E-2</v>
      </c>
      <c r="S569" s="22"/>
      <c r="T569" s="22"/>
    </row>
    <row r="570" spans="2:20" ht="16.2" x14ac:dyDescent="0.45">
      <c r="B570" s="80">
        <v>43617</v>
      </c>
      <c r="C570" s="81">
        <v>2.55213</v>
      </c>
      <c r="D570" s="81">
        <v>58.16</v>
      </c>
      <c r="E570" s="24">
        <f t="shared" si="26"/>
        <v>4.0631978332252636</v>
      </c>
      <c r="F570" s="81">
        <v>70.960610062967007</v>
      </c>
      <c r="G570" s="24">
        <f t="shared" si="27"/>
        <v>4.2621249352440609</v>
      </c>
      <c r="H570" s="84">
        <f>Table1[[#This Row],[Log(Inflation-adjusted)]]-G569</f>
        <v>-0.11132570298494127</v>
      </c>
      <c r="I570" s="83">
        <f t="shared" si="25"/>
        <v>-0.15537844460750261</v>
      </c>
      <c r="S570" s="22"/>
      <c r="T570" s="22"/>
    </row>
    <row r="571" spans="2:20" ht="16.2" x14ac:dyDescent="0.45">
      <c r="B571" s="80">
        <v>43647</v>
      </c>
      <c r="C571" s="81">
        <v>2.55802</v>
      </c>
      <c r="D571" s="81">
        <v>59.18</v>
      </c>
      <c r="E571" s="24">
        <f t="shared" si="26"/>
        <v>4.0805836469720633</v>
      </c>
      <c r="F571" s="81">
        <v>72.038848202906948</v>
      </c>
      <c r="G571" s="24">
        <f t="shared" si="27"/>
        <v>4.2772055318804814</v>
      </c>
      <c r="H571" s="84">
        <f>Table1[[#This Row],[Log(Inflation-adjusted)]]-G570</f>
        <v>1.5080596636420474E-2</v>
      </c>
      <c r="I571" s="83">
        <f t="shared" si="25"/>
        <v>-0.13651972799081236</v>
      </c>
      <c r="S571" s="22"/>
      <c r="T571" s="22"/>
    </row>
    <row r="572" spans="2:20" ht="16.2" x14ac:dyDescent="0.45">
      <c r="B572" s="80">
        <v>43678</v>
      </c>
      <c r="C572" s="81">
        <v>2.5603600000000002</v>
      </c>
      <c r="D572" s="81">
        <v>55.41</v>
      </c>
      <c r="E572" s="24">
        <f t="shared" si="26"/>
        <v>4.014760082879258</v>
      </c>
      <c r="F572" s="81">
        <v>67.388044165664198</v>
      </c>
      <c r="G572" s="24">
        <f t="shared" si="27"/>
        <v>4.2104676159173469</v>
      </c>
      <c r="H572" s="84">
        <f>Table1[[#This Row],[Log(Inflation-adjusted)]]-G571</f>
        <v>-6.6737915963134498E-2</v>
      </c>
      <c r="I572" s="83">
        <f t="shared" si="25"/>
        <v>-0.18421183827811571</v>
      </c>
      <c r="S572" s="22"/>
      <c r="T572" s="22"/>
    </row>
    <row r="573" spans="2:20" ht="16.2" x14ac:dyDescent="0.45">
      <c r="B573" s="80">
        <v>43709</v>
      </c>
      <c r="C573" s="81">
        <v>2.5642999999999998</v>
      </c>
      <c r="D573" s="81">
        <v>57.31</v>
      </c>
      <c r="E573" s="24">
        <f t="shared" si="26"/>
        <v>4.0484751285636458</v>
      </c>
      <c r="F573" s="81">
        <v>69.591678493156039</v>
      </c>
      <c r="G573" s="24">
        <f t="shared" si="27"/>
        <v>4.2426449983123407</v>
      </c>
      <c r="H573" s="84">
        <f>Table1[[#This Row],[Log(Inflation-adjusted)]]-G572</f>
        <v>3.2177382394993792E-2</v>
      </c>
      <c r="I573" s="83">
        <f t="shared" si="25"/>
        <v>-0.1684344981834407</v>
      </c>
      <c r="S573" s="22"/>
      <c r="T573" s="22"/>
    </row>
    <row r="574" spans="2:20" ht="16.2" x14ac:dyDescent="0.45">
      <c r="B574" s="80">
        <v>43739</v>
      </c>
      <c r="C574" s="81">
        <v>2.5715499999999998</v>
      </c>
      <c r="D574" s="81">
        <v>54.44</v>
      </c>
      <c r="E574" s="24">
        <f t="shared" si="26"/>
        <v>3.9970991777832654</v>
      </c>
      <c r="F574" s="81">
        <v>65.920255036845489</v>
      </c>
      <c r="G574" s="24">
        <f t="shared" si="27"/>
        <v>4.1884457544779172</v>
      </c>
      <c r="H574" s="84">
        <f>Table1[[#This Row],[Log(Inflation-adjusted)]]-G573</f>
        <v>-5.4199243834423427E-2</v>
      </c>
      <c r="I574" s="83">
        <f t="shared" si="25"/>
        <v>-0.23650663295109453</v>
      </c>
      <c r="S574" s="22"/>
      <c r="T574" s="22"/>
    </row>
    <row r="575" spans="2:20" ht="16.2" x14ac:dyDescent="0.45">
      <c r="B575" s="80">
        <v>43770</v>
      </c>
      <c r="C575" s="81">
        <v>2.5787900000000001</v>
      </c>
      <c r="D575" s="81">
        <v>55.27</v>
      </c>
      <c r="E575" s="24">
        <f t="shared" si="26"/>
        <v>4.0122302658451714</v>
      </c>
      <c r="F575" s="81">
        <v>66.737390683227403</v>
      </c>
      <c r="G575" s="24">
        <f t="shared" si="27"/>
        <v>4.2007653758137611</v>
      </c>
      <c r="H575" s="84">
        <f>Table1[[#This Row],[Log(Inflation-adjusted)]]-G574</f>
        <v>1.2319621335843856E-2</v>
      </c>
      <c r="I575" s="83">
        <f t="shared" si="25"/>
        <v>-4.8409140138554463E-3</v>
      </c>
      <c r="S575" s="22"/>
      <c r="T575" s="22"/>
    </row>
    <row r="576" spans="2:20" ht="16.2" x14ac:dyDescent="0.45">
      <c r="B576" s="80">
        <v>43800</v>
      </c>
      <c r="C576" s="81">
        <v>2.5863</v>
      </c>
      <c r="D576" s="81">
        <v>56.85</v>
      </c>
      <c r="E576" s="24">
        <f t="shared" si="26"/>
        <v>4.040416220196545</v>
      </c>
      <c r="F576" s="81">
        <v>68.445878900359588</v>
      </c>
      <c r="G576" s="24">
        <f t="shared" si="27"/>
        <v>4.2260433439374845</v>
      </c>
      <c r="H576" s="84">
        <f>Table1[[#This Row],[Log(Inflation-adjusted)]]-G575</f>
        <v>2.5277968123723404E-2</v>
      </c>
      <c r="I576" s="83">
        <f t="shared" si="25"/>
        <v>0.26094776449604629</v>
      </c>
      <c r="S576" s="22"/>
      <c r="T576" s="22"/>
    </row>
    <row r="577" spans="2:20" ht="16.2" x14ac:dyDescent="0.45">
      <c r="B577" s="80">
        <v>43831</v>
      </c>
      <c r="C577" s="81">
        <v>2.5890599999999999</v>
      </c>
      <c r="D577" s="81">
        <v>53.87</v>
      </c>
      <c r="E577" s="24">
        <f t="shared" si="26"/>
        <v>3.9865737366924425</v>
      </c>
      <c r="F577" s="81">
        <v>64.788898411006315</v>
      </c>
      <c r="G577" s="24">
        <f t="shared" si="27"/>
        <v>4.1711342678633372</v>
      </c>
      <c r="H577" s="84">
        <f>Table1[[#This Row],[Log(Inflation-adjusted)]]-G576</f>
        <v>-5.4909076074147301E-2</v>
      </c>
      <c r="I577" s="83">
        <f t="shared" si="25"/>
        <v>5.5555358822949152E-2</v>
      </c>
      <c r="S577" s="22"/>
      <c r="T577" s="22"/>
    </row>
    <row r="578" spans="2:20" ht="16.2" x14ac:dyDescent="0.45">
      <c r="B578" s="80">
        <v>43862</v>
      </c>
      <c r="C578" s="81">
        <v>2.59246</v>
      </c>
      <c r="D578" s="81">
        <v>47.39</v>
      </c>
      <c r="E578" s="24">
        <f t="shared" si="26"/>
        <v>3.8584112359794971</v>
      </c>
      <c r="F578" s="81">
        <v>56.920719332217274</v>
      </c>
      <c r="G578" s="24">
        <f t="shared" si="27"/>
        <v>4.0416594107422421</v>
      </c>
      <c r="H578" s="84">
        <f>Table1[[#This Row],[Log(Inflation-adjusted)]]-G577</f>
        <v>-0.12947485712109508</v>
      </c>
      <c r="I578" s="83">
        <f t="shared" si="25"/>
        <v>-0.20178511222676221</v>
      </c>
      <c r="S578" s="22"/>
      <c r="T578" s="22"/>
    </row>
    <row r="579" spans="2:20" ht="16.2" x14ac:dyDescent="0.45">
      <c r="B579" s="80">
        <v>43891</v>
      </c>
      <c r="C579" s="81">
        <v>2.5815000000000001</v>
      </c>
      <c r="D579" s="81">
        <v>28.5</v>
      </c>
      <c r="E579" s="24">
        <f t="shared" si="26"/>
        <v>3.3499040872746049</v>
      </c>
      <c r="F579" s="81">
        <v>34.377038930854155</v>
      </c>
      <c r="G579" s="24">
        <f t="shared" si="27"/>
        <v>3.5373888685798298</v>
      </c>
      <c r="H579" s="84">
        <f>Table1[[#This Row],[Log(Inflation-adjusted)]]-G578</f>
        <v>-0.50427054216241229</v>
      </c>
      <c r="I579" s="83">
        <f t="shared" si="25"/>
        <v>-0.77837881653306384</v>
      </c>
      <c r="S579" s="22"/>
      <c r="T579" s="22"/>
    </row>
    <row r="580" spans="2:20" ht="16.2" x14ac:dyDescent="0.45">
      <c r="B580" s="80">
        <v>43922</v>
      </c>
      <c r="C580" s="81">
        <v>2.5612599999999999</v>
      </c>
      <c r="D580" s="81">
        <v>16.739999999999998</v>
      </c>
      <c r="E580" s="24">
        <f t="shared" si="26"/>
        <v>2.817801065061329</v>
      </c>
      <c r="F580" s="81">
        <v>20.351551439525856</v>
      </c>
      <c r="G580" s="24">
        <f t="shared" si="27"/>
        <v>3.0131571467971878</v>
      </c>
      <c r="H580" s="84">
        <f>Table1[[#This Row],[Log(Inflation-adjusted)]]-G579</f>
        <v>-0.52423172178264199</v>
      </c>
      <c r="I580" s="83">
        <f t="shared" si="25"/>
        <v>-1.3665196144883329</v>
      </c>
      <c r="S580" s="22"/>
      <c r="T580" s="22"/>
    </row>
    <row r="581" spans="2:20" ht="16.2" x14ac:dyDescent="0.45">
      <c r="B581" s="80">
        <v>43952</v>
      </c>
      <c r="C581" s="81">
        <v>2.5584799999999999</v>
      </c>
      <c r="D581" s="81">
        <v>22.56</v>
      </c>
      <c r="E581" s="24">
        <f t="shared" si="26"/>
        <v>3.1161784266298582</v>
      </c>
      <c r="F581" s="81">
        <v>27.45698233326037</v>
      </c>
      <c r="G581" s="24">
        <f t="shared" si="27"/>
        <v>3.3126205011205143</v>
      </c>
      <c r="H581" s="84">
        <f>Table1[[#This Row],[Log(Inflation-adjusted)]]-G580</f>
        <v>0.29946335432332649</v>
      </c>
      <c r="I581" s="83">
        <f t="shared" si="25"/>
        <v>-1.0608301371084878</v>
      </c>
      <c r="S581" s="22"/>
      <c r="T581" s="22"/>
    </row>
    <row r="582" spans="2:20" ht="16.2" x14ac:dyDescent="0.45">
      <c r="B582" s="80">
        <v>43983</v>
      </c>
      <c r="C582" s="81">
        <v>2.5700400000000001</v>
      </c>
      <c r="D582" s="81">
        <v>36.14</v>
      </c>
      <c r="E582" s="24">
        <f t="shared" si="26"/>
        <v>3.5874002851640823</v>
      </c>
      <c r="F582" s="81">
        <v>43.78687998630371</v>
      </c>
      <c r="G582" s="24">
        <f t="shared" si="27"/>
        <v>3.7793342288185316</v>
      </c>
      <c r="H582" s="84">
        <f>Table1[[#This Row],[Log(Inflation-adjusted)]]-G581</f>
        <v>0.46671372769801733</v>
      </c>
      <c r="I582" s="83">
        <f t="shared" si="25"/>
        <v>-0.48279070642552924</v>
      </c>
      <c r="S582" s="22"/>
      <c r="T582" s="22"/>
    </row>
    <row r="583" spans="2:20" ht="16.2" x14ac:dyDescent="0.45">
      <c r="B583" s="80">
        <v>44013</v>
      </c>
      <c r="C583" s="81">
        <v>2.5840800000000002</v>
      </c>
      <c r="D583" s="81">
        <v>39.33</v>
      </c>
      <c r="E583" s="24">
        <f t="shared" si="26"/>
        <v>3.6719875864437181</v>
      </c>
      <c r="F583" s="81">
        <v>47.392948314293669</v>
      </c>
      <c r="G583" s="24">
        <f t="shared" si="27"/>
        <v>3.8584734478930756</v>
      </c>
      <c r="H583" s="84">
        <f>Table1[[#This Row],[Log(Inflation-adjusted)]]-G582</f>
        <v>7.9139219074543909E-2</v>
      </c>
      <c r="I583" s="83">
        <f t="shared" si="25"/>
        <v>-0.4187320839874058</v>
      </c>
      <c r="S583" s="22"/>
      <c r="T583" s="22"/>
    </row>
    <row r="584" spans="2:20" ht="16.2" x14ac:dyDescent="0.45">
      <c r="B584" s="80">
        <v>44044</v>
      </c>
      <c r="C584" s="81">
        <v>2.5936599999999999</v>
      </c>
      <c r="D584" s="81">
        <v>41.72</v>
      </c>
      <c r="E584" s="24">
        <f t="shared" si="26"/>
        <v>3.7309806301325716</v>
      </c>
      <c r="F584" s="81">
        <v>50.087227284994952</v>
      </c>
      <c r="G584" s="24">
        <f t="shared" si="27"/>
        <v>3.9137660311756899</v>
      </c>
      <c r="H584" s="84">
        <f>Table1[[#This Row],[Log(Inflation-adjusted)]]-G583</f>
        <v>5.5292583282614327E-2</v>
      </c>
      <c r="I584" s="83">
        <f t="shared" si="25"/>
        <v>-0.29670158474165698</v>
      </c>
      <c r="S584" s="22"/>
      <c r="T584" s="22"/>
    </row>
    <row r="585" spans="2:20" ht="16.2" x14ac:dyDescent="0.45">
      <c r="B585" s="80">
        <v>44075</v>
      </c>
      <c r="C585" s="81">
        <v>2.59951</v>
      </c>
      <c r="D585" s="81">
        <v>38.729999999999997</v>
      </c>
      <c r="E585" s="24">
        <f t="shared" si="26"/>
        <v>3.6566144935266607</v>
      </c>
      <c r="F585" s="81">
        <v>46.392923389407997</v>
      </c>
      <c r="G585" s="24">
        <f t="shared" si="27"/>
        <v>3.8371469344415847</v>
      </c>
      <c r="H585" s="84">
        <f>Table1[[#This Row],[Log(Inflation-adjusted)]]-G584</f>
        <v>-7.6619096734105163E-2</v>
      </c>
      <c r="I585" s="83">
        <f t="shared" si="25"/>
        <v>-0.40549806387075593</v>
      </c>
      <c r="S585" s="22"/>
      <c r="T585" s="22"/>
    </row>
    <row r="586" spans="2:20" ht="16.2" x14ac:dyDescent="0.45">
      <c r="B586" s="80">
        <v>44105</v>
      </c>
      <c r="C586" s="81">
        <v>2.60249</v>
      </c>
      <c r="D586" s="81">
        <v>37.81</v>
      </c>
      <c r="E586" s="24">
        <f t="shared" si="26"/>
        <v>3.6325736179028416</v>
      </c>
      <c r="F586" s="81">
        <v>45.239036138467398</v>
      </c>
      <c r="G586" s="24">
        <f t="shared" si="27"/>
        <v>3.8119603455052022</v>
      </c>
      <c r="H586" s="84">
        <f>Table1[[#This Row],[Log(Inflation-adjusted)]]-G585</f>
        <v>-2.5186588936382481E-2</v>
      </c>
      <c r="I586" s="83">
        <f t="shared" si="25"/>
        <v>-0.37648540897271499</v>
      </c>
      <c r="S586" s="22"/>
      <c r="T586" s="22"/>
    </row>
    <row r="587" spans="2:20" ht="16.2" x14ac:dyDescent="0.45">
      <c r="B587" s="80">
        <v>44136</v>
      </c>
      <c r="C587" s="81">
        <v>2.6089500000000001</v>
      </c>
      <c r="D587" s="81">
        <v>39.15</v>
      </c>
      <c r="E587" s="24">
        <f t="shared" si="26"/>
        <v>3.667400422436812</v>
      </c>
      <c r="F587" s="81">
        <v>46.726337952049676</v>
      </c>
      <c r="G587" s="24">
        <f t="shared" si="27"/>
        <v>3.8443079875394686</v>
      </c>
      <c r="H587" s="84">
        <f>Table1[[#This Row],[Log(Inflation-adjusted)]]-G586</f>
        <v>3.2347642034266322E-2</v>
      </c>
      <c r="I587" s="83">
        <f t="shared" si="25"/>
        <v>-0.35645738827429252</v>
      </c>
      <c r="S587" s="22"/>
      <c r="T587" s="22"/>
    </row>
    <row r="588" spans="2:20" ht="16.2" x14ac:dyDescent="0.45">
      <c r="B588" s="80">
        <v>44166</v>
      </c>
      <c r="C588" s="81">
        <v>2.62005</v>
      </c>
      <c r="D588" s="81">
        <v>45.34</v>
      </c>
      <c r="E588" s="24">
        <f t="shared" si="26"/>
        <v>3.8141896450793831</v>
      </c>
      <c r="F588" s="81">
        <v>53.884973279135899</v>
      </c>
      <c r="G588" s="24">
        <f t="shared" si="27"/>
        <v>3.9868516501618001</v>
      </c>
      <c r="H588" s="84">
        <f>Table1[[#This Row],[Log(Inflation-adjusted)]]-G587</f>
        <v>0.14254366262233154</v>
      </c>
      <c r="I588" s="83">
        <f t="shared" si="25"/>
        <v>-0.23919169377568439</v>
      </c>
      <c r="S588" s="22"/>
      <c r="T588" s="22"/>
    </row>
    <row r="589" spans="2:20" ht="16.2" x14ac:dyDescent="0.45">
      <c r="B589" s="80">
        <v>44197</v>
      </c>
      <c r="C589" s="81">
        <v>2.6251799999999998</v>
      </c>
      <c r="D589" s="81">
        <v>49.6</v>
      </c>
      <c r="E589" s="24">
        <f t="shared" si="26"/>
        <v>3.903990833730882</v>
      </c>
      <c r="F589" s="81">
        <v>58.832638371464057</v>
      </c>
      <c r="G589" s="24">
        <f t="shared" si="27"/>
        <v>4.0746967752524279</v>
      </c>
      <c r="H589" s="84">
        <f>Table1[[#This Row],[Log(Inflation-adjusted)]]-G588</f>
        <v>8.7845125090627807E-2</v>
      </c>
      <c r="I589" s="83">
        <f t="shared" si="25"/>
        <v>-9.6437492610909281E-2</v>
      </c>
      <c r="S589" s="22"/>
      <c r="T589" s="22"/>
    </row>
    <row r="590" spans="2:20" ht="16.2" x14ac:dyDescent="0.45">
      <c r="B590" s="80">
        <v>44228</v>
      </c>
      <c r="C590" s="81">
        <v>2.6358299999999999</v>
      </c>
      <c r="D590" s="81">
        <v>55.71</v>
      </c>
      <c r="E590" s="24">
        <f t="shared" si="26"/>
        <v>4.0201596640327244</v>
      </c>
      <c r="F590" s="81">
        <v>65.812971079318473</v>
      </c>
      <c r="G590" s="24">
        <f t="shared" si="27"/>
        <v>4.1868169477689525</v>
      </c>
      <c r="H590" s="84">
        <f>Table1[[#This Row],[Log(Inflation-adjusted)]]-G589</f>
        <v>0.11212017251652462</v>
      </c>
      <c r="I590" s="83">
        <f t="shared" si="25"/>
        <v>0.14515753702671041</v>
      </c>
      <c r="S590" s="22"/>
      <c r="T590" s="22"/>
    </row>
    <row r="591" spans="2:20" ht="16.2" x14ac:dyDescent="0.45">
      <c r="B591" s="80">
        <v>44256</v>
      </c>
      <c r="C591" s="81">
        <v>2.6490999999999998</v>
      </c>
      <c r="D591" s="81">
        <v>59.84</v>
      </c>
      <c r="E591" s="24">
        <f t="shared" si="26"/>
        <v>4.091674333666222</v>
      </c>
      <c r="F591" s="81">
        <v>70.337830297082036</v>
      </c>
      <c r="G591" s="24">
        <f t="shared" si="27"/>
        <v>4.2533097806372222</v>
      </c>
      <c r="H591" s="84">
        <f>Table1[[#This Row],[Log(Inflation-adjusted)]]-G590</f>
        <v>6.649283286826968E-2</v>
      </c>
      <c r="I591" s="83">
        <f t="shared" si="25"/>
        <v>0.71592091205739239</v>
      </c>
      <c r="S591" s="22"/>
      <c r="T591" s="22"/>
    </row>
    <row r="592" spans="2:20" ht="16.2" x14ac:dyDescent="0.45">
      <c r="B592" s="80">
        <v>44287</v>
      </c>
      <c r="C592" s="81">
        <v>2.6675200000000001</v>
      </c>
      <c r="D592" s="81">
        <v>60.88</v>
      </c>
      <c r="E592" s="24">
        <f t="shared" si="26"/>
        <v>4.1089047135534305</v>
      </c>
      <c r="F592" s="81">
        <v>71.066134716890588</v>
      </c>
      <c r="G592" s="24">
        <f t="shared" si="27"/>
        <v>4.2636109183735753</v>
      </c>
      <c r="H592" s="84">
        <f>Table1[[#This Row],[Log(Inflation-adjusted)]]-G591</f>
        <v>1.0301137736353105E-2</v>
      </c>
      <c r="I592" s="83">
        <f t="shared" si="25"/>
        <v>1.2504537715763875</v>
      </c>
      <c r="S592" s="22"/>
      <c r="T592" s="22"/>
    </row>
    <row r="593" spans="2:20" ht="16.2" x14ac:dyDescent="0.45">
      <c r="B593" s="80">
        <v>44317</v>
      </c>
      <c r="C593" s="81">
        <v>2.68452</v>
      </c>
      <c r="D593" s="81">
        <v>63.81</v>
      </c>
      <c r="E593" s="24">
        <f t="shared" si="26"/>
        <v>4.1559099178802557</v>
      </c>
      <c r="F593" s="81">
        <v>74.014674936301461</v>
      </c>
      <c r="G593" s="24">
        <f t="shared" si="27"/>
        <v>4.304263383493371</v>
      </c>
      <c r="H593" s="84">
        <f>Table1[[#This Row],[Log(Inflation-adjusted)]]-G592</f>
        <v>4.06524651197957E-2</v>
      </c>
      <c r="I593" s="83">
        <f t="shared" si="25"/>
        <v>0.99164288237285669</v>
      </c>
      <c r="S593" s="22"/>
      <c r="T593" s="22"/>
    </row>
    <row r="594" spans="2:20" ht="16.2" x14ac:dyDescent="0.45">
      <c r="B594" s="80">
        <v>44348</v>
      </c>
      <c r="C594" s="81">
        <v>2.7066400000000002</v>
      </c>
      <c r="D594" s="81">
        <v>68.86</v>
      </c>
      <c r="E594" s="24">
        <f t="shared" si="26"/>
        <v>4.2320754579103781</v>
      </c>
      <c r="F594" s="81">
        <v>79.219529364821327</v>
      </c>
      <c r="G594" s="24">
        <f t="shared" si="27"/>
        <v>4.3722228513129746</v>
      </c>
      <c r="H594" s="84">
        <f>Table1[[#This Row],[Log(Inflation-adjusted)]]-G593</f>
        <v>6.7959467819603603E-2</v>
      </c>
      <c r="I594" s="83">
        <f t="shared" si="25"/>
        <v>0.59288862249444296</v>
      </c>
      <c r="S594" s="22"/>
      <c r="T594" s="22"/>
    </row>
    <row r="595" spans="2:20" ht="16.2" x14ac:dyDescent="0.45">
      <c r="B595" s="80">
        <v>44378</v>
      </c>
      <c r="C595" s="81">
        <v>2.7199399999999998</v>
      </c>
      <c r="D595" s="81">
        <v>69.91</v>
      </c>
      <c r="E595" s="24">
        <f t="shared" si="26"/>
        <v>4.2472087005238937</v>
      </c>
      <c r="F595" s="81">
        <v>80.034219416604785</v>
      </c>
      <c r="G595" s="24">
        <f t="shared" si="27"/>
        <v>4.3824542859256086</v>
      </c>
      <c r="H595" s="84">
        <f>Table1[[#This Row],[Log(Inflation-adjusted)]]-G594</f>
        <v>1.0231434612633983E-2</v>
      </c>
      <c r="I595" s="83">
        <f t="shared" si="25"/>
        <v>0.52398083803253304</v>
      </c>
      <c r="S595" s="22"/>
      <c r="T595" s="22"/>
    </row>
    <row r="596" spans="2:20" ht="16.2" x14ac:dyDescent="0.45">
      <c r="B596" s="80">
        <v>44409</v>
      </c>
      <c r="C596" s="81">
        <v>2.7278899999999999</v>
      </c>
      <c r="D596" s="81">
        <v>65.72</v>
      </c>
      <c r="E596" s="24">
        <f t="shared" si="26"/>
        <v>4.1854032931690677</v>
      </c>
      <c r="F596" s="81">
        <v>75.018164926005085</v>
      </c>
      <c r="G596" s="24">
        <f t="shared" si="27"/>
        <v>4.3177302832242654</v>
      </c>
      <c r="H596" s="84">
        <f>Table1[[#This Row],[Log(Inflation-adjusted)]]-G595</f>
        <v>-6.4724002701343153E-2</v>
      </c>
      <c r="I596" s="83">
        <f t="shared" si="25"/>
        <v>0.40396425204857556</v>
      </c>
      <c r="S596" s="22"/>
      <c r="T596" s="22"/>
    </row>
    <row r="597" spans="2:20" ht="16.2" x14ac:dyDescent="0.45">
      <c r="B597" s="80">
        <v>44440</v>
      </c>
      <c r="C597" s="81">
        <v>2.7388699999999999</v>
      </c>
      <c r="D597" s="81">
        <v>69.27</v>
      </c>
      <c r="E597" s="24">
        <f t="shared" si="26"/>
        <v>4.2380119120345139</v>
      </c>
      <c r="F597" s="81">
        <v>78.753434708474657</v>
      </c>
      <c r="G597" s="24">
        <f t="shared" si="27"/>
        <v>4.3663218921003306</v>
      </c>
      <c r="H597" s="84">
        <f>Table1[[#This Row],[Log(Inflation-adjusted)]]-G596</f>
        <v>4.8591608876065173E-2</v>
      </c>
      <c r="I597" s="83">
        <f t="shared" si="25"/>
        <v>0.52917495765874589</v>
      </c>
      <c r="S597" s="22"/>
      <c r="T597" s="22"/>
    </row>
    <row r="598" spans="2:20" ht="16.2" x14ac:dyDescent="0.45">
      <c r="B598" s="80">
        <v>44470</v>
      </c>
      <c r="C598" s="81">
        <v>2.7643399999999998</v>
      </c>
      <c r="D598" s="81">
        <v>75.94</v>
      </c>
      <c r="E598" s="24">
        <f t="shared" si="26"/>
        <v>4.3299435548036564</v>
      </c>
      <c r="F598" s="81">
        <v>85.541107765325549</v>
      </c>
      <c r="G598" s="24">
        <f t="shared" si="27"/>
        <v>4.448997052975904</v>
      </c>
      <c r="H598" s="84">
        <f>Table1[[#This Row],[Log(Inflation-adjusted)]]-G597</f>
        <v>8.2675160875573361E-2</v>
      </c>
      <c r="I598" s="83">
        <f t="shared" si="25"/>
        <v>0.63703670747070174</v>
      </c>
      <c r="S598" s="22"/>
      <c r="T598" s="22"/>
    </row>
    <row r="599" spans="2:20" ht="16.2" x14ac:dyDescent="0.45">
      <c r="B599" s="80">
        <v>44501</v>
      </c>
      <c r="C599" s="81">
        <v>2.7879900000000002</v>
      </c>
      <c r="D599" s="81">
        <v>76.61</v>
      </c>
      <c r="E599" s="24">
        <f t="shared" si="26"/>
        <v>4.3387276165287298</v>
      </c>
      <c r="F599" s="81">
        <v>85.563784647721107</v>
      </c>
      <c r="G599" s="24">
        <f t="shared" si="27"/>
        <v>4.4492621170802495</v>
      </c>
      <c r="H599" s="84">
        <f>Table1[[#This Row],[Log(Inflation-adjusted)]]-G598</f>
        <v>2.6506410434556926E-4</v>
      </c>
      <c r="I599" s="83">
        <f t="shared" si="25"/>
        <v>0.60495412954078098</v>
      </c>
      <c r="S599" s="22"/>
      <c r="T599" s="22"/>
    </row>
    <row r="600" spans="2:20" ht="16.2" x14ac:dyDescent="0.45">
      <c r="B600" s="80">
        <v>44531</v>
      </c>
      <c r="C600" s="81">
        <v>2.8080799999999999</v>
      </c>
      <c r="D600" s="81">
        <v>68.22</v>
      </c>
      <c r="E600" s="24">
        <f t="shared" si="26"/>
        <v>4.2227377769904999</v>
      </c>
      <c r="F600" s="81">
        <v>75.648091193983078</v>
      </c>
      <c r="G600" s="24">
        <f t="shared" si="27"/>
        <v>4.3260922078470694</v>
      </c>
      <c r="H600" s="84">
        <f>Table1[[#This Row],[Log(Inflation-adjusted)]]-G599</f>
        <v>-0.12316990923318016</v>
      </c>
      <c r="I600" s="83">
        <f t="shared" si="25"/>
        <v>0.33924055768526928</v>
      </c>
      <c r="S600" s="22"/>
      <c r="T600" s="22"/>
    </row>
    <row r="601" spans="2:20" ht="16.2" x14ac:dyDescent="0.45">
      <c r="B601" s="80">
        <v>44562</v>
      </c>
      <c r="C601" s="81">
        <v>2.8239000000000001</v>
      </c>
      <c r="D601" s="81">
        <v>76.92</v>
      </c>
      <c r="E601" s="24">
        <f t="shared" si="26"/>
        <v>4.3427659207205789</v>
      </c>
      <c r="F601" s="81">
        <v>84.817544927228298</v>
      </c>
      <c r="G601" s="24">
        <f t="shared" si="27"/>
        <v>4.4405024191242228</v>
      </c>
      <c r="H601" s="84">
        <f>Table1[[#This Row],[Log(Inflation-adjusted)]]-G600</f>
        <v>0.11441021127715345</v>
      </c>
      <c r="I601" s="83">
        <f t="shared" ref="I601:I626" si="28">G601-G589</f>
        <v>0.36580564387179493</v>
      </c>
      <c r="S601" s="22"/>
      <c r="T601" s="22"/>
    </row>
    <row r="602" spans="2:20" ht="16.2" x14ac:dyDescent="0.45">
      <c r="B602" s="80">
        <v>44593</v>
      </c>
      <c r="C602" s="81">
        <v>2.8453499999999998</v>
      </c>
      <c r="D602" s="81">
        <v>87.73</v>
      </c>
      <c r="E602" s="24">
        <f t="shared" ref="E602:E626" si="29">LN(D602)</f>
        <v>4.4742639161402922</v>
      </c>
      <c r="F602" s="81">
        <v>96.008164999033525</v>
      </c>
      <c r="G602" s="24">
        <f t="shared" ref="G602:G626" si="30">LN(F602)</f>
        <v>4.5644332399243792</v>
      </c>
      <c r="H602" s="84">
        <f>Table1[[#This Row],[Log(Inflation-adjusted)]]-G601</f>
        <v>0.12393082080015638</v>
      </c>
      <c r="I602" s="83">
        <f t="shared" si="28"/>
        <v>0.37761629215542669</v>
      </c>
      <c r="S602" s="22"/>
      <c r="T602" s="22"/>
    </row>
    <row r="603" spans="2:20" ht="16.2" x14ac:dyDescent="0.45">
      <c r="B603" s="80">
        <v>44621</v>
      </c>
      <c r="C603" s="81">
        <v>2.8755299999999999</v>
      </c>
      <c r="D603" s="81">
        <v>104.39</v>
      </c>
      <c r="E603" s="24">
        <f t="shared" si="29"/>
        <v>4.648133885420207</v>
      </c>
      <c r="F603" s="81">
        <v>113.04119242017994</v>
      </c>
      <c r="G603" s="24">
        <f t="shared" si="30"/>
        <v>4.7277522869775703</v>
      </c>
      <c r="H603" s="84">
        <f>Table1[[#This Row],[Log(Inflation-adjusted)]]-G602</f>
        <v>0.16331904705319111</v>
      </c>
      <c r="I603" s="83">
        <f t="shared" si="28"/>
        <v>0.47444250634034812</v>
      </c>
      <c r="S603" s="22"/>
      <c r="T603" s="22"/>
    </row>
    <row r="604" spans="2:20" ht="16.2" x14ac:dyDescent="0.45">
      <c r="B604" s="80">
        <v>44652</v>
      </c>
      <c r="C604" s="81">
        <v>2.8876400000000002</v>
      </c>
      <c r="D604" s="81">
        <v>102.7</v>
      </c>
      <c r="E604" s="24">
        <f t="shared" si="29"/>
        <v>4.6318121169345128</v>
      </c>
      <c r="F604" s="81">
        <v>110.74474560540789</v>
      </c>
      <c r="G604" s="24">
        <f t="shared" si="30"/>
        <v>4.7072279640562593</v>
      </c>
      <c r="H604" s="84">
        <f>Table1[[#This Row],[Log(Inflation-adjusted)]]-G603</f>
        <v>-2.0524322921311011E-2</v>
      </c>
      <c r="I604" s="83">
        <f t="shared" si="28"/>
        <v>0.44361704568268401</v>
      </c>
      <c r="S604" s="22"/>
      <c r="T604" s="22"/>
    </row>
    <row r="605" spans="2:20" ht="16.2" x14ac:dyDescent="0.45">
      <c r="B605" s="80">
        <v>44682</v>
      </c>
      <c r="C605" s="81">
        <v>2.9135900000000001</v>
      </c>
      <c r="D605" s="81">
        <v>108.71</v>
      </c>
      <c r="E605" s="24">
        <f t="shared" si="29"/>
        <v>4.6886837862159085</v>
      </c>
      <c r="F605" s="81">
        <v>116.18145022463695</v>
      </c>
      <c r="G605" s="24">
        <f t="shared" si="30"/>
        <v>4.7551531950535049</v>
      </c>
      <c r="H605" s="84">
        <f>Table1[[#This Row],[Log(Inflation-adjusted)]]-G604</f>
        <v>4.7925230997245549E-2</v>
      </c>
      <c r="I605" s="83">
        <f t="shared" si="28"/>
        <v>0.45088981156013386</v>
      </c>
      <c r="S605" s="22"/>
      <c r="T605" s="22"/>
    </row>
    <row r="606" spans="2:20" ht="16.2" x14ac:dyDescent="0.45">
      <c r="B606" s="80">
        <v>44713</v>
      </c>
      <c r="C606" s="81">
        <v>2.9499599999999999</v>
      </c>
      <c r="D606" s="81">
        <v>112.06</v>
      </c>
      <c r="E606" s="24">
        <f t="shared" si="29"/>
        <v>4.7190344421371382</v>
      </c>
      <c r="F606" s="81">
        <v>118.28515036136085</v>
      </c>
      <c r="G606" s="24">
        <f t="shared" si="30"/>
        <v>4.7730982378421638</v>
      </c>
      <c r="H606" s="84">
        <f>Table1[[#This Row],[Log(Inflation-adjusted)]]-G605</f>
        <v>1.7945042788658938E-2</v>
      </c>
      <c r="I606" s="83">
        <f t="shared" si="28"/>
        <v>0.40087538652918919</v>
      </c>
      <c r="S606" s="22"/>
      <c r="T606" s="22"/>
    </row>
    <row r="607" spans="2:20" ht="16.2" x14ac:dyDescent="0.45">
      <c r="B607" s="80">
        <v>44743</v>
      </c>
      <c r="C607" s="81">
        <v>2.94977</v>
      </c>
      <c r="D607" s="81">
        <v>99.67</v>
      </c>
      <c r="E607" s="24">
        <f t="shared" si="29"/>
        <v>4.6018647289793648</v>
      </c>
      <c r="F607" s="81">
        <v>105.21363839214582</v>
      </c>
      <c r="G607" s="24">
        <f t="shared" si="30"/>
        <v>4.6559929344116373</v>
      </c>
      <c r="H607" s="84">
        <f>Table1[[#This Row],[Log(Inflation-adjusted)]]-G606</f>
        <v>-0.1171053034305265</v>
      </c>
      <c r="I607" s="83">
        <f t="shared" si="28"/>
        <v>0.27353864848602871</v>
      </c>
      <c r="S607" s="22"/>
      <c r="T607" s="22"/>
    </row>
    <row r="608" spans="2:20" ht="16.2" x14ac:dyDescent="0.45">
      <c r="B608" s="80">
        <v>44774</v>
      </c>
      <c r="C608" s="81">
        <v>2.9520900000000001</v>
      </c>
      <c r="D608" s="81">
        <v>92.21</v>
      </c>
      <c r="E608" s="24">
        <f t="shared" si="29"/>
        <v>4.52406858455105</v>
      </c>
      <c r="F608" s="81">
        <v>97.262216788783533</v>
      </c>
      <c r="G608" s="24">
        <f t="shared" si="30"/>
        <v>4.577410597115481</v>
      </c>
      <c r="H608" s="84">
        <f>Table1[[#This Row],[Log(Inflation-adjusted)]]-G607</f>
        <v>-7.8582337296156268E-2</v>
      </c>
      <c r="I608" s="83">
        <f t="shared" si="28"/>
        <v>0.2596803138912156</v>
      </c>
      <c r="S608" s="22"/>
      <c r="T608" s="22"/>
    </row>
    <row r="609" spans="2:20" ht="16.2" x14ac:dyDescent="0.45">
      <c r="B609" s="80">
        <v>44805</v>
      </c>
      <c r="C609" s="81">
        <v>2.9634100000000001</v>
      </c>
      <c r="D609" s="81">
        <v>83.3</v>
      </c>
      <c r="E609" s="24">
        <f t="shared" si="29"/>
        <v>4.4224485491727972</v>
      </c>
      <c r="F609" s="81">
        <v>87.528400997499503</v>
      </c>
      <c r="G609" s="24">
        <f t="shared" si="30"/>
        <v>4.4719633235265244</v>
      </c>
      <c r="H609" s="84">
        <f>Table1[[#This Row],[Log(Inflation-adjusted)]]-G608</f>
        <v>-0.10544727358895667</v>
      </c>
      <c r="I609" s="83">
        <f t="shared" si="28"/>
        <v>0.10564143142619375</v>
      </c>
      <c r="S609" s="22"/>
      <c r="T609" s="22"/>
    </row>
    <row r="610" spans="2:20" ht="16.2" x14ac:dyDescent="0.45">
      <c r="B610" s="80">
        <v>44835</v>
      </c>
      <c r="C610" s="81">
        <v>2.9786299999999999</v>
      </c>
      <c r="D610" s="81">
        <v>84.26</v>
      </c>
      <c r="E610" s="24">
        <f t="shared" si="29"/>
        <v>4.4339072565508708</v>
      </c>
      <c r="F610" s="81">
        <v>88.084730684912202</v>
      </c>
      <c r="G610" s="24">
        <f t="shared" si="30"/>
        <v>4.4782991999289194</v>
      </c>
      <c r="H610" s="84">
        <f>Table1[[#This Row],[Log(Inflation-adjusted)]]-G609</f>
        <v>6.3358764023950798E-3</v>
      </c>
      <c r="I610" s="83">
        <f t="shared" si="28"/>
        <v>2.9302146953015473E-2</v>
      </c>
      <c r="S610" s="22"/>
      <c r="T610" s="22"/>
    </row>
    <row r="611" spans="2:20" ht="16.2" x14ac:dyDescent="0.45">
      <c r="B611" s="80">
        <v>44866</v>
      </c>
      <c r="C611" s="81">
        <v>2.9864799999999998</v>
      </c>
      <c r="D611" s="81">
        <v>79.31</v>
      </c>
      <c r="E611" s="24">
        <f t="shared" si="29"/>
        <v>4.3733642240952282</v>
      </c>
      <c r="F611" s="81">
        <v>82.692110163135212</v>
      </c>
      <c r="G611" s="24">
        <f t="shared" si="30"/>
        <v>4.4151241943724973</v>
      </c>
      <c r="H611" s="84">
        <f>Table1[[#This Row],[Log(Inflation-adjusted)]]-G610</f>
        <v>-6.3175005556422192E-2</v>
      </c>
      <c r="I611" s="83">
        <f t="shared" si="28"/>
        <v>-3.4137922707752288E-2</v>
      </c>
      <c r="S611" s="22"/>
      <c r="T611" s="22"/>
    </row>
    <row r="612" spans="2:20" ht="16.2" x14ac:dyDescent="0.45">
      <c r="B612" s="80">
        <v>44896</v>
      </c>
      <c r="C612" s="81">
        <v>2.9881199999999999</v>
      </c>
      <c r="D612" s="81">
        <v>70.89</v>
      </c>
      <c r="E612" s="24">
        <f t="shared" si="29"/>
        <v>4.2611293798669259</v>
      </c>
      <c r="F612" s="81">
        <v>73.872479699610466</v>
      </c>
      <c r="G612" s="24">
        <f t="shared" si="30"/>
        <v>4.3023403594029936</v>
      </c>
      <c r="H612" s="84">
        <f>Table1[[#This Row],[Log(Inflation-adjusted)]]-G611</f>
        <v>-0.11278383496950362</v>
      </c>
      <c r="I612" s="83">
        <f t="shared" si="28"/>
        <v>-2.375184844407574E-2</v>
      </c>
      <c r="S612" s="22"/>
      <c r="T612" s="22"/>
    </row>
    <row r="613" spans="2:20" ht="16.2" x14ac:dyDescent="0.45">
      <c r="B613" s="80">
        <v>44927</v>
      </c>
      <c r="C613" s="81">
        <v>3.0035599999999998</v>
      </c>
      <c r="D613" s="81">
        <v>70.23</v>
      </c>
      <c r="E613" s="24">
        <f t="shared" si="29"/>
        <v>4.2517755701709294</v>
      </c>
      <c r="F613" s="81">
        <v>72.808501338411759</v>
      </c>
      <c r="G613" s="24">
        <f t="shared" si="30"/>
        <v>4.2878327250113157</v>
      </c>
      <c r="H613" s="84">
        <f>Table1[[#This Row],[Log(Inflation-adjusted)]]-G612</f>
        <v>-1.4507634391677904E-2</v>
      </c>
      <c r="I613" s="83">
        <f t="shared" si="28"/>
        <v>-0.1526696941129071</v>
      </c>
      <c r="S613" s="22"/>
      <c r="T613" s="22"/>
    </row>
    <row r="614" spans="2:20" ht="16.2" x14ac:dyDescent="0.45">
      <c r="B614" s="80">
        <v>44958</v>
      </c>
      <c r="C614" s="81">
        <v>3.0150899999999998</v>
      </c>
      <c r="D614" s="81">
        <v>69.52</v>
      </c>
      <c r="E614" s="24">
        <f t="shared" si="29"/>
        <v>4.2416144809571366</v>
      </c>
      <c r="F614" s="81">
        <v>71.796821560882094</v>
      </c>
      <c r="G614" s="24">
        <f t="shared" si="30"/>
        <v>4.2738402071200357</v>
      </c>
      <c r="H614" s="84">
        <f>Table1[[#This Row],[Log(Inflation-adjusted)]]-G613</f>
        <v>-1.3992517891280087E-2</v>
      </c>
      <c r="I614" s="83">
        <f t="shared" si="28"/>
        <v>-0.29059303280434357</v>
      </c>
      <c r="S614" s="22"/>
      <c r="T614" s="22"/>
    </row>
    <row r="615" spans="2:20" ht="16.2" x14ac:dyDescent="0.45">
      <c r="B615" s="80">
        <v>44986</v>
      </c>
      <c r="C615" s="81">
        <v>3.0174400000000001</v>
      </c>
      <c r="D615" s="81">
        <v>68.45</v>
      </c>
      <c r="E615" s="24">
        <f t="shared" si="29"/>
        <v>4.2261035517344583</v>
      </c>
      <c r="F615" s="81">
        <v>70.636723248846707</v>
      </c>
      <c r="G615" s="24">
        <f t="shared" si="30"/>
        <v>4.2575501685953316</v>
      </c>
      <c r="H615" s="84">
        <f>Table1[[#This Row],[Log(Inflation-adjusted)]]-G614</f>
        <v>-1.6290038524704009E-2</v>
      </c>
      <c r="I615" s="83">
        <f t="shared" si="28"/>
        <v>-0.47020211838223869</v>
      </c>
      <c r="S615" s="22"/>
      <c r="T615" s="22"/>
    </row>
    <row r="616" spans="2:20" ht="16.2" x14ac:dyDescent="0.45">
      <c r="B616" s="80">
        <v>45017</v>
      </c>
      <c r="C616" s="81">
        <v>3.0303200000000001</v>
      </c>
      <c r="D616" s="81">
        <v>74.83</v>
      </c>
      <c r="E616" s="24">
        <f t="shared" si="29"/>
        <v>4.3152188740922668</v>
      </c>
      <c r="F616" s="81">
        <v>76.892324203384462</v>
      </c>
      <c r="G616" s="24">
        <f t="shared" si="30"/>
        <v>4.3424060562291276</v>
      </c>
      <c r="H616" s="84">
        <f>Table1[[#This Row],[Log(Inflation-adjusted)]]-G615</f>
        <v>8.4855887633795923E-2</v>
      </c>
      <c r="I616" s="83">
        <f t="shared" si="28"/>
        <v>-0.36482190782713175</v>
      </c>
      <c r="S616" s="22"/>
      <c r="T616" s="22"/>
    </row>
    <row r="617" spans="2:20" ht="16.2" x14ac:dyDescent="0.45">
      <c r="B617" s="80">
        <v>45047</v>
      </c>
      <c r="C617" s="81">
        <v>3.0336500000000002</v>
      </c>
      <c r="D617" s="81">
        <v>69.510000000000005</v>
      </c>
      <c r="E617" s="24">
        <f t="shared" si="29"/>
        <v>4.2414706271123945</v>
      </c>
      <c r="F617" s="81">
        <v>71.34730122459743</v>
      </c>
      <c r="G617" s="24">
        <f t="shared" si="30"/>
        <v>4.267559518744938</v>
      </c>
      <c r="H617" s="84">
        <f>Table1[[#This Row],[Log(Inflation-adjusted)]]-G616</f>
        <v>-7.4846537484189568E-2</v>
      </c>
      <c r="I617" s="83">
        <f t="shared" si="28"/>
        <v>-0.48759367630856687</v>
      </c>
      <c r="S617" s="22"/>
      <c r="T617" s="22"/>
    </row>
    <row r="618" spans="2:20" ht="16.2" x14ac:dyDescent="0.45">
      <c r="B618" s="80">
        <v>45078</v>
      </c>
      <c r="C618" s="81">
        <v>3.0400299999999998</v>
      </c>
      <c r="D618" s="81">
        <v>69.63</v>
      </c>
      <c r="E618" s="24">
        <f t="shared" si="29"/>
        <v>4.2431955089544555</v>
      </c>
      <c r="F618" s="81">
        <v>71.320480613678157</v>
      </c>
      <c r="G618" s="24">
        <f t="shared" si="30"/>
        <v>4.2671835318067561</v>
      </c>
      <c r="H618" s="84">
        <f>Table1[[#This Row],[Log(Inflation-adjusted)]]-G617</f>
        <v>-3.7598693818186035E-4</v>
      </c>
      <c r="I618" s="83">
        <f t="shared" si="28"/>
        <v>-0.50591470603540767</v>
      </c>
      <c r="S618" s="22"/>
      <c r="T618" s="22"/>
    </row>
    <row r="619" spans="2:20" ht="16.2" x14ac:dyDescent="0.45">
      <c r="B619" s="80">
        <v>45108</v>
      </c>
      <c r="C619" s="81">
        <v>3.0462799999999999</v>
      </c>
      <c r="D619" s="81">
        <v>74.83</v>
      </c>
      <c r="E619" s="24">
        <f t="shared" si="29"/>
        <v>4.3152188740922668</v>
      </c>
      <c r="F619" s="81">
        <v>76.489471709757481</v>
      </c>
      <c r="G619" s="24">
        <f t="shared" si="30"/>
        <v>4.3371531066522886</v>
      </c>
      <c r="H619" s="84">
        <f>Table1[[#This Row],[Log(Inflation-adjusted)]]-G618</f>
        <v>6.9969574845532456E-2</v>
      </c>
      <c r="I619" s="83">
        <f t="shared" si="28"/>
        <v>-0.31883982775934872</v>
      </c>
      <c r="S619" s="22"/>
      <c r="T619" s="22"/>
    </row>
    <row r="620" spans="2:20" ht="16.2" x14ac:dyDescent="0.45">
      <c r="B620" s="80">
        <v>45139</v>
      </c>
      <c r="C620" s="81">
        <v>3.0618699999999999</v>
      </c>
      <c r="D620" s="81">
        <v>81.02</v>
      </c>
      <c r="E620" s="24">
        <f t="shared" si="29"/>
        <v>4.3946960377745441</v>
      </c>
      <c r="F620" s="81">
        <v>82.395069914790625</v>
      </c>
      <c r="G620" s="24">
        <f t="shared" si="30"/>
        <v>4.4115256039942912</v>
      </c>
      <c r="H620" s="84">
        <f>Table1[[#This Row],[Log(Inflation-adjusted)]]-G619</f>
        <v>7.4372497342002575E-2</v>
      </c>
      <c r="I620" s="83">
        <f t="shared" si="28"/>
        <v>-0.16588499312118987</v>
      </c>
      <c r="S620" s="22"/>
      <c r="T620" s="22"/>
    </row>
    <row r="621" spans="2:20" ht="16.2" x14ac:dyDescent="0.45">
      <c r="B621" s="80">
        <v>45170</v>
      </c>
      <c r="C621" s="81">
        <v>3.0728800000000001</v>
      </c>
      <c r="D621" s="81">
        <v>87.17</v>
      </c>
      <c r="E621" s="24">
        <f t="shared" si="29"/>
        <v>4.4678602350234851</v>
      </c>
      <c r="F621" s="81">
        <v>88.331820350941129</v>
      </c>
      <c r="G621" s="24">
        <f t="shared" si="30"/>
        <v>4.4811004090688717</v>
      </c>
      <c r="H621" s="84">
        <f>Table1[[#This Row],[Log(Inflation-adjusted)]]-G620</f>
        <v>6.9574805074580581E-2</v>
      </c>
      <c r="I621" s="83">
        <f t="shared" si="28"/>
        <v>9.1370855423473785E-3</v>
      </c>
      <c r="S621" s="22"/>
      <c r="T621" s="22"/>
    </row>
    <row r="622" spans="2:20" ht="16.2" x14ac:dyDescent="0.45">
      <c r="B622" s="80">
        <v>45200</v>
      </c>
      <c r="C622" s="81">
        <v>3.07531</v>
      </c>
      <c r="D622" s="81">
        <v>83.3</v>
      </c>
      <c r="E622" s="24">
        <f t="shared" si="29"/>
        <v>4.4224485491727972</v>
      </c>
      <c r="F622" s="81">
        <v>84.34354221200465</v>
      </c>
      <c r="G622" s="24">
        <f t="shared" si="30"/>
        <v>4.4348982466302669</v>
      </c>
      <c r="H622" s="84">
        <f>Table1[[#This Row],[Log(Inflation-adjusted)]]-G621</f>
        <v>-4.6202162438604866E-2</v>
      </c>
      <c r="I622" s="83">
        <f t="shared" si="28"/>
        <v>-4.3400953298652567E-2</v>
      </c>
      <c r="S622" s="22"/>
      <c r="T622" s="22"/>
    </row>
    <row r="623" spans="2:20" ht="16.2" x14ac:dyDescent="0.45">
      <c r="B623" s="80">
        <v>45231</v>
      </c>
      <c r="C623" s="81">
        <v>3.0802399999999999</v>
      </c>
      <c r="D623" s="81">
        <v>76.39</v>
      </c>
      <c r="E623" s="24">
        <f t="shared" si="29"/>
        <v>4.3358517975532687</v>
      </c>
      <c r="F623" s="81">
        <v>77.22318132353324</v>
      </c>
      <c r="G623" s="24">
        <f t="shared" si="30"/>
        <v>4.3466996881684219</v>
      </c>
      <c r="H623" s="84">
        <f>Table1[[#This Row],[Log(Inflation-adjusted)]]-G622</f>
        <v>-8.8198558461844989E-2</v>
      </c>
      <c r="I623" s="83">
        <f t="shared" si="28"/>
        <v>-6.8424506204075364E-2</v>
      </c>
      <c r="S623" s="22"/>
      <c r="T623" s="22"/>
    </row>
    <row r="624" spans="2:20" ht="16.2" x14ac:dyDescent="0.45">
      <c r="B624" s="80">
        <v>45261</v>
      </c>
      <c r="C624" s="81">
        <v>3.0874199999999998</v>
      </c>
      <c r="D624" s="81">
        <v>67.73</v>
      </c>
      <c r="E624" s="24">
        <f t="shared" si="29"/>
        <v>4.2155292132268123</v>
      </c>
      <c r="F624" s="81">
        <v>68.309498636401912</v>
      </c>
      <c r="G624" s="24">
        <f t="shared" si="30"/>
        <v>4.2240488291823759</v>
      </c>
      <c r="H624" s="84">
        <f>Table1[[#This Row],[Log(Inflation-adjusted)]]-G623</f>
        <v>-0.122650858986046</v>
      </c>
      <c r="I624" s="83">
        <f t="shared" si="28"/>
        <v>-7.8291530220617744E-2</v>
      </c>
      <c r="S624" s="22"/>
      <c r="T624" s="22"/>
    </row>
    <row r="625" spans="2:20" ht="16.2" x14ac:dyDescent="0.45">
      <c r="B625" s="80">
        <v>45292</v>
      </c>
      <c r="C625" s="81">
        <v>3.0968499999999999</v>
      </c>
      <c r="D625" s="81">
        <v>68.63</v>
      </c>
      <c r="E625" s="24">
        <f t="shared" si="29"/>
        <v>4.2287297569205435</v>
      </c>
      <c r="F625" s="81">
        <v>69.006430624667004</v>
      </c>
      <c r="G625" s="24">
        <f t="shared" si="30"/>
        <v>4.2341996977135885</v>
      </c>
      <c r="H625" s="84">
        <f>Table1[[#This Row],[Log(Inflation-adjusted)]]-G624</f>
        <v>1.0150868531212609E-2</v>
      </c>
      <c r="I625" s="83">
        <f t="shared" si="28"/>
        <v>-5.3633027297727232E-2</v>
      </c>
      <c r="S625" s="22"/>
      <c r="T625" s="22"/>
    </row>
    <row r="626" spans="2:20" ht="16.2" x14ac:dyDescent="0.45">
      <c r="B626" s="80">
        <v>45323</v>
      </c>
      <c r="C626" s="81">
        <v>3.1105399999999999</v>
      </c>
      <c r="D626" s="81">
        <v>74.5</v>
      </c>
      <c r="E626" s="24">
        <f t="shared" si="29"/>
        <v>4.3107991253855138</v>
      </c>
      <c r="F626" s="81">
        <v>74.578941920052472</v>
      </c>
      <c r="G626" s="24">
        <f t="shared" si="30"/>
        <v>4.3118581874691895</v>
      </c>
      <c r="H626" s="84">
        <f>Table1[[#This Row],[Log(Inflation-adjusted)]]-G625</f>
        <v>7.7658489755600968E-2</v>
      </c>
      <c r="I626" s="83">
        <f t="shared" si="28"/>
        <v>3.8017980349153824E-2</v>
      </c>
      <c r="S626" s="22"/>
      <c r="T626" s="22"/>
    </row>
    <row r="627" spans="2:20" ht="16.2" x14ac:dyDescent="0.45">
      <c r="S627" s="22"/>
      <c r="T627" s="22"/>
    </row>
    <row r="628" spans="2:20" ht="16.2" x14ac:dyDescent="0.45">
      <c r="S628" s="22"/>
      <c r="T628" s="22"/>
    </row>
    <row r="629" spans="2:20" ht="16.2" x14ac:dyDescent="0.45">
      <c r="S629" s="22"/>
      <c r="T629" s="22"/>
    </row>
    <row r="630" spans="2:20" ht="16.2" x14ac:dyDescent="0.45">
      <c r="S630" s="22"/>
      <c r="T630" s="22"/>
    </row>
    <row r="631" spans="2:20" ht="16.2" x14ac:dyDescent="0.45">
      <c r="S631" s="22"/>
      <c r="T631" s="22"/>
    </row>
    <row r="632" spans="2:20" ht="16.2" x14ac:dyDescent="0.45">
      <c r="S632" s="22"/>
      <c r="T632" s="22"/>
    </row>
    <row r="633" spans="2:20" ht="16.2" x14ac:dyDescent="0.45">
      <c r="S633" s="22"/>
      <c r="T633" s="22"/>
    </row>
    <row r="634" spans="2:20" ht="16.2" x14ac:dyDescent="0.45">
      <c r="S634" s="22"/>
      <c r="T634" s="22"/>
    </row>
    <row r="635" spans="2:20" ht="16.2" x14ac:dyDescent="0.45">
      <c r="S635" s="22"/>
      <c r="T635" s="22"/>
    </row>
    <row r="636" spans="2:20" ht="16.2" x14ac:dyDescent="0.45">
      <c r="S636" s="22"/>
      <c r="T636" s="22"/>
    </row>
    <row r="637" spans="2:20" ht="16.2" x14ac:dyDescent="0.45">
      <c r="S637" s="22"/>
      <c r="T637" s="22"/>
    </row>
    <row r="638" spans="2:20" ht="16.2" x14ac:dyDescent="0.45">
      <c r="S638" s="22"/>
      <c r="T638" s="22"/>
    </row>
    <row r="639" spans="2:20" ht="16.2" x14ac:dyDescent="0.45">
      <c r="S639" s="22"/>
      <c r="T639" s="22"/>
    </row>
    <row r="640" spans="2:20" ht="16.2" x14ac:dyDescent="0.45">
      <c r="S640" s="22"/>
      <c r="T640" s="22"/>
    </row>
    <row r="641" spans="19:20" ht="16.2" x14ac:dyDescent="0.45">
      <c r="S641" s="22"/>
      <c r="T641" s="22"/>
    </row>
    <row r="642" spans="19:20" ht="16.2" x14ac:dyDescent="0.45">
      <c r="S642" s="22"/>
      <c r="T642" s="22"/>
    </row>
    <row r="643" spans="19:20" ht="16.2" x14ac:dyDescent="0.45">
      <c r="S643" s="22"/>
      <c r="T643" s="22"/>
    </row>
    <row r="644" spans="19:20" ht="16.2" x14ac:dyDescent="0.45">
      <c r="S644" s="22"/>
      <c r="T644" s="22"/>
    </row>
    <row r="645" spans="19:20" ht="16.2" x14ac:dyDescent="0.45">
      <c r="S645" s="22"/>
      <c r="T645" s="22"/>
    </row>
    <row r="646" spans="19:20" ht="16.2" x14ac:dyDescent="0.45">
      <c r="S646" s="22"/>
      <c r="T646" s="22"/>
    </row>
    <row r="647" spans="19:20" ht="16.2" x14ac:dyDescent="0.45">
      <c r="S647" s="22"/>
      <c r="T647" s="22"/>
    </row>
    <row r="648" spans="19:20" ht="16.2" x14ac:dyDescent="0.45">
      <c r="S648" s="22"/>
      <c r="T648" s="22"/>
    </row>
    <row r="649" spans="19:20" ht="16.2" x14ac:dyDescent="0.45">
      <c r="S649" s="22"/>
      <c r="T649" s="22"/>
    </row>
    <row r="650" spans="19:20" ht="16.2" x14ac:dyDescent="0.45">
      <c r="S650" s="22"/>
      <c r="T650" s="22"/>
    </row>
    <row r="651" spans="19:20" ht="16.2" x14ac:dyDescent="0.45">
      <c r="S651" s="22"/>
      <c r="T651" s="22"/>
    </row>
    <row r="652" spans="19:20" ht="16.2" x14ac:dyDescent="0.45">
      <c r="S652" s="22"/>
      <c r="T652" s="22"/>
    </row>
    <row r="653" spans="19:20" ht="16.2" x14ac:dyDescent="0.45">
      <c r="S653" s="22"/>
      <c r="T653" s="22"/>
    </row>
    <row r="654" spans="19:20" ht="16.2" x14ac:dyDescent="0.45">
      <c r="S654" s="22"/>
      <c r="T654" s="22"/>
    </row>
    <row r="655" spans="19:20" ht="16.2" x14ac:dyDescent="0.45">
      <c r="S655" s="22"/>
      <c r="T655" s="22"/>
    </row>
    <row r="656" spans="19:20" ht="16.2" x14ac:dyDescent="0.45">
      <c r="S656" s="22"/>
      <c r="T656" s="22"/>
    </row>
    <row r="657" spans="19:20" ht="16.2" x14ac:dyDescent="0.45">
      <c r="S657" s="22"/>
      <c r="T657" s="22"/>
    </row>
    <row r="658" spans="19:20" ht="16.2" x14ac:dyDescent="0.45">
      <c r="S658" s="22"/>
      <c r="T658" s="22"/>
    </row>
    <row r="659" spans="19:20" ht="16.2" x14ac:dyDescent="0.45">
      <c r="S659" s="22"/>
      <c r="T659" s="22"/>
    </row>
    <row r="660" spans="19:20" ht="16.2" x14ac:dyDescent="0.45">
      <c r="S660" s="22"/>
      <c r="T660" s="22"/>
    </row>
    <row r="661" spans="19:20" ht="16.2" x14ac:dyDescent="0.45">
      <c r="S661" s="22"/>
      <c r="T661" s="22"/>
    </row>
    <row r="662" spans="19:20" ht="16.2" x14ac:dyDescent="0.45">
      <c r="S662" s="22"/>
      <c r="T662" s="22"/>
    </row>
    <row r="663" spans="19:20" ht="16.2" x14ac:dyDescent="0.45">
      <c r="S663" s="22"/>
      <c r="T663" s="22"/>
    </row>
    <row r="664" spans="19:20" ht="16.2" x14ac:dyDescent="0.45">
      <c r="S664" s="22"/>
      <c r="T664" s="22"/>
    </row>
    <row r="665" spans="19:20" ht="16.2" x14ac:dyDescent="0.45">
      <c r="S665" s="22"/>
      <c r="T665" s="22"/>
    </row>
    <row r="666" spans="19:20" ht="16.2" x14ac:dyDescent="0.45">
      <c r="S666" s="22"/>
      <c r="T666" s="22"/>
    </row>
    <row r="667" spans="19:20" ht="16.2" x14ac:dyDescent="0.45">
      <c r="S667" s="22"/>
      <c r="T667" s="22"/>
    </row>
    <row r="668" spans="19:20" ht="16.2" x14ac:dyDescent="0.45">
      <c r="S668" s="22"/>
      <c r="T668" s="22"/>
    </row>
    <row r="669" spans="19:20" ht="16.2" x14ac:dyDescent="0.45">
      <c r="S669" s="22"/>
      <c r="T669" s="22"/>
    </row>
    <row r="670" spans="19:20" ht="16.2" x14ac:dyDescent="0.45">
      <c r="S670" s="22"/>
      <c r="T670" s="22"/>
    </row>
    <row r="671" spans="19:20" ht="16.2" x14ac:dyDescent="0.45">
      <c r="S671" s="22"/>
      <c r="T671" s="22"/>
    </row>
    <row r="672" spans="19:20" ht="16.2" x14ac:dyDescent="0.45">
      <c r="S672" s="22"/>
      <c r="T672" s="22"/>
    </row>
    <row r="673" spans="19:20" ht="16.2" x14ac:dyDescent="0.45">
      <c r="S673" s="22"/>
      <c r="T673" s="22"/>
    </row>
    <row r="674" spans="19:20" ht="16.2" x14ac:dyDescent="0.45">
      <c r="S674" s="22"/>
      <c r="T674" s="22"/>
    </row>
    <row r="675" spans="19:20" ht="16.2" x14ac:dyDescent="0.45">
      <c r="S675" s="22"/>
      <c r="T675" s="22"/>
    </row>
    <row r="676" spans="19:20" ht="16.2" x14ac:dyDescent="0.45">
      <c r="S676" s="22"/>
      <c r="T676" s="22"/>
    </row>
    <row r="677" spans="19:20" ht="16.2" x14ac:dyDescent="0.45">
      <c r="S677" s="22"/>
      <c r="T677" s="22"/>
    </row>
    <row r="678" spans="19:20" ht="16.2" x14ac:dyDescent="0.45">
      <c r="S678" s="22"/>
      <c r="T678" s="22"/>
    </row>
    <row r="679" spans="19:20" ht="16.2" x14ac:dyDescent="0.45">
      <c r="S679" s="22"/>
      <c r="T679" s="22"/>
    </row>
    <row r="680" spans="19:20" ht="16.2" x14ac:dyDescent="0.45">
      <c r="S680" s="22"/>
      <c r="T680" s="22"/>
    </row>
    <row r="681" spans="19:20" ht="16.2" x14ac:dyDescent="0.45">
      <c r="S681" s="22"/>
      <c r="T681" s="22"/>
    </row>
    <row r="682" spans="19:20" ht="16.2" x14ac:dyDescent="0.45">
      <c r="S682" s="22"/>
      <c r="T682" s="22"/>
    </row>
    <row r="683" spans="19:20" ht="16.2" x14ac:dyDescent="0.45">
      <c r="S683" s="22"/>
      <c r="T683" s="22"/>
    </row>
    <row r="684" spans="19:20" ht="16.2" x14ac:dyDescent="0.45">
      <c r="S684" s="22"/>
      <c r="T684" s="22"/>
    </row>
    <row r="685" spans="19:20" ht="16.2" x14ac:dyDescent="0.45">
      <c r="S685" s="22"/>
      <c r="T685" s="22"/>
    </row>
    <row r="686" spans="19:20" ht="16.2" x14ac:dyDescent="0.45">
      <c r="S686" s="22"/>
      <c r="T686" s="22"/>
    </row>
    <row r="687" spans="19:20" ht="16.2" x14ac:dyDescent="0.45">
      <c r="S687" s="22"/>
      <c r="T687" s="22"/>
    </row>
    <row r="688" spans="19:20" ht="16.2" x14ac:dyDescent="0.45">
      <c r="S688" s="22"/>
      <c r="T688" s="22"/>
    </row>
    <row r="689" spans="19:20" ht="16.2" x14ac:dyDescent="0.45">
      <c r="S689" s="22"/>
      <c r="T689" s="22"/>
    </row>
    <row r="690" spans="19:20" ht="16.2" x14ac:dyDescent="0.45">
      <c r="S690" s="22"/>
      <c r="T690" s="22"/>
    </row>
    <row r="691" spans="19:20" ht="16.2" x14ac:dyDescent="0.45">
      <c r="S691" s="22"/>
      <c r="T691" s="22"/>
    </row>
    <row r="692" spans="19:20" ht="16.2" x14ac:dyDescent="0.45">
      <c r="S692" s="22"/>
      <c r="T692" s="22"/>
    </row>
    <row r="693" spans="19:20" ht="16.2" x14ac:dyDescent="0.45">
      <c r="S693" s="22"/>
      <c r="T693" s="22"/>
    </row>
    <row r="694" spans="19:20" ht="16.2" x14ac:dyDescent="0.45">
      <c r="S694" s="22"/>
      <c r="T694" s="22"/>
    </row>
    <row r="695" spans="19:20" ht="16.2" x14ac:dyDescent="0.45">
      <c r="S695" s="22"/>
      <c r="T695" s="22"/>
    </row>
    <row r="696" spans="19:20" ht="16.2" x14ac:dyDescent="0.45">
      <c r="S696" s="22"/>
      <c r="T696" s="22"/>
    </row>
    <row r="697" spans="19:20" ht="16.2" x14ac:dyDescent="0.45">
      <c r="S697" s="22"/>
      <c r="T697" s="22"/>
    </row>
    <row r="698" spans="19:20" ht="16.2" x14ac:dyDescent="0.45">
      <c r="S698" s="22"/>
      <c r="T698" s="22"/>
    </row>
    <row r="699" spans="19:20" ht="16.2" x14ac:dyDescent="0.45">
      <c r="S699" s="22"/>
      <c r="T699" s="22"/>
    </row>
    <row r="700" spans="19:20" ht="16.2" x14ac:dyDescent="0.45">
      <c r="S700" s="22"/>
      <c r="T700" s="22"/>
    </row>
    <row r="701" spans="19:20" ht="16.2" x14ac:dyDescent="0.45">
      <c r="S701" s="22"/>
      <c r="T701" s="22"/>
    </row>
    <row r="702" spans="19:20" ht="16.2" x14ac:dyDescent="0.45">
      <c r="S702" s="22"/>
      <c r="T702" s="22"/>
    </row>
    <row r="703" spans="19:20" ht="16.2" x14ac:dyDescent="0.45">
      <c r="S703" s="22"/>
      <c r="T703" s="22"/>
    </row>
    <row r="704" spans="19:20" ht="16.2" x14ac:dyDescent="0.45">
      <c r="S704" s="22"/>
      <c r="T704" s="22"/>
    </row>
    <row r="705" spans="19:20" ht="16.2" x14ac:dyDescent="0.45">
      <c r="S705" s="22"/>
      <c r="T705" s="22"/>
    </row>
    <row r="706" spans="19:20" ht="16.2" x14ac:dyDescent="0.45">
      <c r="S706" s="22"/>
      <c r="T706" s="22"/>
    </row>
    <row r="707" spans="19:20" ht="16.2" x14ac:dyDescent="0.45">
      <c r="S707" s="22"/>
      <c r="T707" s="22"/>
    </row>
    <row r="708" spans="19:20" ht="16.2" x14ac:dyDescent="0.45">
      <c r="S708" s="22"/>
      <c r="T708" s="22"/>
    </row>
    <row r="709" spans="19:20" ht="16.2" x14ac:dyDescent="0.45">
      <c r="S709" s="22"/>
      <c r="T709" s="22"/>
    </row>
    <row r="710" spans="19:20" ht="16.2" x14ac:dyDescent="0.45">
      <c r="S710" s="22"/>
      <c r="T710" s="22"/>
    </row>
    <row r="711" spans="19:20" ht="16.2" x14ac:dyDescent="0.45">
      <c r="S711" s="22"/>
      <c r="T711" s="22"/>
    </row>
    <row r="712" spans="19:20" ht="16.2" x14ac:dyDescent="0.45">
      <c r="S712" s="22"/>
      <c r="T712" s="22"/>
    </row>
    <row r="713" spans="19:20" ht="16.2" x14ac:dyDescent="0.45">
      <c r="S713" s="22"/>
      <c r="T713" s="22"/>
    </row>
    <row r="714" spans="19:20" ht="16.2" x14ac:dyDescent="0.45">
      <c r="S714" s="22"/>
      <c r="T714" s="22"/>
    </row>
    <row r="715" spans="19:20" ht="16.2" x14ac:dyDescent="0.45">
      <c r="S715" s="22"/>
      <c r="T715" s="22"/>
    </row>
    <row r="716" spans="19:20" ht="16.2" x14ac:dyDescent="0.45">
      <c r="S716" s="22"/>
      <c r="T716" s="22"/>
    </row>
    <row r="717" spans="19:20" ht="16.2" x14ac:dyDescent="0.45">
      <c r="S717" s="22"/>
      <c r="T717" s="22"/>
    </row>
    <row r="718" spans="19:20" ht="16.2" x14ac:dyDescent="0.45">
      <c r="S718" s="22"/>
      <c r="T718" s="22"/>
    </row>
    <row r="719" spans="19:20" ht="16.2" x14ac:dyDescent="0.45">
      <c r="S719" s="22"/>
      <c r="T719" s="22"/>
    </row>
    <row r="720" spans="19:20" ht="16.2" x14ac:dyDescent="0.45">
      <c r="S720" s="22"/>
      <c r="T720" s="22"/>
    </row>
    <row r="721" spans="19:20" ht="16.2" x14ac:dyDescent="0.45">
      <c r="S721" s="22"/>
      <c r="T721" s="22"/>
    </row>
    <row r="722" spans="19:20" ht="16.2" x14ac:dyDescent="0.45">
      <c r="S722" s="22"/>
      <c r="T722" s="22"/>
    </row>
  </sheetData>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71E92-726E-432E-B6FF-9E32DE2AF580}">
  <dimension ref="B2:R1012"/>
  <sheetViews>
    <sheetView topLeftCell="A26" zoomScale="73" zoomScaleNormal="130" workbookViewId="0">
      <selection activeCell="Q24" sqref="Q24"/>
    </sheetView>
  </sheetViews>
  <sheetFormatPr defaultRowHeight="16.8" x14ac:dyDescent="0.5"/>
  <cols>
    <col min="1" max="1" width="2.77734375" style="5" customWidth="1"/>
    <col min="2" max="2" width="15.5546875" style="5" customWidth="1"/>
    <col min="3" max="3" width="33.44140625" style="5" bestFit="1" customWidth="1"/>
    <col min="4" max="4" width="14" style="5" bestFit="1" customWidth="1"/>
    <col min="5" max="5" width="5.77734375" style="5" bestFit="1" customWidth="1"/>
    <col min="6" max="7" width="8.88671875" style="5"/>
    <col min="8" max="8" width="30" style="5" bestFit="1" customWidth="1"/>
    <col min="9" max="9" width="10" style="5" customWidth="1"/>
    <col min="10" max="10" width="11" style="5" bestFit="1" customWidth="1"/>
    <col min="11" max="13" width="8.88671875" style="5"/>
    <col min="14" max="14" width="14.109375" style="5" bestFit="1" customWidth="1"/>
    <col min="15" max="15" width="14.5546875" style="5" bestFit="1" customWidth="1"/>
    <col min="16" max="16" width="14" style="5" bestFit="1" customWidth="1"/>
    <col min="17" max="16384" width="8.88671875" style="5"/>
  </cols>
  <sheetData>
    <row r="2" spans="2:16" x14ac:dyDescent="0.5">
      <c r="B2" s="30" t="s">
        <v>98</v>
      </c>
    </row>
    <row r="3" spans="2:16" x14ac:dyDescent="0.5">
      <c r="B3" s="30"/>
    </row>
    <row r="4" spans="2:16" x14ac:dyDescent="0.5">
      <c r="B4" s="30" t="s">
        <v>101</v>
      </c>
    </row>
    <row r="6" spans="2:16" x14ac:dyDescent="0.5">
      <c r="D6" s="33"/>
    </row>
    <row r="7" spans="2:16" x14ac:dyDescent="0.5">
      <c r="B7" s="30" t="s">
        <v>131</v>
      </c>
    </row>
    <row r="9" spans="2:16" x14ac:dyDescent="0.5">
      <c r="B9" s="34" t="s">
        <v>82</v>
      </c>
      <c r="C9" s="34" t="s">
        <v>132</v>
      </c>
      <c r="D9" s="34" t="s">
        <v>85</v>
      </c>
      <c r="E9" s="34" t="s">
        <v>81</v>
      </c>
    </row>
    <row r="10" spans="2:16" x14ac:dyDescent="0.5">
      <c r="B10" s="36"/>
      <c r="C10" s="44">
        <f ca="1">oil_price_base</f>
        <v>53.706954968820042</v>
      </c>
      <c r="D10" s="44">
        <f ca="1">npv_post_tax</f>
        <v>2082.2751860120857</v>
      </c>
      <c r="E10" s="45">
        <f ca="1">IF(npv_post_tax&lt;0,1,0)</f>
        <v>0</v>
      </c>
      <c r="H10" s="69" t="s">
        <v>83</v>
      </c>
      <c r="I10" s="69" t="s">
        <v>86</v>
      </c>
      <c r="J10" s="69" t="s">
        <v>87</v>
      </c>
      <c r="N10" s="73" t="s">
        <v>141</v>
      </c>
      <c r="O10" t="s">
        <v>143</v>
      </c>
      <c r="P10"/>
    </row>
    <row r="11" spans="2:16" x14ac:dyDescent="0.5">
      <c r="B11" s="91">
        <v>1</v>
      </c>
      <c r="C11" s="92">
        <v>60.260803029009438</v>
      </c>
      <c r="D11" s="92">
        <v>2890.747777571738</v>
      </c>
      <c r="E11" s="91">
        <v>0</v>
      </c>
      <c r="H11" s="36" t="s">
        <v>88</v>
      </c>
      <c r="I11" s="37">
        <f>AVERAGE(Oil_Price_Inflation_Adjusted_MC_Log_Normal_1000_Trials)</f>
        <v>71.614443993040481</v>
      </c>
      <c r="J11" s="38">
        <f>AVERAGE(NPV_Inflation_Adjusted_Oil_Price_MC_Log_Normal_1000_Trials)</f>
        <v>4254.9597438363853</v>
      </c>
      <c r="N11" s="74" t="s">
        <v>173</v>
      </c>
      <c r="O11">
        <v>63</v>
      </c>
      <c r="P11"/>
    </row>
    <row r="12" spans="2:16" x14ac:dyDescent="0.5">
      <c r="B12" s="91">
        <v>2</v>
      </c>
      <c r="C12" s="92">
        <v>57.690475331840609</v>
      </c>
      <c r="D12" s="92">
        <v>2575.9822036650985</v>
      </c>
      <c r="E12" s="91">
        <v>0</v>
      </c>
      <c r="H12" s="36" t="s">
        <v>89</v>
      </c>
      <c r="I12" s="37">
        <f>MEDIAN(Oil_Price_Inflation_Adjusted_MC_Log_Normal_1000_Trials)</f>
        <v>64.561364327169656</v>
      </c>
      <c r="J12" s="38">
        <f>MEDIAN(NPV_Inflation_Adjusted_Oil_Price_MC_Log_Normal_1000_Trials)</f>
        <v>3417.399942051436</v>
      </c>
      <c r="N12" s="74" t="s">
        <v>174</v>
      </c>
      <c r="O12">
        <v>296</v>
      </c>
      <c r="P12"/>
    </row>
    <row r="13" spans="2:16" x14ac:dyDescent="0.5">
      <c r="B13" s="91">
        <v>3</v>
      </c>
      <c r="C13" s="92">
        <v>75.276298228789543</v>
      </c>
      <c r="D13" s="92">
        <v>4729.5642713819161</v>
      </c>
      <c r="E13" s="91">
        <v>0</v>
      </c>
      <c r="H13" s="36" t="s">
        <v>206</v>
      </c>
      <c r="I13" s="37">
        <f>_xlfn.PERCENTILE.INC(Oil_Price_Inflation_Adjusted_MC_Log_Normal_1000_Trials,0.99)</f>
        <v>192.41908063532253</v>
      </c>
      <c r="J13" s="38">
        <f>_xlfn.PERCENTILE.INC(NPV_Inflation_Adjusted_Oil_Price_MC_Log_Normal_1000_Trials,0.99)</f>
        <v>19037.282635845884</v>
      </c>
      <c r="N13" s="74" t="s">
        <v>175</v>
      </c>
      <c r="O13">
        <v>291</v>
      </c>
      <c r="P13"/>
    </row>
    <row r="14" spans="2:16" x14ac:dyDescent="0.5">
      <c r="B14" s="91">
        <v>4</v>
      </c>
      <c r="C14" s="92">
        <v>36.971599324617848</v>
      </c>
      <c r="D14" s="92">
        <v>-18.451114132554203</v>
      </c>
      <c r="E14" s="91">
        <v>1</v>
      </c>
      <c r="H14" s="36" t="s">
        <v>199</v>
      </c>
      <c r="I14" s="37">
        <f>_xlfn.PERCENTILE.INC(Oil_Price_Inflation_Adjusted_MC_Log_Normal_1000_Trials,0.75)</f>
        <v>88.626283417366949</v>
      </c>
      <c r="J14" s="38">
        <f>_xlfn.PERCENTILE.INC(NPV_Inflation_Adjusted_Oil_Price_MC_Log_Normal_1000_Trials,0.75)</f>
        <v>6364.4203071147376</v>
      </c>
      <c r="N14" s="74" t="s">
        <v>176</v>
      </c>
      <c r="O14">
        <v>186</v>
      </c>
      <c r="P14"/>
    </row>
    <row r="15" spans="2:16" x14ac:dyDescent="0.5">
      <c r="B15" s="91">
        <v>5</v>
      </c>
      <c r="C15" s="92">
        <v>65.088867582925602</v>
      </c>
      <c r="D15" s="92">
        <v>3481.9986565338459</v>
      </c>
      <c r="E15" s="91">
        <v>0</v>
      </c>
      <c r="H15" s="36" t="s">
        <v>200</v>
      </c>
      <c r="I15" s="37">
        <f>_xlfn.PERCENTILE.INC(Oil_Price_Inflation_Adjusted_MC_Log_Normal_1000_Trials,0.25)</f>
        <v>45.745487860827652</v>
      </c>
      <c r="J15" s="38">
        <f>_xlfn.PERCENTILE.INC(NPV_Inflation_Adjusted_Oil_Price_MC_Log_Normal_1000_Trials,0.25)</f>
        <v>1089.1773931922039</v>
      </c>
      <c r="N15" s="74" t="s">
        <v>177</v>
      </c>
      <c r="O15">
        <v>95</v>
      </c>
      <c r="P15"/>
    </row>
    <row r="16" spans="2:16" x14ac:dyDescent="0.5">
      <c r="B16" s="91">
        <v>6</v>
      </c>
      <c r="C16" s="92">
        <v>61.980500139887567</v>
      </c>
      <c r="D16" s="92">
        <v>3101.3440562670098</v>
      </c>
      <c r="E16" s="91">
        <v>0</v>
      </c>
      <c r="H16" s="36" t="s">
        <v>205</v>
      </c>
      <c r="I16" s="37">
        <f>_xlfn.PERCENTILE.INC(Oil_Price_Inflation_Adjusted_MC_Log_Normal_1000_Trials,0.01)</f>
        <v>21.962905188037457</v>
      </c>
      <c r="J16" s="38">
        <f>_xlfn.PERCENTILE.INC(NPV_Inflation_Adjusted_Oil_Price_MC_Log_Normal_1000_Trials,0.01)</f>
        <v>-2126.0762557540552</v>
      </c>
      <c r="N16" s="74" t="s">
        <v>178</v>
      </c>
      <c r="O16">
        <v>35</v>
      </c>
      <c r="P16"/>
    </row>
    <row r="17" spans="2:18" x14ac:dyDescent="0.5">
      <c r="B17" s="91">
        <v>7</v>
      </c>
      <c r="C17" s="92">
        <v>60.604975198717462</v>
      </c>
      <c r="D17" s="92">
        <v>2932.8955358673684</v>
      </c>
      <c r="E17" s="91">
        <v>0</v>
      </c>
      <c r="H17" s="36" t="s">
        <v>90</v>
      </c>
      <c r="I17" s="37">
        <f>MAX(Oil_Price_Inflation_Adjusted_MC_Log_Normal_1000_Trials)</f>
        <v>245.28841756725049</v>
      </c>
      <c r="J17" s="38">
        <f>MAX(NPV_Inflation_Adjusted_Oil_Price_MC_Log_Normal_1000_Trials)</f>
        <v>25477.321121143839</v>
      </c>
      <c r="N17" s="74" t="s">
        <v>179</v>
      </c>
      <c r="O17">
        <v>16</v>
      </c>
      <c r="P17"/>
    </row>
    <row r="18" spans="2:18" x14ac:dyDescent="0.5">
      <c r="B18" s="91">
        <v>8</v>
      </c>
      <c r="C18" s="92">
        <v>108.39622069919132</v>
      </c>
      <c r="D18" s="92">
        <v>8785.4717790597861</v>
      </c>
      <c r="E18" s="91">
        <v>0</v>
      </c>
      <c r="H18" s="36" t="s">
        <v>91</v>
      </c>
      <c r="I18" s="37">
        <f>MIN(Oil_Price_Inflation_Adjusted_MC_Log_Normal_1000_Trials)</f>
        <v>13.456377928182674</v>
      </c>
      <c r="J18" s="38">
        <f>MIN(NPV_Inflation_Adjusted_Oil_Price_MC_Log_Normal_1000_Trials)</f>
        <v>-3719.7196051823689</v>
      </c>
      <c r="N18" s="74" t="s">
        <v>180</v>
      </c>
      <c r="O18">
        <v>10</v>
      </c>
      <c r="P18"/>
    </row>
    <row r="19" spans="2:18" x14ac:dyDescent="0.5">
      <c r="B19" s="91">
        <v>9</v>
      </c>
      <c r="C19" s="92">
        <v>115.10119320025193</v>
      </c>
      <c r="D19" s="92">
        <v>9606.5711741482955</v>
      </c>
      <c r="E19" s="91">
        <v>0</v>
      </c>
      <c r="H19" s="36"/>
      <c r="I19" s="36"/>
      <c r="J19" s="36"/>
      <c r="N19" s="74" t="s">
        <v>181</v>
      </c>
      <c r="O19">
        <v>6</v>
      </c>
      <c r="P19"/>
    </row>
    <row r="20" spans="2:18" x14ac:dyDescent="0.5">
      <c r="B20" s="91">
        <v>10</v>
      </c>
      <c r="C20" s="92">
        <v>78.243616405531384</v>
      </c>
      <c r="D20" s="92">
        <v>5092.9458004743119</v>
      </c>
      <c r="E20" s="91">
        <v>0</v>
      </c>
      <c r="H20" s="36" t="s">
        <v>93</v>
      </c>
      <c r="I20" s="36">
        <f>COUNT(Oil_Price_Inflation_Adjusted_MC_Log_Normal_1000_Trials)</f>
        <v>1000</v>
      </c>
      <c r="J20" s="36"/>
      <c r="N20" s="74" t="s">
        <v>182</v>
      </c>
      <c r="O20">
        <v>3</v>
      </c>
      <c r="P20"/>
    </row>
    <row r="21" spans="2:18" x14ac:dyDescent="0.5">
      <c r="B21" s="91">
        <v>11</v>
      </c>
      <c r="C21" s="92">
        <v>66.78038920445718</v>
      </c>
      <c r="D21" s="92">
        <v>3689.1445292423509</v>
      </c>
      <c r="E21" s="91">
        <v>0</v>
      </c>
      <c r="H21" s="36" t="s">
        <v>170</v>
      </c>
      <c r="I21" s="58">
        <f>_xlfn.PERCENTRANK.INC(Oil_Price_Inflation_Adjusted_MC_Log_Normal_1000_Trials, 30)</f>
        <v>5.7000000000000002E-2</v>
      </c>
      <c r="J21" s="36"/>
      <c r="N21" s="74" t="s">
        <v>142</v>
      </c>
      <c r="O21">
        <v>1001</v>
      </c>
      <c r="P21"/>
    </row>
    <row r="22" spans="2:18" x14ac:dyDescent="0.5">
      <c r="B22" s="91">
        <v>12</v>
      </c>
      <c r="C22" s="92">
        <v>81.65692324579328</v>
      </c>
      <c r="D22" s="92">
        <v>5510.9436642011515</v>
      </c>
      <c r="E22" s="91">
        <v>0</v>
      </c>
      <c r="H22" s="36" t="s">
        <v>171</v>
      </c>
      <c r="I22" s="58">
        <f>_xlfn.PERCENTRANK.EXC(NPV_Inflation_Adjusted_Oil_Price_MC_Log_Normal_1000_Trials,0)</f>
        <v>0.125</v>
      </c>
      <c r="J22" s="36"/>
      <c r="N22" s="22"/>
      <c r="O22" s="22"/>
      <c r="P22" s="22"/>
    </row>
    <row r="23" spans="2:18" x14ac:dyDescent="0.5">
      <c r="B23" s="91">
        <v>13</v>
      </c>
      <c r="C23" s="92">
        <v>122.56342626077438</v>
      </c>
      <c r="D23" s="92">
        <v>10520.405653116746</v>
      </c>
      <c r="E23" s="91">
        <v>0</v>
      </c>
      <c r="H23" s="36" t="s">
        <v>92</v>
      </c>
      <c r="I23" s="58">
        <f>SUM(Prob_Loss_MC_Inflation_Adjusted_Log_Normal_1000_Trials)/COUNT(Prob_Loss_MC_Inflation_Adjusted_Log_Normal_1000_Trials)</f>
        <v>0.125</v>
      </c>
      <c r="J23" s="36"/>
      <c r="N23" s="22"/>
      <c r="O23" s="22"/>
      <c r="P23" s="22"/>
    </row>
    <row r="24" spans="2:18" x14ac:dyDescent="0.5">
      <c r="B24" s="91">
        <v>14</v>
      </c>
      <c r="C24" s="92">
        <v>84.237574354611255</v>
      </c>
      <c r="D24" s="92">
        <v>5826.9734561279283</v>
      </c>
      <c r="E24" s="91">
        <v>0</v>
      </c>
      <c r="N24" s="22"/>
      <c r="O24" s="22"/>
      <c r="P24" s="22"/>
    </row>
    <row r="25" spans="2:18" x14ac:dyDescent="0.5">
      <c r="B25" s="91">
        <v>15</v>
      </c>
      <c r="C25" s="92">
        <v>52.49248993474199</v>
      </c>
      <c r="D25" s="92">
        <v>1931.2778683403392</v>
      </c>
      <c r="E25" s="91">
        <v>0</v>
      </c>
      <c r="H25" s="70" t="s">
        <v>97</v>
      </c>
      <c r="I25" s="71" t="s">
        <v>87</v>
      </c>
      <c r="J25" s="71" t="s">
        <v>94</v>
      </c>
      <c r="K25" s="70" t="s">
        <v>96</v>
      </c>
      <c r="L25" s="70" t="s">
        <v>118</v>
      </c>
      <c r="N25" s="22"/>
      <c r="O25" s="22"/>
      <c r="P25" s="22"/>
      <c r="Q25" s="22"/>
      <c r="R25" s="22"/>
    </row>
    <row r="26" spans="2:18" x14ac:dyDescent="0.5">
      <c r="B26" s="91">
        <v>16</v>
      </c>
      <c r="C26" s="92">
        <v>101.28214891813434</v>
      </c>
      <c r="D26" s="92">
        <v>7914.2735698026763</v>
      </c>
      <c r="E26" s="91">
        <v>0</v>
      </c>
      <c r="H26" s="88">
        <v>1</v>
      </c>
      <c r="I26" s="93">
        <v>-800</v>
      </c>
      <c r="J26" s="88">
        <v>63</v>
      </c>
      <c r="K26" s="72">
        <f t="shared" ref="K26:K35" si="0">J26/(SUM($J$26:$J$35))</f>
        <v>6.2937062937062943E-2</v>
      </c>
      <c r="L26" s="72">
        <f>SUM(K26:$K$26)</f>
        <v>6.2937062937062943E-2</v>
      </c>
      <c r="N26" s="22"/>
      <c r="O26" s="22"/>
      <c r="P26" s="22"/>
      <c r="Q26" s="22"/>
      <c r="R26" s="22"/>
    </row>
    <row r="27" spans="2:18" x14ac:dyDescent="0.5">
      <c r="B27" s="91">
        <v>17</v>
      </c>
      <c r="C27" s="92">
        <v>55.589710030975908</v>
      </c>
      <c r="D27" s="92">
        <v>2315.6616334379773</v>
      </c>
      <c r="E27" s="91">
        <v>0</v>
      </c>
      <c r="H27" s="88">
        <v>2</v>
      </c>
      <c r="I27" s="93">
        <v>2120</v>
      </c>
      <c r="J27" s="88">
        <v>296</v>
      </c>
      <c r="K27" s="72">
        <f t="shared" si="0"/>
        <v>0.29570429570429568</v>
      </c>
      <c r="L27" s="72">
        <f>SUM(K$26:$K27)</f>
        <v>0.3586413586413586</v>
      </c>
      <c r="N27" s="22"/>
      <c r="O27" s="22"/>
      <c r="P27" s="22"/>
      <c r="Q27" s="22"/>
      <c r="R27" s="22"/>
    </row>
    <row r="28" spans="2:18" x14ac:dyDescent="0.5">
      <c r="B28" s="91">
        <v>18</v>
      </c>
      <c r="C28" s="92">
        <v>89.559219973447711</v>
      </c>
      <c r="D28" s="92">
        <v>6478.6688952681861</v>
      </c>
      <c r="E28" s="91">
        <v>0</v>
      </c>
      <c r="H28" s="88">
        <v>3</v>
      </c>
      <c r="I28" s="93">
        <v>5040</v>
      </c>
      <c r="J28" s="88">
        <v>291</v>
      </c>
      <c r="K28" s="72">
        <f t="shared" si="0"/>
        <v>0.29070929070929069</v>
      </c>
      <c r="L28" s="72">
        <f>SUM(K$26:$K28)</f>
        <v>0.64935064935064934</v>
      </c>
      <c r="N28" s="22"/>
      <c r="O28" s="22"/>
      <c r="P28" s="22"/>
      <c r="Q28" s="22"/>
      <c r="R28" s="22"/>
    </row>
    <row r="29" spans="2:18" x14ac:dyDescent="0.5">
      <c r="B29" s="91">
        <v>19</v>
      </c>
      <c r="C29" s="92">
        <v>45.709987038842435</v>
      </c>
      <c r="D29" s="92">
        <v>1084.7279605441954</v>
      </c>
      <c r="E29" s="91">
        <v>0</v>
      </c>
      <c r="H29" s="88">
        <v>4</v>
      </c>
      <c r="I29" s="93">
        <v>7960</v>
      </c>
      <c r="J29" s="88">
        <v>186</v>
      </c>
      <c r="K29" s="72">
        <f t="shared" si="0"/>
        <v>0.18581418581418582</v>
      </c>
      <c r="L29" s="72">
        <f>SUM(K$26:$K29)</f>
        <v>0.8351648351648352</v>
      </c>
      <c r="N29" s="22"/>
      <c r="O29" s="22"/>
      <c r="P29" s="22"/>
      <c r="Q29" s="22"/>
      <c r="R29" s="22"/>
    </row>
    <row r="30" spans="2:18" x14ac:dyDescent="0.5">
      <c r="B30" s="91">
        <v>20</v>
      </c>
      <c r="C30" s="92">
        <v>39.42544547859616</v>
      </c>
      <c r="D30" s="92">
        <v>293.57444274205</v>
      </c>
      <c r="E30" s="91">
        <v>0</v>
      </c>
      <c r="H30" s="88">
        <v>5</v>
      </c>
      <c r="I30" s="93">
        <v>10880</v>
      </c>
      <c r="J30" s="88">
        <v>95</v>
      </c>
      <c r="K30" s="72">
        <f t="shared" si="0"/>
        <v>9.4905094905094911E-2</v>
      </c>
      <c r="L30" s="72">
        <f>SUM(K$26:$K30)</f>
        <v>0.93006993006993011</v>
      </c>
      <c r="N30" s="22"/>
      <c r="O30" s="22"/>
      <c r="P30" s="22"/>
      <c r="Q30" s="22"/>
      <c r="R30" s="22"/>
    </row>
    <row r="31" spans="2:18" x14ac:dyDescent="0.5">
      <c r="B31" s="91">
        <v>21</v>
      </c>
      <c r="C31" s="92">
        <v>83.254290946622405</v>
      </c>
      <c r="D31" s="92">
        <v>5706.5593289450781</v>
      </c>
      <c r="E31" s="91">
        <v>0</v>
      </c>
      <c r="H31" s="88">
        <v>6</v>
      </c>
      <c r="I31" s="93">
        <v>13800</v>
      </c>
      <c r="J31" s="88">
        <v>35</v>
      </c>
      <c r="K31" s="72">
        <f t="shared" si="0"/>
        <v>3.4965034965034968E-2</v>
      </c>
      <c r="L31" s="72">
        <f>SUM(K$26:$K31)</f>
        <v>0.96503496503496511</v>
      </c>
      <c r="N31" s="22"/>
      <c r="O31" s="22"/>
      <c r="P31" s="22"/>
      <c r="Q31" s="22"/>
      <c r="R31" s="22"/>
    </row>
    <row r="32" spans="2:18" x14ac:dyDescent="0.5">
      <c r="B32" s="91">
        <v>22</v>
      </c>
      <c r="C32" s="92">
        <v>63.156986183618798</v>
      </c>
      <c r="D32" s="92">
        <v>3245.4180220714916</v>
      </c>
      <c r="E32" s="91">
        <v>0</v>
      </c>
      <c r="H32" s="88">
        <v>7</v>
      </c>
      <c r="I32" s="93">
        <v>16720</v>
      </c>
      <c r="J32" s="88">
        <v>16</v>
      </c>
      <c r="K32" s="72">
        <f t="shared" si="0"/>
        <v>1.5984015984015984E-2</v>
      </c>
      <c r="L32" s="72">
        <f>SUM(K$26:$K32)</f>
        <v>0.98101898101898111</v>
      </c>
      <c r="N32" s="22"/>
      <c r="O32" s="22"/>
      <c r="P32" s="22"/>
      <c r="Q32" s="22"/>
      <c r="R32" s="22"/>
    </row>
    <row r="33" spans="2:18" x14ac:dyDescent="0.5">
      <c r="B33" s="91">
        <v>23</v>
      </c>
      <c r="C33" s="92">
        <v>49.291578324744862</v>
      </c>
      <c r="D33" s="92">
        <v>1532.4840368533974</v>
      </c>
      <c r="E33" s="91">
        <v>0</v>
      </c>
      <c r="H33" s="88">
        <v>8</v>
      </c>
      <c r="I33" s="93">
        <v>19640</v>
      </c>
      <c r="J33" s="88">
        <v>10</v>
      </c>
      <c r="K33" s="72">
        <f t="shared" si="0"/>
        <v>9.99000999000999E-3</v>
      </c>
      <c r="L33" s="72">
        <f>SUM(K$26:$K33)</f>
        <v>0.99100899100899109</v>
      </c>
      <c r="N33" s="22"/>
      <c r="O33" s="22"/>
      <c r="P33" s="22"/>
      <c r="Q33" s="22"/>
      <c r="R33" s="22"/>
    </row>
    <row r="34" spans="2:18" x14ac:dyDescent="0.5">
      <c r="B34" s="91">
        <v>24</v>
      </c>
      <c r="C34" s="92">
        <v>64.43912224089182</v>
      </c>
      <c r="D34" s="92">
        <v>3402.4300218793237</v>
      </c>
      <c r="E34" s="91">
        <v>0</v>
      </c>
      <c r="H34" s="88">
        <v>9</v>
      </c>
      <c r="I34" s="93">
        <v>22560</v>
      </c>
      <c r="J34" s="88">
        <v>6</v>
      </c>
      <c r="K34" s="72">
        <f t="shared" si="0"/>
        <v>5.994005994005994E-3</v>
      </c>
      <c r="L34" s="72">
        <f>SUM(K$26:$K34)</f>
        <v>0.9970029970029971</v>
      </c>
      <c r="N34" s="22"/>
      <c r="O34" s="22"/>
      <c r="P34" s="22"/>
      <c r="Q34" s="22"/>
      <c r="R34" s="22"/>
    </row>
    <row r="35" spans="2:18" x14ac:dyDescent="0.5">
      <c r="B35" s="91">
        <v>25</v>
      </c>
      <c r="C35" s="92">
        <v>85.392031593152964</v>
      </c>
      <c r="D35" s="92">
        <v>5968.349746645481</v>
      </c>
      <c r="E35" s="91">
        <v>0</v>
      </c>
      <c r="H35" s="88">
        <v>10</v>
      </c>
      <c r="I35" s="93">
        <v>25480</v>
      </c>
      <c r="J35" s="88">
        <v>3</v>
      </c>
      <c r="K35" s="72">
        <f t="shared" si="0"/>
        <v>2.997002997002997E-3</v>
      </c>
      <c r="L35" s="72">
        <f>SUM(K$26:$K35)</f>
        <v>1</v>
      </c>
      <c r="N35" s="22"/>
      <c r="O35" s="22"/>
    </row>
    <row r="36" spans="2:18" x14ac:dyDescent="0.5">
      <c r="B36" s="91">
        <v>26</v>
      </c>
      <c r="C36" s="92">
        <v>34.228992301352143</v>
      </c>
      <c r="D36" s="92">
        <v>-371.7021219032286</v>
      </c>
      <c r="E36" s="91">
        <v>1</v>
      </c>
      <c r="N36" s="22"/>
      <c r="O36" s="22"/>
    </row>
    <row r="37" spans="2:18" x14ac:dyDescent="0.5">
      <c r="B37" s="91">
        <v>27</v>
      </c>
      <c r="C37" s="92">
        <v>91.537542918860098</v>
      </c>
      <c r="D37" s="92">
        <v>6720.9368200823283</v>
      </c>
      <c r="E37" s="91">
        <v>0</v>
      </c>
      <c r="N37"/>
      <c r="O37"/>
    </row>
    <row r="38" spans="2:18" x14ac:dyDescent="0.5">
      <c r="B38" s="91">
        <v>28</v>
      </c>
      <c r="C38" s="92">
        <v>67.140488667296623</v>
      </c>
      <c r="D38" s="92">
        <v>3733.242763957317</v>
      </c>
      <c r="E38" s="91">
        <v>0</v>
      </c>
      <c r="N38"/>
      <c r="O38"/>
    </row>
    <row r="39" spans="2:18" x14ac:dyDescent="0.5">
      <c r="B39" s="91">
        <v>29</v>
      </c>
      <c r="C39" s="92">
        <v>20.747678606951528</v>
      </c>
      <c r="D39" s="92">
        <v>-2353.7411652801497</v>
      </c>
      <c r="E39" s="91">
        <v>1</v>
      </c>
      <c r="N39"/>
      <c r="O39"/>
    </row>
    <row r="40" spans="2:18" x14ac:dyDescent="0.5">
      <c r="B40" s="91">
        <v>30</v>
      </c>
      <c r="C40" s="92">
        <v>60.902601374421103</v>
      </c>
      <c r="D40" s="92">
        <v>2969.3432129897005</v>
      </c>
      <c r="E40" s="91">
        <v>0</v>
      </c>
      <c r="N40"/>
      <c r="O40"/>
    </row>
    <row r="41" spans="2:18" x14ac:dyDescent="0.5">
      <c r="B41" s="91">
        <v>31</v>
      </c>
      <c r="C41" s="92">
        <v>51.587276142780659</v>
      </c>
      <c r="D41" s="92">
        <v>1818.4994725597048</v>
      </c>
      <c r="E41" s="91">
        <v>0</v>
      </c>
      <c r="N41"/>
      <c r="O41"/>
    </row>
    <row r="42" spans="2:18" x14ac:dyDescent="0.5">
      <c r="B42" s="91">
        <v>32</v>
      </c>
      <c r="C42" s="92">
        <v>38.348854126507476</v>
      </c>
      <c r="D42" s="92">
        <v>157.69965902284792</v>
      </c>
      <c r="E42" s="91">
        <v>0</v>
      </c>
      <c r="N42"/>
      <c r="O42"/>
    </row>
    <row r="43" spans="2:18" x14ac:dyDescent="0.5">
      <c r="B43" s="91">
        <v>33</v>
      </c>
      <c r="C43" s="92">
        <v>70.446368310229332</v>
      </c>
      <c r="D43" s="92">
        <v>4138.0849575111461</v>
      </c>
      <c r="E43" s="91">
        <v>0</v>
      </c>
      <c r="N43"/>
      <c r="O43"/>
    </row>
    <row r="44" spans="2:18" x14ac:dyDescent="0.5">
      <c r="B44" s="91">
        <v>34</v>
      </c>
      <c r="C44" s="92">
        <v>43.555953393668943</v>
      </c>
      <c r="D44" s="92">
        <v>814.7559686355138</v>
      </c>
      <c r="E44" s="91">
        <v>0</v>
      </c>
      <c r="N44"/>
      <c r="O44"/>
    </row>
    <row r="45" spans="2:18" x14ac:dyDescent="0.5">
      <c r="B45" s="91">
        <v>35</v>
      </c>
      <c r="C45" s="92">
        <v>49.85255059053388</v>
      </c>
      <c r="D45" s="92">
        <v>1602.374213930831</v>
      </c>
      <c r="E45" s="91">
        <v>0</v>
      </c>
      <c r="N45"/>
      <c r="O45"/>
    </row>
    <row r="46" spans="2:18" x14ac:dyDescent="0.5">
      <c r="B46" s="91">
        <v>36</v>
      </c>
      <c r="C46" s="92">
        <v>66.89806848657139</v>
      </c>
      <c r="D46" s="92">
        <v>3703.5556826576931</v>
      </c>
      <c r="E46" s="91">
        <v>0</v>
      </c>
      <c r="N46"/>
      <c r="O46"/>
    </row>
    <row r="47" spans="2:18" x14ac:dyDescent="0.5">
      <c r="B47" s="91">
        <v>37</v>
      </c>
      <c r="C47" s="92">
        <v>85.843937098013654</v>
      </c>
      <c r="D47" s="92">
        <v>6023.6906651383733</v>
      </c>
      <c r="E47" s="91">
        <v>0</v>
      </c>
      <c r="N47"/>
      <c r="O47"/>
    </row>
    <row r="48" spans="2:18" x14ac:dyDescent="0.5">
      <c r="B48" s="91">
        <v>38</v>
      </c>
      <c r="C48" s="92">
        <v>38.267702454222054</v>
      </c>
      <c r="D48" s="92">
        <v>147.4576429609121</v>
      </c>
      <c r="E48" s="91">
        <v>0</v>
      </c>
      <c r="N48"/>
      <c r="O48"/>
    </row>
    <row r="49" spans="2:15" x14ac:dyDescent="0.5">
      <c r="B49" s="91">
        <v>39</v>
      </c>
      <c r="C49" s="92">
        <v>74.748285523414651</v>
      </c>
      <c r="D49" s="92">
        <v>4664.9031690561742</v>
      </c>
      <c r="E49" s="91">
        <v>0</v>
      </c>
      <c r="N49"/>
      <c r="O49"/>
    </row>
    <row r="50" spans="2:15" x14ac:dyDescent="0.5">
      <c r="B50" s="91">
        <v>40</v>
      </c>
      <c r="C50" s="92">
        <v>33.412915392552677</v>
      </c>
      <c r="D50" s="92">
        <v>-477.4656710503013</v>
      </c>
      <c r="E50" s="91">
        <v>1</v>
      </c>
      <c r="N50"/>
      <c r="O50"/>
    </row>
    <row r="51" spans="2:15" x14ac:dyDescent="0.5">
      <c r="B51" s="91">
        <v>41</v>
      </c>
      <c r="C51" s="92">
        <v>73.965823861981264</v>
      </c>
      <c r="D51" s="92">
        <v>4569.0819264215033</v>
      </c>
      <c r="E51" s="91">
        <v>0</v>
      </c>
      <c r="N51"/>
      <c r="O51"/>
    </row>
    <row r="52" spans="2:15" x14ac:dyDescent="0.5">
      <c r="B52" s="91">
        <v>42</v>
      </c>
      <c r="C52" s="92">
        <v>41.697590238734158</v>
      </c>
      <c r="D52" s="92">
        <v>580.33801116892869</v>
      </c>
      <c r="E52" s="91">
        <v>0</v>
      </c>
      <c r="N52"/>
      <c r="O52"/>
    </row>
    <row r="53" spans="2:15" x14ac:dyDescent="0.5">
      <c r="B53" s="91">
        <v>43</v>
      </c>
      <c r="C53" s="92">
        <v>132.21514364371643</v>
      </c>
      <c r="D53" s="92">
        <v>11702.367145642691</v>
      </c>
      <c r="E53" s="91">
        <v>0</v>
      </c>
      <c r="N53"/>
      <c r="O53"/>
    </row>
    <row r="54" spans="2:15" x14ac:dyDescent="0.5">
      <c r="B54" s="91">
        <v>44</v>
      </c>
      <c r="C54" s="92">
        <v>78.468853588629855</v>
      </c>
      <c r="D54" s="92">
        <v>5120.5286301972301</v>
      </c>
      <c r="E54" s="91">
        <v>0</v>
      </c>
      <c r="N54"/>
      <c r="O54"/>
    </row>
    <row r="55" spans="2:15" x14ac:dyDescent="0.5">
      <c r="B55" s="91">
        <v>45</v>
      </c>
      <c r="C55" s="92">
        <v>71.921546524508315</v>
      </c>
      <c r="D55" s="92">
        <v>4318.737143512004</v>
      </c>
      <c r="E55" s="91">
        <v>0</v>
      </c>
      <c r="N55"/>
      <c r="O55"/>
    </row>
    <row r="56" spans="2:15" x14ac:dyDescent="0.5">
      <c r="B56" s="91">
        <v>46</v>
      </c>
      <c r="C56" s="92">
        <v>39.605421358396043</v>
      </c>
      <c r="D56" s="92">
        <v>316.28889581195386</v>
      </c>
      <c r="E56" s="91">
        <v>0</v>
      </c>
      <c r="N56"/>
      <c r="O56"/>
    </row>
    <row r="57" spans="2:15" x14ac:dyDescent="0.5">
      <c r="B57" s="91">
        <v>47</v>
      </c>
      <c r="C57" s="92">
        <v>123.75861965323108</v>
      </c>
      <c r="D57" s="92">
        <v>10666.770544457429</v>
      </c>
      <c r="E57" s="91">
        <v>0</v>
      </c>
      <c r="N57"/>
      <c r="O57"/>
    </row>
    <row r="58" spans="2:15" x14ac:dyDescent="0.5">
      <c r="B58" s="91">
        <v>48</v>
      </c>
      <c r="C58" s="92">
        <v>49.180404085646451</v>
      </c>
      <c r="D58" s="92">
        <v>1518.6331074387169</v>
      </c>
      <c r="E58" s="91">
        <v>0</v>
      </c>
      <c r="N58"/>
      <c r="O58"/>
    </row>
    <row r="59" spans="2:15" x14ac:dyDescent="0.5">
      <c r="B59" s="91">
        <v>49</v>
      </c>
      <c r="C59" s="92">
        <v>68.643112520832204</v>
      </c>
      <c r="D59" s="92">
        <v>3917.2559775817549</v>
      </c>
      <c r="E59" s="91">
        <v>0</v>
      </c>
      <c r="N59"/>
      <c r="O59"/>
    </row>
    <row r="60" spans="2:15" x14ac:dyDescent="0.5">
      <c r="B60" s="91">
        <v>50</v>
      </c>
      <c r="C60" s="92">
        <v>47.557814295775032</v>
      </c>
      <c r="D60" s="92">
        <v>1316.3221171048597</v>
      </c>
      <c r="E60" s="91">
        <v>0</v>
      </c>
      <c r="N60"/>
      <c r="O60"/>
    </row>
    <row r="61" spans="2:15" x14ac:dyDescent="0.5">
      <c r="B61" s="91">
        <v>51</v>
      </c>
      <c r="C61" s="92">
        <v>73.951069395350032</v>
      </c>
      <c r="D61" s="92">
        <v>4567.2750758156535</v>
      </c>
      <c r="E61" s="91">
        <v>0</v>
      </c>
      <c r="N61"/>
      <c r="O61"/>
    </row>
    <row r="62" spans="2:15" x14ac:dyDescent="0.5">
      <c r="B62" s="91">
        <v>52</v>
      </c>
      <c r="C62" s="92">
        <v>18.851153291618427</v>
      </c>
      <c r="D62" s="92">
        <v>-2709.0430250727704</v>
      </c>
      <c r="E62" s="91">
        <v>1</v>
      </c>
      <c r="N62"/>
      <c r="O62"/>
    </row>
    <row r="63" spans="2:15" x14ac:dyDescent="0.5">
      <c r="B63" s="91">
        <v>53</v>
      </c>
      <c r="C63" s="92">
        <v>33.202804174207849</v>
      </c>
      <c r="D63" s="92">
        <v>-504.69608025334463</v>
      </c>
      <c r="E63" s="91">
        <v>1</v>
      </c>
      <c r="N63"/>
      <c r="O63"/>
    </row>
    <row r="64" spans="2:15" x14ac:dyDescent="0.5">
      <c r="B64" s="91">
        <v>54</v>
      </c>
      <c r="C64" s="92">
        <v>68.964282030601638</v>
      </c>
      <c r="D64" s="92">
        <v>3956.5868011087473</v>
      </c>
      <c r="E64" s="91">
        <v>0</v>
      </c>
      <c r="N64"/>
      <c r="O64"/>
    </row>
    <row r="65" spans="2:15" x14ac:dyDescent="0.5">
      <c r="B65" s="91">
        <v>55</v>
      </c>
      <c r="C65" s="92">
        <v>49.976305210799609</v>
      </c>
      <c r="D65" s="92">
        <v>1617.7925025914251</v>
      </c>
      <c r="E65" s="91">
        <v>0</v>
      </c>
      <c r="N65"/>
      <c r="O65"/>
    </row>
    <row r="66" spans="2:15" x14ac:dyDescent="0.5">
      <c r="B66" s="91">
        <v>56</v>
      </c>
      <c r="C66" s="92">
        <v>26.941967449312521</v>
      </c>
      <c r="D66" s="92">
        <v>-1330.8548071544499</v>
      </c>
      <c r="E66" s="91">
        <v>1</v>
      </c>
      <c r="N66"/>
      <c r="O66"/>
    </row>
    <row r="67" spans="2:15" x14ac:dyDescent="0.5">
      <c r="B67" s="91">
        <v>57</v>
      </c>
      <c r="C67" s="92">
        <v>208.86351606857656</v>
      </c>
      <c r="D67" s="92">
        <v>21040.386953108438</v>
      </c>
      <c r="E67" s="91">
        <v>0</v>
      </c>
      <c r="N67"/>
      <c r="O67"/>
    </row>
    <row r="68" spans="2:15" x14ac:dyDescent="0.5">
      <c r="B68" s="91">
        <v>58</v>
      </c>
      <c r="C68" s="92">
        <v>55.526443944769255</v>
      </c>
      <c r="D68" s="92">
        <v>2307.8191650260733</v>
      </c>
      <c r="E68" s="91">
        <v>0</v>
      </c>
      <c r="N68"/>
      <c r="O68"/>
    </row>
    <row r="69" spans="2:15" x14ac:dyDescent="0.5">
      <c r="B69" s="91">
        <v>59</v>
      </c>
      <c r="C69" s="92">
        <v>74.667504265132166</v>
      </c>
      <c r="D69" s="92">
        <v>4655.0105942097061</v>
      </c>
      <c r="E69" s="91">
        <v>0</v>
      </c>
      <c r="N69"/>
      <c r="O69"/>
    </row>
    <row r="70" spans="2:15" x14ac:dyDescent="0.5">
      <c r="B70" s="91">
        <v>60</v>
      </c>
      <c r="C70" s="92">
        <v>95.775300787705817</v>
      </c>
      <c r="D70" s="92">
        <v>7239.8979973415035</v>
      </c>
      <c r="E70" s="91">
        <v>0</v>
      </c>
      <c r="N70"/>
      <c r="O70"/>
    </row>
    <row r="71" spans="2:15" x14ac:dyDescent="0.5">
      <c r="B71" s="91">
        <v>61</v>
      </c>
      <c r="C71" s="92">
        <v>107.81882237812431</v>
      </c>
      <c r="D71" s="92">
        <v>8714.7628519048631</v>
      </c>
      <c r="E71" s="91">
        <v>0</v>
      </c>
      <c r="N71"/>
      <c r="O71"/>
    </row>
    <row r="72" spans="2:15" x14ac:dyDescent="0.5">
      <c r="B72" s="91">
        <v>62</v>
      </c>
      <c r="C72" s="92">
        <v>27.238188756651507</v>
      </c>
      <c r="D72" s="92">
        <v>-1290.3362683312587</v>
      </c>
      <c r="E72" s="91">
        <v>1</v>
      </c>
      <c r="N72"/>
      <c r="O72"/>
    </row>
    <row r="73" spans="2:15" x14ac:dyDescent="0.5">
      <c r="B73" s="91">
        <v>63</v>
      </c>
      <c r="C73" s="92">
        <v>98.632956812562867</v>
      </c>
      <c r="D73" s="92">
        <v>7589.8501609051873</v>
      </c>
      <c r="E73" s="91">
        <v>0</v>
      </c>
      <c r="N73"/>
      <c r="O73"/>
    </row>
    <row r="74" spans="2:15" x14ac:dyDescent="0.5">
      <c r="B74" s="91">
        <v>64</v>
      </c>
      <c r="C74" s="92">
        <v>43.724568322590144</v>
      </c>
      <c r="D74" s="92">
        <v>835.8890221179405</v>
      </c>
      <c r="E74" s="91">
        <v>0</v>
      </c>
      <c r="N74"/>
      <c r="O74"/>
    </row>
    <row r="75" spans="2:15" x14ac:dyDescent="0.5">
      <c r="B75" s="91">
        <v>65</v>
      </c>
      <c r="C75" s="92">
        <v>105.22120299306573</v>
      </c>
      <c r="D75" s="92">
        <v>8396.655103453335</v>
      </c>
      <c r="E75" s="91">
        <v>0</v>
      </c>
      <c r="N75"/>
      <c r="O75"/>
    </row>
    <row r="76" spans="2:15" x14ac:dyDescent="0.5">
      <c r="B76" s="91">
        <v>66</v>
      </c>
      <c r="C76" s="92">
        <v>71.036970667413328</v>
      </c>
      <c r="D76" s="92">
        <v>4210.4108675942862</v>
      </c>
      <c r="E76" s="91">
        <v>0</v>
      </c>
      <c r="N76"/>
      <c r="O76"/>
    </row>
    <row r="77" spans="2:15" x14ac:dyDescent="0.5">
      <c r="B77" s="91">
        <v>67</v>
      </c>
      <c r="C77" s="92">
        <v>28.287808589994913</v>
      </c>
      <c r="D77" s="92">
        <v>-1149.8720258352448</v>
      </c>
      <c r="E77" s="91">
        <v>1</v>
      </c>
      <c r="N77"/>
      <c r="O77"/>
    </row>
    <row r="78" spans="2:15" x14ac:dyDescent="0.5">
      <c r="B78" s="91">
        <v>68</v>
      </c>
      <c r="C78" s="92">
        <v>38.542525205083003</v>
      </c>
      <c r="D78" s="92">
        <v>182.14256009488503</v>
      </c>
      <c r="E78" s="91">
        <v>0</v>
      </c>
      <c r="N78"/>
      <c r="O78"/>
    </row>
    <row r="79" spans="2:15" x14ac:dyDescent="0.5">
      <c r="B79" s="91">
        <v>69</v>
      </c>
      <c r="C79" s="92">
        <v>116.56390183961337</v>
      </c>
      <c r="D79" s="92">
        <v>9785.6963202664101</v>
      </c>
      <c r="E79" s="91">
        <v>0</v>
      </c>
      <c r="N79"/>
      <c r="O79"/>
    </row>
    <row r="80" spans="2:15" x14ac:dyDescent="0.5">
      <c r="B80" s="91">
        <v>70</v>
      </c>
      <c r="C80" s="92">
        <v>219.9763126089218</v>
      </c>
      <c r="D80" s="92">
        <v>22394.041860701764</v>
      </c>
      <c r="E80" s="91">
        <v>0</v>
      </c>
      <c r="N80"/>
      <c r="O80"/>
    </row>
    <row r="81" spans="2:15" x14ac:dyDescent="0.5">
      <c r="B81" s="91">
        <v>71</v>
      </c>
      <c r="C81" s="92">
        <v>40.055681450449207</v>
      </c>
      <c r="D81" s="92">
        <v>373.11546469198294</v>
      </c>
      <c r="E81" s="91">
        <v>0</v>
      </c>
      <c r="N81"/>
      <c r="O81"/>
    </row>
    <row r="82" spans="2:15" x14ac:dyDescent="0.5">
      <c r="B82" s="91">
        <v>72</v>
      </c>
      <c r="C82" s="92">
        <v>64.957997568627817</v>
      </c>
      <c r="D82" s="92">
        <v>3465.9721494067649</v>
      </c>
      <c r="E82" s="91">
        <v>0</v>
      </c>
      <c r="N82"/>
      <c r="O82"/>
    </row>
    <row r="83" spans="2:15" x14ac:dyDescent="0.5">
      <c r="B83" s="91">
        <v>73</v>
      </c>
      <c r="C83" s="92">
        <v>41.833101805906949</v>
      </c>
      <c r="D83" s="92">
        <v>597.44069813119233</v>
      </c>
      <c r="E83" s="91">
        <v>0</v>
      </c>
      <c r="N83"/>
      <c r="O83"/>
    </row>
    <row r="84" spans="2:15" x14ac:dyDescent="0.5">
      <c r="B84" s="91">
        <v>74</v>
      </c>
      <c r="C84" s="92">
        <v>30.948874948504798</v>
      </c>
      <c r="D84" s="92">
        <v>-796.80525754565974</v>
      </c>
      <c r="E84" s="91">
        <v>1</v>
      </c>
      <c r="N84"/>
      <c r="O84"/>
    </row>
    <row r="85" spans="2:15" x14ac:dyDescent="0.5">
      <c r="B85" s="91">
        <v>75</v>
      </c>
      <c r="C85" s="92">
        <v>59.940587992910629</v>
      </c>
      <c r="D85" s="92">
        <v>2851.5338400951273</v>
      </c>
      <c r="E85" s="91">
        <v>0</v>
      </c>
      <c r="N85"/>
      <c r="O85"/>
    </row>
    <row r="86" spans="2:15" x14ac:dyDescent="0.5">
      <c r="B86" s="91">
        <v>76</v>
      </c>
      <c r="C86" s="92">
        <v>96.776055680224886</v>
      </c>
      <c r="D86" s="92">
        <v>7362.4517045713665</v>
      </c>
      <c r="E86" s="91">
        <v>0</v>
      </c>
      <c r="N86"/>
      <c r="O86"/>
    </row>
    <row r="87" spans="2:15" x14ac:dyDescent="0.5">
      <c r="B87" s="91">
        <v>77</v>
      </c>
      <c r="C87" s="92">
        <v>30.140864772954131</v>
      </c>
      <c r="D87" s="92">
        <v>-902.86768419826535</v>
      </c>
      <c r="E87" s="91">
        <v>1</v>
      </c>
      <c r="N87"/>
      <c r="O87"/>
    </row>
    <row r="88" spans="2:15" x14ac:dyDescent="0.5">
      <c r="B88" s="91">
        <v>78</v>
      </c>
      <c r="C88" s="92">
        <v>33.937297624978683</v>
      </c>
      <c r="D88" s="92">
        <v>-409.50574544399063</v>
      </c>
      <c r="E88" s="91">
        <v>1</v>
      </c>
      <c r="N88"/>
      <c r="O88"/>
    </row>
    <row r="89" spans="2:15" x14ac:dyDescent="0.5">
      <c r="B89" s="91">
        <v>79</v>
      </c>
      <c r="C89" s="92">
        <v>32.557677148360035</v>
      </c>
      <c r="D89" s="92">
        <v>-588.30452838936037</v>
      </c>
      <c r="E89" s="91">
        <v>1</v>
      </c>
      <c r="N89"/>
      <c r="O89"/>
    </row>
    <row r="90" spans="2:15" x14ac:dyDescent="0.5">
      <c r="B90" s="91">
        <v>80</v>
      </c>
      <c r="C90" s="92">
        <v>42.619482174206418</v>
      </c>
      <c r="D90" s="92">
        <v>696.68844172157185</v>
      </c>
      <c r="E90" s="91">
        <v>0</v>
      </c>
      <c r="N90"/>
      <c r="O90"/>
    </row>
    <row r="91" spans="2:15" x14ac:dyDescent="0.5">
      <c r="B91" s="91">
        <v>81</v>
      </c>
      <c r="C91" s="92">
        <v>59.024883394882082</v>
      </c>
      <c r="D91" s="92">
        <v>2739.3954992738836</v>
      </c>
      <c r="E91" s="91">
        <v>0</v>
      </c>
      <c r="N91"/>
      <c r="O91"/>
    </row>
    <row r="92" spans="2:15" x14ac:dyDescent="0.5">
      <c r="B92" s="91">
        <v>82</v>
      </c>
      <c r="C92" s="92">
        <v>48.564971523022074</v>
      </c>
      <c r="D92" s="92">
        <v>1441.9578537690211</v>
      </c>
      <c r="E92" s="91">
        <v>0</v>
      </c>
      <c r="N92"/>
      <c r="O92"/>
    </row>
    <row r="93" spans="2:15" x14ac:dyDescent="0.5">
      <c r="B93" s="91">
        <v>83</v>
      </c>
      <c r="C93" s="92">
        <v>137.83404136085986</v>
      </c>
      <c r="D93" s="92">
        <v>12388.253651395928</v>
      </c>
      <c r="E93" s="91">
        <v>0</v>
      </c>
      <c r="N93"/>
      <c r="O93"/>
    </row>
    <row r="94" spans="2:15" x14ac:dyDescent="0.5">
      <c r="B94" s="91">
        <v>84</v>
      </c>
      <c r="C94" s="92">
        <v>53.081640156428868</v>
      </c>
      <c r="D94" s="92">
        <v>2004.6786687542258</v>
      </c>
      <c r="E94" s="91">
        <v>0</v>
      </c>
      <c r="N94"/>
      <c r="O94"/>
    </row>
    <row r="95" spans="2:15" x14ac:dyDescent="0.5">
      <c r="B95" s="91">
        <v>85</v>
      </c>
      <c r="C95" s="92">
        <v>147.11338088402331</v>
      </c>
      <c r="D95" s="92">
        <v>13518.574308230765</v>
      </c>
      <c r="E95" s="91">
        <v>0</v>
      </c>
      <c r="N95"/>
      <c r="O95"/>
    </row>
    <row r="96" spans="2:15" x14ac:dyDescent="0.5">
      <c r="B96" s="91">
        <v>86</v>
      </c>
      <c r="C96" s="92">
        <v>31.927938341896645</v>
      </c>
      <c r="D96" s="92">
        <v>-669.91866363696863</v>
      </c>
      <c r="E96" s="91">
        <v>1</v>
      </c>
      <c r="N96"/>
      <c r="O96"/>
    </row>
    <row r="97" spans="2:15" x14ac:dyDescent="0.5">
      <c r="B97" s="91">
        <v>87</v>
      </c>
      <c r="C97" s="92">
        <v>48.713407191558858</v>
      </c>
      <c r="D97" s="92">
        <v>1460.4510945071384</v>
      </c>
      <c r="E97" s="91">
        <v>0</v>
      </c>
      <c r="N97"/>
      <c r="O97"/>
    </row>
    <row r="98" spans="2:15" x14ac:dyDescent="0.5">
      <c r="B98" s="91">
        <v>88</v>
      </c>
      <c r="C98" s="92">
        <v>86.519112913011298</v>
      </c>
      <c r="D98" s="92">
        <v>6106.3735476088459</v>
      </c>
      <c r="E98" s="91">
        <v>0</v>
      </c>
      <c r="N98"/>
      <c r="O98"/>
    </row>
    <row r="99" spans="2:15" x14ac:dyDescent="0.5">
      <c r="B99" s="91">
        <v>89</v>
      </c>
      <c r="C99" s="92">
        <v>56.209443771365116</v>
      </c>
      <c r="D99" s="92">
        <v>2392.4838706618571</v>
      </c>
      <c r="E99" s="91">
        <v>0</v>
      </c>
      <c r="N99"/>
      <c r="O99"/>
    </row>
    <row r="100" spans="2:15" x14ac:dyDescent="0.5">
      <c r="B100" s="91">
        <v>90</v>
      </c>
      <c r="C100" s="92">
        <v>111.43757536169191</v>
      </c>
      <c r="D100" s="92">
        <v>9157.9199096425491</v>
      </c>
      <c r="E100" s="91">
        <v>0</v>
      </c>
      <c r="N100"/>
      <c r="O100"/>
    </row>
    <row r="101" spans="2:15" x14ac:dyDescent="0.5">
      <c r="B101" s="91">
        <v>91</v>
      </c>
      <c r="C101" s="92">
        <v>85.034180090834937</v>
      </c>
      <c r="D101" s="92">
        <v>5924.5268000132073</v>
      </c>
      <c r="E101" s="91">
        <v>0</v>
      </c>
      <c r="N101"/>
      <c r="O101"/>
    </row>
    <row r="102" spans="2:15" x14ac:dyDescent="0.5">
      <c r="B102" s="91">
        <v>92</v>
      </c>
      <c r="C102" s="92">
        <v>35.681033310790781</v>
      </c>
      <c r="D102" s="92">
        <v>-184.21735380705894</v>
      </c>
      <c r="E102" s="91">
        <v>1</v>
      </c>
      <c r="N102"/>
      <c r="O102"/>
    </row>
    <row r="103" spans="2:15" x14ac:dyDescent="0.5">
      <c r="B103" s="91">
        <v>93</v>
      </c>
      <c r="C103" s="92">
        <v>93.97894026668429</v>
      </c>
      <c r="D103" s="92">
        <v>7019.9134206801764</v>
      </c>
      <c r="E103" s="91">
        <v>0</v>
      </c>
      <c r="N103"/>
      <c r="O103"/>
    </row>
    <row r="104" spans="2:15" x14ac:dyDescent="0.5">
      <c r="B104" s="91">
        <v>94</v>
      </c>
      <c r="C104" s="92">
        <v>85.500786947137271</v>
      </c>
      <c r="D104" s="92">
        <v>5981.668064558794</v>
      </c>
      <c r="E104" s="91">
        <v>0</v>
      </c>
      <c r="N104"/>
      <c r="O104"/>
    </row>
    <row r="105" spans="2:15" x14ac:dyDescent="0.5">
      <c r="B105" s="91">
        <v>95</v>
      </c>
      <c r="C105" s="92">
        <v>19.918318975292056</v>
      </c>
      <c r="D105" s="92">
        <v>-2509.1163755044217</v>
      </c>
      <c r="E105" s="91">
        <v>1</v>
      </c>
      <c r="N105"/>
      <c r="O105"/>
    </row>
    <row r="106" spans="2:15" x14ac:dyDescent="0.5">
      <c r="B106" s="91">
        <v>96</v>
      </c>
      <c r="C106" s="92">
        <v>34.156991631470994</v>
      </c>
      <c r="D106" s="92">
        <v>-381.03340711113736</v>
      </c>
      <c r="E106" s="91">
        <v>1</v>
      </c>
      <c r="N106"/>
      <c r="O106"/>
    </row>
    <row r="107" spans="2:15" x14ac:dyDescent="0.5">
      <c r="B107" s="91">
        <v>97</v>
      </c>
      <c r="C107" s="92">
        <v>92.222096132659544</v>
      </c>
      <c r="D107" s="92">
        <v>6804.768070645654</v>
      </c>
      <c r="E107" s="91">
        <v>0</v>
      </c>
      <c r="N107"/>
      <c r="O107"/>
    </row>
    <row r="108" spans="2:15" x14ac:dyDescent="0.5">
      <c r="B108" s="91">
        <v>98</v>
      </c>
      <c r="C108" s="92">
        <v>61.89371410485505</v>
      </c>
      <c r="D108" s="92">
        <v>3090.7161288808702</v>
      </c>
      <c r="E108" s="91">
        <v>0</v>
      </c>
      <c r="N108"/>
      <c r="O108"/>
    </row>
    <row r="109" spans="2:15" x14ac:dyDescent="0.5">
      <c r="B109" s="91">
        <v>99</v>
      </c>
      <c r="C109" s="92">
        <v>94.767483241964726</v>
      </c>
      <c r="D109" s="92">
        <v>7116.479388684018</v>
      </c>
      <c r="E109" s="91">
        <v>0</v>
      </c>
      <c r="N109"/>
      <c r="O109"/>
    </row>
    <row r="110" spans="2:15" x14ac:dyDescent="0.5">
      <c r="B110" s="91">
        <v>100</v>
      </c>
      <c r="C110" s="92">
        <v>113.00724653302485</v>
      </c>
      <c r="D110" s="92">
        <v>9350.1438224274953</v>
      </c>
      <c r="E110" s="91">
        <v>0</v>
      </c>
      <c r="N110"/>
      <c r="O110"/>
    </row>
    <row r="111" spans="2:15" x14ac:dyDescent="0.5">
      <c r="B111" s="91">
        <v>101</v>
      </c>
      <c r="C111" s="92">
        <v>35.817509108637289</v>
      </c>
      <c r="D111" s="92">
        <v>-166.68777409303425</v>
      </c>
      <c r="E111" s="91">
        <v>1</v>
      </c>
      <c r="N111"/>
      <c r="O111"/>
    </row>
    <row r="112" spans="2:15" x14ac:dyDescent="0.5">
      <c r="B112" s="91">
        <v>102</v>
      </c>
      <c r="C112" s="92">
        <v>46.800745074932145</v>
      </c>
      <c r="D112" s="92">
        <v>1221.4361871558651</v>
      </c>
      <c r="E112" s="91">
        <v>0</v>
      </c>
      <c r="N112"/>
      <c r="O112"/>
    </row>
    <row r="113" spans="2:15" x14ac:dyDescent="0.5">
      <c r="B113" s="91">
        <v>103</v>
      </c>
      <c r="C113" s="92">
        <v>57.412080208405307</v>
      </c>
      <c r="D113" s="92">
        <v>2541.5627663862706</v>
      </c>
      <c r="E113" s="91">
        <v>0</v>
      </c>
      <c r="N113"/>
      <c r="O113"/>
    </row>
    <row r="114" spans="2:15" x14ac:dyDescent="0.5">
      <c r="B114" s="91">
        <v>104</v>
      </c>
      <c r="C114" s="92">
        <v>43.588028887839585</v>
      </c>
      <c r="D114" s="92">
        <v>818.77609388848111</v>
      </c>
      <c r="E114" s="91">
        <v>0</v>
      </c>
      <c r="N114"/>
      <c r="O114"/>
    </row>
    <row r="115" spans="2:15" x14ac:dyDescent="0.5">
      <c r="B115" s="91">
        <v>105</v>
      </c>
      <c r="C115" s="92">
        <v>34.520711977127817</v>
      </c>
      <c r="D115" s="92">
        <v>-333.8952584404978</v>
      </c>
      <c r="E115" s="91">
        <v>1</v>
      </c>
      <c r="N115"/>
      <c r="O115"/>
    </row>
    <row r="116" spans="2:15" x14ac:dyDescent="0.5">
      <c r="B116" s="91">
        <v>106</v>
      </c>
      <c r="C116" s="92">
        <v>49.845381901041598</v>
      </c>
      <c r="D116" s="92">
        <v>1601.4810842547602</v>
      </c>
      <c r="E116" s="91">
        <v>0</v>
      </c>
      <c r="N116"/>
      <c r="O116"/>
    </row>
    <row r="117" spans="2:15" x14ac:dyDescent="0.5">
      <c r="B117" s="91">
        <v>107</v>
      </c>
      <c r="C117" s="92">
        <v>28.314953067411114</v>
      </c>
      <c r="D117" s="92">
        <v>-1146.2404278019819</v>
      </c>
      <c r="E117" s="91">
        <v>1</v>
      </c>
      <c r="N117"/>
      <c r="O117"/>
    </row>
    <row r="118" spans="2:15" x14ac:dyDescent="0.5">
      <c r="B118" s="91">
        <v>108</v>
      </c>
      <c r="C118" s="92">
        <v>82.957963405271357</v>
      </c>
      <c r="D118" s="92">
        <v>5670.2706842246225</v>
      </c>
      <c r="E118" s="91">
        <v>0</v>
      </c>
      <c r="N118"/>
      <c r="O118"/>
    </row>
    <row r="119" spans="2:15" x14ac:dyDescent="0.5">
      <c r="B119" s="91">
        <v>109</v>
      </c>
      <c r="C119" s="92">
        <v>103.70427790297583</v>
      </c>
      <c r="D119" s="92">
        <v>8210.8905423503056</v>
      </c>
      <c r="E119" s="91">
        <v>0</v>
      </c>
      <c r="N119"/>
      <c r="O119"/>
    </row>
    <row r="120" spans="2:15" x14ac:dyDescent="0.5">
      <c r="B120" s="91">
        <v>110</v>
      </c>
      <c r="C120" s="92">
        <v>105.99076416663952</v>
      </c>
      <c r="D120" s="92">
        <v>8490.8965360625061</v>
      </c>
      <c r="E120" s="91">
        <v>0</v>
      </c>
      <c r="N120"/>
      <c r="O120"/>
    </row>
    <row r="121" spans="2:15" x14ac:dyDescent="0.5">
      <c r="B121" s="91">
        <v>111</v>
      </c>
      <c r="C121" s="92">
        <v>24.389006063979</v>
      </c>
      <c r="D121" s="92">
        <v>-1684.0786376523556</v>
      </c>
      <c r="E121" s="91">
        <v>1</v>
      </c>
      <c r="N121"/>
      <c r="O121"/>
    </row>
    <row r="122" spans="2:15" x14ac:dyDescent="0.5">
      <c r="B122" s="91">
        <v>112</v>
      </c>
      <c r="C122" s="92">
        <v>52.765349741281511</v>
      </c>
      <c r="D122" s="92">
        <v>1965.2728113337132</v>
      </c>
      <c r="E122" s="91">
        <v>0</v>
      </c>
      <c r="N122"/>
      <c r="O122"/>
    </row>
    <row r="123" spans="2:15" x14ac:dyDescent="0.5">
      <c r="B123" s="91">
        <v>113</v>
      </c>
      <c r="C123" s="92">
        <v>95.380472497711537</v>
      </c>
      <c r="D123" s="92">
        <v>7191.5468266205398</v>
      </c>
      <c r="E123" s="91">
        <v>0</v>
      </c>
      <c r="N123"/>
      <c r="O123"/>
    </row>
    <row r="124" spans="2:15" x14ac:dyDescent="0.5">
      <c r="B124" s="91">
        <v>114</v>
      </c>
      <c r="C124" s="92">
        <v>34.252564313911726</v>
      </c>
      <c r="D124" s="92">
        <v>-368.64718960216851</v>
      </c>
      <c r="E124" s="91">
        <v>1</v>
      </c>
      <c r="N124"/>
      <c r="O124"/>
    </row>
    <row r="125" spans="2:15" x14ac:dyDescent="0.5">
      <c r="B125" s="91">
        <v>115</v>
      </c>
      <c r="C125" s="92">
        <v>113.44538345337526</v>
      </c>
      <c r="D125" s="92">
        <v>9403.7986226833873</v>
      </c>
      <c r="E125" s="91">
        <v>0</v>
      </c>
      <c r="N125"/>
      <c r="O125"/>
    </row>
    <row r="126" spans="2:15" x14ac:dyDescent="0.5">
      <c r="B126" s="91">
        <v>116</v>
      </c>
      <c r="C126" s="92">
        <v>131.12444864349158</v>
      </c>
      <c r="D126" s="92">
        <v>11568.799259306239</v>
      </c>
      <c r="E126" s="91">
        <v>0</v>
      </c>
      <c r="N126"/>
      <c r="O126"/>
    </row>
    <row r="127" spans="2:15" x14ac:dyDescent="0.5">
      <c r="B127" s="91">
        <v>117</v>
      </c>
      <c r="C127" s="92">
        <v>130.49329823294721</v>
      </c>
      <c r="D127" s="92">
        <v>11491.507783431303</v>
      </c>
      <c r="E127" s="91">
        <v>0</v>
      </c>
      <c r="N127"/>
      <c r="O127"/>
    </row>
    <row r="128" spans="2:15" x14ac:dyDescent="0.5">
      <c r="B128" s="91">
        <v>118</v>
      </c>
      <c r="C128" s="92">
        <v>85.681871507461068</v>
      </c>
      <c r="D128" s="92">
        <v>6003.8439083699686</v>
      </c>
      <c r="E128" s="91">
        <v>0</v>
      </c>
      <c r="N128"/>
      <c r="O128"/>
    </row>
    <row r="129" spans="2:15" x14ac:dyDescent="0.5">
      <c r="B129" s="91">
        <v>119</v>
      </c>
      <c r="C129" s="92">
        <v>37.454756834237365</v>
      </c>
      <c r="D129" s="92">
        <v>43.607860520451268</v>
      </c>
      <c r="E129" s="91">
        <v>0</v>
      </c>
      <c r="N129"/>
      <c r="O129"/>
    </row>
    <row r="130" spans="2:15" x14ac:dyDescent="0.5">
      <c r="B130" s="91">
        <v>120</v>
      </c>
      <c r="C130" s="92">
        <v>67.645234569078625</v>
      </c>
      <c r="D130" s="92">
        <v>3795.0545841491298</v>
      </c>
      <c r="E130" s="91">
        <v>0</v>
      </c>
      <c r="N130"/>
      <c r="O130"/>
    </row>
    <row r="131" spans="2:15" x14ac:dyDescent="0.5">
      <c r="B131" s="91">
        <v>121</v>
      </c>
      <c r="C131" s="92">
        <v>211.12742441649169</v>
      </c>
      <c r="D131" s="92">
        <v>21316.154680374111</v>
      </c>
      <c r="E131" s="91">
        <v>0</v>
      </c>
      <c r="N131"/>
      <c r="O131"/>
    </row>
    <row r="132" spans="2:15" x14ac:dyDescent="0.5">
      <c r="B132" s="91">
        <v>122</v>
      </c>
      <c r="C132" s="92">
        <v>98.763638492016796</v>
      </c>
      <c r="D132" s="92">
        <v>7605.8536043095855</v>
      </c>
      <c r="E132" s="91">
        <v>0</v>
      </c>
      <c r="N132"/>
      <c r="O132"/>
    </row>
    <row r="133" spans="2:15" x14ac:dyDescent="0.5">
      <c r="B133" s="91">
        <v>123</v>
      </c>
      <c r="C133" s="92">
        <v>88.938268610116921</v>
      </c>
      <c r="D133" s="92">
        <v>6402.6264075876406</v>
      </c>
      <c r="E133" s="91">
        <v>0</v>
      </c>
      <c r="N133"/>
      <c r="O133"/>
    </row>
    <row r="134" spans="2:15" x14ac:dyDescent="0.5">
      <c r="B134" s="91">
        <v>124</v>
      </c>
      <c r="C134" s="92">
        <v>88.634647409473587</v>
      </c>
      <c r="D134" s="92">
        <v>6365.4445721446373</v>
      </c>
      <c r="E134" s="91">
        <v>0</v>
      </c>
      <c r="N134"/>
      <c r="O134"/>
    </row>
    <row r="135" spans="2:15" x14ac:dyDescent="0.5">
      <c r="B135" s="91">
        <v>125</v>
      </c>
      <c r="C135" s="92">
        <v>37.437133701976997</v>
      </c>
      <c r="D135" s="92">
        <v>41.344264288420121</v>
      </c>
      <c r="E135" s="91">
        <v>0</v>
      </c>
      <c r="N135"/>
      <c r="O135"/>
    </row>
    <row r="136" spans="2:15" x14ac:dyDescent="0.5">
      <c r="B136" s="91">
        <v>126</v>
      </c>
      <c r="C136" s="92">
        <v>79.442490491757496</v>
      </c>
      <c r="D136" s="92">
        <v>5239.7614342195429</v>
      </c>
      <c r="E136" s="91">
        <v>0</v>
      </c>
      <c r="N136"/>
      <c r="O136"/>
    </row>
    <row r="137" spans="2:15" x14ac:dyDescent="0.5">
      <c r="B137" s="91">
        <v>127</v>
      </c>
      <c r="C137" s="92">
        <v>56.361755361365844</v>
      </c>
      <c r="D137" s="92">
        <v>2411.3644258687336</v>
      </c>
      <c r="E137" s="91">
        <v>0</v>
      </c>
      <c r="N137"/>
      <c r="O137"/>
    </row>
    <row r="138" spans="2:15" x14ac:dyDescent="0.5">
      <c r="B138" s="91">
        <v>128</v>
      </c>
      <c r="C138" s="92">
        <v>108.78286929509839</v>
      </c>
      <c r="D138" s="92">
        <v>8832.8212541189132</v>
      </c>
      <c r="E138" s="91">
        <v>0</v>
      </c>
      <c r="N138"/>
      <c r="O138"/>
    </row>
    <row r="139" spans="2:15" x14ac:dyDescent="0.5">
      <c r="B139" s="91">
        <v>129</v>
      </c>
      <c r="C139" s="92">
        <v>156.50333119650583</v>
      </c>
      <c r="D139" s="92">
        <v>14662.368516682507</v>
      </c>
      <c r="E139" s="91">
        <v>0</v>
      </c>
      <c r="N139"/>
      <c r="O139"/>
    </row>
    <row r="140" spans="2:15" x14ac:dyDescent="0.5">
      <c r="B140" s="91">
        <v>130</v>
      </c>
      <c r="C140" s="92">
        <v>91.605585693604709</v>
      </c>
      <c r="D140" s="92">
        <v>6729.2694241570061</v>
      </c>
      <c r="E140" s="91">
        <v>0</v>
      </c>
      <c r="N140"/>
      <c r="O140"/>
    </row>
    <row r="141" spans="2:15" x14ac:dyDescent="0.5">
      <c r="B141" s="91">
        <v>131</v>
      </c>
      <c r="C141" s="92">
        <v>121.21286899763095</v>
      </c>
      <c r="D141" s="92">
        <v>10355.014706080936</v>
      </c>
      <c r="E141" s="91">
        <v>0</v>
      </c>
      <c r="N141"/>
      <c r="O141"/>
    </row>
    <row r="142" spans="2:15" x14ac:dyDescent="0.5">
      <c r="B142" s="91">
        <v>132</v>
      </c>
      <c r="C142" s="92">
        <v>60.010478575780432</v>
      </c>
      <c r="D142" s="92">
        <v>2860.0927290850077</v>
      </c>
      <c r="E142" s="91">
        <v>0</v>
      </c>
      <c r="N142"/>
      <c r="O142"/>
    </row>
    <row r="143" spans="2:15" x14ac:dyDescent="0.5">
      <c r="B143" s="91">
        <v>133</v>
      </c>
      <c r="C143" s="92">
        <v>56.686280804103873</v>
      </c>
      <c r="D143" s="92">
        <v>2451.592622144683</v>
      </c>
      <c r="E143" s="91">
        <v>0</v>
      </c>
      <c r="N143"/>
      <c r="O143"/>
    </row>
    <row r="144" spans="2:15" x14ac:dyDescent="0.5">
      <c r="B144" s="91">
        <v>134</v>
      </c>
      <c r="C144" s="92">
        <v>28.743346578776737</v>
      </c>
      <c r="D144" s="92">
        <v>-1088.9266320901054</v>
      </c>
      <c r="E144" s="91">
        <v>1</v>
      </c>
      <c r="N144"/>
      <c r="O144"/>
    </row>
    <row r="145" spans="2:15" x14ac:dyDescent="0.5">
      <c r="B145" s="91">
        <v>135</v>
      </c>
      <c r="C145" s="92">
        <v>40.635985285335927</v>
      </c>
      <c r="D145" s="92">
        <v>446.35463562130866</v>
      </c>
      <c r="E145" s="91">
        <v>0</v>
      </c>
      <c r="N145"/>
      <c r="O145"/>
    </row>
    <row r="146" spans="2:15" x14ac:dyDescent="0.5">
      <c r="B146" s="91">
        <v>136</v>
      </c>
      <c r="C146" s="92">
        <v>40.871358439891395</v>
      </c>
      <c r="D146" s="92">
        <v>476.06068555983342</v>
      </c>
      <c r="E146" s="91">
        <v>0</v>
      </c>
      <c r="N146"/>
      <c r="O146"/>
    </row>
    <row r="147" spans="2:15" x14ac:dyDescent="0.5">
      <c r="B147" s="91">
        <v>137</v>
      </c>
      <c r="C147" s="92">
        <v>51.354143486973236</v>
      </c>
      <c r="D147" s="92">
        <v>1789.4540391388637</v>
      </c>
      <c r="E147" s="91">
        <v>0</v>
      </c>
      <c r="N147"/>
      <c r="O147"/>
    </row>
    <row r="148" spans="2:15" x14ac:dyDescent="0.5">
      <c r="B148" s="91">
        <v>138</v>
      </c>
      <c r="C148" s="92">
        <v>32.796305612137097</v>
      </c>
      <c r="D148" s="92">
        <v>-557.37828481545068</v>
      </c>
      <c r="E148" s="91">
        <v>1</v>
      </c>
      <c r="N148"/>
      <c r="O148"/>
    </row>
    <row r="149" spans="2:15" x14ac:dyDescent="0.5">
      <c r="B149" s="91">
        <v>139</v>
      </c>
      <c r="C149" s="92">
        <v>86.504802925034681</v>
      </c>
      <c r="D149" s="92">
        <v>6104.6211284200335</v>
      </c>
      <c r="E149" s="91">
        <v>0</v>
      </c>
      <c r="N149"/>
      <c r="O149"/>
    </row>
    <row r="150" spans="2:15" x14ac:dyDescent="0.5">
      <c r="B150" s="91">
        <v>140</v>
      </c>
      <c r="C150" s="92">
        <v>164.12971255424625</v>
      </c>
      <c r="D150" s="92">
        <v>15591.341571719006</v>
      </c>
      <c r="E150" s="91">
        <v>0</v>
      </c>
      <c r="N150"/>
      <c r="O150"/>
    </row>
    <row r="151" spans="2:15" x14ac:dyDescent="0.5">
      <c r="B151" s="91">
        <v>141</v>
      </c>
      <c r="C151" s="92">
        <v>79.999921098205618</v>
      </c>
      <c r="D151" s="92">
        <v>5308.025089840201</v>
      </c>
      <c r="E151" s="91">
        <v>0</v>
      </c>
      <c r="N151"/>
      <c r="O151"/>
    </row>
    <row r="152" spans="2:15" x14ac:dyDescent="0.5">
      <c r="B152" s="91">
        <v>142</v>
      </c>
      <c r="C152" s="92">
        <v>124.01886772145332</v>
      </c>
      <c r="D152" s="92">
        <v>10698.640851361213</v>
      </c>
      <c r="E152" s="91">
        <v>0</v>
      </c>
      <c r="N152"/>
      <c r="O152"/>
    </row>
    <row r="153" spans="2:15" x14ac:dyDescent="0.5">
      <c r="B153" s="91">
        <v>143</v>
      </c>
      <c r="C153" s="92">
        <v>48.759729126142823</v>
      </c>
      <c r="D153" s="92">
        <v>1466.2222322408181</v>
      </c>
      <c r="E153" s="91">
        <v>0</v>
      </c>
      <c r="N153"/>
      <c r="O153"/>
    </row>
    <row r="154" spans="2:15" x14ac:dyDescent="0.5">
      <c r="B154" s="91">
        <v>144</v>
      </c>
      <c r="C154" s="92">
        <v>67.273635358674213</v>
      </c>
      <c r="D154" s="92">
        <v>3749.5480758330755</v>
      </c>
      <c r="E154" s="91">
        <v>0</v>
      </c>
      <c r="N154"/>
      <c r="O154"/>
    </row>
    <row r="155" spans="2:15" x14ac:dyDescent="0.5">
      <c r="B155" s="91">
        <v>145</v>
      </c>
      <c r="C155" s="92">
        <v>59.402554745618147</v>
      </c>
      <c r="D155" s="92">
        <v>2785.6456095588383</v>
      </c>
      <c r="E155" s="91">
        <v>0</v>
      </c>
      <c r="N155"/>
      <c r="O155"/>
    </row>
    <row r="156" spans="2:15" x14ac:dyDescent="0.5">
      <c r="B156" s="91">
        <v>146</v>
      </c>
      <c r="C156" s="92">
        <v>44.889707640999035</v>
      </c>
      <c r="D156" s="92">
        <v>981.91969501239078</v>
      </c>
      <c r="E156" s="91">
        <v>0</v>
      </c>
      <c r="N156"/>
      <c r="O156"/>
    </row>
    <row r="157" spans="2:15" x14ac:dyDescent="0.5">
      <c r="B157" s="91">
        <v>147</v>
      </c>
      <c r="C157" s="92">
        <v>122.06220106698962</v>
      </c>
      <c r="D157" s="92">
        <v>10459.024983269897</v>
      </c>
      <c r="E157" s="91">
        <v>0</v>
      </c>
      <c r="N157"/>
      <c r="O157"/>
    </row>
    <row r="158" spans="2:15" x14ac:dyDescent="0.5">
      <c r="B158" s="91">
        <v>148</v>
      </c>
      <c r="C158" s="92">
        <v>81.541055235419861</v>
      </c>
      <c r="D158" s="92">
        <v>5496.7543214092648</v>
      </c>
      <c r="E158" s="91">
        <v>0</v>
      </c>
      <c r="N158"/>
      <c r="O158"/>
    </row>
    <row r="159" spans="2:15" x14ac:dyDescent="0.5">
      <c r="B159" s="91">
        <v>149</v>
      </c>
      <c r="C159" s="92">
        <v>69.154595393426447</v>
      </c>
      <c r="D159" s="92">
        <v>3979.8928157222285</v>
      </c>
      <c r="E159" s="91">
        <v>0</v>
      </c>
      <c r="N159"/>
      <c r="O159"/>
    </row>
    <row r="160" spans="2:15" x14ac:dyDescent="0.5">
      <c r="B160" s="91">
        <v>150</v>
      </c>
      <c r="C160" s="92">
        <v>28.839729605555835</v>
      </c>
      <c r="D160" s="92">
        <v>-1076.0317656639077</v>
      </c>
      <c r="E160" s="91">
        <v>1</v>
      </c>
      <c r="N160"/>
      <c r="O160"/>
    </row>
    <row r="161" spans="2:15" x14ac:dyDescent="0.5">
      <c r="B161" s="91">
        <v>151</v>
      </c>
      <c r="C161" s="92">
        <v>75.154986106709615</v>
      </c>
      <c r="D161" s="92">
        <v>4714.708235799224</v>
      </c>
      <c r="E161" s="91">
        <v>0</v>
      </c>
      <c r="N161"/>
      <c r="O161"/>
    </row>
    <row r="162" spans="2:15" x14ac:dyDescent="0.5">
      <c r="B162" s="91">
        <v>152</v>
      </c>
      <c r="C162" s="92">
        <v>33.410993129452358</v>
      </c>
      <c r="D162" s="92">
        <v>-477.71479630515381</v>
      </c>
      <c r="E162" s="91">
        <v>1</v>
      </c>
      <c r="N162"/>
      <c r="O162"/>
    </row>
    <row r="163" spans="2:15" x14ac:dyDescent="0.5">
      <c r="B163" s="91">
        <v>153</v>
      </c>
      <c r="C163" s="92">
        <v>174.48793645779799</v>
      </c>
      <c r="D163" s="92">
        <v>16853.081635985283</v>
      </c>
      <c r="E163" s="91">
        <v>0</v>
      </c>
      <c r="N163"/>
      <c r="O163"/>
    </row>
    <row r="164" spans="2:15" x14ac:dyDescent="0.5">
      <c r="B164" s="91">
        <v>154</v>
      </c>
      <c r="C164" s="92">
        <v>44.104864334873071</v>
      </c>
      <c r="D164" s="92">
        <v>883.55274927512664</v>
      </c>
      <c r="E164" s="91">
        <v>0</v>
      </c>
      <c r="N164"/>
      <c r="O164"/>
    </row>
    <row r="165" spans="2:15" x14ac:dyDescent="0.5">
      <c r="B165" s="91">
        <v>155</v>
      </c>
      <c r="C165" s="92">
        <v>41.456478690129124</v>
      </c>
      <c r="D165" s="92">
        <v>549.90772816939398</v>
      </c>
      <c r="E165" s="91">
        <v>0</v>
      </c>
      <c r="N165"/>
      <c r="O165"/>
    </row>
    <row r="166" spans="2:15" x14ac:dyDescent="0.5">
      <c r="B166" s="91">
        <v>156</v>
      </c>
      <c r="C166" s="92">
        <v>61.396105740803755</v>
      </c>
      <c r="D166" s="92">
        <v>3029.7783805681261</v>
      </c>
      <c r="E166" s="91">
        <v>0</v>
      </c>
      <c r="N166"/>
      <c r="O166"/>
    </row>
    <row r="167" spans="2:15" x14ac:dyDescent="0.5">
      <c r="B167" s="91">
        <v>157</v>
      </c>
      <c r="C167" s="92">
        <v>56.144165687028199</v>
      </c>
      <c r="D167" s="92">
        <v>2384.3919948228859</v>
      </c>
      <c r="E167" s="91">
        <v>0</v>
      </c>
      <c r="N167"/>
      <c r="O167"/>
    </row>
    <row r="168" spans="2:15" x14ac:dyDescent="0.5">
      <c r="B168" s="91">
        <v>158</v>
      </c>
      <c r="C168" s="92">
        <v>55.177792276032839</v>
      </c>
      <c r="D168" s="92">
        <v>2264.6002801105142</v>
      </c>
      <c r="E168" s="91">
        <v>0</v>
      </c>
      <c r="N168"/>
      <c r="O168"/>
    </row>
    <row r="169" spans="2:15" x14ac:dyDescent="0.5">
      <c r="B169" s="91">
        <v>159</v>
      </c>
      <c r="C169" s="92">
        <v>65.239230605304172</v>
      </c>
      <c r="D169" s="92">
        <v>3500.4123020333927</v>
      </c>
      <c r="E169" s="91">
        <v>0</v>
      </c>
      <c r="N169"/>
      <c r="O169"/>
    </row>
    <row r="170" spans="2:15" x14ac:dyDescent="0.5">
      <c r="B170" s="91">
        <v>160</v>
      </c>
      <c r="C170" s="92">
        <v>57.889130286472806</v>
      </c>
      <c r="D170" s="92">
        <v>2600.3097401395617</v>
      </c>
      <c r="E170" s="91">
        <v>0</v>
      </c>
      <c r="N170"/>
      <c r="O170"/>
    </row>
    <row r="171" spans="2:15" x14ac:dyDescent="0.5">
      <c r="B171" s="91">
        <v>161</v>
      </c>
      <c r="C171" s="92">
        <v>25.344129869131677</v>
      </c>
      <c r="D171" s="92">
        <v>-1549.726036049344</v>
      </c>
      <c r="E171" s="91">
        <v>1</v>
      </c>
      <c r="N171"/>
      <c r="O171"/>
    </row>
    <row r="172" spans="2:15" x14ac:dyDescent="0.5">
      <c r="B172" s="91">
        <v>162</v>
      </c>
      <c r="C172" s="92">
        <v>119.01124649068386</v>
      </c>
      <c r="D172" s="92">
        <v>10085.401235126126</v>
      </c>
      <c r="E172" s="91">
        <v>0</v>
      </c>
      <c r="N172"/>
      <c r="O172"/>
    </row>
    <row r="173" spans="2:15" x14ac:dyDescent="0.5">
      <c r="B173" s="91">
        <v>163</v>
      </c>
      <c r="C173" s="92">
        <v>69.924388332897692</v>
      </c>
      <c r="D173" s="92">
        <v>4074.1626306757212</v>
      </c>
      <c r="E173" s="91">
        <v>0</v>
      </c>
      <c r="N173"/>
      <c r="O173"/>
    </row>
    <row r="174" spans="2:15" x14ac:dyDescent="0.5">
      <c r="B174" s="91">
        <v>164</v>
      </c>
      <c r="C174" s="92">
        <v>91.014122559722168</v>
      </c>
      <c r="D174" s="92">
        <v>6656.8381022729445</v>
      </c>
      <c r="E174" s="91">
        <v>0</v>
      </c>
      <c r="N174"/>
      <c r="O174"/>
    </row>
    <row r="175" spans="2:15" x14ac:dyDescent="0.5">
      <c r="B175" s="91">
        <v>165</v>
      </c>
      <c r="C175" s="92">
        <v>96.738339465542921</v>
      </c>
      <c r="D175" s="92">
        <v>7357.8329293183015</v>
      </c>
      <c r="E175" s="91">
        <v>0</v>
      </c>
      <c r="N175"/>
      <c r="O175"/>
    </row>
    <row r="176" spans="2:15" x14ac:dyDescent="0.5">
      <c r="B176" s="91">
        <v>166</v>
      </c>
      <c r="C176" s="92">
        <v>55.549662532774157</v>
      </c>
      <c r="D176" s="92">
        <v>2310.6973427973785</v>
      </c>
      <c r="E176" s="91">
        <v>0</v>
      </c>
      <c r="N176"/>
      <c r="O176"/>
    </row>
    <row r="177" spans="2:15" x14ac:dyDescent="0.5">
      <c r="B177" s="91">
        <v>167</v>
      </c>
      <c r="C177" s="92">
        <v>56.651387821936652</v>
      </c>
      <c r="D177" s="92">
        <v>2447.2672856674162</v>
      </c>
      <c r="E177" s="91">
        <v>0</v>
      </c>
      <c r="N177"/>
      <c r="O177"/>
    </row>
    <row r="178" spans="2:15" x14ac:dyDescent="0.5">
      <c r="B178" s="91">
        <v>168</v>
      </c>
      <c r="C178" s="92">
        <v>57.152301488147835</v>
      </c>
      <c r="D178" s="92">
        <v>2509.3605782969112</v>
      </c>
      <c r="E178" s="91">
        <v>0</v>
      </c>
      <c r="N178"/>
      <c r="O178"/>
    </row>
    <row r="179" spans="2:15" x14ac:dyDescent="0.5">
      <c r="B179" s="91">
        <v>169</v>
      </c>
      <c r="C179" s="92">
        <v>14.167168553853953</v>
      </c>
      <c r="D179" s="92">
        <v>-3586.557538120896</v>
      </c>
      <c r="E179" s="91">
        <v>1</v>
      </c>
      <c r="N179"/>
      <c r="O179"/>
    </row>
    <row r="180" spans="2:15" x14ac:dyDescent="0.5">
      <c r="B180" s="91">
        <v>170</v>
      </c>
      <c r="C180" s="92">
        <v>162.79319555834891</v>
      </c>
      <c r="D180" s="92">
        <v>15428.539815742459</v>
      </c>
      <c r="E180" s="91">
        <v>0</v>
      </c>
      <c r="N180"/>
      <c r="O180"/>
    </row>
    <row r="181" spans="2:15" x14ac:dyDescent="0.5">
      <c r="B181" s="91">
        <v>171</v>
      </c>
      <c r="C181" s="92">
        <v>89.917440974342696</v>
      </c>
      <c r="D181" s="92">
        <v>6522.5370911625523</v>
      </c>
      <c r="E181" s="91">
        <v>0</v>
      </c>
      <c r="N181"/>
      <c r="O181"/>
    </row>
    <row r="182" spans="2:15" x14ac:dyDescent="0.5">
      <c r="B182" s="91">
        <v>172</v>
      </c>
      <c r="C182" s="92">
        <v>45.156157519037691</v>
      </c>
      <c r="D182" s="92">
        <v>1015.3147185669682</v>
      </c>
      <c r="E182" s="91">
        <v>0</v>
      </c>
      <c r="N182"/>
      <c r="O182"/>
    </row>
    <row r="183" spans="2:15" x14ac:dyDescent="0.5">
      <c r="B183" s="91">
        <v>173</v>
      </c>
      <c r="C183" s="92">
        <v>71.302453239026462</v>
      </c>
      <c r="D183" s="92">
        <v>4242.9221983899915</v>
      </c>
      <c r="E183" s="91">
        <v>0</v>
      </c>
      <c r="N183"/>
      <c r="O183"/>
    </row>
    <row r="184" spans="2:15" x14ac:dyDescent="0.5">
      <c r="B184" s="91">
        <v>174</v>
      </c>
      <c r="C184" s="92">
        <v>68.12151179172821</v>
      </c>
      <c r="D184" s="92">
        <v>3853.3800939629514</v>
      </c>
      <c r="E184" s="91">
        <v>0</v>
      </c>
      <c r="N184"/>
      <c r="O184"/>
    </row>
    <row r="185" spans="2:15" x14ac:dyDescent="0.5">
      <c r="B185" s="91">
        <v>175</v>
      </c>
      <c r="C185" s="92">
        <v>106.88791392558539</v>
      </c>
      <c r="D185" s="92">
        <v>8600.7626278708976</v>
      </c>
      <c r="E185" s="91">
        <v>0</v>
      </c>
      <c r="N185"/>
      <c r="O185"/>
    </row>
    <row r="186" spans="2:15" x14ac:dyDescent="0.5">
      <c r="B186" s="91">
        <v>176</v>
      </c>
      <c r="C186" s="92">
        <v>34.406062663290385</v>
      </c>
      <c r="D186" s="92">
        <v>-348.75380695225721</v>
      </c>
      <c r="E186" s="91">
        <v>1</v>
      </c>
      <c r="N186"/>
      <c r="O186"/>
    </row>
    <row r="187" spans="2:15" x14ac:dyDescent="0.5">
      <c r="B187" s="91">
        <v>177</v>
      </c>
      <c r="C187" s="92">
        <v>39.783155232788602</v>
      </c>
      <c r="D187" s="92">
        <v>338.72038915045397</v>
      </c>
      <c r="E187" s="91">
        <v>0</v>
      </c>
      <c r="N187"/>
      <c r="O187"/>
    </row>
    <row r="188" spans="2:15" x14ac:dyDescent="0.5">
      <c r="B188" s="91">
        <v>178</v>
      </c>
      <c r="C188" s="92">
        <v>62.688460732730533</v>
      </c>
      <c r="D188" s="92">
        <v>3188.0418040113764</v>
      </c>
      <c r="E188" s="91">
        <v>0</v>
      </c>
      <c r="N188"/>
      <c r="O188"/>
    </row>
    <row r="189" spans="2:15" x14ac:dyDescent="0.5">
      <c r="B189" s="91">
        <v>179</v>
      </c>
      <c r="C189" s="92">
        <v>60.550462174375319</v>
      </c>
      <c r="D189" s="92">
        <v>2926.2198021034051</v>
      </c>
      <c r="E189" s="91">
        <v>0</v>
      </c>
      <c r="N189"/>
      <c r="O189"/>
    </row>
    <row r="190" spans="2:15" x14ac:dyDescent="0.5">
      <c r="B190" s="91">
        <v>180</v>
      </c>
      <c r="C190" s="92">
        <v>56.026422546205417</v>
      </c>
      <c r="D190" s="92">
        <v>2369.7965469615324</v>
      </c>
      <c r="E190" s="91">
        <v>0</v>
      </c>
      <c r="N190"/>
      <c r="O190"/>
    </row>
    <row r="191" spans="2:15" x14ac:dyDescent="0.5">
      <c r="B191" s="91">
        <v>181</v>
      </c>
      <c r="C191" s="92">
        <v>39.310259746063586</v>
      </c>
      <c r="D191" s="92">
        <v>279.03704518165029</v>
      </c>
      <c r="E191" s="91">
        <v>0</v>
      </c>
      <c r="N191"/>
      <c r="O191"/>
    </row>
    <row r="192" spans="2:15" x14ac:dyDescent="0.5">
      <c r="B192" s="91">
        <v>182</v>
      </c>
      <c r="C192" s="92">
        <v>78.941863918057365</v>
      </c>
      <c r="D192" s="92">
        <v>5178.4540721438016</v>
      </c>
      <c r="E192" s="91">
        <v>0</v>
      </c>
      <c r="N192"/>
      <c r="O192"/>
    </row>
    <row r="193" spans="2:15" x14ac:dyDescent="0.5">
      <c r="B193" s="91">
        <v>183</v>
      </c>
      <c r="C193" s="92">
        <v>74.920373562339904</v>
      </c>
      <c r="D193" s="92">
        <v>4685.977287502019</v>
      </c>
      <c r="E193" s="91">
        <v>0</v>
      </c>
      <c r="N193"/>
      <c r="O193"/>
    </row>
    <row r="194" spans="2:15" x14ac:dyDescent="0.5">
      <c r="B194" s="91">
        <v>184</v>
      </c>
      <c r="C194" s="92">
        <v>49.289539435944107</v>
      </c>
      <c r="D194" s="92">
        <v>1532.2300166316925</v>
      </c>
      <c r="E194" s="91">
        <v>0</v>
      </c>
      <c r="N194"/>
      <c r="O194"/>
    </row>
    <row r="195" spans="2:15" x14ac:dyDescent="0.5">
      <c r="B195" s="91">
        <v>185</v>
      </c>
      <c r="C195" s="92">
        <v>135.17897778281443</v>
      </c>
      <c r="D195" s="92">
        <v>12064.839123887463</v>
      </c>
      <c r="E195" s="91">
        <v>0</v>
      </c>
      <c r="N195"/>
      <c r="O195"/>
    </row>
    <row r="196" spans="2:15" x14ac:dyDescent="0.5">
      <c r="B196" s="91">
        <v>186</v>
      </c>
      <c r="C196" s="92">
        <v>99.984964639481007</v>
      </c>
      <c r="D196" s="92">
        <v>7755.4187458116612</v>
      </c>
      <c r="E196" s="91">
        <v>0</v>
      </c>
      <c r="N196"/>
      <c r="O196"/>
    </row>
    <row r="197" spans="2:15" x14ac:dyDescent="0.5">
      <c r="B197" s="91">
        <v>187</v>
      </c>
      <c r="C197" s="92">
        <v>38.587228875631503</v>
      </c>
      <c r="D197" s="92">
        <v>187.78453516318552</v>
      </c>
      <c r="E197" s="91">
        <v>0</v>
      </c>
      <c r="N197"/>
      <c r="O197"/>
    </row>
    <row r="198" spans="2:15" x14ac:dyDescent="0.5">
      <c r="B198" s="91">
        <v>188</v>
      </c>
      <c r="C198" s="92">
        <v>41.829316674487664</v>
      </c>
      <c r="D198" s="92">
        <v>596.96298306136055</v>
      </c>
      <c r="E198" s="91">
        <v>0</v>
      </c>
      <c r="N198"/>
      <c r="O198"/>
    </row>
    <row r="199" spans="2:15" x14ac:dyDescent="0.5">
      <c r="B199" s="91">
        <v>189</v>
      </c>
      <c r="C199" s="92">
        <v>25.099974471872791</v>
      </c>
      <c r="D199" s="92">
        <v>-1583.8881807885352</v>
      </c>
      <c r="E199" s="91">
        <v>1</v>
      </c>
      <c r="N199"/>
      <c r="O199"/>
    </row>
    <row r="200" spans="2:15" x14ac:dyDescent="0.5">
      <c r="B200" s="91">
        <v>190</v>
      </c>
      <c r="C200" s="92">
        <v>34.647963998827414</v>
      </c>
      <c r="D200" s="92">
        <v>-317.40339927138012</v>
      </c>
      <c r="E200" s="91">
        <v>1</v>
      </c>
      <c r="N200"/>
      <c r="O200"/>
    </row>
    <row r="201" spans="2:15" x14ac:dyDescent="0.5">
      <c r="B201" s="91">
        <v>191</v>
      </c>
      <c r="C201" s="92">
        <v>62.695479563706797</v>
      </c>
      <c r="D201" s="92">
        <v>3188.9013389114716</v>
      </c>
      <c r="E201" s="91">
        <v>0</v>
      </c>
      <c r="N201"/>
      <c r="O201"/>
    </row>
    <row r="202" spans="2:15" x14ac:dyDescent="0.5">
      <c r="B202" s="91">
        <v>192</v>
      </c>
      <c r="C202" s="92">
        <v>37.715874592361722</v>
      </c>
      <c r="D202" s="92">
        <v>77.147027376515567</v>
      </c>
      <c r="E202" s="91">
        <v>0</v>
      </c>
      <c r="N202"/>
      <c r="O202"/>
    </row>
    <row r="203" spans="2:15" x14ac:dyDescent="0.5">
      <c r="B203" s="91">
        <v>193</v>
      </c>
      <c r="C203" s="92">
        <v>90.068974319276748</v>
      </c>
      <c r="D203" s="92">
        <v>6541.0940558393504</v>
      </c>
      <c r="E203" s="91">
        <v>0</v>
      </c>
      <c r="N203"/>
      <c r="O203"/>
    </row>
    <row r="204" spans="2:15" x14ac:dyDescent="0.5">
      <c r="B204" s="91">
        <v>194</v>
      </c>
      <c r="C204" s="92">
        <v>49.099628541876122</v>
      </c>
      <c r="D204" s="92">
        <v>1508.5694779120524</v>
      </c>
      <c r="E204" s="91">
        <v>0</v>
      </c>
      <c r="N204"/>
      <c r="O204"/>
    </row>
    <row r="205" spans="2:15" x14ac:dyDescent="0.5">
      <c r="B205" s="91">
        <v>195</v>
      </c>
      <c r="C205" s="92">
        <v>150.30347129768768</v>
      </c>
      <c r="D205" s="92">
        <v>13907.160703063568</v>
      </c>
      <c r="E205" s="91">
        <v>0</v>
      </c>
      <c r="N205"/>
      <c r="O205"/>
    </row>
    <row r="206" spans="2:15" x14ac:dyDescent="0.5">
      <c r="B206" s="91">
        <v>196</v>
      </c>
      <c r="C206" s="92">
        <v>53.616070094718388</v>
      </c>
      <c r="D206" s="92">
        <v>2071.009090746858</v>
      </c>
      <c r="E206" s="91">
        <v>0</v>
      </c>
      <c r="N206"/>
      <c r="O206"/>
    </row>
    <row r="207" spans="2:15" x14ac:dyDescent="0.5">
      <c r="B207" s="91">
        <v>197</v>
      </c>
      <c r="C207" s="92">
        <v>72.274178270594618</v>
      </c>
      <c r="D207" s="92">
        <v>4361.9208722080821</v>
      </c>
      <c r="E207" s="91">
        <v>0</v>
      </c>
      <c r="N207"/>
      <c r="O207"/>
    </row>
    <row r="208" spans="2:15" x14ac:dyDescent="0.5">
      <c r="B208" s="91">
        <v>198</v>
      </c>
      <c r="C208" s="92">
        <v>50.978226121824392</v>
      </c>
      <c r="D208" s="92">
        <v>1742.6194043110947</v>
      </c>
      <c r="E208" s="91">
        <v>0</v>
      </c>
      <c r="N208"/>
      <c r="O208"/>
    </row>
    <row r="209" spans="2:15" x14ac:dyDescent="0.5">
      <c r="B209" s="91">
        <v>199</v>
      </c>
      <c r="C209" s="92">
        <v>79.179772084547906</v>
      </c>
      <c r="D209" s="92">
        <v>5207.5886064854585</v>
      </c>
      <c r="E209" s="91">
        <v>0</v>
      </c>
      <c r="N209"/>
      <c r="O209"/>
    </row>
    <row r="210" spans="2:15" x14ac:dyDescent="0.5">
      <c r="B210" s="91">
        <v>200</v>
      </c>
      <c r="C210" s="92">
        <v>67.545093948627482</v>
      </c>
      <c r="D210" s="92">
        <v>3782.791237377281</v>
      </c>
      <c r="E210" s="91">
        <v>0</v>
      </c>
      <c r="N210"/>
      <c r="O210"/>
    </row>
    <row r="211" spans="2:15" x14ac:dyDescent="0.5">
      <c r="B211" s="91">
        <v>201</v>
      </c>
      <c r="C211" s="92">
        <v>54.369449575981733</v>
      </c>
      <c r="D211" s="92">
        <v>2164.3980632318303</v>
      </c>
      <c r="E211" s="91">
        <v>0</v>
      </c>
      <c r="N211"/>
      <c r="O211"/>
    </row>
    <row r="212" spans="2:15" x14ac:dyDescent="0.5">
      <c r="B212" s="91">
        <v>202</v>
      </c>
      <c r="C212" s="92">
        <v>63.007604256567888</v>
      </c>
      <c r="D212" s="92">
        <v>3227.124522744049</v>
      </c>
      <c r="E212" s="91">
        <v>0</v>
      </c>
      <c r="N212"/>
      <c r="O212"/>
    </row>
    <row r="213" spans="2:15" x14ac:dyDescent="0.5">
      <c r="B213" s="91">
        <v>203</v>
      </c>
      <c r="C213" s="92">
        <v>91.072953468734894</v>
      </c>
      <c r="D213" s="92">
        <v>6664.0426096434367</v>
      </c>
      <c r="E213" s="91">
        <v>0</v>
      </c>
      <c r="N213"/>
      <c r="O213"/>
    </row>
    <row r="214" spans="2:15" x14ac:dyDescent="0.5">
      <c r="B214" s="91">
        <v>204</v>
      </c>
      <c r="C214" s="92">
        <v>122.71589964062333</v>
      </c>
      <c r="D214" s="92">
        <v>10539.077735655677</v>
      </c>
      <c r="E214" s="91">
        <v>0</v>
      </c>
      <c r="N214"/>
      <c r="O214"/>
    </row>
    <row r="215" spans="2:15" x14ac:dyDescent="0.5">
      <c r="B215" s="91">
        <v>205</v>
      </c>
      <c r="C215" s="92">
        <v>54.812544553766955</v>
      </c>
      <c r="D215" s="92">
        <v>2219.3241472542181</v>
      </c>
      <c r="E215" s="91">
        <v>0</v>
      </c>
      <c r="N215"/>
      <c r="O215"/>
    </row>
    <row r="216" spans="2:15" x14ac:dyDescent="0.5">
      <c r="B216" s="91">
        <v>206</v>
      </c>
      <c r="C216" s="92">
        <v>90.170552607689913</v>
      </c>
      <c r="D216" s="92">
        <v>6553.5334612443685</v>
      </c>
      <c r="E216" s="91">
        <v>0</v>
      </c>
      <c r="N216"/>
      <c r="O216"/>
    </row>
    <row r="217" spans="2:15" x14ac:dyDescent="0.5">
      <c r="B217" s="91">
        <v>207</v>
      </c>
      <c r="C217" s="92">
        <v>55.00486014097968</v>
      </c>
      <c r="D217" s="92">
        <v>2243.1636007160023</v>
      </c>
      <c r="E217" s="91">
        <v>0</v>
      </c>
      <c r="N217"/>
      <c r="O217"/>
    </row>
    <row r="218" spans="2:15" x14ac:dyDescent="0.5">
      <c r="B218" s="91">
        <v>208</v>
      </c>
      <c r="C218" s="92">
        <v>117.91601362076686</v>
      </c>
      <c r="D218" s="92">
        <v>9951.2776355397491</v>
      </c>
      <c r="E218" s="91">
        <v>0</v>
      </c>
      <c r="N218"/>
      <c r="O218"/>
    </row>
    <row r="219" spans="2:15" x14ac:dyDescent="0.5">
      <c r="B219" s="91">
        <v>209</v>
      </c>
      <c r="C219" s="92">
        <v>36.019110745179539</v>
      </c>
      <c r="D219" s="92">
        <v>-140.7931318633552</v>
      </c>
      <c r="E219" s="91">
        <v>1</v>
      </c>
      <c r="N219"/>
      <c r="O219"/>
    </row>
    <row r="220" spans="2:15" x14ac:dyDescent="0.5">
      <c r="B220" s="91">
        <v>210</v>
      </c>
      <c r="C220" s="92">
        <v>122.87433744839491</v>
      </c>
      <c r="D220" s="92">
        <v>10558.480229565957</v>
      </c>
      <c r="E220" s="91">
        <v>0</v>
      </c>
      <c r="N220"/>
      <c r="O220"/>
    </row>
    <row r="221" spans="2:15" x14ac:dyDescent="0.5">
      <c r="B221" s="91">
        <v>211</v>
      </c>
      <c r="C221" s="92">
        <v>96.771173431392597</v>
      </c>
      <c r="D221" s="92">
        <v>7361.8538182172906</v>
      </c>
      <c r="E221" s="91">
        <v>0</v>
      </c>
      <c r="N221"/>
      <c r="O221"/>
    </row>
    <row r="222" spans="2:15" x14ac:dyDescent="0.5">
      <c r="B222" s="91">
        <v>212</v>
      </c>
      <c r="C222" s="92">
        <v>86.240584292314949</v>
      </c>
      <c r="D222" s="92">
        <v>6072.2645811764842</v>
      </c>
      <c r="E222" s="91">
        <v>0</v>
      </c>
      <c r="N222"/>
      <c r="O222"/>
    </row>
    <row r="223" spans="2:15" x14ac:dyDescent="0.5">
      <c r="B223" s="91">
        <v>213</v>
      </c>
      <c r="C223" s="92">
        <v>114.40829416418799</v>
      </c>
      <c r="D223" s="92">
        <v>9521.7178836568728</v>
      </c>
      <c r="E223" s="91">
        <v>0</v>
      </c>
      <c r="N223"/>
      <c r="O223"/>
    </row>
    <row r="224" spans="2:15" x14ac:dyDescent="0.5">
      <c r="B224" s="91">
        <v>214</v>
      </c>
      <c r="C224" s="92">
        <v>63.565634253359924</v>
      </c>
      <c r="D224" s="92">
        <v>3295.4615804627379</v>
      </c>
      <c r="E224" s="91">
        <v>0</v>
      </c>
      <c r="N224"/>
      <c r="O224"/>
    </row>
    <row r="225" spans="2:15" x14ac:dyDescent="0.5">
      <c r="B225" s="91">
        <v>215</v>
      </c>
      <c r="C225" s="92">
        <v>111.54257598375071</v>
      </c>
      <c r="D225" s="92">
        <v>9170.7784183452695</v>
      </c>
      <c r="E225" s="91">
        <v>0</v>
      </c>
      <c r="N225"/>
      <c r="O225"/>
    </row>
    <row r="226" spans="2:15" x14ac:dyDescent="0.5">
      <c r="B226" s="91">
        <v>216</v>
      </c>
      <c r="C226" s="92">
        <v>33.290795996889564</v>
      </c>
      <c r="D226" s="92">
        <v>-493.2923419997669</v>
      </c>
      <c r="E226" s="91">
        <v>1</v>
      </c>
      <c r="N226"/>
      <c r="O226"/>
    </row>
    <row r="227" spans="2:15" x14ac:dyDescent="0.5">
      <c r="B227" s="91">
        <v>217</v>
      </c>
      <c r="C227" s="92">
        <v>91.249697879442678</v>
      </c>
      <c r="D227" s="92">
        <v>6685.6869532547626</v>
      </c>
      <c r="E227" s="91">
        <v>0</v>
      </c>
      <c r="N227"/>
      <c r="O227"/>
    </row>
    <row r="228" spans="2:15" x14ac:dyDescent="0.5">
      <c r="B228" s="91">
        <v>218</v>
      </c>
      <c r="C228" s="92">
        <v>141.86522753753164</v>
      </c>
      <c r="D228" s="92">
        <v>12879.294311743033</v>
      </c>
      <c r="E228" s="91">
        <v>0</v>
      </c>
      <c r="N228"/>
      <c r="O228"/>
    </row>
    <row r="229" spans="2:15" x14ac:dyDescent="0.5">
      <c r="B229" s="91">
        <v>219</v>
      </c>
      <c r="C229" s="92">
        <v>53.999540716564674</v>
      </c>
      <c r="D229" s="92">
        <v>2118.5441354926284</v>
      </c>
      <c r="E229" s="91">
        <v>0</v>
      </c>
      <c r="N229"/>
      <c r="O229"/>
    </row>
    <row r="230" spans="2:15" x14ac:dyDescent="0.5">
      <c r="B230" s="91">
        <v>220</v>
      </c>
      <c r="C230" s="92">
        <v>75.600677042036025</v>
      </c>
      <c r="D230" s="92">
        <v>4769.2881102632946</v>
      </c>
      <c r="E230" s="91">
        <v>0</v>
      </c>
      <c r="N230"/>
      <c r="O230"/>
    </row>
    <row r="231" spans="2:15" x14ac:dyDescent="0.5">
      <c r="B231" s="91">
        <v>221</v>
      </c>
      <c r="C231" s="92">
        <v>126.81584183458791</v>
      </c>
      <c r="D231" s="92">
        <v>11041.161831426341</v>
      </c>
      <c r="E231" s="91">
        <v>0</v>
      </c>
      <c r="N231"/>
      <c r="O231"/>
    </row>
    <row r="232" spans="2:15" x14ac:dyDescent="0.5">
      <c r="B232" s="91">
        <v>222</v>
      </c>
      <c r="C232" s="92">
        <v>109.52504856837223</v>
      </c>
      <c r="D232" s="92">
        <v>8923.7094646575806</v>
      </c>
      <c r="E232" s="91">
        <v>0</v>
      </c>
      <c r="N232"/>
      <c r="O232"/>
    </row>
    <row r="233" spans="2:15" x14ac:dyDescent="0.5">
      <c r="B233" s="91">
        <v>223</v>
      </c>
      <c r="C233" s="92">
        <v>46.081858404804436</v>
      </c>
      <c r="D233" s="92">
        <v>1131.3357995756398</v>
      </c>
      <c r="E233" s="91">
        <v>0</v>
      </c>
      <c r="N233"/>
      <c r="O233"/>
    </row>
    <row r="234" spans="2:15" x14ac:dyDescent="0.5">
      <c r="B234" s="91">
        <v>224</v>
      </c>
      <c r="C234" s="92">
        <v>117.44431619464932</v>
      </c>
      <c r="D234" s="92">
        <v>9893.5129733895828</v>
      </c>
      <c r="E234" s="91">
        <v>0</v>
      </c>
      <c r="N234"/>
      <c r="O234"/>
    </row>
    <row r="235" spans="2:15" x14ac:dyDescent="0.5">
      <c r="B235" s="91">
        <v>225</v>
      </c>
      <c r="C235" s="92">
        <v>39.931641648186499</v>
      </c>
      <c r="D235" s="92">
        <v>357.4606098834991</v>
      </c>
      <c r="E235" s="91">
        <v>0</v>
      </c>
      <c r="N235"/>
      <c r="O235"/>
    </row>
    <row r="236" spans="2:15" x14ac:dyDescent="0.5">
      <c r="B236" s="91">
        <v>226</v>
      </c>
      <c r="C236" s="92">
        <v>26.130495900617053</v>
      </c>
      <c r="D236" s="92">
        <v>-1441.8516889962614</v>
      </c>
      <c r="E236" s="91">
        <v>1</v>
      </c>
      <c r="N236"/>
      <c r="O236"/>
    </row>
    <row r="237" spans="2:15" x14ac:dyDescent="0.5">
      <c r="B237" s="91">
        <v>227</v>
      </c>
      <c r="C237" s="92">
        <v>48.904948321979951</v>
      </c>
      <c r="D237" s="92">
        <v>1484.3147404289432</v>
      </c>
      <c r="E237" s="91">
        <v>0</v>
      </c>
      <c r="N237"/>
      <c r="O237"/>
    </row>
    <row r="238" spans="2:15" x14ac:dyDescent="0.5">
      <c r="B238" s="91">
        <v>228</v>
      </c>
      <c r="C238" s="92">
        <v>75.197796970886813</v>
      </c>
      <c r="D238" s="92">
        <v>4719.9509082596305</v>
      </c>
      <c r="E238" s="91">
        <v>0</v>
      </c>
      <c r="N238"/>
      <c r="O238"/>
    </row>
    <row r="239" spans="2:15" x14ac:dyDescent="0.5">
      <c r="B239" s="91">
        <v>229</v>
      </c>
      <c r="C239" s="92">
        <v>91.080464722238588</v>
      </c>
      <c r="D239" s="92">
        <v>6664.9624472277465</v>
      </c>
      <c r="E239" s="91">
        <v>0</v>
      </c>
      <c r="N239"/>
      <c r="O239"/>
    </row>
    <row r="240" spans="2:15" x14ac:dyDescent="0.5">
      <c r="B240" s="91">
        <v>230</v>
      </c>
      <c r="C240" s="92">
        <v>74.200842270539226</v>
      </c>
      <c r="D240" s="92">
        <v>4597.8625773594576</v>
      </c>
      <c r="E240" s="91">
        <v>0</v>
      </c>
      <c r="N240"/>
      <c r="O240"/>
    </row>
    <row r="241" spans="2:15" x14ac:dyDescent="0.5">
      <c r="B241" s="91">
        <v>231</v>
      </c>
      <c r="C241" s="92">
        <v>120.15284215316549</v>
      </c>
      <c r="D241" s="92">
        <v>10225.202480806263</v>
      </c>
      <c r="E241" s="91">
        <v>0</v>
      </c>
      <c r="N241"/>
      <c r="O241"/>
    </row>
    <row r="242" spans="2:15" x14ac:dyDescent="0.5">
      <c r="B242" s="91">
        <v>232</v>
      </c>
      <c r="C242" s="92">
        <v>93.898522557246949</v>
      </c>
      <c r="D242" s="92">
        <v>7010.065366484132</v>
      </c>
      <c r="E242" s="91">
        <v>0</v>
      </c>
      <c r="N242"/>
      <c r="O242"/>
    </row>
    <row r="243" spans="2:15" x14ac:dyDescent="0.5">
      <c r="B243" s="91">
        <v>233</v>
      </c>
      <c r="C243" s="92">
        <v>63.726288345177842</v>
      </c>
      <c r="D243" s="92">
        <v>3315.1354833145861</v>
      </c>
      <c r="E243" s="91">
        <v>0</v>
      </c>
      <c r="N243"/>
      <c r="O243"/>
    </row>
    <row r="244" spans="2:15" x14ac:dyDescent="0.5">
      <c r="B244" s="91">
        <v>234</v>
      </c>
      <c r="C244" s="92">
        <v>62.547753555788191</v>
      </c>
      <c r="D244" s="92">
        <v>3170.8106255309731</v>
      </c>
      <c r="E244" s="91">
        <v>0</v>
      </c>
      <c r="N244"/>
      <c r="O244"/>
    </row>
    <row r="245" spans="2:15" x14ac:dyDescent="0.5">
      <c r="B245" s="91">
        <v>235</v>
      </c>
      <c r="C245" s="92">
        <v>50.41864532289415</v>
      </c>
      <c r="D245" s="92">
        <v>1672.9025867223336</v>
      </c>
      <c r="E245" s="91">
        <v>0</v>
      </c>
      <c r="N245"/>
      <c r="O245"/>
    </row>
    <row r="246" spans="2:15" x14ac:dyDescent="0.5">
      <c r="B246" s="91">
        <v>236</v>
      </c>
      <c r="C246" s="92">
        <v>64.578630943992621</v>
      </c>
      <c r="D246" s="92">
        <v>3419.5144337404513</v>
      </c>
      <c r="E246" s="91">
        <v>0</v>
      </c>
      <c r="N246"/>
      <c r="O246"/>
    </row>
    <row r="247" spans="2:15" x14ac:dyDescent="0.5">
      <c r="B247" s="91">
        <v>237</v>
      </c>
      <c r="C247" s="92">
        <v>64.059840891224738</v>
      </c>
      <c r="D247" s="92">
        <v>3355.9827490932335</v>
      </c>
      <c r="E247" s="91">
        <v>0</v>
      </c>
      <c r="N247"/>
      <c r="O247"/>
    </row>
    <row r="248" spans="2:15" x14ac:dyDescent="0.5">
      <c r="B248" s="91">
        <v>238</v>
      </c>
      <c r="C248" s="92">
        <v>47.143194556268682</v>
      </c>
      <c r="D248" s="92">
        <v>1264.3564863868801</v>
      </c>
      <c r="E248" s="91">
        <v>0</v>
      </c>
      <c r="N248"/>
      <c r="O248"/>
    </row>
    <row r="249" spans="2:15" x14ac:dyDescent="0.5">
      <c r="B249" s="91">
        <v>239</v>
      </c>
      <c r="C249" s="92">
        <v>77.84666442463751</v>
      </c>
      <c r="D249" s="92">
        <v>5044.3345598853921</v>
      </c>
      <c r="E249" s="91">
        <v>0</v>
      </c>
      <c r="N249"/>
      <c r="O249"/>
    </row>
    <row r="250" spans="2:15" x14ac:dyDescent="0.5">
      <c r="B250" s="91">
        <v>240</v>
      </c>
      <c r="C250" s="92">
        <v>27.829690038582584</v>
      </c>
      <c r="D250" s="92">
        <v>-1211.1626671985255</v>
      </c>
      <c r="E250" s="91">
        <v>1</v>
      </c>
      <c r="N250"/>
      <c r="O250"/>
    </row>
    <row r="251" spans="2:15" x14ac:dyDescent="0.5">
      <c r="B251" s="91">
        <v>241</v>
      </c>
      <c r="C251" s="92">
        <v>67.13867199143823</v>
      </c>
      <c r="D251" s="92">
        <v>3733.0202915388004</v>
      </c>
      <c r="E251" s="91">
        <v>0</v>
      </c>
      <c r="N251"/>
      <c r="O251"/>
    </row>
    <row r="252" spans="2:15" x14ac:dyDescent="0.5">
      <c r="B252" s="91">
        <v>242</v>
      </c>
      <c r="C252" s="92">
        <v>40.017626703413931</v>
      </c>
      <c r="D252" s="92">
        <v>368.31263907678982</v>
      </c>
      <c r="E252" s="91">
        <v>0</v>
      </c>
      <c r="N252"/>
      <c r="O252"/>
    </row>
    <row r="253" spans="2:15" x14ac:dyDescent="0.5">
      <c r="B253" s="91">
        <v>243</v>
      </c>
      <c r="C253" s="92">
        <v>39.712752499379086</v>
      </c>
      <c r="D253" s="92">
        <v>329.83497858431843</v>
      </c>
      <c r="E253" s="91">
        <v>0</v>
      </c>
      <c r="N253"/>
      <c r="O253"/>
    </row>
    <row r="254" spans="2:15" x14ac:dyDescent="0.5">
      <c r="B254" s="91">
        <v>244</v>
      </c>
      <c r="C254" s="92">
        <v>40.892654195622534</v>
      </c>
      <c r="D254" s="92">
        <v>478.74838707117459</v>
      </c>
      <c r="E254" s="91">
        <v>0</v>
      </c>
      <c r="N254"/>
      <c r="O254"/>
    </row>
    <row r="255" spans="2:15" x14ac:dyDescent="0.5">
      <c r="B255" s="91">
        <v>245</v>
      </c>
      <c r="C255" s="92">
        <v>100.77628168473294</v>
      </c>
      <c r="D255" s="92">
        <v>7852.3244299254748</v>
      </c>
      <c r="E255" s="91">
        <v>0</v>
      </c>
      <c r="N255"/>
      <c r="O255"/>
    </row>
    <row r="256" spans="2:15" x14ac:dyDescent="0.5">
      <c r="B256" s="91">
        <v>246</v>
      </c>
      <c r="C256" s="92">
        <v>103.44414990776438</v>
      </c>
      <c r="D256" s="92">
        <v>8179.0349397389718</v>
      </c>
      <c r="E256" s="91">
        <v>0</v>
      </c>
      <c r="N256"/>
      <c r="O256"/>
    </row>
    <row r="257" spans="2:15" x14ac:dyDescent="0.5">
      <c r="B257" s="91">
        <v>247</v>
      </c>
      <c r="C257" s="92">
        <v>96.412259499896635</v>
      </c>
      <c r="D257" s="92">
        <v>7317.9007651669499</v>
      </c>
      <c r="E257" s="91">
        <v>0</v>
      </c>
      <c r="N257"/>
      <c r="O257"/>
    </row>
    <row r="258" spans="2:15" x14ac:dyDescent="0.5">
      <c r="B258" s="91">
        <v>248</v>
      </c>
      <c r="C258" s="92">
        <v>72.190402620656485</v>
      </c>
      <c r="D258" s="92">
        <v>4351.6616003801273</v>
      </c>
      <c r="E258" s="91">
        <v>0</v>
      </c>
      <c r="N258"/>
      <c r="O258"/>
    </row>
    <row r="259" spans="2:15" x14ac:dyDescent="0.5">
      <c r="B259" s="91">
        <v>249</v>
      </c>
      <c r="C259" s="92">
        <v>127.55835099403899</v>
      </c>
      <c r="D259" s="92">
        <v>11132.090440242639</v>
      </c>
      <c r="E259" s="91">
        <v>0</v>
      </c>
      <c r="N259"/>
      <c r="O259"/>
    </row>
    <row r="260" spans="2:15" x14ac:dyDescent="0.5">
      <c r="B260" s="91">
        <v>250</v>
      </c>
      <c r="C260" s="92">
        <v>92.309872791273037</v>
      </c>
      <c r="D260" s="92">
        <v>6815.5173110458263</v>
      </c>
      <c r="E260" s="91">
        <v>0</v>
      </c>
      <c r="N260"/>
      <c r="O260"/>
    </row>
    <row r="261" spans="2:15" x14ac:dyDescent="0.5">
      <c r="B261" s="91">
        <v>251</v>
      </c>
      <c r="C261" s="92">
        <v>178.13960979916271</v>
      </c>
      <c r="D261" s="92">
        <v>17297.893661609975</v>
      </c>
      <c r="E261" s="91">
        <v>0</v>
      </c>
      <c r="N261"/>
      <c r="O261"/>
    </row>
    <row r="262" spans="2:15" x14ac:dyDescent="0.5">
      <c r="B262" s="91">
        <v>252</v>
      </c>
      <c r="C262" s="92">
        <v>44.932864413644481</v>
      </c>
      <c r="D262" s="92">
        <v>987.32867267694405</v>
      </c>
      <c r="E262" s="91">
        <v>0</v>
      </c>
      <c r="N262"/>
      <c r="O262"/>
    </row>
    <row r="263" spans="2:15" x14ac:dyDescent="0.5">
      <c r="B263" s="91">
        <v>253</v>
      </c>
      <c r="C263" s="92">
        <v>37.255645694662078</v>
      </c>
      <c r="D263" s="92">
        <v>18.033109185706778</v>
      </c>
      <c r="E263" s="91">
        <v>0</v>
      </c>
      <c r="N263"/>
      <c r="O263"/>
    </row>
    <row r="264" spans="2:15" x14ac:dyDescent="0.5">
      <c r="B264" s="91">
        <v>254</v>
      </c>
      <c r="C264" s="92">
        <v>38.790424040724183</v>
      </c>
      <c r="D264" s="92">
        <v>213.42945517502767</v>
      </c>
      <c r="E264" s="91">
        <v>0</v>
      </c>
      <c r="N264"/>
      <c r="O264"/>
    </row>
    <row r="265" spans="2:15" x14ac:dyDescent="0.5">
      <c r="B265" s="91">
        <v>255</v>
      </c>
      <c r="C265" s="92">
        <v>31.096514364252887</v>
      </c>
      <c r="D265" s="92">
        <v>-777.67119256336673</v>
      </c>
      <c r="E265" s="91">
        <v>1</v>
      </c>
      <c r="N265"/>
      <c r="O265"/>
    </row>
    <row r="266" spans="2:15" x14ac:dyDescent="0.5">
      <c r="B266" s="91">
        <v>256</v>
      </c>
      <c r="C266" s="92">
        <v>56.615730859945003</v>
      </c>
      <c r="D266" s="92">
        <v>2442.8472461983933</v>
      </c>
      <c r="E266" s="91">
        <v>0</v>
      </c>
      <c r="N266"/>
      <c r="O266"/>
    </row>
    <row r="267" spans="2:15" x14ac:dyDescent="0.5">
      <c r="B267" s="91">
        <v>257</v>
      </c>
      <c r="C267" s="92">
        <v>86.223960158930652</v>
      </c>
      <c r="D267" s="92">
        <v>6070.2287688202714</v>
      </c>
      <c r="E267" s="91">
        <v>0</v>
      </c>
      <c r="N267"/>
      <c r="O267"/>
    </row>
    <row r="268" spans="2:15" x14ac:dyDescent="0.5">
      <c r="B268" s="91">
        <v>258</v>
      </c>
      <c r="C268" s="92">
        <v>82.33302687534318</v>
      </c>
      <c r="D268" s="92">
        <v>5593.7401680127259</v>
      </c>
      <c r="E268" s="91">
        <v>0</v>
      </c>
      <c r="N268"/>
      <c r="O268"/>
    </row>
    <row r="269" spans="2:15" x14ac:dyDescent="0.5">
      <c r="B269" s="91">
        <v>259</v>
      </c>
      <c r="C269" s="92">
        <v>76.718315455570973</v>
      </c>
      <c r="D269" s="92">
        <v>4906.1555210000388</v>
      </c>
      <c r="E269" s="91">
        <v>0</v>
      </c>
      <c r="N269"/>
      <c r="O269"/>
    </row>
    <row r="270" spans="2:15" x14ac:dyDescent="0.5">
      <c r="B270" s="91">
        <v>260</v>
      </c>
      <c r="C270" s="92">
        <v>86.709023865655439</v>
      </c>
      <c r="D270" s="92">
        <v>6129.6302825637076</v>
      </c>
      <c r="E270" s="91">
        <v>0</v>
      </c>
      <c r="N270"/>
      <c r="O270"/>
    </row>
    <row r="271" spans="2:15" x14ac:dyDescent="0.5">
      <c r="B271" s="91">
        <v>261</v>
      </c>
      <c r="C271" s="92">
        <v>50.047011950754865</v>
      </c>
      <c r="D271" s="92">
        <v>1626.6016842166348</v>
      </c>
      <c r="E271" s="91">
        <v>0</v>
      </c>
      <c r="N271"/>
      <c r="O271"/>
    </row>
    <row r="272" spans="2:15" x14ac:dyDescent="0.5">
      <c r="B272" s="91">
        <v>262</v>
      </c>
      <c r="C272" s="92">
        <v>22.014547166705292</v>
      </c>
      <c r="D272" s="92">
        <v>-2116.4014621113301</v>
      </c>
      <c r="E272" s="91">
        <v>1</v>
      </c>
      <c r="N272"/>
      <c r="O272"/>
    </row>
    <row r="273" spans="2:15" x14ac:dyDescent="0.5">
      <c r="B273" s="91">
        <v>263</v>
      </c>
      <c r="C273" s="92">
        <v>62.3160232986937</v>
      </c>
      <c r="D273" s="92">
        <v>3142.43264577134</v>
      </c>
      <c r="E273" s="91">
        <v>0</v>
      </c>
      <c r="N273"/>
      <c r="O273"/>
    </row>
    <row r="274" spans="2:15" x14ac:dyDescent="0.5">
      <c r="B274" s="91">
        <v>264</v>
      </c>
      <c r="C274" s="92">
        <v>117.7536052744634</v>
      </c>
      <c r="D274" s="92">
        <v>9931.3889044694915</v>
      </c>
      <c r="E274" s="91">
        <v>0</v>
      </c>
      <c r="N274"/>
      <c r="O274"/>
    </row>
    <row r="275" spans="2:15" x14ac:dyDescent="0.5">
      <c r="B275" s="91">
        <v>265</v>
      </c>
      <c r="C275" s="92">
        <v>52.621333504449183</v>
      </c>
      <c r="D275" s="92">
        <v>1947.3301768969106</v>
      </c>
      <c r="E275" s="91">
        <v>0</v>
      </c>
      <c r="N275"/>
      <c r="O275"/>
    </row>
    <row r="276" spans="2:15" x14ac:dyDescent="0.5">
      <c r="B276" s="91">
        <v>266</v>
      </c>
      <c r="C276" s="92">
        <v>85.732838695805611</v>
      </c>
      <c r="D276" s="92">
        <v>6010.0854145823287</v>
      </c>
      <c r="E276" s="91">
        <v>0</v>
      </c>
      <c r="N276"/>
      <c r="O276"/>
    </row>
    <row r="277" spans="2:15" x14ac:dyDescent="0.5">
      <c r="B277" s="91">
        <v>267</v>
      </c>
      <c r="C277" s="92">
        <v>51.202205651780694</v>
      </c>
      <c r="D277" s="92">
        <v>1770.5244719321267</v>
      </c>
      <c r="E277" s="91">
        <v>0</v>
      </c>
      <c r="N277"/>
      <c r="O277"/>
    </row>
    <row r="278" spans="2:15" x14ac:dyDescent="0.5">
      <c r="B278" s="91">
        <v>268</v>
      </c>
      <c r="C278" s="92">
        <v>62.227112417216084</v>
      </c>
      <c r="D278" s="92">
        <v>3131.5445070076826</v>
      </c>
      <c r="E278" s="91">
        <v>0</v>
      </c>
      <c r="N278"/>
      <c r="O278"/>
    </row>
    <row r="279" spans="2:15" x14ac:dyDescent="0.5">
      <c r="B279" s="91">
        <v>269</v>
      </c>
      <c r="C279" s="92">
        <v>67.262294737926638</v>
      </c>
      <c r="D279" s="92">
        <v>3748.1592891028849</v>
      </c>
      <c r="E279" s="91">
        <v>0</v>
      </c>
      <c r="N279"/>
      <c r="O279"/>
    </row>
    <row r="280" spans="2:15" x14ac:dyDescent="0.5">
      <c r="B280" s="91">
        <v>270</v>
      </c>
      <c r="C280" s="92">
        <v>39.14660565847273</v>
      </c>
      <c r="D280" s="92">
        <v>258.38253805317476</v>
      </c>
      <c r="E280" s="91">
        <v>0</v>
      </c>
      <c r="N280"/>
      <c r="O280"/>
    </row>
    <row r="281" spans="2:15" x14ac:dyDescent="0.5">
      <c r="B281" s="91">
        <v>271</v>
      </c>
      <c r="C281" s="92">
        <v>99.325360976474016</v>
      </c>
      <c r="D281" s="92">
        <v>7674.6428487281837</v>
      </c>
      <c r="E281" s="91">
        <v>0</v>
      </c>
      <c r="N281"/>
      <c r="O281"/>
    </row>
    <row r="282" spans="2:15" x14ac:dyDescent="0.5">
      <c r="B282" s="91">
        <v>272</v>
      </c>
      <c r="C282" s="92">
        <v>97.930960034675905</v>
      </c>
      <c r="D282" s="92">
        <v>7503.8827494674979</v>
      </c>
      <c r="E282" s="91">
        <v>0</v>
      </c>
      <c r="N282"/>
      <c r="O282"/>
    </row>
    <row r="283" spans="2:15" x14ac:dyDescent="0.5">
      <c r="B283" s="91">
        <v>273</v>
      </c>
      <c r="C283" s="92">
        <v>78.795051965852409</v>
      </c>
      <c r="D283" s="92">
        <v>5160.4752951796618</v>
      </c>
      <c r="E283" s="91">
        <v>0</v>
      </c>
      <c r="N283"/>
      <c r="O283"/>
    </row>
    <row r="284" spans="2:15" x14ac:dyDescent="0.5">
      <c r="B284" s="91">
        <v>274</v>
      </c>
      <c r="C284" s="92">
        <v>112.85482876040997</v>
      </c>
      <c r="D284" s="92">
        <v>9331.4785496206314</v>
      </c>
      <c r="E284" s="91">
        <v>0</v>
      </c>
      <c r="N284"/>
      <c r="O284"/>
    </row>
    <row r="285" spans="2:15" x14ac:dyDescent="0.5">
      <c r="B285" s="91">
        <v>275</v>
      </c>
      <c r="C285" s="92">
        <v>116.0614313133685</v>
      </c>
      <c r="D285" s="92">
        <v>9724.1631454347189</v>
      </c>
      <c r="E285" s="91">
        <v>0</v>
      </c>
      <c r="N285"/>
      <c r="O285"/>
    </row>
    <row r="286" spans="2:15" x14ac:dyDescent="0.5">
      <c r="B286" s="91">
        <v>276</v>
      </c>
      <c r="C286" s="92">
        <v>42.851257053423566</v>
      </c>
      <c r="D286" s="92">
        <v>725.94035938195043</v>
      </c>
      <c r="E286" s="91">
        <v>0</v>
      </c>
      <c r="N286"/>
      <c r="O286"/>
    </row>
    <row r="287" spans="2:15" x14ac:dyDescent="0.5">
      <c r="B287" s="91">
        <v>277</v>
      </c>
      <c r="C287" s="92">
        <v>51.340483294919828</v>
      </c>
      <c r="D287" s="92">
        <v>1787.7521488677257</v>
      </c>
      <c r="E287" s="91">
        <v>0</v>
      </c>
      <c r="N287"/>
      <c r="O287"/>
    </row>
    <row r="288" spans="2:15" x14ac:dyDescent="0.5">
      <c r="B288" s="91">
        <v>278</v>
      </c>
      <c r="C288" s="92">
        <v>87.583059257206187</v>
      </c>
      <c r="D288" s="92">
        <v>6236.6657597673429</v>
      </c>
      <c r="E288" s="91">
        <v>0</v>
      </c>
      <c r="N288"/>
      <c r="O288"/>
    </row>
    <row r="289" spans="2:15" x14ac:dyDescent="0.5">
      <c r="B289" s="91">
        <v>279</v>
      </c>
      <c r="C289" s="92">
        <v>68.437270771124801</v>
      </c>
      <c r="D289" s="92">
        <v>3892.0483371116434</v>
      </c>
      <c r="E289" s="91">
        <v>0</v>
      </c>
      <c r="N289"/>
      <c r="O289"/>
    </row>
    <row r="290" spans="2:15" x14ac:dyDescent="0.5">
      <c r="B290" s="91">
        <v>280</v>
      </c>
      <c r="C290" s="92">
        <v>58.826572666930097</v>
      </c>
      <c r="D290" s="92">
        <v>2715.1101172331382</v>
      </c>
      <c r="E290" s="91">
        <v>0</v>
      </c>
      <c r="N290"/>
      <c r="O290"/>
    </row>
    <row r="291" spans="2:15" x14ac:dyDescent="0.5">
      <c r="B291" s="91">
        <v>281</v>
      </c>
      <c r="C291" s="92">
        <v>74.459680198707105</v>
      </c>
      <c r="D291" s="92">
        <v>4629.5601967323928</v>
      </c>
      <c r="E291" s="91">
        <v>0</v>
      </c>
      <c r="N291"/>
      <c r="O291"/>
    </row>
    <row r="292" spans="2:15" x14ac:dyDescent="0.5">
      <c r="B292" s="91">
        <v>282</v>
      </c>
      <c r="C292" s="92">
        <v>58.108983479771737</v>
      </c>
      <c r="D292" s="92">
        <v>2627.2332396762836</v>
      </c>
      <c r="E292" s="91">
        <v>0</v>
      </c>
      <c r="N292"/>
      <c r="O292"/>
    </row>
    <row r="293" spans="2:15" x14ac:dyDescent="0.5">
      <c r="B293" s="91">
        <v>283</v>
      </c>
      <c r="C293" s="92">
        <v>58.938631067419806</v>
      </c>
      <c r="D293" s="92">
        <v>2728.8329303904088</v>
      </c>
      <c r="E293" s="91">
        <v>0</v>
      </c>
      <c r="N293"/>
      <c r="O293"/>
    </row>
    <row r="294" spans="2:15" x14ac:dyDescent="0.5">
      <c r="B294" s="91">
        <v>284</v>
      </c>
      <c r="C294" s="92">
        <v>117.20945309318486</v>
      </c>
      <c r="D294" s="92">
        <v>9864.7513415543199</v>
      </c>
      <c r="E294" s="91">
        <v>0</v>
      </c>
      <c r="N294"/>
      <c r="O294"/>
    </row>
    <row r="295" spans="2:15" x14ac:dyDescent="0.5">
      <c r="B295" s="91">
        <v>285</v>
      </c>
      <c r="C295" s="92">
        <v>28.652093827445306</v>
      </c>
      <c r="D295" s="92">
        <v>-1101.1351306065374</v>
      </c>
      <c r="E295" s="91">
        <v>1</v>
      </c>
      <c r="N295"/>
      <c r="O295"/>
    </row>
    <row r="296" spans="2:15" x14ac:dyDescent="0.5">
      <c r="B296" s="91">
        <v>286</v>
      </c>
      <c r="C296" s="92">
        <v>101.02650766555962</v>
      </c>
      <c r="D296" s="92">
        <v>7882.9674193575293</v>
      </c>
      <c r="E296" s="91">
        <v>0</v>
      </c>
      <c r="N296"/>
      <c r="O296"/>
    </row>
    <row r="297" spans="2:15" x14ac:dyDescent="0.5">
      <c r="B297" s="91">
        <v>287</v>
      </c>
      <c r="C297" s="92">
        <v>47.062041505343856</v>
      </c>
      <c r="D297" s="92">
        <v>1254.1853124793909</v>
      </c>
      <c r="E297" s="91">
        <v>0</v>
      </c>
      <c r="N297"/>
      <c r="O297"/>
    </row>
    <row r="298" spans="2:15" x14ac:dyDescent="0.5">
      <c r="B298" s="91">
        <v>288</v>
      </c>
      <c r="C298" s="92">
        <v>79.899835610685997</v>
      </c>
      <c r="D298" s="92">
        <v>5295.7684947167299</v>
      </c>
      <c r="E298" s="91">
        <v>0</v>
      </c>
      <c r="N298"/>
      <c r="O298"/>
    </row>
    <row r="299" spans="2:15" x14ac:dyDescent="0.5">
      <c r="B299" s="91">
        <v>289</v>
      </c>
      <c r="C299" s="92">
        <v>74.61426489438189</v>
      </c>
      <c r="D299" s="92">
        <v>4648.490833672131</v>
      </c>
      <c r="E299" s="91">
        <v>0</v>
      </c>
      <c r="N299"/>
      <c r="O299"/>
    </row>
    <row r="300" spans="2:15" x14ac:dyDescent="0.5">
      <c r="B300" s="91">
        <v>290</v>
      </c>
      <c r="C300" s="92">
        <v>86.356828006606548</v>
      </c>
      <c r="D300" s="92">
        <v>6086.4999331443805</v>
      </c>
      <c r="E300" s="91">
        <v>0</v>
      </c>
      <c r="N300"/>
      <c r="O300"/>
    </row>
    <row r="301" spans="2:15" x14ac:dyDescent="0.5">
      <c r="B301" s="91">
        <v>291</v>
      </c>
      <c r="C301" s="92">
        <v>98.730234230321472</v>
      </c>
      <c r="D301" s="92">
        <v>7601.7628762615486</v>
      </c>
      <c r="E301" s="91">
        <v>0</v>
      </c>
      <c r="N301"/>
      <c r="O301"/>
    </row>
    <row r="302" spans="2:15" x14ac:dyDescent="0.5">
      <c r="B302" s="91">
        <v>292</v>
      </c>
      <c r="C302" s="92">
        <v>37.940108464623094</v>
      </c>
      <c r="D302" s="92">
        <v>105.94865814486009</v>
      </c>
      <c r="E302" s="91">
        <v>0</v>
      </c>
      <c r="N302"/>
      <c r="O302"/>
    </row>
    <row r="303" spans="2:15" x14ac:dyDescent="0.5">
      <c r="B303" s="91">
        <v>293</v>
      </c>
      <c r="C303" s="92">
        <v>70.807868733067764</v>
      </c>
      <c r="D303" s="92">
        <v>4182.3547555557961</v>
      </c>
      <c r="E303" s="91">
        <v>0</v>
      </c>
      <c r="N303"/>
      <c r="O303"/>
    </row>
    <row r="304" spans="2:15" x14ac:dyDescent="0.5">
      <c r="B304" s="91">
        <v>294</v>
      </c>
      <c r="C304" s="92">
        <v>134.28995289926991</v>
      </c>
      <c r="D304" s="92">
        <v>11956.450905775862</v>
      </c>
      <c r="E304" s="91">
        <v>0</v>
      </c>
      <c r="N304"/>
      <c r="O304"/>
    </row>
    <row r="305" spans="2:15" x14ac:dyDescent="0.5">
      <c r="B305" s="91">
        <v>295</v>
      </c>
      <c r="C305" s="92">
        <v>83.474364471613214</v>
      </c>
      <c r="D305" s="92">
        <v>5733.5098105788766</v>
      </c>
      <c r="E305" s="91">
        <v>0</v>
      </c>
      <c r="N305"/>
      <c r="O305"/>
    </row>
    <row r="306" spans="2:15" x14ac:dyDescent="0.5">
      <c r="B306" s="91">
        <v>296</v>
      </c>
      <c r="C306" s="92">
        <v>83.450148366023768</v>
      </c>
      <c r="D306" s="92">
        <v>5730.5442757242972</v>
      </c>
      <c r="E306" s="91">
        <v>0</v>
      </c>
      <c r="N306"/>
      <c r="O306"/>
    </row>
    <row r="307" spans="2:15" x14ac:dyDescent="0.5">
      <c r="B307" s="91">
        <v>297</v>
      </c>
      <c r="C307" s="92">
        <v>109.07877633695205</v>
      </c>
      <c r="D307" s="92">
        <v>8869.0584039401874</v>
      </c>
      <c r="E307" s="91">
        <v>0</v>
      </c>
      <c r="N307"/>
      <c r="O307"/>
    </row>
    <row r="308" spans="2:15" x14ac:dyDescent="0.5">
      <c r="B308" s="91">
        <v>298</v>
      </c>
      <c r="C308" s="92">
        <v>122.56608118269543</v>
      </c>
      <c r="D308" s="92">
        <v>10520.73077820608</v>
      </c>
      <c r="E308" s="91">
        <v>0</v>
      </c>
      <c r="N308"/>
      <c r="O308"/>
    </row>
    <row r="309" spans="2:15" x14ac:dyDescent="0.5">
      <c r="B309" s="91">
        <v>299</v>
      </c>
      <c r="C309" s="92">
        <v>150.83695115061525</v>
      </c>
      <c r="D309" s="92">
        <v>13972.144131707813</v>
      </c>
      <c r="E309" s="91">
        <v>0</v>
      </c>
      <c r="N309"/>
      <c r="O309"/>
    </row>
    <row r="310" spans="2:15" x14ac:dyDescent="0.5">
      <c r="B310" s="91">
        <v>300</v>
      </c>
      <c r="C310" s="92">
        <v>123.79725441013724</v>
      </c>
      <c r="D310" s="92">
        <v>10671.501805550595</v>
      </c>
      <c r="E310" s="91">
        <v>0</v>
      </c>
      <c r="N310"/>
      <c r="O310"/>
    </row>
    <row r="311" spans="2:15" x14ac:dyDescent="0.5">
      <c r="B311" s="91">
        <v>301</v>
      </c>
      <c r="C311" s="92">
        <v>39.198740387854954</v>
      </c>
      <c r="D311" s="92">
        <v>264.96237455782932</v>
      </c>
      <c r="E311" s="91">
        <v>0</v>
      </c>
      <c r="N311"/>
      <c r="O311"/>
    </row>
    <row r="312" spans="2:15" x14ac:dyDescent="0.5">
      <c r="B312" s="91">
        <v>302</v>
      </c>
      <c r="C312" s="92">
        <v>93.93375200975953</v>
      </c>
      <c r="D312" s="92">
        <v>7014.3796097032982</v>
      </c>
      <c r="E312" s="91">
        <v>0</v>
      </c>
      <c r="N312"/>
      <c r="O312"/>
    </row>
    <row r="313" spans="2:15" x14ac:dyDescent="0.5">
      <c r="B313" s="91">
        <v>303</v>
      </c>
      <c r="C313" s="92">
        <v>38.518111234399107</v>
      </c>
      <c r="D313" s="92">
        <v>179.06131391919763</v>
      </c>
      <c r="E313" s="91">
        <v>0</v>
      </c>
      <c r="N313"/>
      <c r="O313"/>
    </row>
    <row r="314" spans="2:15" x14ac:dyDescent="0.5">
      <c r="B314" s="91">
        <v>304</v>
      </c>
      <c r="C314" s="92">
        <v>103.53483727775772</v>
      </c>
      <c r="D314" s="92">
        <v>8190.1406295284369</v>
      </c>
      <c r="E314" s="91">
        <v>0</v>
      </c>
      <c r="N314"/>
      <c r="O314"/>
    </row>
    <row r="315" spans="2:15" x14ac:dyDescent="0.5">
      <c r="B315" s="91">
        <v>305</v>
      </c>
      <c r="C315" s="92">
        <v>39.80461868265882</v>
      </c>
      <c r="D315" s="92">
        <v>341.42925505702664</v>
      </c>
      <c r="E315" s="91">
        <v>0</v>
      </c>
      <c r="N315"/>
      <c r="O315"/>
    </row>
    <row r="316" spans="2:15" x14ac:dyDescent="0.5">
      <c r="B316" s="91">
        <v>306</v>
      </c>
      <c r="C316" s="92">
        <v>74.118131552418518</v>
      </c>
      <c r="D316" s="92">
        <v>4587.7337184259559</v>
      </c>
      <c r="E316" s="91">
        <v>0</v>
      </c>
      <c r="N316"/>
      <c r="O316"/>
    </row>
    <row r="317" spans="2:15" x14ac:dyDescent="0.5">
      <c r="B317" s="91">
        <v>307</v>
      </c>
      <c r="C317" s="92">
        <v>30.918631397798585</v>
      </c>
      <c r="D317" s="92">
        <v>-800.72482104146343</v>
      </c>
      <c r="E317" s="91">
        <v>1</v>
      </c>
      <c r="N317"/>
      <c r="O317"/>
    </row>
    <row r="318" spans="2:15" x14ac:dyDescent="0.5">
      <c r="B318" s="91">
        <v>308</v>
      </c>
      <c r="C318" s="92">
        <v>100.51079229865542</v>
      </c>
      <c r="D318" s="92">
        <v>7819.812264621858</v>
      </c>
      <c r="E318" s="91">
        <v>0</v>
      </c>
      <c r="N318"/>
      <c r="O318"/>
    </row>
    <row r="319" spans="2:15" x14ac:dyDescent="0.5">
      <c r="B319" s="91">
        <v>309</v>
      </c>
      <c r="C319" s="92">
        <v>87.078430302229236</v>
      </c>
      <c r="D319" s="92">
        <v>6174.8682610288806</v>
      </c>
      <c r="E319" s="91">
        <v>0</v>
      </c>
      <c r="N319"/>
      <c r="O319"/>
    </row>
    <row r="320" spans="2:15" x14ac:dyDescent="0.5">
      <c r="B320" s="91">
        <v>310</v>
      </c>
      <c r="C320" s="92">
        <v>87.154236745295378</v>
      </c>
      <c r="D320" s="92">
        <v>6184.1516137250419</v>
      </c>
      <c r="E320" s="91">
        <v>0</v>
      </c>
      <c r="N320"/>
      <c r="O320"/>
    </row>
    <row r="321" spans="2:15" x14ac:dyDescent="0.5">
      <c r="B321" s="91">
        <v>311</v>
      </c>
      <c r="C321" s="92">
        <v>112.41284839782784</v>
      </c>
      <c r="D321" s="92">
        <v>9277.3530765780833</v>
      </c>
      <c r="E321" s="91">
        <v>0</v>
      </c>
      <c r="N321"/>
      <c r="O321"/>
    </row>
    <row r="322" spans="2:15" x14ac:dyDescent="0.5">
      <c r="B322" s="91">
        <v>312</v>
      </c>
      <c r="C322" s="92">
        <v>60.175875365209258</v>
      </c>
      <c r="D322" s="92">
        <v>2880.3474286722339</v>
      </c>
      <c r="E322" s="91">
        <v>0</v>
      </c>
      <c r="N322"/>
      <c r="O322"/>
    </row>
    <row r="323" spans="2:15" x14ac:dyDescent="0.5">
      <c r="B323" s="91">
        <v>313</v>
      </c>
      <c r="C323" s="92">
        <v>61.511833399897156</v>
      </c>
      <c r="D323" s="92">
        <v>3043.9505357651196</v>
      </c>
      <c r="E323" s="91">
        <v>0</v>
      </c>
      <c r="N323"/>
      <c r="O323"/>
    </row>
    <row r="324" spans="2:15" x14ac:dyDescent="0.5">
      <c r="B324" s="91">
        <v>314</v>
      </c>
      <c r="C324" s="92">
        <v>31.80571671356735</v>
      </c>
      <c r="D324" s="92">
        <v>-685.75858393768704</v>
      </c>
      <c r="E324" s="91">
        <v>1</v>
      </c>
      <c r="N324"/>
      <c r="O324"/>
    </row>
    <row r="325" spans="2:15" x14ac:dyDescent="0.5">
      <c r="B325" s="91">
        <v>315</v>
      </c>
      <c r="C325" s="92">
        <v>24.637527997331325</v>
      </c>
      <c r="D325" s="92">
        <v>-1648.5935429258418</v>
      </c>
      <c r="E325" s="91">
        <v>1</v>
      </c>
      <c r="N325"/>
      <c r="O325"/>
    </row>
    <row r="326" spans="2:15" x14ac:dyDescent="0.5">
      <c r="B326" s="91">
        <v>316</v>
      </c>
      <c r="C326" s="92">
        <v>125.28670146073473</v>
      </c>
      <c r="D326" s="92">
        <v>10853.901371256276</v>
      </c>
      <c r="E326" s="91">
        <v>0</v>
      </c>
      <c r="N326"/>
      <c r="O326"/>
    </row>
    <row r="327" spans="2:15" x14ac:dyDescent="0.5">
      <c r="B327" s="91">
        <v>317</v>
      </c>
      <c r="C327" s="92">
        <v>62.272612605030496</v>
      </c>
      <c r="D327" s="92">
        <v>3137.1165174350058</v>
      </c>
      <c r="E327" s="91">
        <v>0</v>
      </c>
      <c r="N327"/>
      <c r="O327"/>
    </row>
    <row r="328" spans="2:15" x14ac:dyDescent="0.5">
      <c r="B328" s="91">
        <v>318</v>
      </c>
      <c r="C328" s="92">
        <v>132.86835462367307</v>
      </c>
      <c r="D328" s="92">
        <v>11782.360186691363</v>
      </c>
      <c r="E328" s="91">
        <v>0</v>
      </c>
      <c r="N328"/>
      <c r="O328"/>
    </row>
    <row r="329" spans="2:15" x14ac:dyDescent="0.5">
      <c r="B329" s="91">
        <v>319</v>
      </c>
      <c r="C329" s="92">
        <v>81.862708129046311</v>
      </c>
      <c r="D329" s="92">
        <v>5536.1443407334855</v>
      </c>
      <c r="E329" s="91">
        <v>0</v>
      </c>
      <c r="N329"/>
      <c r="O329"/>
    </row>
    <row r="330" spans="2:15" x14ac:dyDescent="0.5">
      <c r="B330" s="91">
        <v>320</v>
      </c>
      <c r="C330" s="92">
        <v>22.510388459314438</v>
      </c>
      <c r="D330" s="92">
        <v>-2023.508774625604</v>
      </c>
      <c r="E330" s="91">
        <v>1</v>
      </c>
      <c r="N330"/>
      <c r="O330"/>
    </row>
    <row r="331" spans="2:15" x14ac:dyDescent="0.5">
      <c r="B331" s="91">
        <v>321</v>
      </c>
      <c r="C331" s="92">
        <v>46.51598242482293</v>
      </c>
      <c r="D331" s="92">
        <v>1185.7459647475764</v>
      </c>
      <c r="E331" s="91">
        <v>0</v>
      </c>
      <c r="N331"/>
      <c r="O331"/>
    </row>
    <row r="332" spans="2:15" x14ac:dyDescent="0.5">
      <c r="B332" s="91">
        <v>322</v>
      </c>
      <c r="C332" s="92">
        <v>70.017137909709334</v>
      </c>
      <c r="D332" s="92">
        <v>4085.5208609149536</v>
      </c>
      <c r="E332" s="91">
        <v>0</v>
      </c>
      <c r="N332"/>
      <c r="O332"/>
    </row>
    <row r="333" spans="2:15" x14ac:dyDescent="0.5">
      <c r="B333" s="91">
        <v>323</v>
      </c>
      <c r="C333" s="92">
        <v>49.738732097181895</v>
      </c>
      <c r="D333" s="92">
        <v>1588.1938432776253</v>
      </c>
      <c r="E333" s="91">
        <v>0</v>
      </c>
      <c r="N333"/>
      <c r="O333"/>
    </row>
    <row r="334" spans="2:15" x14ac:dyDescent="0.5">
      <c r="B334" s="91">
        <v>324</v>
      </c>
      <c r="C334" s="92">
        <v>40.862873885286056</v>
      </c>
      <c r="D334" s="92">
        <v>474.9898641941241</v>
      </c>
      <c r="E334" s="91">
        <v>0</v>
      </c>
      <c r="N334"/>
      <c r="O334"/>
    </row>
    <row r="335" spans="2:15" x14ac:dyDescent="0.5">
      <c r="B335" s="91">
        <v>325</v>
      </c>
      <c r="C335" s="92">
        <v>41.771136595623936</v>
      </c>
      <c r="D335" s="92">
        <v>589.62017316692925</v>
      </c>
      <c r="E335" s="91">
        <v>0</v>
      </c>
      <c r="N335"/>
      <c r="O335"/>
    </row>
    <row r="336" spans="2:15" x14ac:dyDescent="0.5">
      <c r="B336" s="91">
        <v>326</v>
      </c>
      <c r="C336" s="92">
        <v>49.487756083882068</v>
      </c>
      <c r="D336" s="92">
        <v>1556.9253491265961</v>
      </c>
      <c r="E336" s="91">
        <v>0</v>
      </c>
      <c r="N336"/>
      <c r="O336"/>
    </row>
    <row r="337" spans="2:15" x14ac:dyDescent="0.5">
      <c r="B337" s="91">
        <v>327</v>
      </c>
      <c r="C337" s="92">
        <v>90.752563585531632</v>
      </c>
      <c r="D337" s="92">
        <v>6624.8072601697349</v>
      </c>
      <c r="E337" s="91">
        <v>0</v>
      </c>
      <c r="N337"/>
      <c r="O337"/>
    </row>
    <row r="338" spans="2:15" x14ac:dyDescent="0.5">
      <c r="B338" s="91">
        <v>328</v>
      </c>
      <c r="C338" s="92">
        <v>112.03197323531209</v>
      </c>
      <c r="D338" s="92">
        <v>9230.7106234589337</v>
      </c>
      <c r="E338" s="91">
        <v>0</v>
      </c>
      <c r="N338"/>
      <c r="O338"/>
    </row>
    <row r="339" spans="2:15" x14ac:dyDescent="0.5">
      <c r="B339" s="91">
        <v>329</v>
      </c>
      <c r="C339" s="92">
        <v>77.109108886751329</v>
      </c>
      <c r="D339" s="92">
        <v>4954.0125778180936</v>
      </c>
      <c r="E339" s="91">
        <v>0</v>
      </c>
      <c r="N339"/>
      <c r="O339"/>
    </row>
    <row r="340" spans="2:15" x14ac:dyDescent="0.5">
      <c r="B340" s="91">
        <v>330</v>
      </c>
      <c r="C340" s="92">
        <v>45.290722287781101</v>
      </c>
      <c r="D340" s="92">
        <v>1032.1801555297518</v>
      </c>
      <c r="E340" s="91">
        <v>0</v>
      </c>
      <c r="N340"/>
      <c r="O340"/>
    </row>
    <row r="341" spans="2:15" x14ac:dyDescent="0.5">
      <c r="B341" s="91">
        <v>331</v>
      </c>
      <c r="C341" s="92">
        <v>162.51941911485585</v>
      </c>
      <c r="D341" s="92">
        <v>15395.190980013094</v>
      </c>
      <c r="E341" s="91">
        <v>0</v>
      </c>
      <c r="N341"/>
      <c r="O341"/>
    </row>
    <row r="342" spans="2:15" x14ac:dyDescent="0.5">
      <c r="B342" s="91">
        <v>332</v>
      </c>
      <c r="C342" s="92">
        <v>128.59753187172822</v>
      </c>
      <c r="D342" s="92">
        <v>11259.349842115387</v>
      </c>
      <c r="E342" s="91">
        <v>0</v>
      </c>
      <c r="N342"/>
      <c r="O342"/>
    </row>
    <row r="343" spans="2:15" x14ac:dyDescent="0.5">
      <c r="B343" s="91">
        <v>333</v>
      </c>
      <c r="C343" s="92">
        <v>76.191478502249112</v>
      </c>
      <c r="D343" s="92">
        <v>4841.6384027546746</v>
      </c>
      <c r="E343" s="91">
        <v>0</v>
      </c>
      <c r="N343"/>
      <c r="O343"/>
    </row>
    <row r="344" spans="2:15" x14ac:dyDescent="0.5">
      <c r="B344" s="91">
        <v>334</v>
      </c>
      <c r="C344" s="92">
        <v>27.69326885539471</v>
      </c>
      <c r="D344" s="92">
        <v>-1229.4141477101646</v>
      </c>
      <c r="E344" s="91">
        <v>1</v>
      </c>
      <c r="N344"/>
      <c r="O344"/>
    </row>
    <row r="345" spans="2:15" x14ac:dyDescent="0.5">
      <c r="B345" s="91">
        <v>335</v>
      </c>
      <c r="C345" s="92">
        <v>74.182504955579361</v>
      </c>
      <c r="D345" s="92">
        <v>4595.6169666252308</v>
      </c>
      <c r="E345" s="91">
        <v>0</v>
      </c>
      <c r="N345"/>
      <c r="O345"/>
    </row>
    <row r="346" spans="2:15" x14ac:dyDescent="0.5">
      <c r="B346" s="91">
        <v>336</v>
      </c>
      <c r="C346" s="92">
        <v>54.646599386355753</v>
      </c>
      <c r="D346" s="92">
        <v>2198.7535728507437</v>
      </c>
      <c r="E346" s="91">
        <v>0</v>
      </c>
      <c r="N346"/>
      <c r="O346"/>
    </row>
    <row r="347" spans="2:15" x14ac:dyDescent="0.5">
      <c r="B347" s="91">
        <v>337</v>
      </c>
      <c r="C347" s="92">
        <v>63.255567043370654</v>
      </c>
      <c r="D347" s="92">
        <v>3257.4903585794705</v>
      </c>
      <c r="E347" s="91">
        <v>0</v>
      </c>
      <c r="N347"/>
      <c r="O347"/>
    </row>
    <row r="348" spans="2:15" x14ac:dyDescent="0.5">
      <c r="B348" s="91">
        <v>338</v>
      </c>
      <c r="C348" s="92">
        <v>77.32476828061688</v>
      </c>
      <c r="D348" s="92">
        <v>4980.4224993830458</v>
      </c>
      <c r="E348" s="91">
        <v>0</v>
      </c>
      <c r="N348"/>
      <c r="O348"/>
    </row>
    <row r="349" spans="2:15" x14ac:dyDescent="0.5">
      <c r="B349" s="91">
        <v>339</v>
      </c>
      <c r="C349" s="92">
        <v>132.38452028693226</v>
      </c>
      <c r="D349" s="92">
        <v>11723.1092231478</v>
      </c>
      <c r="E349" s="91">
        <v>0</v>
      </c>
      <c r="N349"/>
      <c r="O349"/>
    </row>
    <row r="350" spans="2:15" x14ac:dyDescent="0.5">
      <c r="B350" s="91">
        <v>340</v>
      </c>
      <c r="C350" s="92">
        <v>67.670179527284006</v>
      </c>
      <c r="D350" s="92">
        <v>3798.1093752149704</v>
      </c>
      <c r="E350" s="91">
        <v>0</v>
      </c>
      <c r="N350"/>
      <c r="O350"/>
    </row>
    <row r="351" spans="2:15" x14ac:dyDescent="0.5">
      <c r="B351" s="91">
        <v>341</v>
      </c>
      <c r="C351" s="92">
        <v>84.923419419682375</v>
      </c>
      <c r="D351" s="92">
        <v>5910.9629084284798</v>
      </c>
      <c r="E351" s="91">
        <v>0</v>
      </c>
      <c r="N351"/>
      <c r="O351"/>
    </row>
    <row r="352" spans="2:15" x14ac:dyDescent="0.5">
      <c r="B352" s="91">
        <v>342</v>
      </c>
      <c r="C352" s="92">
        <v>112.17316612257665</v>
      </c>
      <c r="D352" s="92">
        <v>9248.0012826384282</v>
      </c>
      <c r="E352" s="91">
        <v>0</v>
      </c>
      <c r="N352"/>
      <c r="O352"/>
    </row>
    <row r="353" spans="2:15" x14ac:dyDescent="0.5">
      <c r="B353" s="91">
        <v>343</v>
      </c>
      <c r="C353" s="92">
        <v>24.980591595805812</v>
      </c>
      <c r="D353" s="92">
        <v>-1600.5921944510167</v>
      </c>
      <c r="E353" s="91">
        <v>1</v>
      </c>
      <c r="N353"/>
      <c r="O353"/>
    </row>
    <row r="354" spans="2:15" x14ac:dyDescent="0.5">
      <c r="B354" s="91">
        <v>344</v>
      </c>
      <c r="C354" s="92">
        <v>65.859587499788532</v>
      </c>
      <c r="D354" s="92">
        <v>3576.3819903087015</v>
      </c>
      <c r="E354" s="91">
        <v>0</v>
      </c>
      <c r="N354"/>
      <c r="O354"/>
    </row>
    <row r="355" spans="2:15" x14ac:dyDescent="0.5">
      <c r="B355" s="91">
        <v>345</v>
      </c>
      <c r="C355" s="92">
        <v>43.795522057471821</v>
      </c>
      <c r="D355" s="92">
        <v>844.78188281316955</v>
      </c>
      <c r="E355" s="91">
        <v>0</v>
      </c>
      <c r="N355"/>
      <c r="O355"/>
    </row>
    <row r="356" spans="2:15" x14ac:dyDescent="0.5">
      <c r="B356" s="91">
        <v>346</v>
      </c>
      <c r="C356" s="92">
        <v>81.457636656861013</v>
      </c>
      <c r="D356" s="92">
        <v>5486.5387769930885</v>
      </c>
      <c r="E356" s="91">
        <v>0</v>
      </c>
      <c r="N356"/>
      <c r="O356"/>
    </row>
    <row r="357" spans="2:15" x14ac:dyDescent="0.5">
      <c r="B357" s="91">
        <v>347</v>
      </c>
      <c r="C357" s="92">
        <v>28.354205874877131</v>
      </c>
      <c r="D357" s="92">
        <v>-1140.9888837693629</v>
      </c>
      <c r="E357" s="91">
        <v>1</v>
      </c>
      <c r="N357"/>
      <c r="O357"/>
    </row>
    <row r="358" spans="2:15" x14ac:dyDescent="0.5">
      <c r="B358" s="91">
        <v>348</v>
      </c>
      <c r="C358" s="92">
        <v>41.916696704725076</v>
      </c>
      <c r="D358" s="92">
        <v>607.99106970431126</v>
      </c>
      <c r="E358" s="91">
        <v>0</v>
      </c>
      <c r="N358"/>
      <c r="O358"/>
    </row>
    <row r="359" spans="2:15" x14ac:dyDescent="0.5">
      <c r="B359" s="91">
        <v>349</v>
      </c>
      <c r="C359" s="92">
        <v>50.248378301923189</v>
      </c>
      <c r="D359" s="92">
        <v>1651.6894306149279</v>
      </c>
      <c r="E359" s="91">
        <v>0</v>
      </c>
      <c r="N359"/>
      <c r="O359"/>
    </row>
    <row r="360" spans="2:15" x14ac:dyDescent="0.5">
      <c r="B360" s="91">
        <v>350</v>
      </c>
      <c r="C360" s="92">
        <v>86.059539505208832</v>
      </c>
      <c r="D360" s="92">
        <v>6050.0936080437459</v>
      </c>
      <c r="E360" s="91">
        <v>0</v>
      </c>
      <c r="N360"/>
      <c r="O360"/>
    </row>
    <row r="361" spans="2:15" x14ac:dyDescent="0.5">
      <c r="B361" s="91">
        <v>351</v>
      </c>
      <c r="C361" s="92">
        <v>48.758637949077659</v>
      </c>
      <c r="D361" s="92">
        <v>1466.0862851308484</v>
      </c>
      <c r="E361" s="91">
        <v>0</v>
      </c>
      <c r="N361"/>
      <c r="O361"/>
    </row>
    <row r="362" spans="2:15" x14ac:dyDescent="0.5">
      <c r="B362" s="91">
        <v>352</v>
      </c>
      <c r="C362" s="92">
        <v>112.03143461813796</v>
      </c>
      <c r="D362" s="92">
        <v>9230.6446637199806</v>
      </c>
      <c r="E362" s="91">
        <v>0</v>
      </c>
      <c r="N362"/>
      <c r="O362"/>
    </row>
    <row r="363" spans="2:15" x14ac:dyDescent="0.5">
      <c r="B363" s="91">
        <v>353</v>
      </c>
      <c r="C363" s="92">
        <v>74.384068500022764</v>
      </c>
      <c r="D363" s="92">
        <v>4620.3006926790194</v>
      </c>
      <c r="E363" s="91">
        <v>0</v>
      </c>
      <c r="N363"/>
      <c r="O363"/>
    </row>
    <row r="364" spans="2:15" x14ac:dyDescent="0.5">
      <c r="B364" s="91">
        <v>354</v>
      </c>
      <c r="C364" s="92">
        <v>72.957531815304478</v>
      </c>
      <c r="D364" s="92">
        <v>4445.6052097805477</v>
      </c>
      <c r="E364" s="91">
        <v>0</v>
      </c>
      <c r="N364"/>
      <c r="O364"/>
    </row>
    <row r="365" spans="2:15" x14ac:dyDescent="0.5">
      <c r="B365" s="91">
        <v>355</v>
      </c>
      <c r="C365" s="92">
        <v>30.70327008141631</v>
      </c>
      <c r="D365" s="92">
        <v>-828.63564283285928</v>
      </c>
      <c r="E365" s="91">
        <v>1</v>
      </c>
      <c r="N365"/>
      <c r="O365"/>
    </row>
    <row r="366" spans="2:15" x14ac:dyDescent="0.5">
      <c r="B366" s="91">
        <v>356</v>
      </c>
      <c r="C366" s="92">
        <v>67.255670134110517</v>
      </c>
      <c r="D366" s="92">
        <v>3747.3480317583917</v>
      </c>
      <c r="E366" s="91">
        <v>0</v>
      </c>
      <c r="N366"/>
      <c r="O366"/>
    </row>
    <row r="367" spans="2:15" x14ac:dyDescent="0.5">
      <c r="B367" s="91">
        <v>357</v>
      </c>
      <c r="C367" s="92">
        <v>75.701953001789803</v>
      </c>
      <c r="D367" s="92">
        <v>4781.6904921191008</v>
      </c>
      <c r="E367" s="91">
        <v>0</v>
      </c>
      <c r="N367"/>
      <c r="O367"/>
    </row>
    <row r="368" spans="2:15" x14ac:dyDescent="0.5">
      <c r="B368" s="91">
        <v>358</v>
      </c>
      <c r="C368" s="92">
        <v>72.160064686332532</v>
      </c>
      <c r="D368" s="92">
        <v>4347.9463786521192</v>
      </c>
      <c r="E368" s="91">
        <v>0</v>
      </c>
      <c r="N368"/>
      <c r="O368"/>
    </row>
    <row r="369" spans="2:15" x14ac:dyDescent="0.5">
      <c r="B369" s="91">
        <v>359</v>
      </c>
      <c r="C369" s="92">
        <v>70.754089336940609</v>
      </c>
      <c r="D369" s="92">
        <v>4175.7688628289807</v>
      </c>
      <c r="E369" s="91">
        <v>0</v>
      </c>
      <c r="N369"/>
      <c r="O369"/>
    </row>
    <row r="370" spans="2:15" x14ac:dyDescent="0.5">
      <c r="B370" s="91">
        <v>360</v>
      </c>
      <c r="C370" s="92">
        <v>59.370947757051695</v>
      </c>
      <c r="D370" s="92">
        <v>2781.7749778465709</v>
      </c>
      <c r="E370" s="91">
        <v>0</v>
      </c>
      <c r="N370"/>
      <c r="O370"/>
    </row>
    <row r="371" spans="2:15" x14ac:dyDescent="0.5">
      <c r="B371" s="91">
        <v>361</v>
      </c>
      <c r="C371" s="92">
        <v>45.536192797963388</v>
      </c>
      <c r="D371" s="92">
        <v>1062.9457671706116</v>
      </c>
      <c r="E371" s="91">
        <v>0</v>
      </c>
      <c r="N371"/>
      <c r="O371"/>
    </row>
    <row r="372" spans="2:15" x14ac:dyDescent="0.5">
      <c r="B372" s="91">
        <v>362</v>
      </c>
      <c r="C372" s="92">
        <v>64.746325094820705</v>
      </c>
      <c r="D372" s="92">
        <v>3440.0504711042195</v>
      </c>
      <c r="E372" s="91">
        <v>0</v>
      </c>
      <c r="N372"/>
      <c r="O372"/>
    </row>
    <row r="373" spans="2:15" x14ac:dyDescent="0.5">
      <c r="B373" s="91">
        <v>363</v>
      </c>
      <c r="C373" s="92">
        <v>51.758025910458812</v>
      </c>
      <c r="D373" s="92">
        <v>1839.7727729111434</v>
      </c>
      <c r="E373" s="91">
        <v>0</v>
      </c>
      <c r="N373"/>
      <c r="O373"/>
    </row>
    <row r="374" spans="2:15" x14ac:dyDescent="0.5">
      <c r="B374" s="91">
        <v>364</v>
      </c>
      <c r="C374" s="92">
        <v>73.149974443855356</v>
      </c>
      <c r="D374" s="92">
        <v>4469.1719769622723</v>
      </c>
      <c r="E374" s="91">
        <v>0</v>
      </c>
      <c r="N374"/>
      <c r="O374"/>
    </row>
    <row r="375" spans="2:15" x14ac:dyDescent="0.5">
      <c r="B375" s="91">
        <v>365</v>
      </c>
      <c r="C375" s="92">
        <v>178.69077022933345</v>
      </c>
      <c r="D375" s="92">
        <v>17365.030769579447</v>
      </c>
      <c r="E375" s="91">
        <v>0</v>
      </c>
      <c r="N375"/>
      <c r="O375"/>
    </row>
    <row r="376" spans="2:15" x14ac:dyDescent="0.5">
      <c r="B376" s="91">
        <v>366</v>
      </c>
      <c r="C376" s="92">
        <v>83.978103712473995</v>
      </c>
      <c r="D376" s="92">
        <v>5795.1983538037312</v>
      </c>
      <c r="E376" s="91">
        <v>0</v>
      </c>
      <c r="N376"/>
      <c r="O376"/>
    </row>
    <row r="377" spans="2:15" x14ac:dyDescent="0.5">
      <c r="B377" s="91">
        <v>367</v>
      </c>
      <c r="C377" s="92">
        <v>152.31481350570468</v>
      </c>
      <c r="D377" s="92">
        <v>14152.163231531276</v>
      </c>
      <c r="E377" s="91">
        <v>0</v>
      </c>
      <c r="N377"/>
      <c r="O377"/>
    </row>
    <row r="378" spans="2:15" x14ac:dyDescent="0.5">
      <c r="B378" s="91">
        <v>368</v>
      </c>
      <c r="C378" s="92">
        <v>44.264545412219356</v>
      </c>
      <c r="D378" s="92">
        <v>903.56609429315643</v>
      </c>
      <c r="E378" s="91">
        <v>0</v>
      </c>
      <c r="N378"/>
      <c r="O378"/>
    </row>
    <row r="379" spans="2:15" x14ac:dyDescent="0.5">
      <c r="B379" s="91">
        <v>369</v>
      </c>
      <c r="C379" s="92">
        <v>72.399638612425264</v>
      </c>
      <c r="D379" s="92">
        <v>4377.2849040170777</v>
      </c>
      <c r="E379" s="91">
        <v>0</v>
      </c>
      <c r="N379"/>
      <c r="O379"/>
    </row>
    <row r="380" spans="2:15" x14ac:dyDescent="0.5">
      <c r="B380" s="91">
        <v>370</v>
      </c>
      <c r="C380" s="92">
        <v>92.301372075861281</v>
      </c>
      <c r="D380" s="92">
        <v>6814.4763027074141</v>
      </c>
      <c r="E380" s="91">
        <v>0</v>
      </c>
      <c r="N380"/>
      <c r="O380"/>
    </row>
    <row r="381" spans="2:15" x14ac:dyDescent="0.5">
      <c r="B381" s="91">
        <v>371</v>
      </c>
      <c r="C381" s="92">
        <v>44.825746592124368</v>
      </c>
      <c r="D381" s="92">
        <v>973.90325023310243</v>
      </c>
      <c r="E381" s="91">
        <v>0</v>
      </c>
      <c r="N381"/>
      <c r="O381"/>
    </row>
    <row r="382" spans="2:15" x14ac:dyDescent="0.5">
      <c r="B382" s="91">
        <v>372</v>
      </c>
      <c r="C382" s="92">
        <v>36.418122588254491</v>
      </c>
      <c r="D382" s="92">
        <v>-89.542213968820079</v>
      </c>
      <c r="E382" s="91">
        <v>1</v>
      </c>
      <c r="N382"/>
      <c r="O382"/>
    </row>
    <row r="383" spans="2:15" x14ac:dyDescent="0.5">
      <c r="B383" s="91">
        <v>373</v>
      </c>
      <c r="C383" s="92">
        <v>80.671999292157679</v>
      </c>
      <c r="D383" s="92">
        <v>5390.3286337278041</v>
      </c>
      <c r="E383" s="91">
        <v>0</v>
      </c>
      <c r="N383"/>
      <c r="O383"/>
    </row>
    <row r="384" spans="2:15" x14ac:dyDescent="0.5">
      <c r="B384" s="91">
        <v>374</v>
      </c>
      <c r="C384" s="92">
        <v>49.16475334934853</v>
      </c>
      <c r="D384" s="92">
        <v>1516.6832200771451</v>
      </c>
      <c r="E384" s="91">
        <v>0</v>
      </c>
      <c r="N384"/>
      <c r="O384"/>
    </row>
    <row r="385" spans="2:15" x14ac:dyDescent="0.5">
      <c r="B385" s="91">
        <v>375</v>
      </c>
      <c r="C385" s="92">
        <v>100.18186157077473</v>
      </c>
      <c r="D385" s="92">
        <v>7779.5309925292249</v>
      </c>
      <c r="E385" s="91">
        <v>0</v>
      </c>
      <c r="N385"/>
      <c r="O385"/>
    </row>
    <row r="386" spans="2:15" x14ac:dyDescent="0.5">
      <c r="B386" s="91">
        <v>376</v>
      </c>
      <c r="C386" s="92">
        <v>71.560722550327412</v>
      </c>
      <c r="D386" s="92">
        <v>4274.550184223729</v>
      </c>
      <c r="E386" s="91">
        <v>0</v>
      </c>
      <c r="N386"/>
      <c r="O386"/>
    </row>
    <row r="387" spans="2:15" x14ac:dyDescent="0.5">
      <c r="B387" s="91">
        <v>377</v>
      </c>
      <c r="C387" s="92">
        <v>101.31478186623499</v>
      </c>
      <c r="D387" s="92">
        <v>7918.2698418144046</v>
      </c>
      <c r="E387" s="91">
        <v>0</v>
      </c>
      <c r="N387"/>
      <c r="O387"/>
    </row>
    <row r="388" spans="2:15" x14ac:dyDescent="0.5">
      <c r="B388" s="91">
        <v>378</v>
      </c>
      <c r="C388" s="92">
        <v>82.765609684972119</v>
      </c>
      <c r="D388" s="92">
        <v>5646.7148048596064</v>
      </c>
      <c r="E388" s="91">
        <v>0</v>
      </c>
      <c r="N388"/>
      <c r="O388"/>
    </row>
    <row r="389" spans="2:15" x14ac:dyDescent="0.5">
      <c r="B389" s="91">
        <v>379</v>
      </c>
      <c r="C389" s="92">
        <v>167.04174688604584</v>
      </c>
      <c r="D389" s="92">
        <v>15946.057826084832</v>
      </c>
      <c r="E389" s="91">
        <v>0</v>
      </c>
      <c r="N389"/>
      <c r="O389"/>
    </row>
    <row r="390" spans="2:15" x14ac:dyDescent="0.5">
      <c r="B390" s="91">
        <v>380</v>
      </c>
      <c r="C390" s="92">
        <v>24.718591763548762</v>
      </c>
      <c r="D390" s="92">
        <v>-1637.2511268018695</v>
      </c>
      <c r="E390" s="91">
        <v>1</v>
      </c>
      <c r="N390"/>
      <c r="O390"/>
    </row>
    <row r="391" spans="2:15" x14ac:dyDescent="0.5">
      <c r="B391" s="91">
        <v>381</v>
      </c>
      <c r="C391" s="92">
        <v>66.651049627173037</v>
      </c>
      <c r="D391" s="92">
        <v>3673.3054413635846</v>
      </c>
      <c r="E391" s="91">
        <v>0</v>
      </c>
      <c r="N391"/>
      <c r="O391"/>
    </row>
    <row r="392" spans="2:15" x14ac:dyDescent="0.5">
      <c r="B392" s="91">
        <v>382</v>
      </c>
      <c r="C392" s="92">
        <v>58.218551698788623</v>
      </c>
      <c r="D392" s="92">
        <v>2640.6511020674352</v>
      </c>
      <c r="E392" s="91">
        <v>0</v>
      </c>
      <c r="N392"/>
      <c r="O392"/>
    </row>
    <row r="393" spans="2:15" x14ac:dyDescent="0.5">
      <c r="B393" s="91">
        <v>383</v>
      </c>
      <c r="C393" s="92">
        <v>63.2970488754599</v>
      </c>
      <c r="D393" s="92">
        <v>3262.5702760929657</v>
      </c>
      <c r="E393" s="91">
        <v>0</v>
      </c>
      <c r="N393"/>
      <c r="O393"/>
    </row>
    <row r="394" spans="2:15" x14ac:dyDescent="0.5">
      <c r="B394" s="91">
        <v>384</v>
      </c>
      <c r="C394" s="92">
        <v>59.617654579288534</v>
      </c>
      <c r="D394" s="92">
        <v>2811.9870066760454</v>
      </c>
      <c r="E394" s="91">
        <v>0</v>
      </c>
      <c r="N394"/>
      <c r="O394"/>
    </row>
    <row r="395" spans="2:15" x14ac:dyDescent="0.5">
      <c r="B395" s="91">
        <v>385</v>
      </c>
      <c r="C395" s="92">
        <v>83.072934061140771</v>
      </c>
      <c r="D395" s="92">
        <v>5684.3501358513622</v>
      </c>
      <c r="E395" s="91">
        <v>0</v>
      </c>
      <c r="N395"/>
      <c r="O395"/>
    </row>
    <row r="396" spans="2:15" x14ac:dyDescent="0.5">
      <c r="B396" s="91">
        <v>386</v>
      </c>
      <c r="C396" s="92">
        <v>50.384612106430559</v>
      </c>
      <c r="D396" s="92">
        <v>1668.6624706413554</v>
      </c>
      <c r="E396" s="91">
        <v>0</v>
      </c>
      <c r="N396"/>
      <c r="O396"/>
    </row>
    <row r="397" spans="2:15" x14ac:dyDescent="0.5">
      <c r="B397" s="91">
        <v>387</v>
      </c>
      <c r="C397" s="92">
        <v>84.18309032164666</v>
      </c>
      <c r="D397" s="92">
        <v>5820.30127268465</v>
      </c>
      <c r="E397" s="91">
        <v>0</v>
      </c>
      <c r="N397"/>
      <c r="O397"/>
    </row>
    <row r="398" spans="2:15" x14ac:dyDescent="0.5">
      <c r="B398" s="91">
        <v>388</v>
      </c>
      <c r="C398" s="92">
        <v>49.851093824422051</v>
      </c>
      <c r="D398" s="92">
        <v>1602.1927189662404</v>
      </c>
      <c r="E398" s="91">
        <v>0</v>
      </c>
      <c r="N398"/>
      <c r="O398"/>
    </row>
    <row r="399" spans="2:15" x14ac:dyDescent="0.5">
      <c r="B399" s="91">
        <v>389</v>
      </c>
      <c r="C399" s="92">
        <v>120.16456956314417</v>
      </c>
      <c r="D399" s="92">
        <v>10226.638634233876</v>
      </c>
      <c r="E399" s="91">
        <v>0</v>
      </c>
      <c r="N399"/>
      <c r="O399"/>
    </row>
    <row r="400" spans="2:15" x14ac:dyDescent="0.5">
      <c r="B400" s="91">
        <v>390</v>
      </c>
      <c r="C400" s="92">
        <v>41.820114611196217</v>
      </c>
      <c r="D400" s="92">
        <v>595.80160613122757</v>
      </c>
      <c r="E400" s="91">
        <v>0</v>
      </c>
      <c r="N400"/>
      <c r="O400"/>
    </row>
    <row r="401" spans="2:15" x14ac:dyDescent="0.5">
      <c r="B401" s="91">
        <v>391</v>
      </c>
      <c r="C401" s="92">
        <v>36.002226710049797</v>
      </c>
      <c r="D401" s="92">
        <v>-142.96179505764604</v>
      </c>
      <c r="E401" s="91">
        <v>1</v>
      </c>
      <c r="N401"/>
      <c r="O401"/>
    </row>
    <row r="402" spans="2:15" x14ac:dyDescent="0.5">
      <c r="B402" s="91">
        <v>392</v>
      </c>
      <c r="C402" s="92">
        <v>54.415697145598941</v>
      </c>
      <c r="D402" s="92">
        <v>2170.1309151529304</v>
      </c>
      <c r="E402" s="91">
        <v>0</v>
      </c>
      <c r="N402"/>
      <c r="O402"/>
    </row>
    <row r="403" spans="2:15" x14ac:dyDescent="0.5">
      <c r="B403" s="91">
        <v>393</v>
      </c>
      <c r="C403" s="92">
        <v>96.480795051119074</v>
      </c>
      <c r="D403" s="92">
        <v>7326.2937152710565</v>
      </c>
      <c r="E403" s="91">
        <v>0</v>
      </c>
      <c r="N403"/>
      <c r="O403"/>
    </row>
    <row r="404" spans="2:15" x14ac:dyDescent="0.5">
      <c r="B404" s="91">
        <v>394</v>
      </c>
      <c r="C404" s="92">
        <v>40.241785181031567</v>
      </c>
      <c r="D404" s="92">
        <v>396.60330350209102</v>
      </c>
      <c r="E404" s="91">
        <v>0</v>
      </c>
      <c r="N404"/>
      <c r="O404"/>
    </row>
    <row r="405" spans="2:15" x14ac:dyDescent="0.5">
      <c r="B405" s="91">
        <v>395</v>
      </c>
      <c r="C405" s="92">
        <v>20.560515738071143</v>
      </c>
      <c r="D405" s="92">
        <v>-2388.8049289218411</v>
      </c>
      <c r="E405" s="91">
        <v>1</v>
      </c>
      <c r="N405"/>
      <c r="O405"/>
    </row>
    <row r="406" spans="2:15" x14ac:dyDescent="0.5">
      <c r="B406" s="91">
        <v>396</v>
      </c>
      <c r="C406" s="92">
        <v>32.303557238091287</v>
      </c>
      <c r="D406" s="92">
        <v>-621.23846308247255</v>
      </c>
      <c r="E406" s="91">
        <v>1</v>
      </c>
      <c r="N406"/>
      <c r="O406"/>
    </row>
    <row r="407" spans="2:15" x14ac:dyDescent="0.5">
      <c r="B407" s="91">
        <v>397</v>
      </c>
      <c r="C407" s="92">
        <v>66.672861241988457</v>
      </c>
      <c r="D407" s="92">
        <v>3675.9765192431746</v>
      </c>
      <c r="E407" s="91">
        <v>0</v>
      </c>
      <c r="N407"/>
      <c r="O407"/>
    </row>
    <row r="408" spans="2:15" x14ac:dyDescent="0.5">
      <c r="B408" s="91">
        <v>398</v>
      </c>
      <c r="C408" s="92">
        <v>70.615230231883899</v>
      </c>
      <c r="D408" s="92">
        <v>4158.7640015642146</v>
      </c>
      <c r="E408" s="91">
        <v>0</v>
      </c>
      <c r="N408"/>
      <c r="O408"/>
    </row>
    <row r="409" spans="2:15" x14ac:dyDescent="0.5">
      <c r="B409" s="91">
        <v>399</v>
      </c>
      <c r="C409" s="92">
        <v>63.978606845869642</v>
      </c>
      <c r="D409" s="92">
        <v>3346.0347253703749</v>
      </c>
      <c r="E409" s="91">
        <v>0</v>
      </c>
      <c r="N409"/>
      <c r="O409"/>
    </row>
    <row r="410" spans="2:15" x14ac:dyDescent="0.5">
      <c r="B410" s="91">
        <v>400</v>
      </c>
      <c r="C410" s="92">
        <v>25.879817190871321</v>
      </c>
      <c r="D410" s="92">
        <v>-1476.1406978600176</v>
      </c>
      <c r="E410" s="91">
        <v>1</v>
      </c>
      <c r="N410"/>
      <c r="O410"/>
    </row>
    <row r="411" spans="2:15" x14ac:dyDescent="0.5">
      <c r="B411" s="91">
        <v>401</v>
      </c>
      <c r="C411" s="92">
        <v>76.711086015278568</v>
      </c>
      <c r="D411" s="92">
        <v>4905.2701946172692</v>
      </c>
      <c r="E411" s="91">
        <v>0</v>
      </c>
      <c r="N411"/>
      <c r="O411"/>
    </row>
    <row r="412" spans="2:15" x14ac:dyDescent="0.5">
      <c r="B412" s="91">
        <v>402</v>
      </c>
      <c r="C412" s="92">
        <v>55.058384111590726</v>
      </c>
      <c r="D412" s="92">
        <v>2249.7984358064114</v>
      </c>
      <c r="E412" s="91">
        <v>0</v>
      </c>
      <c r="N412"/>
      <c r="O412"/>
    </row>
    <row r="413" spans="2:15" x14ac:dyDescent="0.5">
      <c r="B413" s="91">
        <v>403</v>
      </c>
      <c r="C413" s="92">
        <v>64.767949596998008</v>
      </c>
      <c r="D413" s="92">
        <v>3442.6986349339832</v>
      </c>
      <c r="E413" s="91">
        <v>0</v>
      </c>
      <c r="N413"/>
      <c r="O413"/>
    </row>
    <row r="414" spans="2:15" x14ac:dyDescent="0.5">
      <c r="B414" s="91">
        <v>404</v>
      </c>
      <c r="C414" s="92">
        <v>37.299700394725107</v>
      </c>
      <c r="D414" s="92">
        <v>23.691697658666854</v>
      </c>
      <c r="E414" s="91">
        <v>0</v>
      </c>
      <c r="N414"/>
      <c r="O414"/>
    </row>
    <row r="415" spans="2:15" x14ac:dyDescent="0.5">
      <c r="B415" s="91">
        <v>405</v>
      </c>
      <c r="C415" s="92">
        <v>40.878857437475901</v>
      </c>
      <c r="D415" s="92">
        <v>477.00712143165157</v>
      </c>
      <c r="E415" s="91">
        <v>0</v>
      </c>
      <c r="N415"/>
      <c r="O415"/>
    </row>
    <row r="416" spans="2:15" x14ac:dyDescent="0.5">
      <c r="B416" s="91">
        <v>406</v>
      </c>
      <c r="C416" s="92">
        <v>21.975180204008023</v>
      </c>
      <c r="D416" s="92">
        <v>-2123.7766102032865</v>
      </c>
      <c r="E416" s="91">
        <v>1</v>
      </c>
      <c r="N416"/>
      <c r="O416"/>
    </row>
    <row r="417" spans="2:15" x14ac:dyDescent="0.5">
      <c r="B417" s="91">
        <v>407</v>
      </c>
      <c r="C417" s="92">
        <v>39.210582584415896</v>
      </c>
      <c r="D417" s="92">
        <v>266.45695826719754</v>
      </c>
      <c r="E417" s="91">
        <v>0</v>
      </c>
      <c r="N417"/>
      <c r="O417"/>
    </row>
    <row r="418" spans="2:15" x14ac:dyDescent="0.5">
      <c r="B418" s="91">
        <v>408</v>
      </c>
      <c r="C418" s="92">
        <v>110.17210817207155</v>
      </c>
      <c r="D418" s="92">
        <v>9002.9492004058902</v>
      </c>
      <c r="E418" s="91">
        <v>0</v>
      </c>
      <c r="N418"/>
      <c r="O418"/>
    </row>
    <row r="419" spans="2:15" x14ac:dyDescent="0.5">
      <c r="B419" s="91">
        <v>409</v>
      </c>
      <c r="C419" s="92">
        <v>78.562806933211533</v>
      </c>
      <c r="D419" s="92">
        <v>5132.034275356903</v>
      </c>
      <c r="E419" s="91">
        <v>0</v>
      </c>
      <c r="N419"/>
      <c r="O419"/>
    </row>
    <row r="420" spans="2:15" x14ac:dyDescent="0.5">
      <c r="B420" s="91">
        <v>410</v>
      </c>
      <c r="C420" s="92">
        <v>43.375539821589356</v>
      </c>
      <c r="D420" s="92">
        <v>792.10920570792746</v>
      </c>
      <c r="E420" s="91">
        <v>0</v>
      </c>
      <c r="N420"/>
      <c r="O420"/>
    </row>
    <row r="421" spans="2:15" x14ac:dyDescent="0.5">
      <c r="B421" s="91">
        <v>411</v>
      </c>
      <c r="C421" s="92">
        <v>33.451067637169935</v>
      </c>
      <c r="D421" s="92">
        <v>-472.52114100032748</v>
      </c>
      <c r="E421" s="91">
        <v>1</v>
      </c>
      <c r="N421"/>
      <c r="O421"/>
    </row>
    <row r="422" spans="2:15" x14ac:dyDescent="0.5">
      <c r="B422" s="91">
        <v>412</v>
      </c>
      <c r="C422" s="92">
        <v>67.147128159094677</v>
      </c>
      <c r="D422" s="92">
        <v>3734.0558445028696</v>
      </c>
      <c r="E422" s="91">
        <v>0</v>
      </c>
      <c r="N422"/>
      <c r="O422"/>
    </row>
    <row r="423" spans="2:15" x14ac:dyDescent="0.5">
      <c r="B423" s="91">
        <v>413</v>
      </c>
      <c r="C423" s="92">
        <v>66.139989270470792</v>
      </c>
      <c r="D423" s="92">
        <v>3610.7203450525185</v>
      </c>
      <c r="E423" s="91">
        <v>0</v>
      </c>
      <c r="N423"/>
      <c r="O423"/>
    </row>
    <row r="424" spans="2:15" x14ac:dyDescent="0.5">
      <c r="B424" s="91">
        <v>414</v>
      </c>
      <c r="C424" s="92">
        <v>49.392287340881566</v>
      </c>
      <c r="D424" s="92">
        <v>1545.0311294644525</v>
      </c>
      <c r="E424" s="91">
        <v>0</v>
      </c>
      <c r="N424"/>
      <c r="O424"/>
    </row>
    <row r="425" spans="2:15" x14ac:dyDescent="0.5">
      <c r="B425" s="91">
        <v>415</v>
      </c>
      <c r="C425" s="92">
        <v>49.024447111737651</v>
      </c>
      <c r="D425" s="92">
        <v>1499.2028054653813</v>
      </c>
      <c r="E425" s="91">
        <v>0</v>
      </c>
      <c r="N425"/>
      <c r="O425"/>
    </row>
    <row r="426" spans="2:15" x14ac:dyDescent="0.5">
      <c r="B426" s="91">
        <v>416</v>
      </c>
      <c r="C426" s="92">
        <v>46.206433672600909</v>
      </c>
      <c r="D426" s="92">
        <v>1146.9492201296457</v>
      </c>
      <c r="E426" s="91">
        <v>0</v>
      </c>
      <c r="N426"/>
      <c r="O426"/>
    </row>
    <row r="427" spans="2:15" x14ac:dyDescent="0.5">
      <c r="B427" s="91">
        <v>417</v>
      </c>
      <c r="C427" s="92">
        <v>47.89155099624022</v>
      </c>
      <c r="D427" s="92">
        <v>1358.0580199721333</v>
      </c>
      <c r="E427" s="91">
        <v>0</v>
      </c>
      <c r="N427"/>
      <c r="O427"/>
    </row>
    <row r="428" spans="2:15" x14ac:dyDescent="0.5">
      <c r="B428" s="91">
        <v>418</v>
      </c>
      <c r="C428" s="92">
        <v>57.995912960094302</v>
      </c>
      <c r="D428" s="92">
        <v>2613.3864811258486</v>
      </c>
      <c r="E428" s="91">
        <v>0</v>
      </c>
      <c r="N428"/>
      <c r="O428"/>
    </row>
    <row r="429" spans="2:15" x14ac:dyDescent="0.5">
      <c r="B429" s="91">
        <v>419</v>
      </c>
      <c r="C429" s="92">
        <v>51.948628104321138</v>
      </c>
      <c r="D429" s="92">
        <v>1863.5194389992582</v>
      </c>
      <c r="E429" s="91">
        <v>0</v>
      </c>
      <c r="N429"/>
      <c r="O429"/>
    </row>
    <row r="430" spans="2:15" x14ac:dyDescent="0.5">
      <c r="B430" s="91">
        <v>420</v>
      </c>
      <c r="C430" s="92">
        <v>36.310481856383824</v>
      </c>
      <c r="D430" s="92">
        <v>-103.3680850725377</v>
      </c>
      <c r="E430" s="91">
        <v>1</v>
      </c>
      <c r="N430"/>
      <c r="O430"/>
    </row>
    <row r="431" spans="2:15" x14ac:dyDescent="0.5">
      <c r="B431" s="91">
        <v>421</v>
      </c>
      <c r="C431" s="92">
        <v>77.285377879049804</v>
      </c>
      <c r="D431" s="92">
        <v>4975.5987010909721</v>
      </c>
      <c r="E431" s="91">
        <v>0</v>
      </c>
      <c r="N431"/>
      <c r="O431"/>
    </row>
    <row r="432" spans="2:15" x14ac:dyDescent="0.5">
      <c r="B432" s="91">
        <v>422</v>
      </c>
      <c r="C432" s="92">
        <v>84.173549205159617</v>
      </c>
      <c r="D432" s="92">
        <v>5819.1328555174296</v>
      </c>
      <c r="E432" s="91">
        <v>0</v>
      </c>
      <c r="N432"/>
      <c r="O432"/>
    </row>
    <row r="433" spans="2:15" x14ac:dyDescent="0.5">
      <c r="B433" s="91">
        <v>423</v>
      </c>
      <c r="C433" s="92">
        <v>59.782711978129029</v>
      </c>
      <c r="D433" s="92">
        <v>2832.2001440634649</v>
      </c>
      <c r="E433" s="91">
        <v>0</v>
      </c>
      <c r="N433"/>
      <c r="O433"/>
    </row>
    <row r="434" spans="2:15" x14ac:dyDescent="0.5">
      <c r="B434" s="91">
        <v>424</v>
      </c>
      <c r="C434" s="92">
        <v>50.647223987249639</v>
      </c>
      <c r="D434" s="92">
        <v>1701.3806493685479</v>
      </c>
      <c r="E434" s="91">
        <v>0</v>
      </c>
      <c r="N434"/>
      <c r="O434"/>
    </row>
    <row r="435" spans="2:15" x14ac:dyDescent="0.5">
      <c r="B435" s="91">
        <v>425</v>
      </c>
      <c r="C435" s="92">
        <v>65.020384294968068</v>
      </c>
      <c r="D435" s="92">
        <v>3473.612106655125</v>
      </c>
      <c r="E435" s="91">
        <v>0</v>
      </c>
      <c r="N435"/>
      <c r="O435"/>
    </row>
    <row r="436" spans="2:15" x14ac:dyDescent="0.5">
      <c r="B436" s="91">
        <v>426</v>
      </c>
      <c r="C436" s="92">
        <v>57.45292464252195</v>
      </c>
      <c r="D436" s="92">
        <v>2546.6258452578727</v>
      </c>
      <c r="E436" s="91">
        <v>0</v>
      </c>
      <c r="N436"/>
      <c r="O436"/>
    </row>
    <row r="437" spans="2:15" x14ac:dyDescent="0.5">
      <c r="B437" s="91">
        <v>427</v>
      </c>
      <c r="C437" s="92">
        <v>106.3393203302317</v>
      </c>
      <c r="D437" s="92">
        <v>8533.5811637824008</v>
      </c>
      <c r="E437" s="91">
        <v>0</v>
      </c>
      <c r="N437"/>
      <c r="O437"/>
    </row>
    <row r="438" spans="2:15" x14ac:dyDescent="0.5">
      <c r="B438" s="91">
        <v>428</v>
      </c>
      <c r="C438" s="92">
        <v>131.28089571192447</v>
      </c>
      <c r="D438" s="92">
        <v>11587.957964764506</v>
      </c>
      <c r="E438" s="91">
        <v>0</v>
      </c>
      <c r="N438"/>
      <c r="O438"/>
    </row>
    <row r="439" spans="2:15" x14ac:dyDescent="0.5">
      <c r="B439" s="91">
        <v>429</v>
      </c>
      <c r="C439" s="92">
        <v>44.832610867617205</v>
      </c>
      <c r="D439" s="92">
        <v>974.76357204467763</v>
      </c>
      <c r="E439" s="91">
        <v>0</v>
      </c>
      <c r="N439"/>
      <c r="O439"/>
    </row>
    <row r="440" spans="2:15" x14ac:dyDescent="0.5">
      <c r="B440" s="91">
        <v>430</v>
      </c>
      <c r="C440" s="92">
        <v>58.639405521862052</v>
      </c>
      <c r="D440" s="92">
        <v>2692.1893924171159</v>
      </c>
      <c r="E440" s="91">
        <v>0</v>
      </c>
      <c r="N440"/>
      <c r="O440"/>
    </row>
    <row r="441" spans="2:15" x14ac:dyDescent="0.5">
      <c r="B441" s="91">
        <v>431</v>
      </c>
      <c r="C441" s="92">
        <v>60.791590714178518</v>
      </c>
      <c r="D441" s="92">
        <v>2955.7487074254873</v>
      </c>
      <c r="E441" s="91">
        <v>0</v>
      </c>
      <c r="N441"/>
      <c r="O441"/>
    </row>
    <row r="442" spans="2:15" x14ac:dyDescent="0.5">
      <c r="B442" s="91">
        <v>432</v>
      </c>
      <c r="C442" s="92">
        <v>81.493877691848439</v>
      </c>
      <c r="D442" s="92">
        <v>5490.9768998788804</v>
      </c>
      <c r="E442" s="91">
        <v>0</v>
      </c>
      <c r="N442"/>
      <c r="O442"/>
    </row>
    <row r="443" spans="2:15" x14ac:dyDescent="0.5">
      <c r="B443" s="91">
        <v>433</v>
      </c>
      <c r="C443" s="92">
        <v>47.546150228377186</v>
      </c>
      <c r="D443" s="92">
        <v>1314.8602218757801</v>
      </c>
      <c r="E443" s="91">
        <v>0</v>
      </c>
      <c r="N443"/>
      <c r="O443"/>
    </row>
    <row r="444" spans="2:15" x14ac:dyDescent="0.5">
      <c r="B444" s="91">
        <v>434</v>
      </c>
      <c r="C444" s="92">
        <v>44.088910593752601</v>
      </c>
      <c r="D444" s="92">
        <v>881.55321538746557</v>
      </c>
      <c r="E444" s="91">
        <v>0</v>
      </c>
      <c r="N444"/>
      <c r="O444"/>
    </row>
    <row r="445" spans="2:15" x14ac:dyDescent="0.5">
      <c r="B445" s="91">
        <v>435</v>
      </c>
      <c r="C445" s="92">
        <v>94.118109269628278</v>
      </c>
      <c r="D445" s="92">
        <v>7036.9562324313483</v>
      </c>
      <c r="E445" s="91">
        <v>0</v>
      </c>
      <c r="N445"/>
      <c r="O445"/>
    </row>
    <row r="446" spans="2:15" x14ac:dyDescent="0.5">
      <c r="B446" s="91">
        <v>436</v>
      </c>
      <c r="C446" s="92">
        <v>44.98949412162802</v>
      </c>
      <c r="D446" s="92">
        <v>994.42625683018173</v>
      </c>
      <c r="E446" s="91">
        <v>0</v>
      </c>
      <c r="N446"/>
      <c r="O446"/>
    </row>
    <row r="447" spans="2:15" x14ac:dyDescent="0.5">
      <c r="B447" s="91">
        <v>437</v>
      </c>
      <c r="C447" s="92">
        <v>101.64479223820632</v>
      </c>
      <c r="D447" s="92">
        <v>7958.6833284850418</v>
      </c>
      <c r="E447" s="91">
        <v>0</v>
      </c>
      <c r="N447"/>
      <c r="O447"/>
    </row>
    <row r="448" spans="2:15" x14ac:dyDescent="0.5">
      <c r="B448" s="91">
        <v>438</v>
      </c>
      <c r="C448" s="92">
        <v>192.41450003319977</v>
      </c>
      <c r="D448" s="92">
        <v>19036.724670573985</v>
      </c>
      <c r="E448" s="91">
        <v>0</v>
      </c>
      <c r="N448"/>
      <c r="O448"/>
    </row>
    <row r="449" spans="2:15" x14ac:dyDescent="0.5">
      <c r="B449" s="91">
        <v>439</v>
      </c>
      <c r="C449" s="92">
        <v>43.207930588558426</v>
      </c>
      <c r="D449" s="92">
        <v>770.95552632601823</v>
      </c>
      <c r="E449" s="91">
        <v>0</v>
      </c>
      <c r="N449"/>
      <c r="O449"/>
    </row>
    <row r="450" spans="2:15" x14ac:dyDescent="0.5">
      <c r="B450" s="91">
        <v>440</v>
      </c>
      <c r="C450" s="92">
        <v>122.58051583675874</v>
      </c>
      <c r="D450" s="92">
        <v>10522.498464161214</v>
      </c>
      <c r="E450" s="91">
        <v>0</v>
      </c>
      <c r="N450"/>
      <c r="O450"/>
    </row>
    <row r="451" spans="2:15" x14ac:dyDescent="0.5">
      <c r="B451" s="91">
        <v>441</v>
      </c>
      <c r="C451" s="92">
        <v>93.902647522288632</v>
      </c>
      <c r="D451" s="92">
        <v>7010.5705149094183</v>
      </c>
      <c r="E451" s="91">
        <v>0</v>
      </c>
      <c r="N451"/>
      <c r="O451"/>
    </row>
    <row r="452" spans="2:15" x14ac:dyDescent="0.5">
      <c r="B452" s="91">
        <v>442</v>
      </c>
      <c r="C452" s="92">
        <v>84.187376025386541</v>
      </c>
      <c r="D452" s="92">
        <v>5820.8261053737897</v>
      </c>
      <c r="E452" s="91">
        <v>0</v>
      </c>
      <c r="N452"/>
      <c r="O452"/>
    </row>
    <row r="453" spans="2:15" x14ac:dyDescent="0.5">
      <c r="B453" s="91">
        <v>443</v>
      </c>
      <c r="C453" s="92">
        <v>56.346216401619223</v>
      </c>
      <c r="D453" s="92">
        <v>2409.4382153462643</v>
      </c>
      <c r="E453" s="91">
        <v>0</v>
      </c>
      <c r="N453"/>
      <c r="O453"/>
    </row>
    <row r="454" spans="2:15" x14ac:dyDescent="0.5">
      <c r="B454" s="91">
        <v>444</v>
      </c>
      <c r="C454" s="92">
        <v>103.32881244934273</v>
      </c>
      <c r="D454" s="92">
        <v>8164.9105690087299</v>
      </c>
      <c r="E454" s="91">
        <v>0</v>
      </c>
      <c r="N454"/>
      <c r="O454"/>
    </row>
    <row r="455" spans="2:15" x14ac:dyDescent="0.5">
      <c r="B455" s="91">
        <v>445</v>
      </c>
      <c r="C455" s="92">
        <v>60.289027180559756</v>
      </c>
      <c r="D455" s="92">
        <v>2894.2041427933973</v>
      </c>
      <c r="E455" s="91">
        <v>0</v>
      </c>
      <c r="N455"/>
      <c r="O455"/>
    </row>
    <row r="456" spans="2:15" x14ac:dyDescent="0.5">
      <c r="B456" s="91">
        <v>446</v>
      </c>
      <c r="C456" s="92">
        <v>45.684665714349755</v>
      </c>
      <c r="D456" s="92">
        <v>1081.5543571855042</v>
      </c>
      <c r="E456" s="91">
        <v>0</v>
      </c>
      <c r="N456"/>
      <c r="O456"/>
    </row>
    <row r="457" spans="2:15" x14ac:dyDescent="0.5">
      <c r="B457" s="91">
        <v>447</v>
      </c>
      <c r="C457" s="92">
        <v>78.040701669025694</v>
      </c>
      <c r="D457" s="92">
        <v>5068.0966057351852</v>
      </c>
      <c r="E457" s="91">
        <v>0</v>
      </c>
      <c r="N457"/>
      <c r="O457"/>
    </row>
    <row r="458" spans="2:15" x14ac:dyDescent="0.5">
      <c r="B458" s="91">
        <v>448</v>
      </c>
      <c r="C458" s="92">
        <v>30.473342148228976</v>
      </c>
      <c r="D458" s="92">
        <v>-858.87317579349792</v>
      </c>
      <c r="E458" s="91">
        <v>1</v>
      </c>
      <c r="N458"/>
      <c r="O458"/>
    </row>
    <row r="459" spans="2:15" x14ac:dyDescent="0.5">
      <c r="B459" s="91">
        <v>449</v>
      </c>
      <c r="C459" s="92">
        <v>102.6828946085738</v>
      </c>
      <c r="D459" s="92">
        <v>8085.8106549899376</v>
      </c>
      <c r="E459" s="91">
        <v>0</v>
      </c>
      <c r="N459"/>
      <c r="O459"/>
    </row>
    <row r="460" spans="2:15" x14ac:dyDescent="0.5">
      <c r="B460" s="91">
        <v>450</v>
      </c>
      <c r="C460" s="92">
        <v>64.160173753636414</v>
      </c>
      <c r="D460" s="92">
        <v>3368.2696380582056</v>
      </c>
      <c r="E460" s="91">
        <v>0</v>
      </c>
      <c r="N460"/>
      <c r="O460"/>
    </row>
    <row r="461" spans="2:15" x14ac:dyDescent="0.5">
      <c r="B461" s="91">
        <v>451</v>
      </c>
      <c r="C461" s="92">
        <v>72.64738425592212</v>
      </c>
      <c r="D461" s="92">
        <v>4407.6241482091928</v>
      </c>
      <c r="E461" s="91">
        <v>0</v>
      </c>
      <c r="N461"/>
      <c r="O461"/>
    </row>
    <row r="462" spans="2:15" x14ac:dyDescent="0.5">
      <c r="B462" s="91">
        <v>452</v>
      </c>
      <c r="C462" s="92">
        <v>83.238398816737444</v>
      </c>
      <c r="D462" s="92">
        <v>5704.6131586612855</v>
      </c>
      <c r="E462" s="91">
        <v>0</v>
      </c>
      <c r="N462"/>
      <c r="O462"/>
    </row>
    <row r="463" spans="2:15" x14ac:dyDescent="0.5">
      <c r="B463" s="91">
        <v>453</v>
      </c>
      <c r="C463" s="92">
        <v>67.33383357587212</v>
      </c>
      <c r="D463" s="92">
        <v>3756.92002548966</v>
      </c>
      <c r="E463" s="91">
        <v>0</v>
      </c>
      <c r="N463"/>
      <c r="O463"/>
    </row>
    <row r="464" spans="2:15" x14ac:dyDescent="0.5">
      <c r="B464" s="91">
        <v>454</v>
      </c>
      <c r="C464" s="92">
        <v>68.082560919786246</v>
      </c>
      <c r="D464" s="92">
        <v>3848.6101210235165</v>
      </c>
      <c r="E464" s="91">
        <v>0</v>
      </c>
      <c r="N464"/>
      <c r="O464"/>
    </row>
    <row r="465" spans="2:15" x14ac:dyDescent="0.5">
      <c r="B465" s="91">
        <v>455</v>
      </c>
      <c r="C465" s="92">
        <v>46.361928844850972</v>
      </c>
      <c r="D465" s="92">
        <v>1166.437932146097</v>
      </c>
      <c r="E465" s="91">
        <v>0</v>
      </c>
      <c r="N465"/>
      <c r="O465"/>
    </row>
    <row r="466" spans="2:15" x14ac:dyDescent="0.5">
      <c r="B466" s="91">
        <v>456</v>
      </c>
      <c r="C466" s="92">
        <v>22.628861441531324</v>
      </c>
      <c r="D466" s="92">
        <v>-2001.3136209007801</v>
      </c>
      <c r="E466" s="91">
        <v>1</v>
      </c>
      <c r="N466"/>
      <c r="O466"/>
    </row>
    <row r="467" spans="2:15" x14ac:dyDescent="0.5">
      <c r="B467" s="91">
        <v>457</v>
      </c>
      <c r="C467" s="92">
        <v>64.348903886274584</v>
      </c>
      <c r="D467" s="92">
        <v>3391.3817683047751</v>
      </c>
      <c r="E467" s="91">
        <v>0</v>
      </c>
      <c r="N467"/>
      <c r="O467"/>
    </row>
    <row r="468" spans="2:15" x14ac:dyDescent="0.5">
      <c r="B468" s="91">
        <v>458</v>
      </c>
      <c r="C468" s="92">
        <v>57.283411993967064</v>
      </c>
      <c r="D468" s="92">
        <v>2525.6130456456503</v>
      </c>
      <c r="E468" s="91">
        <v>0</v>
      </c>
      <c r="N468"/>
      <c r="O468"/>
    </row>
    <row r="469" spans="2:15" x14ac:dyDescent="0.5">
      <c r="B469" s="91">
        <v>459</v>
      </c>
      <c r="C469" s="92">
        <v>49.817382869971127</v>
      </c>
      <c r="D469" s="92">
        <v>1597.9927527295658</v>
      </c>
      <c r="E469" s="91">
        <v>0</v>
      </c>
      <c r="N469"/>
      <c r="O469"/>
    </row>
    <row r="470" spans="2:15" x14ac:dyDescent="0.5">
      <c r="B470" s="91">
        <v>460</v>
      </c>
      <c r="C470" s="92">
        <v>41.447161018646419</v>
      </c>
      <c r="D470" s="92">
        <v>548.73176052389499</v>
      </c>
      <c r="E470" s="91">
        <v>0</v>
      </c>
      <c r="N470"/>
      <c r="O470"/>
    </row>
    <row r="471" spans="2:15" x14ac:dyDescent="0.5">
      <c r="B471" s="91">
        <v>461</v>
      </c>
      <c r="C471" s="92">
        <v>74.664392834745996</v>
      </c>
      <c r="D471" s="92">
        <v>4654.6295645175578</v>
      </c>
      <c r="E471" s="91">
        <v>0</v>
      </c>
      <c r="N471"/>
      <c r="O471"/>
    </row>
    <row r="472" spans="2:15" x14ac:dyDescent="0.5">
      <c r="B472" s="91">
        <v>462</v>
      </c>
      <c r="C472" s="92">
        <v>105.16117233050595</v>
      </c>
      <c r="D472" s="92">
        <v>8389.3036727492108</v>
      </c>
      <c r="E472" s="91">
        <v>0</v>
      </c>
      <c r="N472"/>
      <c r="O472"/>
    </row>
    <row r="473" spans="2:15" x14ac:dyDescent="0.5">
      <c r="B473" s="91">
        <v>463</v>
      </c>
      <c r="C473" s="92">
        <v>80.132622371296094</v>
      </c>
      <c r="D473" s="92">
        <v>5324.2758552303394</v>
      </c>
      <c r="E473" s="91">
        <v>0</v>
      </c>
      <c r="N473"/>
      <c r="O473"/>
    </row>
    <row r="474" spans="2:15" x14ac:dyDescent="0.5">
      <c r="B474" s="91">
        <v>464</v>
      </c>
      <c r="C474" s="92">
        <v>17.760056060270163</v>
      </c>
      <c r="D474" s="92">
        <v>-2913.4530966802408</v>
      </c>
      <c r="E474" s="91">
        <v>1</v>
      </c>
      <c r="N474"/>
      <c r="O474"/>
    </row>
    <row r="475" spans="2:15" x14ac:dyDescent="0.5">
      <c r="B475" s="91">
        <v>465</v>
      </c>
      <c r="C475" s="92">
        <v>45.088409773062111</v>
      </c>
      <c r="D475" s="92">
        <v>1006.8236748131569</v>
      </c>
      <c r="E475" s="91">
        <v>0</v>
      </c>
      <c r="N475"/>
      <c r="O475"/>
    </row>
    <row r="476" spans="2:15" x14ac:dyDescent="0.5">
      <c r="B476" s="91">
        <v>466</v>
      </c>
      <c r="C476" s="92">
        <v>61.856318169984171</v>
      </c>
      <c r="D476" s="92">
        <v>3086.1365754977069</v>
      </c>
      <c r="E476" s="91">
        <v>0</v>
      </c>
      <c r="N476"/>
      <c r="O476"/>
    </row>
    <row r="477" spans="2:15" x14ac:dyDescent="0.5">
      <c r="B477" s="91">
        <v>467</v>
      </c>
      <c r="C477" s="92">
        <v>38.884255286739055</v>
      </c>
      <c r="D477" s="92">
        <v>225.27173891029878</v>
      </c>
      <c r="E477" s="91">
        <v>0</v>
      </c>
      <c r="N477"/>
      <c r="O477"/>
    </row>
    <row r="478" spans="2:15" x14ac:dyDescent="0.5">
      <c r="B478" s="91">
        <v>468</v>
      </c>
      <c r="C478" s="92">
        <v>84.220358091232299</v>
      </c>
      <c r="D478" s="92">
        <v>5824.8651307852206</v>
      </c>
      <c r="E478" s="91">
        <v>0</v>
      </c>
      <c r="N478"/>
      <c r="O478"/>
    </row>
    <row r="479" spans="2:15" x14ac:dyDescent="0.5">
      <c r="B479" s="91">
        <v>469</v>
      </c>
      <c r="C479" s="92">
        <v>71.234134940340468</v>
      </c>
      <c r="D479" s="92">
        <v>4234.5558533057001</v>
      </c>
      <c r="E479" s="91">
        <v>0</v>
      </c>
      <c r="N479"/>
      <c r="O479"/>
    </row>
    <row r="480" spans="2:15" x14ac:dyDescent="0.5">
      <c r="B480" s="91">
        <v>470</v>
      </c>
      <c r="C480" s="92">
        <v>51.278678024926641</v>
      </c>
      <c r="D480" s="92">
        <v>1780.0519798440996</v>
      </c>
      <c r="E480" s="91">
        <v>0</v>
      </c>
      <c r="N480"/>
      <c r="O480"/>
    </row>
    <row r="481" spans="2:15" x14ac:dyDescent="0.5">
      <c r="B481" s="91">
        <v>471</v>
      </c>
      <c r="C481" s="92">
        <v>81.144466308132522</v>
      </c>
      <c r="D481" s="92">
        <v>5448.1875408232236</v>
      </c>
      <c r="E481" s="91">
        <v>0</v>
      </c>
      <c r="N481"/>
      <c r="O481"/>
    </row>
    <row r="482" spans="2:15" x14ac:dyDescent="0.5">
      <c r="B482" s="91">
        <v>472</v>
      </c>
      <c r="C482" s="92">
        <v>86.493889428854686</v>
      </c>
      <c r="D482" s="92">
        <v>6103.2846479034824</v>
      </c>
      <c r="E482" s="91">
        <v>0</v>
      </c>
      <c r="N482"/>
      <c r="O482"/>
    </row>
    <row r="483" spans="2:15" x14ac:dyDescent="0.5">
      <c r="B483" s="91">
        <v>473</v>
      </c>
      <c r="C483" s="92">
        <v>117.57142261168738</v>
      </c>
      <c r="D483" s="92">
        <v>9909.0785856460589</v>
      </c>
      <c r="E483" s="91">
        <v>0</v>
      </c>
      <c r="N483"/>
      <c r="O483"/>
    </row>
    <row r="484" spans="2:15" x14ac:dyDescent="0.5">
      <c r="B484" s="91">
        <v>474</v>
      </c>
      <c r="C484" s="92">
        <v>98.028220637855071</v>
      </c>
      <c r="D484" s="92">
        <v>7515.7934056892409</v>
      </c>
      <c r="E484" s="91">
        <v>0</v>
      </c>
      <c r="N484"/>
      <c r="O484"/>
    </row>
    <row r="485" spans="2:15" x14ac:dyDescent="0.5">
      <c r="B485" s="91">
        <v>475</v>
      </c>
      <c r="C485" s="92">
        <v>48.124840107125998</v>
      </c>
      <c r="D485" s="92">
        <v>1387.1229457525747</v>
      </c>
      <c r="E485" s="91">
        <v>0</v>
      </c>
      <c r="N485"/>
      <c r="O485"/>
    </row>
    <row r="486" spans="2:15" x14ac:dyDescent="0.5">
      <c r="B486" s="91">
        <v>476</v>
      </c>
      <c r="C486" s="92">
        <v>89.959618142929472</v>
      </c>
      <c r="D486" s="92">
        <v>6527.7021604611509</v>
      </c>
      <c r="E486" s="91">
        <v>0</v>
      </c>
      <c r="N486"/>
      <c r="O486"/>
    </row>
    <row r="487" spans="2:15" x14ac:dyDescent="0.5">
      <c r="B487" s="91">
        <v>477</v>
      </c>
      <c r="C487" s="92">
        <v>40.102075326607086</v>
      </c>
      <c r="D487" s="92">
        <v>378.97075776731521</v>
      </c>
      <c r="E487" s="91">
        <v>0</v>
      </c>
      <c r="N487"/>
      <c r="O487"/>
    </row>
    <row r="488" spans="2:15" x14ac:dyDescent="0.5">
      <c r="B488" s="91">
        <v>478</v>
      </c>
      <c r="C488" s="92">
        <v>97.10621403060081</v>
      </c>
      <c r="D488" s="92">
        <v>7402.8833128642018</v>
      </c>
      <c r="E488" s="91">
        <v>0</v>
      </c>
      <c r="N488"/>
      <c r="O488"/>
    </row>
    <row r="489" spans="2:15" x14ac:dyDescent="0.5">
      <c r="B489" s="91">
        <v>479</v>
      </c>
      <c r="C489" s="92">
        <v>63.479036692735292</v>
      </c>
      <c r="D489" s="92">
        <v>3284.8567338904691</v>
      </c>
      <c r="E489" s="91">
        <v>0</v>
      </c>
      <c r="N489"/>
      <c r="O489"/>
    </row>
    <row r="490" spans="2:15" x14ac:dyDescent="0.5">
      <c r="B490" s="91">
        <v>480</v>
      </c>
      <c r="C490" s="92">
        <v>78.731909897407249</v>
      </c>
      <c r="D490" s="92">
        <v>5152.7428377837896</v>
      </c>
      <c r="E490" s="91">
        <v>0</v>
      </c>
      <c r="N490"/>
      <c r="O490"/>
    </row>
    <row r="491" spans="2:15" x14ac:dyDescent="0.5">
      <c r="B491" s="91">
        <v>481</v>
      </c>
      <c r="C491" s="92">
        <v>36.24343323308117</v>
      </c>
      <c r="D491" s="92">
        <v>-111.98011889425172</v>
      </c>
      <c r="E491" s="91">
        <v>1</v>
      </c>
      <c r="N491"/>
      <c r="O491"/>
    </row>
    <row r="492" spans="2:15" x14ac:dyDescent="0.5">
      <c r="B492" s="91">
        <v>482</v>
      </c>
      <c r="C492" s="92">
        <v>83.249219323621958</v>
      </c>
      <c r="D492" s="92">
        <v>5705.9382515913503</v>
      </c>
      <c r="E492" s="91">
        <v>0</v>
      </c>
      <c r="N492"/>
      <c r="O492"/>
    </row>
    <row r="493" spans="2:15" x14ac:dyDescent="0.5">
      <c r="B493" s="91">
        <v>483</v>
      </c>
      <c r="C493" s="92">
        <v>35.44739682905378</v>
      </c>
      <c r="D493" s="92">
        <v>-214.22669901945648</v>
      </c>
      <c r="E493" s="91">
        <v>1</v>
      </c>
      <c r="N493"/>
      <c r="O493"/>
    </row>
    <row r="494" spans="2:15" x14ac:dyDescent="0.5">
      <c r="B494" s="91">
        <v>484</v>
      </c>
      <c r="C494" s="92">
        <v>54.91893282139177</v>
      </c>
      <c r="D494" s="92">
        <v>2232.512044250399</v>
      </c>
      <c r="E494" s="91">
        <v>0</v>
      </c>
      <c r="N494"/>
      <c r="O494"/>
    </row>
    <row r="495" spans="2:15" x14ac:dyDescent="0.5">
      <c r="B495" s="91">
        <v>485</v>
      </c>
      <c r="C495" s="92">
        <v>58.522917741085251</v>
      </c>
      <c r="D495" s="92">
        <v>2677.9241517593946</v>
      </c>
      <c r="E495" s="91">
        <v>0</v>
      </c>
      <c r="N495"/>
      <c r="O495"/>
    </row>
    <row r="496" spans="2:15" x14ac:dyDescent="0.5">
      <c r="B496" s="91">
        <v>486</v>
      </c>
      <c r="C496" s="92">
        <v>26.04474883061371</v>
      </c>
      <c r="D496" s="92">
        <v>-1453.5805751324961</v>
      </c>
      <c r="E496" s="91">
        <v>1</v>
      </c>
      <c r="N496"/>
      <c r="O496"/>
    </row>
    <row r="497" spans="2:15" x14ac:dyDescent="0.5">
      <c r="B497" s="91">
        <v>487</v>
      </c>
      <c r="C497" s="92">
        <v>157.14222414126058</v>
      </c>
      <c r="D497" s="92">
        <v>14740.192362998254</v>
      </c>
      <c r="E497" s="91">
        <v>0</v>
      </c>
      <c r="N497"/>
      <c r="O497"/>
    </row>
    <row r="498" spans="2:15" x14ac:dyDescent="0.5">
      <c r="B498" s="91">
        <v>488</v>
      </c>
      <c r="C498" s="92">
        <v>31.502858200740441</v>
      </c>
      <c r="D498" s="92">
        <v>-725.00904043338642</v>
      </c>
      <c r="E498" s="91">
        <v>1</v>
      </c>
      <c r="N498"/>
      <c r="O498"/>
    </row>
    <row r="499" spans="2:15" x14ac:dyDescent="0.5">
      <c r="B499" s="91">
        <v>489</v>
      </c>
      <c r="C499" s="92">
        <v>35.709057420775082</v>
      </c>
      <c r="D499" s="92">
        <v>-180.6178081173764</v>
      </c>
      <c r="E499" s="91">
        <v>1</v>
      </c>
      <c r="N499"/>
      <c r="O499"/>
    </row>
    <row r="500" spans="2:15" x14ac:dyDescent="0.5">
      <c r="B500" s="91">
        <v>490</v>
      </c>
      <c r="C500" s="92">
        <v>53.254364989082902</v>
      </c>
      <c r="D500" s="92">
        <v>2026.1721008925279</v>
      </c>
      <c r="E500" s="91">
        <v>0</v>
      </c>
      <c r="N500"/>
      <c r="O500"/>
    </row>
    <row r="501" spans="2:15" x14ac:dyDescent="0.5">
      <c r="B501" s="91">
        <v>491</v>
      </c>
      <c r="C501" s="92">
        <v>27.848477934647821</v>
      </c>
      <c r="D501" s="92">
        <v>-1208.6490772202214</v>
      </c>
      <c r="E501" s="91">
        <v>1</v>
      </c>
      <c r="N501"/>
      <c r="O501"/>
    </row>
    <row r="502" spans="2:15" x14ac:dyDescent="0.5">
      <c r="B502" s="91">
        <v>492</v>
      </c>
      <c r="C502" s="92">
        <v>42.000359549631206</v>
      </c>
      <c r="D502" s="92">
        <v>618.55001663891119</v>
      </c>
      <c r="E502" s="91">
        <v>0</v>
      </c>
      <c r="N502"/>
      <c r="O502"/>
    </row>
    <row r="503" spans="2:15" x14ac:dyDescent="0.5">
      <c r="B503" s="91">
        <v>493</v>
      </c>
      <c r="C503" s="92">
        <v>52.515215507732648</v>
      </c>
      <c r="D503" s="92">
        <v>1934.1091924848026</v>
      </c>
      <c r="E503" s="91">
        <v>0</v>
      </c>
      <c r="N503"/>
      <c r="O503"/>
    </row>
    <row r="504" spans="2:15" x14ac:dyDescent="0.5">
      <c r="B504" s="91">
        <v>494</v>
      </c>
      <c r="C504" s="92">
        <v>84.430524912103436</v>
      </c>
      <c r="D504" s="92">
        <v>5850.6024249288821</v>
      </c>
      <c r="E504" s="91">
        <v>0</v>
      </c>
      <c r="N504"/>
      <c r="O504"/>
    </row>
    <row r="505" spans="2:15" x14ac:dyDescent="0.5">
      <c r="B505" s="91">
        <v>495</v>
      </c>
      <c r="C505" s="92">
        <v>66.595361583272009</v>
      </c>
      <c r="D505" s="92">
        <v>3666.4858132214008</v>
      </c>
      <c r="E505" s="91">
        <v>0</v>
      </c>
      <c r="N505"/>
      <c r="O505"/>
    </row>
    <row r="506" spans="2:15" x14ac:dyDescent="0.5">
      <c r="B506" s="91">
        <v>496</v>
      </c>
      <c r="C506" s="92">
        <v>45.548298388483495</v>
      </c>
      <c r="D506" s="92">
        <v>1064.4629999182368</v>
      </c>
      <c r="E506" s="91">
        <v>0</v>
      </c>
      <c r="N506"/>
      <c r="O506"/>
    </row>
    <row r="507" spans="2:15" x14ac:dyDescent="0.5">
      <c r="B507" s="91">
        <v>497</v>
      </c>
      <c r="C507" s="92">
        <v>70.47387620428519</v>
      </c>
      <c r="D507" s="92">
        <v>4141.4536089360181</v>
      </c>
      <c r="E507" s="91">
        <v>0</v>
      </c>
      <c r="N507"/>
      <c r="O507"/>
    </row>
    <row r="508" spans="2:15" x14ac:dyDescent="0.5">
      <c r="B508" s="91">
        <v>498</v>
      </c>
      <c r="C508" s="92">
        <v>75.287239206905213</v>
      </c>
      <c r="D508" s="92">
        <v>4730.9041173709975</v>
      </c>
      <c r="E508" s="91">
        <v>0</v>
      </c>
      <c r="N508"/>
      <c r="O508"/>
    </row>
    <row r="509" spans="2:15" x14ac:dyDescent="0.5">
      <c r="B509" s="91">
        <v>499</v>
      </c>
      <c r="C509" s="92">
        <v>45.623667598027076</v>
      </c>
      <c r="D509" s="92">
        <v>1073.9092663099691</v>
      </c>
      <c r="E509" s="91">
        <v>0</v>
      </c>
      <c r="N509"/>
      <c r="O509"/>
    </row>
    <row r="510" spans="2:15" x14ac:dyDescent="0.5">
      <c r="B510" s="91">
        <v>500</v>
      </c>
      <c r="C510" s="92">
        <v>73.953636101254446</v>
      </c>
      <c r="D510" s="92">
        <v>4567.5893978602471</v>
      </c>
      <c r="E510" s="91">
        <v>0</v>
      </c>
      <c r="N510"/>
      <c r="O510"/>
    </row>
    <row r="511" spans="2:15" x14ac:dyDescent="0.5">
      <c r="B511" s="91">
        <v>501</v>
      </c>
      <c r="C511" s="92">
        <v>61.111107415613247</v>
      </c>
      <c r="D511" s="92">
        <v>2994.8771259577388</v>
      </c>
      <c r="E511" s="91">
        <v>0</v>
      </c>
      <c r="N511"/>
      <c r="O511"/>
    </row>
    <row r="512" spans="2:15" x14ac:dyDescent="0.5">
      <c r="B512" s="91">
        <v>502</v>
      </c>
      <c r="C512" s="92">
        <v>84.119975882125644</v>
      </c>
      <c r="D512" s="92">
        <v>5812.5721987616962</v>
      </c>
      <c r="E512" s="91">
        <v>0</v>
      </c>
      <c r="N512"/>
      <c r="O512"/>
    </row>
    <row r="513" spans="2:15" x14ac:dyDescent="0.5">
      <c r="B513" s="91">
        <v>503</v>
      </c>
      <c r="C513" s="92">
        <v>113.98314635841052</v>
      </c>
      <c r="D513" s="92">
        <v>9469.653746765649</v>
      </c>
      <c r="E513" s="91">
        <v>0</v>
      </c>
      <c r="N513"/>
      <c r="O513"/>
    </row>
    <row r="514" spans="2:15" x14ac:dyDescent="0.5">
      <c r="B514" s="91">
        <v>504</v>
      </c>
      <c r="C514" s="92">
        <v>87.982932937945051</v>
      </c>
      <c r="D514" s="92">
        <v>6285.6347954068724</v>
      </c>
      <c r="E514" s="91">
        <v>0</v>
      </c>
      <c r="N514"/>
      <c r="O514"/>
    </row>
    <row r="515" spans="2:15" x14ac:dyDescent="0.5">
      <c r="B515" s="91">
        <v>505</v>
      </c>
      <c r="C515" s="92">
        <v>131.20495972010676</v>
      </c>
      <c r="D515" s="92">
        <v>11578.658747364721</v>
      </c>
      <c r="E515" s="91">
        <v>0</v>
      </c>
      <c r="N515"/>
      <c r="O515"/>
    </row>
    <row r="516" spans="2:15" x14ac:dyDescent="0.5">
      <c r="B516" s="91">
        <v>506</v>
      </c>
      <c r="C516" s="92">
        <v>24.942759238729202</v>
      </c>
      <c r="D516" s="92">
        <v>-1605.8856856979278</v>
      </c>
      <c r="E516" s="91">
        <v>1</v>
      </c>
      <c r="N516"/>
      <c r="O516"/>
    </row>
    <row r="517" spans="2:15" x14ac:dyDescent="0.5">
      <c r="B517" s="91">
        <v>507</v>
      </c>
      <c r="C517" s="92">
        <v>53.644749839926149</v>
      </c>
      <c r="D517" s="92">
        <v>2074.5642339418814</v>
      </c>
      <c r="E517" s="91">
        <v>0</v>
      </c>
      <c r="N517"/>
      <c r="O517"/>
    </row>
    <row r="518" spans="2:15" x14ac:dyDescent="0.5">
      <c r="B518" s="91">
        <v>508</v>
      </c>
      <c r="C518" s="92">
        <v>98.2737818601843</v>
      </c>
      <c r="D518" s="92">
        <v>7545.8651429081228</v>
      </c>
      <c r="E518" s="91">
        <v>0</v>
      </c>
      <c r="N518"/>
      <c r="O518"/>
    </row>
    <row r="519" spans="2:15" x14ac:dyDescent="0.5">
      <c r="B519" s="91">
        <v>509</v>
      </c>
      <c r="C519" s="92">
        <v>70.155673986871349</v>
      </c>
      <c r="D519" s="92">
        <v>4102.4861637760268</v>
      </c>
      <c r="E519" s="91">
        <v>0</v>
      </c>
      <c r="N519"/>
      <c r="O519"/>
    </row>
    <row r="520" spans="2:15" x14ac:dyDescent="0.5">
      <c r="B520" s="91">
        <v>510</v>
      </c>
      <c r="C520" s="92">
        <v>48.740203735780007</v>
      </c>
      <c r="D520" s="92">
        <v>1463.7896111057182</v>
      </c>
      <c r="E520" s="91">
        <v>0</v>
      </c>
      <c r="N520"/>
      <c r="O520"/>
    </row>
    <row r="521" spans="2:15" x14ac:dyDescent="0.5">
      <c r="B521" s="91">
        <v>511</v>
      </c>
      <c r="C521" s="92">
        <v>71.384297196473341</v>
      </c>
      <c r="D521" s="92">
        <v>4252.9449127174021</v>
      </c>
      <c r="E521" s="91">
        <v>0</v>
      </c>
      <c r="N521"/>
      <c r="O521"/>
    </row>
    <row r="522" spans="2:15" x14ac:dyDescent="0.5">
      <c r="B522" s="91">
        <v>512</v>
      </c>
      <c r="C522" s="92">
        <v>52.03218770714696</v>
      </c>
      <c r="D522" s="92">
        <v>1873.9299277064017</v>
      </c>
      <c r="E522" s="91">
        <v>0</v>
      </c>
      <c r="N522"/>
      <c r="O522"/>
    </row>
    <row r="523" spans="2:15" x14ac:dyDescent="0.5">
      <c r="B523" s="91">
        <v>513</v>
      </c>
      <c r="C523" s="92">
        <v>100.34833343584422</v>
      </c>
      <c r="D523" s="92">
        <v>7799.9173472363036</v>
      </c>
      <c r="E523" s="91">
        <v>0</v>
      </c>
      <c r="N523"/>
      <c r="O523"/>
    </row>
    <row r="524" spans="2:15" x14ac:dyDescent="0.5">
      <c r="B524" s="91">
        <v>514</v>
      </c>
      <c r="C524" s="92">
        <v>84.882914660369792</v>
      </c>
      <c r="D524" s="92">
        <v>5906.0026444804162</v>
      </c>
      <c r="E524" s="91">
        <v>0</v>
      </c>
      <c r="N524"/>
      <c r="O524"/>
    </row>
    <row r="525" spans="2:15" x14ac:dyDescent="0.5">
      <c r="B525" s="91">
        <v>515</v>
      </c>
      <c r="C525" s="92">
        <v>42.602241937112915</v>
      </c>
      <c r="D525" s="92">
        <v>694.51258039609888</v>
      </c>
      <c r="E525" s="91">
        <v>0</v>
      </c>
      <c r="N525"/>
      <c r="O525"/>
    </row>
    <row r="526" spans="2:15" x14ac:dyDescent="0.5">
      <c r="B526" s="91">
        <v>516</v>
      </c>
      <c r="C526" s="92">
        <v>133.99591088232734</v>
      </c>
      <c r="D526" s="92">
        <v>11920.442149259121</v>
      </c>
      <c r="E526" s="91">
        <v>0</v>
      </c>
      <c r="N526"/>
      <c r="O526"/>
    </row>
    <row r="527" spans="2:15" x14ac:dyDescent="0.5">
      <c r="B527" s="91">
        <v>517</v>
      </c>
      <c r="C527" s="92">
        <v>133.1967339220293</v>
      </c>
      <c r="D527" s="92">
        <v>11822.573930028455</v>
      </c>
      <c r="E527" s="91">
        <v>0</v>
      </c>
      <c r="N527"/>
      <c r="O527"/>
    </row>
    <row r="528" spans="2:15" x14ac:dyDescent="0.5">
      <c r="B528" s="91">
        <v>518</v>
      </c>
      <c r="C528" s="92">
        <v>54.064642172050952</v>
      </c>
      <c r="D528" s="92">
        <v>2126.6141164070864</v>
      </c>
      <c r="E528" s="91">
        <v>0</v>
      </c>
      <c r="N528"/>
      <c r="O528"/>
    </row>
    <row r="529" spans="2:15" x14ac:dyDescent="0.5">
      <c r="B529" s="91">
        <v>519</v>
      </c>
      <c r="C529" s="92">
        <v>45.757321468156057</v>
      </c>
      <c r="D529" s="92">
        <v>1090.6605374082067</v>
      </c>
      <c r="E529" s="91">
        <v>0</v>
      </c>
      <c r="N529"/>
      <c r="O529"/>
    </row>
    <row r="530" spans="2:15" x14ac:dyDescent="0.5">
      <c r="B530" s="91">
        <v>520</v>
      </c>
      <c r="C530" s="92">
        <v>99.587460492820355</v>
      </c>
      <c r="D530" s="92">
        <v>7706.7398863060325</v>
      </c>
      <c r="E530" s="91">
        <v>0</v>
      </c>
      <c r="N530"/>
      <c r="O530"/>
    </row>
    <row r="531" spans="2:15" x14ac:dyDescent="0.5">
      <c r="B531" s="91">
        <v>521</v>
      </c>
      <c r="C531" s="92">
        <v>55.39745191827555</v>
      </c>
      <c r="D531" s="92">
        <v>2291.8293045207138</v>
      </c>
      <c r="E531" s="91">
        <v>0</v>
      </c>
      <c r="N531"/>
      <c r="O531"/>
    </row>
    <row r="532" spans="2:15" x14ac:dyDescent="0.5">
      <c r="B532" s="91">
        <v>522</v>
      </c>
      <c r="C532" s="92">
        <v>47.940350422301847</v>
      </c>
      <c r="D532" s="92">
        <v>1364.1378223736426</v>
      </c>
      <c r="E532" s="91">
        <v>0</v>
      </c>
      <c r="N532"/>
      <c r="O532"/>
    </row>
    <row r="533" spans="2:15" x14ac:dyDescent="0.5">
      <c r="B533" s="91">
        <v>523</v>
      </c>
      <c r="C533" s="92">
        <v>54.273764711414699</v>
      </c>
      <c r="D533" s="92">
        <v>2152.5369608172882</v>
      </c>
      <c r="E533" s="91">
        <v>0</v>
      </c>
      <c r="N533"/>
      <c r="O533"/>
    </row>
    <row r="534" spans="2:15" x14ac:dyDescent="0.5">
      <c r="B534" s="91">
        <v>524</v>
      </c>
      <c r="C534" s="92">
        <v>108.9289493138983</v>
      </c>
      <c r="D534" s="92">
        <v>8850.7103975944647</v>
      </c>
      <c r="E534" s="91">
        <v>0</v>
      </c>
      <c r="N534"/>
      <c r="O534"/>
    </row>
    <row r="535" spans="2:15" x14ac:dyDescent="0.5">
      <c r="B535" s="91">
        <v>525</v>
      </c>
      <c r="C535" s="92">
        <v>27.998629377135124</v>
      </c>
      <c r="D535" s="92">
        <v>-1188.5606564756417</v>
      </c>
      <c r="E535" s="91">
        <v>1</v>
      </c>
      <c r="N535"/>
      <c r="O535"/>
    </row>
    <row r="536" spans="2:15" x14ac:dyDescent="0.5">
      <c r="B536" s="91">
        <v>526</v>
      </c>
      <c r="C536" s="92">
        <v>79.996641606798519</v>
      </c>
      <c r="D536" s="92">
        <v>5307.6234791833122</v>
      </c>
      <c r="E536" s="91">
        <v>0</v>
      </c>
      <c r="N536"/>
      <c r="O536"/>
    </row>
    <row r="537" spans="2:15" x14ac:dyDescent="0.5">
      <c r="B537" s="91">
        <v>527</v>
      </c>
      <c r="C537" s="92">
        <v>61.374975454287707</v>
      </c>
      <c r="D537" s="92">
        <v>3027.1907390120073</v>
      </c>
      <c r="E537" s="91">
        <v>0</v>
      </c>
      <c r="N537"/>
      <c r="O537"/>
    </row>
    <row r="538" spans="2:15" x14ac:dyDescent="0.5">
      <c r="B538" s="91">
        <v>528</v>
      </c>
      <c r="C538" s="92">
        <v>84.559775641838954</v>
      </c>
      <c r="D538" s="92">
        <v>5866.4306324247045</v>
      </c>
      <c r="E538" s="91">
        <v>0</v>
      </c>
      <c r="N538"/>
      <c r="O538"/>
    </row>
    <row r="539" spans="2:15" x14ac:dyDescent="0.5">
      <c r="B539" s="91">
        <v>529</v>
      </c>
      <c r="C539" s="92">
        <v>52.041269112015549</v>
      </c>
      <c r="D539" s="92">
        <v>1875.0613579625563</v>
      </c>
      <c r="E539" s="91">
        <v>0</v>
      </c>
      <c r="N539"/>
      <c r="O539"/>
    </row>
    <row r="540" spans="2:15" x14ac:dyDescent="0.5">
      <c r="B540" s="91">
        <v>530</v>
      </c>
      <c r="C540" s="92">
        <v>80.13652378401909</v>
      </c>
      <c r="D540" s="92">
        <v>5324.7536271565223</v>
      </c>
      <c r="E540" s="91">
        <v>0</v>
      </c>
      <c r="N540"/>
      <c r="O540"/>
    </row>
    <row r="541" spans="2:15" x14ac:dyDescent="0.5">
      <c r="B541" s="91">
        <v>531</v>
      </c>
      <c r="C541" s="92">
        <v>80.378060442858938</v>
      </c>
      <c r="D541" s="92">
        <v>5354.3325112509356</v>
      </c>
      <c r="E541" s="91">
        <v>0</v>
      </c>
      <c r="N541"/>
      <c r="O541"/>
    </row>
    <row r="542" spans="2:15" x14ac:dyDescent="0.5">
      <c r="B542" s="91">
        <v>532</v>
      </c>
      <c r="C542" s="92">
        <v>188.87646744291993</v>
      </c>
      <c r="D542" s="92">
        <v>18605.755277616081</v>
      </c>
      <c r="E542" s="91">
        <v>0</v>
      </c>
      <c r="N542"/>
      <c r="O542"/>
    </row>
    <row r="543" spans="2:15" x14ac:dyDescent="0.5">
      <c r="B543" s="91">
        <v>533</v>
      </c>
      <c r="C543" s="92">
        <v>227.16683515270728</v>
      </c>
      <c r="D543" s="92">
        <v>23269.922751188511</v>
      </c>
      <c r="E543" s="91">
        <v>0</v>
      </c>
      <c r="N543"/>
      <c r="O543"/>
    </row>
    <row r="544" spans="2:15" x14ac:dyDescent="0.5">
      <c r="B544" s="91">
        <v>534</v>
      </c>
      <c r="C544" s="92">
        <v>64.850546776609917</v>
      </c>
      <c r="D544" s="92">
        <v>3452.8135897983962</v>
      </c>
      <c r="E544" s="91">
        <v>0</v>
      </c>
      <c r="N544"/>
      <c r="O544"/>
    </row>
    <row r="545" spans="2:15" x14ac:dyDescent="0.5">
      <c r="B545" s="91">
        <v>535</v>
      </c>
      <c r="C545" s="92">
        <v>65.893800273682615</v>
      </c>
      <c r="D545" s="92">
        <v>3580.5717297810529</v>
      </c>
      <c r="E545" s="91">
        <v>0</v>
      </c>
      <c r="N545"/>
      <c r="O545"/>
    </row>
    <row r="546" spans="2:15" x14ac:dyDescent="0.5">
      <c r="B546" s="91">
        <v>536</v>
      </c>
      <c r="C546" s="92">
        <v>76.156988096062747</v>
      </c>
      <c r="D546" s="92">
        <v>4837.4146640813988</v>
      </c>
      <c r="E546" s="91">
        <v>0</v>
      </c>
      <c r="N546"/>
      <c r="O546"/>
    </row>
    <row r="547" spans="2:15" x14ac:dyDescent="0.5">
      <c r="B547" s="91">
        <v>537</v>
      </c>
      <c r="C547" s="92">
        <v>122.38844103712015</v>
      </c>
      <c r="D547" s="92">
        <v>10498.976741772334</v>
      </c>
      <c r="E547" s="91">
        <v>0</v>
      </c>
      <c r="N547"/>
      <c r="O547"/>
    </row>
    <row r="548" spans="2:15" x14ac:dyDescent="0.5">
      <c r="B548" s="91">
        <v>538</v>
      </c>
      <c r="C548" s="92">
        <v>54.045554915266827</v>
      </c>
      <c r="D548" s="92">
        <v>2124.2480587389941</v>
      </c>
      <c r="E548" s="91">
        <v>0</v>
      </c>
      <c r="N548"/>
      <c r="O548"/>
    </row>
    <row r="549" spans="2:15" x14ac:dyDescent="0.5">
      <c r="B549" s="91">
        <v>539</v>
      </c>
      <c r="C549" s="92">
        <v>52.525509941468982</v>
      </c>
      <c r="D549" s="92">
        <v>1935.3917510721378</v>
      </c>
      <c r="E549" s="91">
        <v>0</v>
      </c>
      <c r="N549"/>
      <c r="O549"/>
    </row>
    <row r="550" spans="2:15" x14ac:dyDescent="0.5">
      <c r="B550" s="91">
        <v>540</v>
      </c>
      <c r="C550" s="92">
        <v>59.321976973508221</v>
      </c>
      <c r="D550" s="92">
        <v>2775.7779538858904</v>
      </c>
      <c r="E550" s="91">
        <v>0</v>
      </c>
      <c r="N550"/>
      <c r="O550"/>
    </row>
    <row r="551" spans="2:15" x14ac:dyDescent="0.5">
      <c r="B551" s="91">
        <v>541</v>
      </c>
      <c r="C551" s="92">
        <v>53.356501149867363</v>
      </c>
      <c r="D551" s="92">
        <v>2038.8329064313584</v>
      </c>
      <c r="E551" s="91">
        <v>0</v>
      </c>
      <c r="N551"/>
      <c r="O551"/>
    </row>
    <row r="552" spans="2:15" x14ac:dyDescent="0.5">
      <c r="B552" s="91">
        <v>542</v>
      </c>
      <c r="C552" s="92">
        <v>56.080355188102367</v>
      </c>
      <c r="D552" s="92">
        <v>2376.482040972744</v>
      </c>
      <c r="E552" s="91">
        <v>0</v>
      </c>
      <c r="N552"/>
      <c r="O552"/>
    </row>
    <row r="553" spans="2:15" x14ac:dyDescent="0.5">
      <c r="B553" s="91">
        <v>543</v>
      </c>
      <c r="C553" s="92">
        <v>42.810532379541463</v>
      </c>
      <c r="D553" s="92">
        <v>720.8005667902396</v>
      </c>
      <c r="E553" s="91">
        <v>0</v>
      </c>
      <c r="N553"/>
      <c r="O553"/>
    </row>
    <row r="554" spans="2:15" x14ac:dyDescent="0.5">
      <c r="B554" s="91">
        <v>544</v>
      </c>
      <c r="C554" s="92">
        <v>101.26603552838128</v>
      </c>
      <c r="D554" s="92">
        <v>7912.3003037561757</v>
      </c>
      <c r="E554" s="91">
        <v>0</v>
      </c>
      <c r="N554"/>
      <c r="O554"/>
    </row>
    <row r="555" spans="2:15" x14ac:dyDescent="0.5">
      <c r="B555" s="91">
        <v>545</v>
      </c>
      <c r="C555" s="92">
        <v>72.543185620848035</v>
      </c>
      <c r="D555" s="92">
        <v>4394.8638518448388</v>
      </c>
      <c r="E555" s="91">
        <v>0</v>
      </c>
      <c r="N555"/>
      <c r="O555"/>
    </row>
    <row r="556" spans="2:15" x14ac:dyDescent="0.5">
      <c r="B556" s="91">
        <v>546</v>
      </c>
      <c r="C556" s="92">
        <v>92.46381327881079</v>
      </c>
      <c r="D556" s="92">
        <v>6834.3690574440207</v>
      </c>
      <c r="E556" s="91">
        <v>0</v>
      </c>
      <c r="N556"/>
      <c r="O556"/>
    </row>
    <row r="557" spans="2:15" x14ac:dyDescent="0.5">
      <c r="B557" s="91">
        <v>547</v>
      </c>
      <c r="C557" s="92">
        <v>82.340983255570279</v>
      </c>
      <c r="D557" s="92">
        <v>5594.7145163773957</v>
      </c>
      <c r="E557" s="91">
        <v>0</v>
      </c>
      <c r="N557"/>
      <c r="O557"/>
    </row>
    <row r="558" spans="2:15" x14ac:dyDescent="0.5">
      <c r="B558" s="91">
        <v>548</v>
      </c>
      <c r="C558" s="92">
        <v>118.16432655431331</v>
      </c>
      <c r="D558" s="92">
        <v>9981.6863507873368</v>
      </c>
      <c r="E558" s="91">
        <v>0</v>
      </c>
      <c r="N558"/>
      <c r="O558"/>
    </row>
    <row r="559" spans="2:15" x14ac:dyDescent="0.5">
      <c r="B559" s="91">
        <v>549</v>
      </c>
      <c r="C559" s="92">
        <v>101.60846133750783</v>
      </c>
      <c r="D559" s="92">
        <v>7954.234200530851</v>
      </c>
      <c r="E559" s="91">
        <v>0</v>
      </c>
      <c r="N559"/>
      <c r="O559"/>
    </row>
    <row r="560" spans="2:15" x14ac:dyDescent="0.5">
      <c r="B560" s="91">
        <v>550</v>
      </c>
      <c r="C560" s="92">
        <v>93.52271107206802</v>
      </c>
      <c r="D560" s="92">
        <v>6964.0430176827158</v>
      </c>
      <c r="E560" s="91">
        <v>0</v>
      </c>
      <c r="N560"/>
      <c r="O560"/>
    </row>
    <row r="561" spans="2:15" x14ac:dyDescent="0.5">
      <c r="B561" s="91">
        <v>551</v>
      </c>
      <c r="C561" s="92">
        <v>62.521961054183372</v>
      </c>
      <c r="D561" s="92">
        <v>3167.6520432307198</v>
      </c>
      <c r="E561" s="91">
        <v>0</v>
      </c>
      <c r="N561"/>
      <c r="O561"/>
    </row>
    <row r="562" spans="2:15" x14ac:dyDescent="0.5">
      <c r="B562" s="91">
        <v>552</v>
      </c>
      <c r="C562" s="92">
        <v>74.14371610735374</v>
      </c>
      <c r="D562" s="92">
        <v>4590.866835314594</v>
      </c>
      <c r="E562" s="91">
        <v>0</v>
      </c>
      <c r="N562"/>
      <c r="O562"/>
    </row>
    <row r="563" spans="2:15" x14ac:dyDescent="0.5">
      <c r="B563" s="91">
        <v>553</v>
      </c>
      <c r="C563" s="92">
        <v>104.15665659121866</v>
      </c>
      <c r="D563" s="92">
        <v>8266.2894074773976</v>
      </c>
      <c r="E563" s="91">
        <v>0</v>
      </c>
      <c r="N563"/>
      <c r="O563"/>
    </row>
    <row r="564" spans="2:15" x14ac:dyDescent="0.5">
      <c r="B564" s="91">
        <v>554</v>
      </c>
      <c r="C564" s="92">
        <v>49.112275351409764</v>
      </c>
      <c r="D564" s="92">
        <v>1510.1451133073738</v>
      </c>
      <c r="E564" s="91">
        <v>0</v>
      </c>
      <c r="N564"/>
      <c r="O564"/>
    </row>
    <row r="565" spans="2:15" x14ac:dyDescent="0.5">
      <c r="B565" s="91">
        <v>555</v>
      </c>
      <c r="C565" s="92">
        <v>50.277682025513052</v>
      </c>
      <c r="D565" s="92">
        <v>1655.3403106238411</v>
      </c>
      <c r="E565" s="91">
        <v>0</v>
      </c>
      <c r="N565"/>
      <c r="O565"/>
    </row>
    <row r="566" spans="2:15" x14ac:dyDescent="0.5">
      <c r="B566" s="91">
        <v>556</v>
      </c>
      <c r="C566" s="92">
        <v>51.543620443388576</v>
      </c>
      <c r="D566" s="92">
        <v>1813.0605146164619</v>
      </c>
      <c r="E566" s="91">
        <v>0</v>
      </c>
      <c r="N566"/>
      <c r="O566"/>
    </row>
    <row r="567" spans="2:15" x14ac:dyDescent="0.5">
      <c r="B567" s="91">
        <v>557</v>
      </c>
      <c r="C567" s="92">
        <v>37.395669904730688</v>
      </c>
      <c r="D567" s="92">
        <v>36.018463299933856</v>
      </c>
      <c r="E567" s="91">
        <v>0</v>
      </c>
      <c r="N567"/>
      <c r="O567"/>
    </row>
    <row r="568" spans="2:15" x14ac:dyDescent="0.5">
      <c r="B568" s="91">
        <v>558</v>
      </c>
      <c r="C568" s="92">
        <v>27.772980473665921</v>
      </c>
      <c r="D568" s="92">
        <v>-1218.7497111950188</v>
      </c>
      <c r="E568" s="91">
        <v>1</v>
      </c>
      <c r="N568"/>
      <c r="O568"/>
    </row>
    <row r="569" spans="2:15" x14ac:dyDescent="0.5">
      <c r="B569" s="91">
        <v>559</v>
      </c>
      <c r="C569" s="92">
        <v>29.663970698495209</v>
      </c>
      <c r="D569" s="92">
        <v>-965.97188895692989</v>
      </c>
      <c r="E569" s="91">
        <v>1</v>
      </c>
      <c r="N569"/>
      <c r="O569"/>
    </row>
    <row r="570" spans="2:15" x14ac:dyDescent="0.5">
      <c r="B570" s="91">
        <v>560</v>
      </c>
      <c r="C570" s="92">
        <v>61.526309586168615</v>
      </c>
      <c r="D570" s="92">
        <v>3045.7233078068839</v>
      </c>
      <c r="E570" s="91">
        <v>0</v>
      </c>
      <c r="N570"/>
      <c r="O570"/>
    </row>
    <row r="571" spans="2:15" x14ac:dyDescent="0.5">
      <c r="B571" s="91">
        <v>561</v>
      </c>
      <c r="C571" s="92">
        <v>127.70999276413546</v>
      </c>
      <c r="D571" s="92">
        <v>11150.660682801676</v>
      </c>
      <c r="E571" s="91">
        <v>0</v>
      </c>
      <c r="N571"/>
      <c r="O571"/>
    </row>
    <row r="572" spans="2:15" x14ac:dyDescent="0.5">
      <c r="B572" s="91">
        <v>562</v>
      </c>
      <c r="C572" s="92">
        <v>42.808568548172012</v>
      </c>
      <c r="D572" s="92">
        <v>720.55271493626708</v>
      </c>
      <c r="E572" s="91">
        <v>0</v>
      </c>
      <c r="N572"/>
      <c r="O572"/>
    </row>
    <row r="573" spans="2:15" x14ac:dyDescent="0.5">
      <c r="B573" s="91">
        <v>563</v>
      </c>
      <c r="C573" s="92">
        <v>55.100145804870976</v>
      </c>
      <c r="D573" s="92">
        <v>2254.9752181872313</v>
      </c>
      <c r="E573" s="91">
        <v>0</v>
      </c>
      <c r="N573"/>
      <c r="O573"/>
    </row>
    <row r="574" spans="2:15" x14ac:dyDescent="0.5">
      <c r="B574" s="91">
        <v>564</v>
      </c>
      <c r="C574" s="92">
        <v>43.581481473464379</v>
      </c>
      <c r="D574" s="92">
        <v>817.95548530389112</v>
      </c>
      <c r="E574" s="91">
        <v>0</v>
      </c>
      <c r="N574"/>
      <c r="O574"/>
    </row>
    <row r="575" spans="2:15" x14ac:dyDescent="0.5">
      <c r="B575" s="91">
        <v>565</v>
      </c>
      <c r="C575" s="92">
        <v>29.58402430391299</v>
      </c>
      <c r="D575" s="92">
        <v>-976.55066089733805</v>
      </c>
      <c r="E575" s="91">
        <v>1</v>
      </c>
      <c r="N575"/>
      <c r="O575"/>
    </row>
    <row r="576" spans="2:15" x14ac:dyDescent="0.5">
      <c r="B576" s="91">
        <v>566</v>
      </c>
      <c r="C576" s="92">
        <v>48.298905968863053</v>
      </c>
      <c r="D576" s="92">
        <v>1408.809390238076</v>
      </c>
      <c r="E576" s="91">
        <v>0</v>
      </c>
      <c r="N576"/>
      <c r="O576"/>
    </row>
    <row r="577" spans="2:15" x14ac:dyDescent="0.5">
      <c r="B577" s="91">
        <v>567</v>
      </c>
      <c r="C577" s="92">
        <v>150.13468117604458</v>
      </c>
      <c r="D577" s="92">
        <v>13886.600299956574</v>
      </c>
      <c r="E577" s="91">
        <v>0</v>
      </c>
      <c r="N577"/>
      <c r="O577"/>
    </row>
    <row r="578" spans="2:15" x14ac:dyDescent="0.5">
      <c r="B578" s="91">
        <v>568</v>
      </c>
      <c r="C578" s="92">
        <v>50.173967740526805</v>
      </c>
      <c r="D578" s="92">
        <v>1642.4187988393808</v>
      </c>
      <c r="E578" s="91">
        <v>0</v>
      </c>
      <c r="N578"/>
      <c r="O578"/>
    </row>
    <row r="579" spans="2:15" x14ac:dyDescent="0.5">
      <c r="B579" s="91">
        <v>569</v>
      </c>
      <c r="C579" s="92">
        <v>65.717423062699481</v>
      </c>
      <c r="D579" s="92">
        <v>3558.9723539114666</v>
      </c>
      <c r="E579" s="91">
        <v>0</v>
      </c>
      <c r="N579"/>
      <c r="O579"/>
    </row>
    <row r="580" spans="2:15" x14ac:dyDescent="0.5">
      <c r="B580" s="91">
        <v>570</v>
      </c>
      <c r="C580" s="92">
        <v>31.173377923888896</v>
      </c>
      <c r="D580" s="92">
        <v>-767.70967695187687</v>
      </c>
      <c r="E580" s="91">
        <v>1</v>
      </c>
      <c r="N580"/>
      <c r="O580"/>
    </row>
    <row r="581" spans="2:15" x14ac:dyDescent="0.5">
      <c r="B581" s="91">
        <v>571</v>
      </c>
      <c r="C581" s="92">
        <v>82.436366362478509</v>
      </c>
      <c r="D581" s="92">
        <v>5606.3952520361354</v>
      </c>
      <c r="E581" s="91">
        <v>0</v>
      </c>
      <c r="N581"/>
      <c r="O581"/>
    </row>
    <row r="582" spans="2:15" x14ac:dyDescent="0.5">
      <c r="B582" s="91">
        <v>572</v>
      </c>
      <c r="C582" s="92">
        <v>121.72415417361628</v>
      </c>
      <c r="D582" s="92">
        <v>10417.627334045163</v>
      </c>
      <c r="E582" s="91">
        <v>0</v>
      </c>
      <c r="N582"/>
      <c r="O582"/>
    </row>
    <row r="583" spans="2:15" x14ac:dyDescent="0.5">
      <c r="B583" s="91">
        <v>573</v>
      </c>
      <c r="C583" s="92">
        <v>123.94457774087773</v>
      </c>
      <c r="D583" s="92">
        <v>10689.543206575625</v>
      </c>
      <c r="E583" s="91">
        <v>0</v>
      </c>
      <c r="N583"/>
      <c r="O583"/>
    </row>
    <row r="584" spans="2:15" x14ac:dyDescent="0.5">
      <c r="B584" s="91">
        <v>574</v>
      </c>
      <c r="C584" s="92">
        <v>100.85940196442529</v>
      </c>
      <c r="D584" s="92">
        <v>7862.5034442859633</v>
      </c>
      <c r="E584" s="91">
        <v>0</v>
      </c>
      <c r="N584"/>
      <c r="O584"/>
    </row>
    <row r="585" spans="2:15" x14ac:dyDescent="0.5">
      <c r="B585" s="91">
        <v>575</v>
      </c>
      <c r="C585" s="92">
        <v>95.017090092459355</v>
      </c>
      <c r="D585" s="92">
        <v>7147.0465586341797</v>
      </c>
      <c r="E585" s="91">
        <v>0</v>
      </c>
      <c r="N585"/>
      <c r="O585"/>
    </row>
    <row r="586" spans="2:15" x14ac:dyDescent="0.5">
      <c r="B586" s="91">
        <v>576</v>
      </c>
      <c r="C586" s="92">
        <v>120.53561251174929</v>
      </c>
      <c r="D586" s="92">
        <v>10272.077022027908</v>
      </c>
      <c r="E586" s="91">
        <v>0</v>
      </c>
      <c r="N586"/>
      <c r="O586"/>
    </row>
    <row r="587" spans="2:15" x14ac:dyDescent="0.5">
      <c r="B587" s="91">
        <v>577</v>
      </c>
      <c r="C587" s="92">
        <v>25.319370969216347</v>
      </c>
      <c r="D587" s="92">
        <v>-1553.1902933706513</v>
      </c>
      <c r="E587" s="91">
        <v>1</v>
      </c>
      <c r="N587"/>
      <c r="O587"/>
    </row>
    <row r="588" spans="2:15" x14ac:dyDescent="0.5">
      <c r="B588" s="91">
        <v>578</v>
      </c>
      <c r="C588" s="92">
        <v>19.737677052011026</v>
      </c>
      <c r="D588" s="92">
        <v>-2542.9584817918303</v>
      </c>
      <c r="E588" s="91">
        <v>1</v>
      </c>
      <c r="N588"/>
      <c r="O588"/>
    </row>
    <row r="589" spans="2:15" x14ac:dyDescent="0.5">
      <c r="B589" s="91">
        <v>579</v>
      </c>
      <c r="C589" s="92">
        <v>41.964962435033684</v>
      </c>
      <c r="D589" s="92">
        <v>614.08260634354565</v>
      </c>
      <c r="E589" s="91">
        <v>0</v>
      </c>
      <c r="N589"/>
      <c r="O589"/>
    </row>
    <row r="590" spans="2:15" x14ac:dyDescent="0.5">
      <c r="B590" s="91">
        <v>580</v>
      </c>
      <c r="C590" s="92">
        <v>61.995642374963779</v>
      </c>
      <c r="D590" s="92">
        <v>3103.1983934860514</v>
      </c>
      <c r="E590" s="91">
        <v>0</v>
      </c>
      <c r="N590"/>
      <c r="O590"/>
    </row>
    <row r="591" spans="2:15" x14ac:dyDescent="0.5">
      <c r="B591" s="91">
        <v>581</v>
      </c>
      <c r="C591" s="92">
        <v>38.830031944093314</v>
      </c>
      <c r="D591" s="92">
        <v>218.42830203870545</v>
      </c>
      <c r="E591" s="91">
        <v>0</v>
      </c>
      <c r="N591"/>
      <c r="O591"/>
    </row>
    <row r="592" spans="2:15" x14ac:dyDescent="0.5">
      <c r="B592" s="91">
        <v>582</v>
      </c>
      <c r="C592" s="92">
        <v>108.36665644764962</v>
      </c>
      <c r="D592" s="92">
        <v>8781.8513035017877</v>
      </c>
      <c r="E592" s="91">
        <v>0</v>
      </c>
      <c r="N592"/>
      <c r="O592"/>
    </row>
    <row r="593" spans="2:15" x14ac:dyDescent="0.5">
      <c r="B593" s="91">
        <v>583</v>
      </c>
      <c r="C593" s="92">
        <v>44.604777222675139</v>
      </c>
      <c r="D593" s="92">
        <v>946.20844567204927</v>
      </c>
      <c r="E593" s="91">
        <v>0</v>
      </c>
      <c r="N593"/>
      <c r="O593"/>
    </row>
    <row r="594" spans="2:15" x14ac:dyDescent="0.5">
      <c r="B594" s="91">
        <v>584</v>
      </c>
      <c r="C594" s="92">
        <v>59.936766395305263</v>
      </c>
      <c r="D594" s="92">
        <v>2851.0658424289863</v>
      </c>
      <c r="E594" s="91">
        <v>0</v>
      </c>
      <c r="N594"/>
      <c r="O594"/>
    </row>
    <row r="595" spans="2:15" x14ac:dyDescent="0.5">
      <c r="B595" s="91">
        <v>585</v>
      </c>
      <c r="C595" s="92">
        <v>28.041686821911579</v>
      </c>
      <c r="D595" s="92">
        <v>-1182.8000986513027</v>
      </c>
      <c r="E595" s="91">
        <v>1</v>
      </c>
      <c r="N595"/>
      <c r="O595"/>
    </row>
    <row r="596" spans="2:15" x14ac:dyDescent="0.5">
      <c r="B596" s="91">
        <v>586</v>
      </c>
      <c r="C596" s="92">
        <v>58.259107858809564</v>
      </c>
      <c r="D596" s="92">
        <v>2645.6176606111198</v>
      </c>
      <c r="E596" s="91">
        <v>0</v>
      </c>
      <c r="N596"/>
      <c r="O596"/>
    </row>
    <row r="597" spans="2:15" x14ac:dyDescent="0.5">
      <c r="B597" s="91">
        <v>587</v>
      </c>
      <c r="C597" s="92">
        <v>71.58448477535859</v>
      </c>
      <c r="D597" s="92">
        <v>4277.4601362922804</v>
      </c>
      <c r="E597" s="91">
        <v>0</v>
      </c>
      <c r="N597"/>
      <c r="O597"/>
    </row>
    <row r="598" spans="2:15" x14ac:dyDescent="0.5">
      <c r="B598" s="91">
        <v>588</v>
      </c>
      <c r="C598" s="92">
        <v>64.857591978449634</v>
      </c>
      <c r="D598" s="92">
        <v>3453.6763541077125</v>
      </c>
      <c r="E598" s="91">
        <v>0</v>
      </c>
      <c r="N598"/>
      <c r="O598"/>
    </row>
    <row r="599" spans="2:15" x14ac:dyDescent="0.5">
      <c r="B599" s="91">
        <v>589</v>
      </c>
      <c r="C599" s="92">
        <v>44.79091428869711</v>
      </c>
      <c r="D599" s="92">
        <v>969.53760517454225</v>
      </c>
      <c r="E599" s="91">
        <v>0</v>
      </c>
      <c r="N599"/>
      <c r="O599"/>
    </row>
    <row r="600" spans="2:15" x14ac:dyDescent="0.5">
      <c r="B600" s="91">
        <v>590</v>
      </c>
      <c r="C600" s="92">
        <v>45.966238633090413</v>
      </c>
      <c r="D600" s="92">
        <v>1116.8448002620487</v>
      </c>
      <c r="E600" s="91">
        <v>0</v>
      </c>
      <c r="N600"/>
      <c r="O600"/>
    </row>
    <row r="601" spans="2:15" x14ac:dyDescent="0.5">
      <c r="B601" s="91">
        <v>591</v>
      </c>
      <c r="C601" s="92">
        <v>61.777406885391322</v>
      </c>
      <c r="D601" s="92">
        <v>3076.4729999894412</v>
      </c>
      <c r="E601" s="91">
        <v>0</v>
      </c>
      <c r="N601"/>
      <c r="O601"/>
    </row>
    <row r="602" spans="2:15" x14ac:dyDescent="0.5">
      <c r="B602" s="91">
        <v>592</v>
      </c>
      <c r="C602" s="92">
        <v>43.647114806957354</v>
      </c>
      <c r="D602" s="92">
        <v>826.1815229140318</v>
      </c>
      <c r="E602" s="91">
        <v>0</v>
      </c>
      <c r="N602"/>
      <c r="O602"/>
    </row>
    <row r="603" spans="2:15" x14ac:dyDescent="0.5">
      <c r="B603" s="91">
        <v>593</v>
      </c>
      <c r="C603" s="92">
        <v>48.217748688288623</v>
      </c>
      <c r="D603" s="92">
        <v>1398.6982010467671</v>
      </c>
      <c r="E603" s="91">
        <v>0</v>
      </c>
      <c r="N603"/>
      <c r="O603"/>
    </row>
    <row r="604" spans="2:15" x14ac:dyDescent="0.5">
      <c r="B604" s="91">
        <v>594</v>
      </c>
      <c r="C604" s="92">
        <v>82.978899873469857</v>
      </c>
      <c r="D604" s="92">
        <v>5672.8345905449496</v>
      </c>
      <c r="E604" s="91">
        <v>0</v>
      </c>
      <c r="N604"/>
      <c r="O604"/>
    </row>
    <row r="605" spans="2:15" x14ac:dyDescent="0.5">
      <c r="B605" s="91">
        <v>595</v>
      </c>
      <c r="C605" s="92">
        <v>57.581042292256825</v>
      </c>
      <c r="D605" s="92">
        <v>2562.5073179598721</v>
      </c>
      <c r="E605" s="91">
        <v>0</v>
      </c>
      <c r="N605"/>
      <c r="O605"/>
    </row>
    <row r="606" spans="2:15" x14ac:dyDescent="0.5">
      <c r="B606" s="91">
        <v>596</v>
      </c>
      <c r="C606" s="92">
        <v>50.58978175686704</v>
      </c>
      <c r="D606" s="92">
        <v>1694.2240608917259</v>
      </c>
      <c r="E606" s="91">
        <v>0</v>
      </c>
      <c r="N606"/>
      <c r="O606"/>
    </row>
    <row r="607" spans="2:15" x14ac:dyDescent="0.5">
      <c r="B607" s="91">
        <v>597</v>
      </c>
      <c r="C607" s="92">
        <v>39.272614525812585</v>
      </c>
      <c r="D607" s="92">
        <v>274.2859052530759</v>
      </c>
      <c r="E607" s="91">
        <v>0</v>
      </c>
      <c r="N607"/>
      <c r="O607"/>
    </row>
    <row r="608" spans="2:15" x14ac:dyDescent="0.5">
      <c r="B608" s="91">
        <v>598</v>
      </c>
      <c r="C608" s="92">
        <v>139.66030141215219</v>
      </c>
      <c r="D608" s="92">
        <v>12610.711236397005</v>
      </c>
      <c r="E608" s="91">
        <v>0</v>
      </c>
      <c r="N608"/>
      <c r="O608"/>
    </row>
    <row r="609" spans="2:15" x14ac:dyDescent="0.5">
      <c r="B609" s="91">
        <v>599</v>
      </c>
      <c r="C609" s="92">
        <v>55.963859222896019</v>
      </c>
      <c r="D609" s="92">
        <v>2362.0411930868659</v>
      </c>
      <c r="E609" s="91">
        <v>0</v>
      </c>
      <c r="N609"/>
      <c r="O609"/>
    </row>
    <row r="610" spans="2:15" x14ac:dyDescent="0.5">
      <c r="B610" s="91">
        <v>600</v>
      </c>
      <c r="C610" s="92">
        <v>84.068119919294944</v>
      </c>
      <c r="D610" s="92">
        <v>5806.2218521040068</v>
      </c>
      <c r="E610" s="91">
        <v>0</v>
      </c>
      <c r="N610"/>
      <c r="O610"/>
    </row>
    <row r="611" spans="2:15" x14ac:dyDescent="0.5">
      <c r="B611" s="91">
        <v>601</v>
      </c>
      <c r="C611" s="92">
        <v>175.06661586127444</v>
      </c>
      <c r="D611" s="92">
        <v>16923.570842873502</v>
      </c>
      <c r="E611" s="91">
        <v>0</v>
      </c>
      <c r="N611"/>
      <c r="O611"/>
    </row>
    <row r="612" spans="2:15" x14ac:dyDescent="0.5">
      <c r="B612" s="91">
        <v>602</v>
      </c>
      <c r="C612" s="92">
        <v>104.90789694887796</v>
      </c>
      <c r="D612" s="92">
        <v>8358.2872498462602</v>
      </c>
      <c r="E612" s="91">
        <v>0</v>
      </c>
      <c r="N612"/>
      <c r="O612"/>
    </row>
    <row r="613" spans="2:15" x14ac:dyDescent="0.5">
      <c r="B613" s="91">
        <v>603</v>
      </c>
      <c r="C613" s="92">
        <v>96.166163193518415</v>
      </c>
      <c r="D613" s="92">
        <v>7287.7635008800789</v>
      </c>
      <c r="E613" s="91">
        <v>0</v>
      </c>
      <c r="N613"/>
      <c r="O613"/>
    </row>
    <row r="614" spans="2:15" x14ac:dyDescent="0.5">
      <c r="B614" s="91">
        <v>604</v>
      </c>
      <c r="C614" s="92">
        <v>136.71377829883045</v>
      </c>
      <c r="D614" s="92">
        <v>12251.793887536662</v>
      </c>
      <c r="E614" s="91">
        <v>0</v>
      </c>
      <c r="N614"/>
      <c r="O614"/>
    </row>
    <row r="615" spans="2:15" x14ac:dyDescent="0.5">
      <c r="B615" s="91">
        <v>605</v>
      </c>
      <c r="C615" s="92">
        <v>112.67642140774971</v>
      </c>
      <c r="D615" s="92">
        <v>9309.6305600389442</v>
      </c>
      <c r="E615" s="91">
        <v>0</v>
      </c>
      <c r="N615"/>
      <c r="O615"/>
    </row>
    <row r="616" spans="2:15" x14ac:dyDescent="0.5">
      <c r="B616" s="91">
        <v>606</v>
      </c>
      <c r="C616" s="92">
        <v>81.972681270668957</v>
      </c>
      <c r="D616" s="92">
        <v>5549.6117904580087</v>
      </c>
      <c r="E616" s="91">
        <v>0</v>
      </c>
      <c r="N616"/>
      <c r="O616"/>
    </row>
    <row r="617" spans="2:15" x14ac:dyDescent="0.5">
      <c r="B617" s="91">
        <v>607</v>
      </c>
      <c r="C617" s="92">
        <v>36.52948256791143</v>
      </c>
      <c r="D617" s="92">
        <v>-75.238625558631128</v>
      </c>
      <c r="E617" s="91">
        <v>1</v>
      </c>
      <c r="N617"/>
      <c r="O617"/>
    </row>
    <row r="618" spans="2:15" x14ac:dyDescent="0.5">
      <c r="B618" s="91">
        <v>608</v>
      </c>
      <c r="C618" s="92">
        <v>45.949303882500686</v>
      </c>
      <c r="D618" s="92">
        <v>1114.7223132900231</v>
      </c>
      <c r="E618" s="91">
        <v>0</v>
      </c>
      <c r="N618"/>
      <c r="O618"/>
    </row>
    <row r="619" spans="2:15" x14ac:dyDescent="0.5">
      <c r="B619" s="91">
        <v>609</v>
      </c>
      <c r="C619" s="92">
        <v>56.7557627590568</v>
      </c>
      <c r="D619" s="92">
        <v>2460.205610075307</v>
      </c>
      <c r="E619" s="91">
        <v>0</v>
      </c>
      <c r="N619"/>
      <c r="O619"/>
    </row>
    <row r="620" spans="2:15" x14ac:dyDescent="0.5">
      <c r="B620" s="91">
        <v>610</v>
      </c>
      <c r="C620" s="92">
        <v>140.17873905826704</v>
      </c>
      <c r="D620" s="92">
        <v>12673.862366843481</v>
      </c>
      <c r="E620" s="91">
        <v>0</v>
      </c>
      <c r="N620"/>
      <c r="O620"/>
    </row>
    <row r="621" spans="2:15" x14ac:dyDescent="0.5">
      <c r="B621" s="91">
        <v>611</v>
      </c>
      <c r="C621" s="92">
        <v>50.773815406642981</v>
      </c>
      <c r="D621" s="92">
        <v>1717.1523679675779</v>
      </c>
      <c r="E621" s="91">
        <v>0</v>
      </c>
      <c r="N621"/>
      <c r="O621"/>
    </row>
    <row r="622" spans="2:15" x14ac:dyDescent="0.5">
      <c r="B622" s="91">
        <v>612</v>
      </c>
      <c r="C622" s="92">
        <v>79.519395692214474</v>
      </c>
      <c r="D622" s="92">
        <v>5249.1793421325738</v>
      </c>
      <c r="E622" s="91">
        <v>0</v>
      </c>
      <c r="N622"/>
      <c r="O622"/>
    </row>
    <row r="623" spans="2:15" x14ac:dyDescent="0.5">
      <c r="B623" s="91">
        <v>613</v>
      </c>
      <c r="C623" s="92">
        <v>40.753069557117072</v>
      </c>
      <c r="D623" s="92">
        <v>461.13164462692504</v>
      </c>
      <c r="E623" s="91">
        <v>0</v>
      </c>
      <c r="N623"/>
      <c r="O623"/>
    </row>
    <row r="624" spans="2:15" x14ac:dyDescent="0.5">
      <c r="B624" s="91">
        <v>614</v>
      </c>
      <c r="C624" s="92">
        <v>28.439430636399891</v>
      </c>
      <c r="D624" s="92">
        <v>-1129.5868563298297</v>
      </c>
      <c r="E624" s="91">
        <v>1</v>
      </c>
      <c r="N624"/>
      <c r="O624"/>
    </row>
    <row r="625" spans="2:15" x14ac:dyDescent="0.5">
      <c r="B625" s="91">
        <v>615</v>
      </c>
      <c r="C625" s="92">
        <v>104.17392832752725</v>
      </c>
      <c r="D625" s="92">
        <v>8268.4045261050833</v>
      </c>
      <c r="E625" s="91">
        <v>0</v>
      </c>
      <c r="N625"/>
      <c r="O625"/>
    </row>
    <row r="626" spans="2:15" x14ac:dyDescent="0.5">
      <c r="B626" s="91">
        <v>616</v>
      </c>
      <c r="C626" s="92">
        <v>73.654298653869944</v>
      </c>
      <c r="D626" s="92">
        <v>4530.9321562480136</v>
      </c>
      <c r="E626" s="91">
        <v>0</v>
      </c>
      <c r="N626"/>
      <c r="O626"/>
    </row>
    <row r="627" spans="2:15" x14ac:dyDescent="0.5">
      <c r="B627" s="91">
        <v>617</v>
      </c>
      <c r="C627" s="92">
        <v>23.183076775854634</v>
      </c>
      <c r="D627" s="92">
        <v>-1897.4849309177639</v>
      </c>
      <c r="E627" s="91">
        <v>1</v>
      </c>
      <c r="N627"/>
      <c r="O627"/>
    </row>
    <row r="628" spans="2:15" x14ac:dyDescent="0.5">
      <c r="B628" s="91">
        <v>618</v>
      </c>
      <c r="C628" s="92">
        <v>49.296635284330584</v>
      </c>
      <c r="D628" s="92">
        <v>1533.1140712106608</v>
      </c>
      <c r="E628" s="91">
        <v>0</v>
      </c>
      <c r="N628"/>
      <c r="O628"/>
    </row>
    <row r="629" spans="2:15" x14ac:dyDescent="0.5">
      <c r="B629" s="91">
        <v>619</v>
      </c>
      <c r="C629" s="92">
        <v>63.941810358320339</v>
      </c>
      <c r="D629" s="92">
        <v>3341.5285810627975</v>
      </c>
      <c r="E629" s="91">
        <v>0</v>
      </c>
      <c r="N629"/>
      <c r="O629"/>
    </row>
    <row r="630" spans="2:15" x14ac:dyDescent="0.5">
      <c r="B630" s="91">
        <v>620</v>
      </c>
      <c r="C630" s="92">
        <v>109.92944769601048</v>
      </c>
      <c r="D630" s="92">
        <v>8973.2326922361572</v>
      </c>
      <c r="E630" s="91">
        <v>0</v>
      </c>
      <c r="N630"/>
      <c r="O630"/>
    </row>
    <row r="631" spans="2:15" x14ac:dyDescent="0.5">
      <c r="B631" s="91">
        <v>621</v>
      </c>
      <c r="C631" s="92">
        <v>70.528533067356406</v>
      </c>
      <c r="D631" s="92">
        <v>4148.1469573722889</v>
      </c>
      <c r="E631" s="91">
        <v>0</v>
      </c>
      <c r="N631"/>
      <c r="O631"/>
    </row>
    <row r="632" spans="2:15" x14ac:dyDescent="0.5">
      <c r="B632" s="91">
        <v>622</v>
      </c>
      <c r="C632" s="92">
        <v>42.838245707267895</v>
      </c>
      <c r="D632" s="92">
        <v>724.29821926874251</v>
      </c>
      <c r="E632" s="91">
        <v>0</v>
      </c>
      <c r="N632"/>
      <c r="O632"/>
    </row>
    <row r="633" spans="2:15" x14ac:dyDescent="0.5">
      <c r="B633" s="91">
        <v>623</v>
      </c>
      <c r="C633" s="92">
        <v>92.731148697530884</v>
      </c>
      <c r="D633" s="92">
        <v>6867.1072902349952</v>
      </c>
      <c r="E633" s="91">
        <v>0</v>
      </c>
      <c r="N633"/>
      <c r="O633"/>
    </row>
    <row r="634" spans="2:15" x14ac:dyDescent="0.5">
      <c r="B634" s="91">
        <v>624</v>
      </c>
      <c r="C634" s="92">
        <v>64.784010530375838</v>
      </c>
      <c r="D634" s="92">
        <v>3444.665477106566</v>
      </c>
      <c r="E634" s="91">
        <v>0</v>
      </c>
      <c r="N634"/>
      <c r="O634"/>
    </row>
    <row r="635" spans="2:15" x14ac:dyDescent="0.5">
      <c r="B635" s="91">
        <v>625</v>
      </c>
      <c r="C635" s="92">
        <v>123.80809145588417</v>
      </c>
      <c r="D635" s="92">
        <v>10672.828923850626</v>
      </c>
      <c r="E635" s="91">
        <v>0</v>
      </c>
      <c r="N635"/>
      <c r="O635"/>
    </row>
    <row r="636" spans="2:15" x14ac:dyDescent="0.5">
      <c r="B636" s="91">
        <v>626</v>
      </c>
      <c r="C636" s="92">
        <v>105.0430147007216</v>
      </c>
      <c r="D636" s="92">
        <v>8374.8339402744441</v>
      </c>
      <c r="E636" s="91">
        <v>0</v>
      </c>
      <c r="N636"/>
      <c r="O636"/>
    </row>
    <row r="637" spans="2:15" x14ac:dyDescent="0.5">
      <c r="B637" s="91">
        <v>627</v>
      </c>
      <c r="C637" s="92">
        <v>63.329465372586284</v>
      </c>
      <c r="D637" s="92">
        <v>3266.5400412451936</v>
      </c>
      <c r="E637" s="91">
        <v>0</v>
      </c>
      <c r="N637"/>
      <c r="O637"/>
    </row>
    <row r="638" spans="2:15" x14ac:dyDescent="0.5">
      <c r="B638" s="91">
        <v>628</v>
      </c>
      <c r="C638" s="92">
        <v>61.905206369223528</v>
      </c>
      <c r="D638" s="92">
        <v>3092.123486080272</v>
      </c>
      <c r="E638" s="91">
        <v>0</v>
      </c>
      <c r="N638"/>
      <c r="O638"/>
    </row>
    <row r="639" spans="2:15" x14ac:dyDescent="0.5">
      <c r="B639" s="91">
        <v>629</v>
      </c>
      <c r="C639" s="92">
        <v>107.34050135009157</v>
      </c>
      <c r="D639" s="92">
        <v>8656.1870551042502</v>
      </c>
      <c r="E639" s="91">
        <v>0</v>
      </c>
      <c r="N639"/>
      <c r="O639"/>
    </row>
    <row r="640" spans="2:15" x14ac:dyDescent="0.5">
      <c r="B640" s="91">
        <v>630</v>
      </c>
      <c r="C640" s="92">
        <v>72.626053428768344</v>
      </c>
      <c r="D640" s="92">
        <v>4405.0119481934671</v>
      </c>
      <c r="E640" s="91">
        <v>0</v>
      </c>
      <c r="N640"/>
      <c r="O640"/>
    </row>
    <row r="641" spans="2:15" x14ac:dyDescent="0.5">
      <c r="B641" s="91">
        <v>631</v>
      </c>
      <c r="C641" s="92">
        <v>93.144570326169287</v>
      </c>
      <c r="D641" s="92">
        <v>6917.7354246736977</v>
      </c>
      <c r="E641" s="91">
        <v>0</v>
      </c>
      <c r="N641"/>
      <c r="O641"/>
    </row>
    <row r="642" spans="2:15" x14ac:dyDescent="0.5">
      <c r="B642" s="91">
        <v>632</v>
      </c>
      <c r="C642" s="92">
        <v>119.2186577603063</v>
      </c>
      <c r="D642" s="92">
        <v>10110.801080985981</v>
      </c>
      <c r="E642" s="91">
        <v>0</v>
      </c>
      <c r="N642"/>
      <c r="O642"/>
    </row>
    <row r="643" spans="2:15" x14ac:dyDescent="0.5">
      <c r="B643" s="91">
        <v>633</v>
      </c>
      <c r="C643" s="92">
        <v>66.774945593033038</v>
      </c>
      <c r="D643" s="92">
        <v>3688.4778977167548</v>
      </c>
      <c r="E643" s="91">
        <v>0</v>
      </c>
      <c r="N643"/>
      <c r="O643"/>
    </row>
    <row r="644" spans="2:15" x14ac:dyDescent="0.5">
      <c r="B644" s="91">
        <v>634</v>
      </c>
      <c r="C644" s="92">
        <v>98.033238773309492</v>
      </c>
      <c r="D644" s="92">
        <v>7516.4079328905746</v>
      </c>
      <c r="E644" s="91">
        <v>0</v>
      </c>
      <c r="N644"/>
      <c r="O644"/>
    </row>
    <row r="645" spans="2:15" x14ac:dyDescent="0.5">
      <c r="B645" s="91">
        <v>635</v>
      </c>
      <c r="C645" s="92">
        <v>131.12196097863688</v>
      </c>
      <c r="D645" s="92">
        <v>11568.494616728352</v>
      </c>
      <c r="E645" s="91">
        <v>0</v>
      </c>
      <c r="N645"/>
      <c r="O645"/>
    </row>
    <row r="646" spans="2:15" x14ac:dyDescent="0.5">
      <c r="B646" s="91">
        <v>636</v>
      </c>
      <c r="C646" s="92">
        <v>53.801606473015781</v>
      </c>
      <c r="D646" s="92">
        <v>2094.0081930036927</v>
      </c>
      <c r="E646" s="91">
        <v>0</v>
      </c>
      <c r="N646"/>
      <c r="O646"/>
    </row>
    <row r="647" spans="2:15" x14ac:dyDescent="0.5">
      <c r="B647" s="91">
        <v>637</v>
      </c>
      <c r="C647" s="92">
        <v>52.240974577889659</v>
      </c>
      <c r="D647" s="92">
        <v>1899.9421786812807</v>
      </c>
      <c r="E647" s="91">
        <v>0</v>
      </c>
      <c r="N647"/>
      <c r="O647"/>
    </row>
    <row r="648" spans="2:15" x14ac:dyDescent="0.5">
      <c r="B648" s="91">
        <v>638</v>
      </c>
      <c r="C648" s="92">
        <v>79.885498905791664</v>
      </c>
      <c r="D648" s="92">
        <v>5294.0128037404511</v>
      </c>
      <c r="E648" s="91">
        <v>0</v>
      </c>
      <c r="N648"/>
      <c r="O648"/>
    </row>
    <row r="649" spans="2:15" x14ac:dyDescent="0.5">
      <c r="B649" s="91">
        <v>639</v>
      </c>
      <c r="C649" s="92">
        <v>26.062191658497262</v>
      </c>
      <c r="D649" s="92">
        <v>-1451.194663379101</v>
      </c>
      <c r="E649" s="91">
        <v>1</v>
      </c>
      <c r="N649"/>
      <c r="O649"/>
    </row>
    <row r="650" spans="2:15" x14ac:dyDescent="0.5">
      <c r="B650" s="91">
        <v>640</v>
      </c>
      <c r="C650" s="92">
        <v>142.95077075029334</v>
      </c>
      <c r="D650" s="92">
        <v>13011.524834638383</v>
      </c>
      <c r="E650" s="91">
        <v>0</v>
      </c>
      <c r="N650"/>
      <c r="O650"/>
    </row>
    <row r="651" spans="2:15" x14ac:dyDescent="0.5">
      <c r="B651" s="91">
        <v>641</v>
      </c>
      <c r="C651" s="92">
        <v>127.6768700810984</v>
      </c>
      <c r="D651" s="92">
        <v>11146.604437231519</v>
      </c>
      <c r="E651" s="91">
        <v>0</v>
      </c>
      <c r="N651"/>
      <c r="O651"/>
    </row>
    <row r="652" spans="2:15" x14ac:dyDescent="0.5">
      <c r="B652" s="91">
        <v>642</v>
      </c>
      <c r="C652" s="92">
        <v>17.44126498355158</v>
      </c>
      <c r="D652" s="92">
        <v>-2973.1765612328404</v>
      </c>
      <c r="E652" s="91">
        <v>1</v>
      </c>
      <c r="N652"/>
      <c r="O652"/>
    </row>
    <row r="653" spans="2:15" x14ac:dyDescent="0.5">
      <c r="B653" s="91">
        <v>643</v>
      </c>
      <c r="C653" s="92">
        <v>115.47046398916771</v>
      </c>
      <c r="D653" s="92">
        <v>9651.7925410300631</v>
      </c>
      <c r="E653" s="91">
        <v>0</v>
      </c>
      <c r="N653"/>
      <c r="O653"/>
    </row>
    <row r="654" spans="2:15" x14ac:dyDescent="0.5">
      <c r="B654" s="91">
        <v>644</v>
      </c>
      <c r="C654" s="92">
        <v>31.598669157549452</v>
      </c>
      <c r="D654" s="92">
        <v>-712.59194257161153</v>
      </c>
      <c r="E654" s="91">
        <v>1</v>
      </c>
      <c r="N654"/>
      <c r="O654"/>
    </row>
    <row r="655" spans="2:15" x14ac:dyDescent="0.5">
      <c r="B655" s="91">
        <v>645</v>
      </c>
      <c r="C655" s="92">
        <v>41.903723405526776</v>
      </c>
      <c r="D655" s="92">
        <v>606.353731433598</v>
      </c>
      <c r="E655" s="91">
        <v>0</v>
      </c>
      <c r="N655"/>
      <c r="O655"/>
    </row>
    <row r="656" spans="2:15" x14ac:dyDescent="0.5">
      <c r="B656" s="91">
        <v>646</v>
      </c>
      <c r="C656" s="92">
        <v>73.262989608710896</v>
      </c>
      <c r="D656" s="92">
        <v>4483.0119566913518</v>
      </c>
      <c r="E656" s="91">
        <v>0</v>
      </c>
      <c r="N656"/>
      <c r="O656"/>
    </row>
    <row r="657" spans="2:15" x14ac:dyDescent="0.5">
      <c r="B657" s="91">
        <v>647</v>
      </c>
      <c r="C657" s="92">
        <v>102.65063037406154</v>
      </c>
      <c r="D657" s="92">
        <v>8081.8595361096122</v>
      </c>
      <c r="E657" s="91">
        <v>0</v>
      </c>
      <c r="N657"/>
      <c r="O657"/>
    </row>
    <row r="658" spans="2:15" x14ac:dyDescent="0.5">
      <c r="B658" s="91">
        <v>648</v>
      </c>
      <c r="C658" s="92">
        <v>59.882702572172981</v>
      </c>
      <c r="D658" s="92">
        <v>2844.4451184121367</v>
      </c>
      <c r="E658" s="91">
        <v>0</v>
      </c>
      <c r="N658"/>
      <c r="O658"/>
    </row>
    <row r="659" spans="2:15" x14ac:dyDescent="0.5">
      <c r="B659" s="91">
        <v>649</v>
      </c>
      <c r="C659" s="92">
        <v>102.42423382143008</v>
      </c>
      <c r="D659" s="92">
        <v>8054.1347285303991</v>
      </c>
      <c r="E659" s="91">
        <v>0</v>
      </c>
      <c r="N659"/>
      <c r="O659"/>
    </row>
    <row r="660" spans="2:15" x14ac:dyDescent="0.5">
      <c r="B660" s="91">
        <v>650</v>
      </c>
      <c r="C660" s="92">
        <v>49.814908388592393</v>
      </c>
      <c r="D660" s="92">
        <v>1597.6844630826772</v>
      </c>
      <c r="E660" s="91">
        <v>0</v>
      </c>
      <c r="N660"/>
      <c r="O660"/>
    </row>
    <row r="661" spans="2:15" x14ac:dyDescent="0.5">
      <c r="B661" s="91">
        <v>651</v>
      </c>
      <c r="C661" s="92">
        <v>96.967193124659602</v>
      </c>
      <c r="D661" s="92">
        <v>7385.8586372589052</v>
      </c>
      <c r="E661" s="91">
        <v>0</v>
      </c>
      <c r="N661"/>
      <c r="O661"/>
    </row>
    <row r="662" spans="2:15" x14ac:dyDescent="0.5">
      <c r="B662" s="91">
        <v>652</v>
      </c>
      <c r="C662" s="92">
        <v>37.150938705830491</v>
      </c>
      <c r="D662" s="92">
        <v>4.584061542818155</v>
      </c>
      <c r="E662" s="91">
        <v>0</v>
      </c>
      <c r="N662"/>
      <c r="O662"/>
    </row>
    <row r="663" spans="2:15" x14ac:dyDescent="0.5">
      <c r="B663" s="91">
        <v>653</v>
      </c>
      <c r="C663" s="92">
        <v>100.70829748110637</v>
      </c>
      <c r="D663" s="92">
        <v>7843.9989985438378</v>
      </c>
      <c r="E663" s="91">
        <v>0</v>
      </c>
      <c r="N663"/>
      <c r="O663"/>
    </row>
    <row r="664" spans="2:15" x14ac:dyDescent="0.5">
      <c r="B664" s="91">
        <v>654</v>
      </c>
      <c r="C664" s="92">
        <v>64.750124342879275</v>
      </c>
      <c r="D664" s="92">
        <v>3440.5157318166521</v>
      </c>
      <c r="E664" s="91">
        <v>0</v>
      </c>
      <c r="N664"/>
      <c r="O664"/>
    </row>
    <row r="665" spans="2:15" x14ac:dyDescent="0.5">
      <c r="B665" s="91">
        <v>655</v>
      </c>
      <c r="C665" s="92">
        <v>117.60063425865671</v>
      </c>
      <c r="D665" s="92">
        <v>9912.6558808030841</v>
      </c>
      <c r="E665" s="91">
        <v>0</v>
      </c>
      <c r="N665"/>
      <c r="O665"/>
    </row>
    <row r="666" spans="2:15" x14ac:dyDescent="0.5">
      <c r="B666" s="91">
        <v>656</v>
      </c>
      <c r="C666" s="92">
        <v>87.963684601814634</v>
      </c>
      <c r="D666" s="92">
        <v>6283.2776198702613</v>
      </c>
      <c r="E666" s="91">
        <v>0</v>
      </c>
      <c r="N666"/>
      <c r="O666"/>
    </row>
    <row r="667" spans="2:15" x14ac:dyDescent="0.5">
      <c r="B667" s="91">
        <v>657</v>
      </c>
      <c r="C667" s="92">
        <v>36.010056366111506</v>
      </c>
      <c r="D667" s="92">
        <v>-141.9561179908485</v>
      </c>
      <c r="E667" s="91">
        <v>1</v>
      </c>
      <c r="N667"/>
      <c r="O667"/>
    </row>
    <row r="668" spans="2:15" x14ac:dyDescent="0.5">
      <c r="B668" s="91">
        <v>658</v>
      </c>
      <c r="C668" s="92">
        <v>80.150798694096039</v>
      </c>
      <c r="D668" s="92">
        <v>5326.5017506614686</v>
      </c>
      <c r="E668" s="91">
        <v>0</v>
      </c>
      <c r="N668"/>
      <c r="O668"/>
    </row>
    <row r="669" spans="2:15" x14ac:dyDescent="0.5">
      <c r="B669" s="91">
        <v>659</v>
      </c>
      <c r="C669" s="92">
        <v>82.760632578753089</v>
      </c>
      <c r="D669" s="92">
        <v>5646.105302150223</v>
      </c>
      <c r="E669" s="91">
        <v>0</v>
      </c>
      <c r="N669"/>
      <c r="O669"/>
    </row>
    <row r="670" spans="2:15" x14ac:dyDescent="0.5">
      <c r="B670" s="91">
        <v>660</v>
      </c>
      <c r="C670" s="92">
        <v>79.593012842212431</v>
      </c>
      <c r="D670" s="92">
        <v>5258.1945912364145</v>
      </c>
      <c r="E670" s="91">
        <v>0</v>
      </c>
      <c r="N670"/>
      <c r="O670"/>
    </row>
    <row r="671" spans="2:15" x14ac:dyDescent="0.5">
      <c r="B671" s="91">
        <v>661</v>
      </c>
      <c r="C671" s="92">
        <v>81.515401129799685</v>
      </c>
      <c r="D671" s="92">
        <v>5493.6126872559653</v>
      </c>
      <c r="E671" s="91">
        <v>0</v>
      </c>
      <c r="N671"/>
      <c r="O671"/>
    </row>
    <row r="672" spans="2:15" x14ac:dyDescent="0.5">
      <c r="B672" s="91">
        <v>662</v>
      </c>
      <c r="C672" s="92">
        <v>49.060422930025595</v>
      </c>
      <c r="D672" s="92">
        <v>1503.6849456066836</v>
      </c>
      <c r="E672" s="91">
        <v>0</v>
      </c>
      <c r="N672"/>
      <c r="O672"/>
    </row>
    <row r="673" spans="2:15" x14ac:dyDescent="0.5">
      <c r="B673" s="91">
        <v>663</v>
      </c>
      <c r="C673" s="92">
        <v>71.446631510698438</v>
      </c>
      <c r="D673" s="92">
        <v>4260.5784515119904</v>
      </c>
      <c r="E673" s="91">
        <v>0</v>
      </c>
      <c r="N673"/>
      <c r="O673"/>
    </row>
    <row r="674" spans="2:15" x14ac:dyDescent="0.5">
      <c r="B674" s="91">
        <v>664</v>
      </c>
      <c r="C674" s="92">
        <v>163.33637635956532</v>
      </c>
      <c r="D674" s="92">
        <v>15494.70492140309</v>
      </c>
      <c r="E674" s="91">
        <v>0</v>
      </c>
      <c r="N674"/>
      <c r="O674"/>
    </row>
    <row r="675" spans="2:15" x14ac:dyDescent="0.5">
      <c r="B675" s="91">
        <v>665</v>
      </c>
      <c r="C675" s="92">
        <v>32.615801347267869</v>
      </c>
      <c r="D675" s="92">
        <v>-580.77163350955539</v>
      </c>
      <c r="E675" s="91">
        <v>1</v>
      </c>
      <c r="N675"/>
      <c r="O675"/>
    </row>
    <row r="676" spans="2:15" x14ac:dyDescent="0.5">
      <c r="B676" s="91">
        <v>666</v>
      </c>
      <c r="C676" s="92">
        <v>75.575411017376339</v>
      </c>
      <c r="D676" s="92">
        <v>4766.1940009942318</v>
      </c>
      <c r="E676" s="91">
        <v>0</v>
      </c>
      <c r="N676"/>
      <c r="O676"/>
    </row>
    <row r="677" spans="2:15" x14ac:dyDescent="0.5">
      <c r="B677" s="91">
        <v>667</v>
      </c>
      <c r="C677" s="92">
        <v>100.66613463035969</v>
      </c>
      <c r="D677" s="92">
        <v>7838.8356826260115</v>
      </c>
      <c r="E677" s="91">
        <v>0</v>
      </c>
      <c r="N677"/>
      <c r="O677"/>
    </row>
    <row r="678" spans="2:15" x14ac:dyDescent="0.5">
      <c r="B678" s="91">
        <v>668</v>
      </c>
      <c r="C678" s="92">
        <v>78.673181260907256</v>
      </c>
      <c r="D678" s="92">
        <v>5145.550854834285</v>
      </c>
      <c r="E678" s="91">
        <v>0</v>
      </c>
      <c r="N678"/>
      <c r="O678"/>
    </row>
    <row r="679" spans="2:15" x14ac:dyDescent="0.5">
      <c r="B679" s="91">
        <v>669</v>
      </c>
      <c r="C679" s="92">
        <v>29.42386211616596</v>
      </c>
      <c r="D679" s="92">
        <v>-997.88200266901219</v>
      </c>
      <c r="E679" s="91">
        <v>1</v>
      </c>
      <c r="N679"/>
      <c r="O679"/>
    </row>
    <row r="680" spans="2:15" x14ac:dyDescent="0.5">
      <c r="B680" s="91">
        <v>670</v>
      </c>
      <c r="C680" s="92">
        <v>80.8100943910068</v>
      </c>
      <c r="D680" s="92">
        <v>5407.2399338281048</v>
      </c>
      <c r="E680" s="91">
        <v>0</v>
      </c>
      <c r="N680"/>
      <c r="O680"/>
    </row>
    <row r="681" spans="2:15" x14ac:dyDescent="0.5">
      <c r="B681" s="91">
        <v>671</v>
      </c>
      <c r="C681" s="92">
        <v>130.06452078829273</v>
      </c>
      <c r="D681" s="92">
        <v>11438.999156382091</v>
      </c>
      <c r="E681" s="91">
        <v>0</v>
      </c>
      <c r="N681"/>
      <c r="O681"/>
    </row>
    <row r="682" spans="2:15" x14ac:dyDescent="0.5">
      <c r="B682" s="91">
        <v>672</v>
      </c>
      <c r="C682" s="92">
        <v>58.729874869811525</v>
      </c>
      <c r="D682" s="92">
        <v>2703.2683829519178</v>
      </c>
      <c r="E682" s="91">
        <v>0</v>
      </c>
      <c r="N682"/>
      <c r="O682"/>
    </row>
    <row r="683" spans="2:15" x14ac:dyDescent="0.5">
      <c r="B683" s="91">
        <v>673</v>
      </c>
      <c r="C683" s="92">
        <v>58.113471763746645</v>
      </c>
      <c r="D683" s="92">
        <v>2627.7828805966892</v>
      </c>
      <c r="E683" s="91">
        <v>0</v>
      </c>
      <c r="N683"/>
      <c r="O683"/>
    </row>
    <row r="684" spans="2:15" x14ac:dyDescent="0.5">
      <c r="B684" s="91">
        <v>674</v>
      </c>
      <c r="C684" s="92">
        <v>48.424184392927579</v>
      </c>
      <c r="D684" s="92">
        <v>1424.4175259264532</v>
      </c>
      <c r="E684" s="91">
        <v>0</v>
      </c>
      <c r="N684"/>
      <c r="O684"/>
    </row>
    <row r="685" spans="2:15" x14ac:dyDescent="0.5">
      <c r="B685" s="91">
        <v>675</v>
      </c>
      <c r="C685" s="92">
        <v>39.038091012036467</v>
      </c>
      <c r="D685" s="92">
        <v>244.68708704821637</v>
      </c>
      <c r="E685" s="91">
        <v>0</v>
      </c>
      <c r="N685"/>
      <c r="O685"/>
    </row>
    <row r="686" spans="2:15" x14ac:dyDescent="0.5">
      <c r="B686" s="91">
        <v>676</v>
      </c>
      <c r="C686" s="92">
        <v>31.809488758582344</v>
      </c>
      <c r="D686" s="92">
        <v>-685.26972698802206</v>
      </c>
      <c r="E686" s="91">
        <v>1</v>
      </c>
      <c r="N686"/>
      <c r="O686"/>
    </row>
    <row r="687" spans="2:15" x14ac:dyDescent="0.5">
      <c r="B687" s="91">
        <v>677</v>
      </c>
      <c r="C687" s="92">
        <v>95.279697001582178</v>
      </c>
      <c r="D687" s="92">
        <v>7179.205732171833</v>
      </c>
      <c r="E687" s="91">
        <v>0</v>
      </c>
      <c r="N687"/>
      <c r="O687"/>
    </row>
    <row r="688" spans="2:15" x14ac:dyDescent="0.5">
      <c r="B688" s="91">
        <v>678</v>
      </c>
      <c r="C688" s="92">
        <v>48.87494924657058</v>
      </c>
      <c r="D688" s="92">
        <v>1480.577228219546</v>
      </c>
      <c r="E688" s="91">
        <v>0</v>
      </c>
      <c r="N688"/>
      <c r="O688"/>
    </row>
    <row r="689" spans="2:15" x14ac:dyDescent="0.5">
      <c r="B689" s="91">
        <v>679</v>
      </c>
      <c r="C689" s="92">
        <v>48.517533765619255</v>
      </c>
      <c r="D689" s="92">
        <v>1436.0476983705612</v>
      </c>
      <c r="E689" s="91">
        <v>0</v>
      </c>
      <c r="N689"/>
      <c r="O689"/>
    </row>
    <row r="690" spans="2:15" x14ac:dyDescent="0.5">
      <c r="B690" s="91">
        <v>680</v>
      </c>
      <c r="C690" s="92">
        <v>51.45712165548187</v>
      </c>
      <c r="D690" s="92">
        <v>1802.2838399527334</v>
      </c>
      <c r="E690" s="91">
        <v>0</v>
      </c>
      <c r="N690"/>
      <c r="O690"/>
    </row>
    <row r="691" spans="2:15" x14ac:dyDescent="0.5">
      <c r="B691" s="91">
        <v>681</v>
      </c>
      <c r="C691" s="92">
        <v>91.267525541093335</v>
      </c>
      <c r="D691" s="92">
        <v>6687.8701512014923</v>
      </c>
      <c r="E691" s="91">
        <v>0</v>
      </c>
      <c r="N691"/>
      <c r="O691"/>
    </row>
    <row r="692" spans="2:15" x14ac:dyDescent="0.5">
      <c r="B692" s="91">
        <v>682</v>
      </c>
      <c r="C692" s="92">
        <v>42.527699699738442</v>
      </c>
      <c r="D692" s="92">
        <v>685.10472999719718</v>
      </c>
      <c r="E692" s="91">
        <v>0</v>
      </c>
      <c r="N692"/>
      <c r="O692"/>
    </row>
    <row r="693" spans="2:15" x14ac:dyDescent="0.5">
      <c r="B693" s="91">
        <v>683</v>
      </c>
      <c r="C693" s="92">
        <v>27.31617155454822</v>
      </c>
      <c r="D693" s="92">
        <v>-1279.8651398256113</v>
      </c>
      <c r="E693" s="91">
        <v>1</v>
      </c>
      <c r="N693"/>
      <c r="O693"/>
    </row>
    <row r="694" spans="2:15" x14ac:dyDescent="0.5">
      <c r="B694" s="91">
        <v>684</v>
      </c>
      <c r="C694" s="92">
        <v>82.275591322578975</v>
      </c>
      <c r="D694" s="92">
        <v>5586.7065377295585</v>
      </c>
      <c r="E694" s="91">
        <v>0</v>
      </c>
      <c r="N694"/>
      <c r="O694"/>
    </row>
    <row r="695" spans="2:15" x14ac:dyDescent="0.5">
      <c r="B695" s="91">
        <v>685</v>
      </c>
      <c r="C695" s="92">
        <v>50.233530649730717</v>
      </c>
      <c r="D695" s="92">
        <v>1649.8395975586427</v>
      </c>
      <c r="E695" s="91">
        <v>0</v>
      </c>
      <c r="N695"/>
      <c r="O695"/>
    </row>
    <row r="696" spans="2:15" x14ac:dyDescent="0.5">
      <c r="B696" s="91">
        <v>686</v>
      </c>
      <c r="C696" s="92">
        <v>65.69567231572023</v>
      </c>
      <c r="D696" s="92">
        <v>3556.3087299839185</v>
      </c>
      <c r="E696" s="91">
        <v>0</v>
      </c>
      <c r="N696"/>
      <c r="O696"/>
    </row>
    <row r="697" spans="2:15" x14ac:dyDescent="0.5">
      <c r="B697" s="91">
        <v>687</v>
      </c>
      <c r="C697" s="92">
        <v>71.688673811032871</v>
      </c>
      <c r="D697" s="92">
        <v>4290.2192571020196</v>
      </c>
      <c r="E697" s="91">
        <v>0</v>
      </c>
      <c r="N697"/>
      <c r="O697"/>
    </row>
    <row r="698" spans="2:15" x14ac:dyDescent="0.5">
      <c r="B698" s="91">
        <v>688</v>
      </c>
      <c r="C698" s="92">
        <v>92.364757375510905</v>
      </c>
      <c r="D698" s="92">
        <v>6822.2385465035768</v>
      </c>
      <c r="E698" s="91">
        <v>0</v>
      </c>
      <c r="N698"/>
      <c r="O698"/>
    </row>
    <row r="699" spans="2:15" x14ac:dyDescent="0.5">
      <c r="B699" s="91">
        <v>689</v>
      </c>
      <c r="C699" s="92">
        <v>17.900186291113936</v>
      </c>
      <c r="D699" s="92">
        <v>-2887.2005962630674</v>
      </c>
      <c r="E699" s="91">
        <v>1</v>
      </c>
      <c r="N699"/>
      <c r="O699"/>
    </row>
    <row r="700" spans="2:15" x14ac:dyDescent="0.5">
      <c r="B700" s="91">
        <v>690</v>
      </c>
      <c r="C700" s="92">
        <v>76.23144887722836</v>
      </c>
      <c r="D700" s="92">
        <v>4846.5332253228098</v>
      </c>
      <c r="E700" s="91">
        <v>0</v>
      </c>
      <c r="N700"/>
      <c r="O700"/>
    </row>
    <row r="701" spans="2:15" x14ac:dyDescent="0.5">
      <c r="B701" s="91">
        <v>691</v>
      </c>
      <c r="C701" s="92">
        <v>70.527029398943711</v>
      </c>
      <c r="D701" s="92">
        <v>4147.9628162406307</v>
      </c>
      <c r="E701" s="91">
        <v>0</v>
      </c>
      <c r="N701"/>
      <c r="O701"/>
    </row>
    <row r="702" spans="2:15" x14ac:dyDescent="0.5">
      <c r="B702" s="91">
        <v>692</v>
      </c>
      <c r="C702" s="92">
        <v>28.936723355221371</v>
      </c>
      <c r="D702" s="92">
        <v>-1063.0551920086757</v>
      </c>
      <c r="E702" s="91">
        <v>1</v>
      </c>
      <c r="N702"/>
      <c r="O702"/>
    </row>
    <row r="703" spans="2:15" x14ac:dyDescent="0.5">
      <c r="B703" s="91">
        <v>693</v>
      </c>
      <c r="C703" s="92">
        <v>201.91613087991533</v>
      </c>
      <c r="D703" s="92">
        <v>20194.122736767426</v>
      </c>
      <c r="E703" s="91">
        <v>0</v>
      </c>
      <c r="N703"/>
      <c r="O703"/>
    </row>
    <row r="704" spans="2:15" x14ac:dyDescent="0.5">
      <c r="B704" s="91">
        <v>694</v>
      </c>
      <c r="C704" s="92">
        <v>80.782207278283906</v>
      </c>
      <c r="D704" s="92">
        <v>5403.8248428066399</v>
      </c>
      <c r="E704" s="91">
        <v>0</v>
      </c>
      <c r="N704"/>
      <c r="O704"/>
    </row>
    <row r="705" spans="2:15" x14ac:dyDescent="0.5">
      <c r="B705" s="91">
        <v>695</v>
      </c>
      <c r="C705" s="92">
        <v>86.346956279695775</v>
      </c>
      <c r="D705" s="92">
        <v>6085.2910290073942</v>
      </c>
      <c r="E705" s="91">
        <v>0</v>
      </c>
      <c r="N705"/>
      <c r="O705"/>
    </row>
    <row r="706" spans="2:15" x14ac:dyDescent="0.5">
      <c r="B706" s="91">
        <v>696</v>
      </c>
      <c r="C706" s="92">
        <v>90.089140657962076</v>
      </c>
      <c r="D706" s="92">
        <v>6543.5636511274861</v>
      </c>
      <c r="E706" s="91">
        <v>0</v>
      </c>
      <c r="N706"/>
      <c r="O706"/>
    </row>
    <row r="707" spans="2:15" x14ac:dyDescent="0.5">
      <c r="B707" s="91">
        <v>697</v>
      </c>
      <c r="C707" s="92">
        <v>39.480531962658368</v>
      </c>
      <c r="D707" s="92">
        <v>300.52681524001071</v>
      </c>
      <c r="E707" s="91">
        <v>0</v>
      </c>
      <c r="N707"/>
      <c r="O707"/>
    </row>
    <row r="708" spans="2:15" x14ac:dyDescent="0.5">
      <c r="B708" s="91">
        <v>698</v>
      </c>
      <c r="C708" s="92">
        <v>80.237997637655354</v>
      </c>
      <c r="D708" s="92">
        <v>5337.1802433469484</v>
      </c>
      <c r="E708" s="91">
        <v>0</v>
      </c>
      <c r="N708"/>
      <c r="O708"/>
    </row>
    <row r="709" spans="2:15" x14ac:dyDescent="0.5">
      <c r="B709" s="91">
        <v>699</v>
      </c>
      <c r="C709" s="92">
        <v>48.184029323194139</v>
      </c>
      <c r="D709" s="92">
        <v>1394.4971869483645</v>
      </c>
      <c r="E709" s="91">
        <v>0</v>
      </c>
      <c r="N709"/>
      <c r="O709"/>
    </row>
    <row r="710" spans="2:15" x14ac:dyDescent="0.5">
      <c r="B710" s="91">
        <v>700</v>
      </c>
      <c r="C710" s="92">
        <v>42.144522202540486</v>
      </c>
      <c r="D710" s="92">
        <v>636.74454258084074</v>
      </c>
      <c r="E710" s="91">
        <v>0</v>
      </c>
      <c r="N710"/>
      <c r="O710"/>
    </row>
    <row r="711" spans="2:15" x14ac:dyDescent="0.5">
      <c r="B711" s="91">
        <v>701</v>
      </c>
      <c r="C711" s="92">
        <v>52.067596683673344</v>
      </c>
      <c r="D711" s="92">
        <v>1878.3414464043503</v>
      </c>
      <c r="E711" s="91">
        <v>0</v>
      </c>
      <c r="N711"/>
      <c r="O711"/>
    </row>
    <row r="712" spans="2:15" x14ac:dyDescent="0.5">
      <c r="B712" s="91">
        <v>702</v>
      </c>
      <c r="C712" s="92">
        <v>66.616413387165082</v>
      </c>
      <c r="D712" s="92">
        <v>3669.0638436964537</v>
      </c>
      <c r="E712" s="91">
        <v>0</v>
      </c>
      <c r="N712"/>
      <c r="O712"/>
    </row>
    <row r="713" spans="2:15" x14ac:dyDescent="0.5">
      <c r="B713" s="91">
        <v>703</v>
      </c>
      <c r="C713" s="92">
        <v>122.48918249311185</v>
      </c>
      <c r="D713" s="92">
        <v>10511.313667622824</v>
      </c>
      <c r="E713" s="91">
        <v>0</v>
      </c>
      <c r="N713"/>
      <c r="O713"/>
    </row>
    <row r="714" spans="2:15" x14ac:dyDescent="0.5">
      <c r="B714" s="91">
        <v>704</v>
      </c>
      <c r="C714" s="92">
        <v>55.948192223112905</v>
      </c>
      <c r="D714" s="92">
        <v>2360.0991107126365</v>
      </c>
      <c r="E714" s="91">
        <v>0</v>
      </c>
      <c r="N714"/>
      <c r="O714"/>
    </row>
    <row r="715" spans="2:15" x14ac:dyDescent="0.5">
      <c r="B715" s="91">
        <v>705</v>
      </c>
      <c r="C715" s="92">
        <v>220.09943586391825</v>
      </c>
      <c r="D715" s="92">
        <v>22409.039561573882</v>
      </c>
      <c r="E715" s="91">
        <v>0</v>
      </c>
      <c r="N715"/>
      <c r="O715"/>
    </row>
    <row r="716" spans="2:15" x14ac:dyDescent="0.5">
      <c r="B716" s="91">
        <v>706</v>
      </c>
      <c r="C716" s="92">
        <v>118.21537796015502</v>
      </c>
      <c r="D716" s="92">
        <v>9987.9381703806921</v>
      </c>
      <c r="E716" s="91">
        <v>0</v>
      </c>
      <c r="N716"/>
      <c r="O716"/>
    </row>
    <row r="717" spans="2:15" x14ac:dyDescent="0.5">
      <c r="B717" s="91">
        <v>707</v>
      </c>
      <c r="C717" s="92">
        <v>50.361597031761903</v>
      </c>
      <c r="D717" s="92">
        <v>1665.7950781834045</v>
      </c>
      <c r="E717" s="91">
        <v>0</v>
      </c>
      <c r="N717"/>
      <c r="O717"/>
    </row>
    <row r="718" spans="2:15" x14ac:dyDescent="0.5">
      <c r="B718" s="91">
        <v>708</v>
      </c>
      <c r="C718" s="92">
        <v>27.90938454946318</v>
      </c>
      <c r="D718" s="92">
        <v>-1200.5005194423472</v>
      </c>
      <c r="E718" s="91">
        <v>1</v>
      </c>
      <c r="N718"/>
      <c r="O718"/>
    </row>
    <row r="719" spans="2:15" x14ac:dyDescent="0.5">
      <c r="B719" s="91">
        <v>709</v>
      </c>
      <c r="C719" s="92">
        <v>76.829294023126991</v>
      </c>
      <c r="D719" s="92">
        <v>4919.7460964533484</v>
      </c>
      <c r="E719" s="91">
        <v>0</v>
      </c>
      <c r="N719"/>
      <c r="O719"/>
    </row>
    <row r="720" spans="2:15" x14ac:dyDescent="0.5">
      <c r="B720" s="91">
        <v>710</v>
      </c>
      <c r="C720" s="92">
        <v>52.24959486273481</v>
      </c>
      <c r="D720" s="92">
        <v>1901.0161591095966</v>
      </c>
      <c r="E720" s="91">
        <v>0</v>
      </c>
      <c r="N720"/>
      <c r="O720"/>
    </row>
    <row r="721" spans="2:15" x14ac:dyDescent="0.5">
      <c r="B721" s="91">
        <v>711</v>
      </c>
      <c r="C721" s="92">
        <v>28.784322223242647</v>
      </c>
      <c r="D721" s="92">
        <v>-1083.4445936049867</v>
      </c>
      <c r="E721" s="91">
        <v>1</v>
      </c>
      <c r="N721"/>
      <c r="O721"/>
    </row>
    <row r="722" spans="2:15" x14ac:dyDescent="0.5">
      <c r="B722" s="91">
        <v>712</v>
      </c>
      <c r="C722" s="92">
        <v>37.259034841236982</v>
      </c>
      <c r="D722" s="92">
        <v>18.468426773035404</v>
      </c>
      <c r="E722" s="91">
        <v>0</v>
      </c>
      <c r="N722"/>
      <c r="O722"/>
    </row>
    <row r="723" spans="2:15" x14ac:dyDescent="0.5">
      <c r="B723" s="91">
        <v>713</v>
      </c>
      <c r="C723" s="92">
        <v>142.94792391392804</v>
      </c>
      <c r="D723" s="92">
        <v>13011.178060178599</v>
      </c>
      <c r="E723" s="91">
        <v>0</v>
      </c>
      <c r="N723"/>
      <c r="O723"/>
    </row>
    <row r="724" spans="2:15" x14ac:dyDescent="0.5">
      <c r="B724" s="91">
        <v>714</v>
      </c>
      <c r="C724" s="92">
        <v>91.361047560275594</v>
      </c>
      <c r="D724" s="92">
        <v>6699.3229757083564</v>
      </c>
      <c r="E724" s="91">
        <v>0</v>
      </c>
      <c r="N724"/>
      <c r="O724"/>
    </row>
    <row r="725" spans="2:15" x14ac:dyDescent="0.5">
      <c r="B725" s="91">
        <v>715</v>
      </c>
      <c r="C725" s="92">
        <v>41.195224459714588</v>
      </c>
      <c r="D725" s="92">
        <v>516.93527117869519</v>
      </c>
      <c r="E725" s="91">
        <v>0</v>
      </c>
      <c r="N725"/>
      <c r="O725"/>
    </row>
    <row r="726" spans="2:15" x14ac:dyDescent="0.5">
      <c r="B726" s="91">
        <v>716</v>
      </c>
      <c r="C726" s="92">
        <v>74.504181842823726</v>
      </c>
      <c r="D726" s="92">
        <v>4635.0099242381839</v>
      </c>
      <c r="E726" s="91">
        <v>0</v>
      </c>
      <c r="N726"/>
      <c r="O726"/>
    </row>
    <row r="727" spans="2:15" x14ac:dyDescent="0.5">
      <c r="B727" s="91">
        <v>717</v>
      </c>
      <c r="C727" s="92">
        <v>83.905445924565186</v>
      </c>
      <c r="D727" s="92">
        <v>5786.3005893921736</v>
      </c>
      <c r="E727" s="91">
        <v>0</v>
      </c>
      <c r="N727"/>
      <c r="O727"/>
    </row>
    <row r="728" spans="2:15" x14ac:dyDescent="0.5">
      <c r="B728" s="91">
        <v>718</v>
      </c>
      <c r="C728" s="92">
        <v>40.823167271906271</v>
      </c>
      <c r="D728" s="92">
        <v>469.9785593060322</v>
      </c>
      <c r="E728" s="91">
        <v>0</v>
      </c>
      <c r="N728"/>
      <c r="O728"/>
    </row>
    <row r="729" spans="2:15" x14ac:dyDescent="0.5">
      <c r="B729" s="91">
        <v>719</v>
      </c>
      <c r="C729" s="92">
        <v>44.912789750880094</v>
      </c>
      <c r="D729" s="92">
        <v>984.81265037360686</v>
      </c>
      <c r="E729" s="91">
        <v>0</v>
      </c>
      <c r="N729"/>
      <c r="O729"/>
    </row>
    <row r="730" spans="2:15" x14ac:dyDescent="0.5">
      <c r="B730" s="91">
        <v>720</v>
      </c>
      <c r="C730" s="92">
        <v>38.718249776869555</v>
      </c>
      <c r="D730" s="92">
        <v>204.32046273113099</v>
      </c>
      <c r="E730" s="91">
        <v>0</v>
      </c>
      <c r="N730"/>
      <c r="O730"/>
    </row>
    <row r="731" spans="2:15" x14ac:dyDescent="0.5">
      <c r="B731" s="91">
        <v>721</v>
      </c>
      <c r="C731" s="92">
        <v>29.525607385796082</v>
      </c>
      <c r="D731" s="92">
        <v>-984.28058114514647</v>
      </c>
      <c r="E731" s="91">
        <v>1</v>
      </c>
      <c r="N731"/>
      <c r="O731"/>
    </row>
    <row r="732" spans="2:15" x14ac:dyDescent="0.5">
      <c r="B732" s="91">
        <v>722</v>
      </c>
      <c r="C732" s="92">
        <v>66.381283849049822</v>
      </c>
      <c r="D732" s="92">
        <v>3640.2695836926518</v>
      </c>
      <c r="E732" s="91">
        <v>0</v>
      </c>
      <c r="N732"/>
      <c r="O732"/>
    </row>
    <row r="733" spans="2:15" x14ac:dyDescent="0.5">
      <c r="B733" s="91">
        <v>723</v>
      </c>
      <c r="C733" s="92">
        <v>58.874782534412681</v>
      </c>
      <c r="D733" s="92">
        <v>2721.01395845262</v>
      </c>
      <c r="E733" s="91">
        <v>0</v>
      </c>
      <c r="N733"/>
      <c r="O733"/>
    </row>
    <row r="734" spans="2:15" x14ac:dyDescent="0.5">
      <c r="B734" s="91">
        <v>724</v>
      </c>
      <c r="C734" s="92">
        <v>131.81956112422029</v>
      </c>
      <c r="D734" s="92">
        <v>11653.923611024989</v>
      </c>
      <c r="E734" s="91">
        <v>0</v>
      </c>
      <c r="N734"/>
      <c r="O734"/>
    </row>
    <row r="735" spans="2:15" x14ac:dyDescent="0.5">
      <c r="B735" s="91">
        <v>725</v>
      </c>
      <c r="C735" s="92">
        <v>55.291186550324305</v>
      </c>
      <c r="D735" s="92">
        <v>2278.6566421765488</v>
      </c>
      <c r="E735" s="91">
        <v>0</v>
      </c>
      <c r="N735"/>
      <c r="O735"/>
    </row>
    <row r="736" spans="2:15" x14ac:dyDescent="0.5">
      <c r="B736" s="91">
        <v>726</v>
      </c>
      <c r="C736" s="92">
        <v>93.766571241814603</v>
      </c>
      <c r="D736" s="92">
        <v>6993.9064418553608</v>
      </c>
      <c r="E736" s="91">
        <v>0</v>
      </c>
      <c r="N736"/>
      <c r="O736"/>
    </row>
    <row r="737" spans="2:15" x14ac:dyDescent="0.5">
      <c r="B737" s="91">
        <v>727</v>
      </c>
      <c r="C737" s="92">
        <v>138.15000973151672</v>
      </c>
      <c r="D737" s="92">
        <v>12426.741905367928</v>
      </c>
      <c r="E737" s="91">
        <v>0</v>
      </c>
      <c r="N737"/>
      <c r="O737"/>
    </row>
    <row r="738" spans="2:15" x14ac:dyDescent="0.5">
      <c r="B738" s="91">
        <v>728</v>
      </c>
      <c r="C738" s="92">
        <v>70.200000702773721</v>
      </c>
      <c r="D738" s="92">
        <v>4107.9144693519174</v>
      </c>
      <c r="E738" s="91">
        <v>0</v>
      </c>
      <c r="N738"/>
      <c r="O738"/>
    </row>
    <row r="739" spans="2:15" x14ac:dyDescent="0.5">
      <c r="B739" s="91">
        <v>729</v>
      </c>
      <c r="C739" s="92">
        <v>43.808427637582554</v>
      </c>
      <c r="D739" s="92">
        <v>846.39938083927473</v>
      </c>
      <c r="E739" s="91">
        <v>0</v>
      </c>
      <c r="N739"/>
      <c r="O739"/>
    </row>
    <row r="740" spans="2:15" x14ac:dyDescent="0.5">
      <c r="B740" s="91">
        <v>730</v>
      </c>
      <c r="C740" s="92">
        <v>59.952346002170053</v>
      </c>
      <c r="D740" s="92">
        <v>2852.9737407492812</v>
      </c>
      <c r="E740" s="91">
        <v>0</v>
      </c>
      <c r="N740"/>
      <c r="O740"/>
    </row>
    <row r="741" spans="2:15" x14ac:dyDescent="0.5">
      <c r="B741" s="91">
        <v>731</v>
      </c>
      <c r="C741" s="92">
        <v>56.545273569890043</v>
      </c>
      <c r="D741" s="92">
        <v>2434.1133556612176</v>
      </c>
      <c r="E741" s="91">
        <v>0</v>
      </c>
      <c r="N741"/>
      <c r="O741"/>
    </row>
    <row r="742" spans="2:15" x14ac:dyDescent="0.5">
      <c r="B742" s="91">
        <v>732</v>
      </c>
      <c r="C742" s="92">
        <v>124.0276228876595</v>
      </c>
      <c r="D742" s="92">
        <v>10699.713020065054</v>
      </c>
      <c r="E742" s="91">
        <v>0</v>
      </c>
      <c r="N742"/>
      <c r="O742"/>
    </row>
    <row r="743" spans="2:15" x14ac:dyDescent="0.5">
      <c r="B743" s="91">
        <v>733</v>
      </c>
      <c r="C743" s="92">
        <v>78.663975725841965</v>
      </c>
      <c r="D743" s="92">
        <v>5144.4235333915221</v>
      </c>
      <c r="E743" s="91">
        <v>0</v>
      </c>
      <c r="N743"/>
      <c r="O743"/>
    </row>
    <row r="744" spans="2:15" x14ac:dyDescent="0.5">
      <c r="B744" s="91">
        <v>734</v>
      </c>
      <c r="C744" s="92">
        <v>51.712468937364761</v>
      </c>
      <c r="D744" s="92">
        <v>1834.096939878335</v>
      </c>
      <c r="E744" s="91">
        <v>0</v>
      </c>
      <c r="N744"/>
      <c r="O744"/>
    </row>
    <row r="745" spans="2:15" x14ac:dyDescent="0.5">
      <c r="B745" s="91">
        <v>735</v>
      </c>
      <c r="C745" s="92">
        <v>47.252503829320034</v>
      </c>
      <c r="D745" s="92">
        <v>1278.0565705271101</v>
      </c>
      <c r="E745" s="91">
        <v>0</v>
      </c>
      <c r="N745"/>
      <c r="O745"/>
    </row>
    <row r="746" spans="2:15" x14ac:dyDescent="0.5">
      <c r="B746" s="91">
        <v>736</v>
      </c>
      <c r="C746" s="92">
        <v>124.87582562143528</v>
      </c>
      <c r="D746" s="92">
        <v>10803.584997393156</v>
      </c>
      <c r="E746" s="91">
        <v>0</v>
      </c>
      <c r="N746"/>
      <c r="O746"/>
    </row>
    <row r="747" spans="2:15" x14ac:dyDescent="0.5">
      <c r="B747" s="91">
        <v>737</v>
      </c>
      <c r="C747" s="92">
        <v>41.847011624907957</v>
      </c>
      <c r="D747" s="92">
        <v>599.19623299097759</v>
      </c>
      <c r="E747" s="91">
        <v>0</v>
      </c>
      <c r="N747"/>
      <c r="O747"/>
    </row>
    <row r="748" spans="2:15" x14ac:dyDescent="0.5">
      <c r="B748" s="91">
        <v>738</v>
      </c>
      <c r="C748" s="92">
        <v>38.449095928207512</v>
      </c>
      <c r="D748" s="92">
        <v>170.35100820858185</v>
      </c>
      <c r="E748" s="91">
        <v>0</v>
      </c>
      <c r="N748"/>
      <c r="O748"/>
    </row>
    <row r="749" spans="2:15" x14ac:dyDescent="0.5">
      <c r="B749" s="91">
        <v>739</v>
      </c>
      <c r="C749" s="92">
        <v>38.319408300286916</v>
      </c>
      <c r="D749" s="92">
        <v>153.9833508234654</v>
      </c>
      <c r="E749" s="91">
        <v>0</v>
      </c>
      <c r="N749"/>
      <c r="O749"/>
    </row>
    <row r="750" spans="2:15" x14ac:dyDescent="0.5">
      <c r="B750" s="91">
        <v>740</v>
      </c>
      <c r="C750" s="92">
        <v>50.340380281796968</v>
      </c>
      <c r="D750" s="92">
        <v>1663.1517346484591</v>
      </c>
      <c r="E750" s="91">
        <v>0</v>
      </c>
      <c r="N750"/>
      <c r="O750"/>
    </row>
    <row r="751" spans="2:15" x14ac:dyDescent="0.5">
      <c r="B751" s="91">
        <v>741</v>
      </c>
      <c r="C751" s="92">
        <v>87.620829366446429</v>
      </c>
      <c r="D751" s="92">
        <v>6241.2911350160384</v>
      </c>
      <c r="E751" s="91">
        <v>0</v>
      </c>
      <c r="N751"/>
      <c r="O751"/>
    </row>
    <row r="752" spans="2:15" x14ac:dyDescent="0.5">
      <c r="B752" s="91">
        <v>742</v>
      </c>
      <c r="C752" s="92">
        <v>41.567634659103476</v>
      </c>
      <c r="D752" s="92">
        <v>563.93653604917699</v>
      </c>
      <c r="E752" s="91">
        <v>0</v>
      </c>
      <c r="N752"/>
      <c r="O752"/>
    </row>
    <row r="753" spans="2:15" x14ac:dyDescent="0.5">
      <c r="B753" s="91">
        <v>743</v>
      </c>
      <c r="C753" s="92">
        <v>94.453298468737913</v>
      </c>
      <c r="D753" s="92">
        <v>7078.0039248097455</v>
      </c>
      <c r="E753" s="91">
        <v>0</v>
      </c>
      <c r="N753"/>
      <c r="O753"/>
    </row>
    <row r="754" spans="2:15" x14ac:dyDescent="0.5">
      <c r="B754" s="91">
        <v>744</v>
      </c>
      <c r="C754" s="92">
        <v>39.708277955247524</v>
      </c>
      <c r="D754" s="92">
        <v>329.27025389566319</v>
      </c>
      <c r="E754" s="91">
        <v>0</v>
      </c>
      <c r="N754"/>
      <c r="O754"/>
    </row>
    <row r="755" spans="2:15" x14ac:dyDescent="0.5">
      <c r="B755" s="91">
        <v>745</v>
      </c>
      <c r="C755" s="92">
        <v>140.63217488132551</v>
      </c>
      <c r="D755" s="92">
        <v>12729.095595035262</v>
      </c>
      <c r="E755" s="91">
        <v>0</v>
      </c>
      <c r="N755"/>
      <c r="O755"/>
    </row>
    <row r="756" spans="2:15" x14ac:dyDescent="0.5">
      <c r="B756" s="91">
        <v>746</v>
      </c>
      <c r="C756" s="92">
        <v>105.31526549782379</v>
      </c>
      <c r="D756" s="92">
        <v>8408.1741165059811</v>
      </c>
      <c r="E756" s="91">
        <v>0</v>
      </c>
      <c r="N756"/>
      <c r="O756"/>
    </row>
    <row r="757" spans="2:15" x14ac:dyDescent="0.5">
      <c r="B757" s="91">
        <v>747</v>
      </c>
      <c r="C757" s="92">
        <v>55.412480085719338</v>
      </c>
      <c r="D757" s="92">
        <v>2293.6921971940769</v>
      </c>
      <c r="E757" s="91">
        <v>0</v>
      </c>
      <c r="N757"/>
      <c r="O757"/>
    </row>
    <row r="758" spans="2:15" x14ac:dyDescent="0.5">
      <c r="B758" s="91">
        <v>748</v>
      </c>
      <c r="C758" s="92">
        <v>111.08649803449717</v>
      </c>
      <c r="D758" s="92">
        <v>9114.9265370458234</v>
      </c>
      <c r="E758" s="91">
        <v>0</v>
      </c>
      <c r="N758"/>
      <c r="O758"/>
    </row>
    <row r="759" spans="2:15" x14ac:dyDescent="0.5">
      <c r="B759" s="91">
        <v>749</v>
      </c>
      <c r="C759" s="92">
        <v>47.048629001833966</v>
      </c>
      <c r="D759" s="92">
        <v>1252.5042801068653</v>
      </c>
      <c r="E759" s="91">
        <v>0</v>
      </c>
      <c r="N759"/>
      <c r="O759"/>
    </row>
    <row r="760" spans="2:15" x14ac:dyDescent="0.5">
      <c r="B760" s="91">
        <v>750</v>
      </c>
      <c r="C760" s="92">
        <v>52.461243111406077</v>
      </c>
      <c r="D760" s="92">
        <v>1927.3849022362426</v>
      </c>
      <c r="E760" s="91">
        <v>0</v>
      </c>
      <c r="N760"/>
      <c r="O760"/>
    </row>
    <row r="761" spans="2:15" x14ac:dyDescent="0.5">
      <c r="B761" s="91">
        <v>751</v>
      </c>
      <c r="C761" s="92">
        <v>60.995993000862541</v>
      </c>
      <c r="D761" s="92">
        <v>2980.7800694369507</v>
      </c>
      <c r="E761" s="91">
        <v>0</v>
      </c>
      <c r="N761"/>
      <c r="O761"/>
    </row>
    <row r="762" spans="2:15" x14ac:dyDescent="0.5">
      <c r="B762" s="91">
        <v>752</v>
      </c>
      <c r="C762" s="92">
        <v>36.555734459104599</v>
      </c>
      <c r="D762" s="92">
        <v>-71.866711808530908</v>
      </c>
      <c r="E762" s="91">
        <v>1</v>
      </c>
      <c r="N762"/>
      <c r="O762"/>
    </row>
    <row r="763" spans="2:15" x14ac:dyDescent="0.5">
      <c r="B763" s="91">
        <v>753</v>
      </c>
      <c r="C763" s="92">
        <v>63.238540456704349</v>
      </c>
      <c r="D763" s="92">
        <v>3255.4052612863925</v>
      </c>
      <c r="E763" s="91">
        <v>0</v>
      </c>
      <c r="N763"/>
      <c r="O763"/>
    </row>
    <row r="764" spans="2:15" x14ac:dyDescent="0.5">
      <c r="B764" s="91">
        <v>754</v>
      </c>
      <c r="C764" s="92">
        <v>50.958321022182957</v>
      </c>
      <c r="D764" s="92">
        <v>1740.1394761158435</v>
      </c>
      <c r="E764" s="91">
        <v>0</v>
      </c>
      <c r="N764"/>
      <c r="O764"/>
    </row>
    <row r="765" spans="2:15" x14ac:dyDescent="0.5">
      <c r="B765" s="91">
        <v>755</v>
      </c>
      <c r="C765" s="92">
        <v>85.642743006185285</v>
      </c>
      <c r="D765" s="92">
        <v>5999.0521827181201</v>
      </c>
      <c r="E765" s="91">
        <v>0</v>
      </c>
      <c r="N765"/>
      <c r="O765"/>
    </row>
    <row r="766" spans="2:15" x14ac:dyDescent="0.5">
      <c r="B766" s="91">
        <v>756</v>
      </c>
      <c r="C766" s="92">
        <v>52.468105164502582</v>
      </c>
      <c r="D766" s="92">
        <v>1928.2398288258034</v>
      </c>
      <c r="E766" s="91">
        <v>0</v>
      </c>
      <c r="N766"/>
      <c r="O766"/>
    </row>
    <row r="767" spans="2:15" x14ac:dyDescent="0.5">
      <c r="B767" s="91">
        <v>757</v>
      </c>
      <c r="C767" s="92">
        <v>42.838511837457141</v>
      </c>
      <c r="D767" s="92">
        <v>724.33180711229556</v>
      </c>
      <c r="E767" s="91">
        <v>0</v>
      </c>
      <c r="N767"/>
      <c r="O767"/>
    </row>
    <row r="768" spans="2:15" x14ac:dyDescent="0.5">
      <c r="B768" s="91">
        <v>758</v>
      </c>
      <c r="C768" s="92">
        <v>66.660539437568545</v>
      </c>
      <c r="D768" s="92">
        <v>3674.4675755220796</v>
      </c>
      <c r="E768" s="91">
        <v>0</v>
      </c>
      <c r="N768"/>
      <c r="O768"/>
    </row>
    <row r="769" spans="2:15" x14ac:dyDescent="0.5">
      <c r="B769" s="91">
        <v>759</v>
      </c>
      <c r="C769" s="92">
        <v>92.942873456307396</v>
      </c>
      <c r="D769" s="92">
        <v>6893.0353714208859</v>
      </c>
      <c r="E769" s="91">
        <v>0</v>
      </c>
      <c r="N769"/>
      <c r="O769"/>
    </row>
    <row r="770" spans="2:15" x14ac:dyDescent="0.5">
      <c r="B770" s="91">
        <v>760</v>
      </c>
      <c r="C770" s="92">
        <v>35.064389166106601</v>
      </c>
      <c r="D770" s="92">
        <v>-263.43470689604857</v>
      </c>
      <c r="E770" s="91">
        <v>1</v>
      </c>
      <c r="N770"/>
      <c r="O770"/>
    </row>
    <row r="771" spans="2:15" x14ac:dyDescent="0.5">
      <c r="B771" s="91">
        <v>761</v>
      </c>
      <c r="C771" s="92">
        <v>90.70056755272185</v>
      </c>
      <c r="D771" s="92">
        <v>6618.439760365618</v>
      </c>
      <c r="E771" s="91">
        <v>0</v>
      </c>
      <c r="N771"/>
      <c r="O771"/>
    </row>
    <row r="772" spans="2:15" x14ac:dyDescent="0.5">
      <c r="B772" s="91">
        <v>762</v>
      </c>
      <c r="C772" s="92">
        <v>54.075437108975855</v>
      </c>
      <c r="D772" s="92">
        <v>2127.9522575332098</v>
      </c>
      <c r="E772" s="91">
        <v>0</v>
      </c>
      <c r="N772"/>
      <c r="O772"/>
    </row>
    <row r="773" spans="2:15" x14ac:dyDescent="0.5">
      <c r="B773" s="91">
        <v>763</v>
      </c>
      <c r="C773" s="92">
        <v>106.42237231280424</v>
      </c>
      <c r="D773" s="92">
        <v>8543.7518143913985</v>
      </c>
      <c r="E773" s="91">
        <v>0</v>
      </c>
      <c r="N773"/>
      <c r="O773"/>
    </row>
    <row r="774" spans="2:15" x14ac:dyDescent="0.5">
      <c r="B774" s="91">
        <v>764</v>
      </c>
      <c r="C774" s="92">
        <v>106.06836339987794</v>
      </c>
      <c r="D774" s="92">
        <v>8500.399436105914</v>
      </c>
      <c r="E774" s="91">
        <v>0</v>
      </c>
      <c r="N774"/>
      <c r="O774"/>
    </row>
    <row r="775" spans="2:15" x14ac:dyDescent="0.5">
      <c r="B775" s="91">
        <v>765</v>
      </c>
      <c r="C775" s="92">
        <v>43.390415144962269</v>
      </c>
      <c r="D775" s="92">
        <v>793.98659525051096</v>
      </c>
      <c r="E775" s="91">
        <v>0</v>
      </c>
      <c r="N775"/>
      <c r="O775"/>
    </row>
    <row r="776" spans="2:15" x14ac:dyDescent="0.5">
      <c r="B776" s="91">
        <v>766</v>
      </c>
      <c r="C776" s="92">
        <v>62.050839659313837</v>
      </c>
      <c r="D776" s="92">
        <v>3109.9579225942157</v>
      </c>
      <c r="E776" s="91">
        <v>0</v>
      </c>
      <c r="N776"/>
      <c r="O776"/>
    </row>
    <row r="777" spans="2:15" x14ac:dyDescent="0.5">
      <c r="B777" s="91">
        <v>767</v>
      </c>
      <c r="C777" s="92">
        <v>56.096872464665033</v>
      </c>
      <c r="D777" s="92">
        <v>2378.5295237152404</v>
      </c>
      <c r="E777" s="91">
        <v>0</v>
      </c>
      <c r="N777"/>
      <c r="O777"/>
    </row>
    <row r="778" spans="2:15" x14ac:dyDescent="0.5">
      <c r="B778" s="91">
        <v>768</v>
      </c>
      <c r="C778" s="92">
        <v>86.861331136783392</v>
      </c>
      <c r="D778" s="92">
        <v>6148.2820232190124</v>
      </c>
      <c r="E778" s="91">
        <v>0</v>
      </c>
      <c r="N778"/>
      <c r="O778"/>
    </row>
    <row r="779" spans="2:15" x14ac:dyDescent="0.5">
      <c r="B779" s="91">
        <v>769</v>
      </c>
      <c r="C779" s="92">
        <v>41.429385471934488</v>
      </c>
      <c r="D779" s="92">
        <v>546.48833867187329</v>
      </c>
      <c r="E779" s="91">
        <v>0</v>
      </c>
      <c r="N779"/>
      <c r="O779"/>
    </row>
    <row r="780" spans="2:15" x14ac:dyDescent="0.5">
      <c r="B780" s="91">
        <v>770</v>
      </c>
      <c r="C780" s="92">
        <v>55.37194378742101</v>
      </c>
      <c r="D780" s="92">
        <v>2288.6673148597752</v>
      </c>
      <c r="E780" s="91">
        <v>0</v>
      </c>
      <c r="N780"/>
      <c r="O780"/>
    </row>
    <row r="781" spans="2:15" x14ac:dyDescent="0.5">
      <c r="B781" s="91">
        <v>771</v>
      </c>
      <c r="C781" s="92">
        <v>97.989992298237027</v>
      </c>
      <c r="D781" s="92">
        <v>7511.1119149701262</v>
      </c>
      <c r="E781" s="91">
        <v>0</v>
      </c>
      <c r="N781"/>
      <c r="O781"/>
    </row>
    <row r="782" spans="2:15" x14ac:dyDescent="0.5">
      <c r="B782" s="91">
        <v>772</v>
      </c>
      <c r="C782" s="92">
        <v>44.54838331037778</v>
      </c>
      <c r="D782" s="92">
        <v>939.1404145535214</v>
      </c>
      <c r="E782" s="91">
        <v>0</v>
      </c>
      <c r="N782"/>
      <c r="O782"/>
    </row>
    <row r="783" spans="2:15" x14ac:dyDescent="0.5">
      <c r="B783" s="91">
        <v>773</v>
      </c>
      <c r="C783" s="92">
        <v>84.947244378997766</v>
      </c>
      <c r="D783" s="92">
        <v>5913.8805430166585</v>
      </c>
      <c r="E783" s="91">
        <v>0</v>
      </c>
      <c r="N783"/>
      <c r="O783"/>
    </row>
    <row r="784" spans="2:15" x14ac:dyDescent="0.5">
      <c r="B784" s="91">
        <v>774</v>
      </c>
      <c r="C784" s="92">
        <v>35.385293422009021</v>
      </c>
      <c r="D784" s="92">
        <v>-222.20354650070726</v>
      </c>
      <c r="E784" s="91">
        <v>1</v>
      </c>
      <c r="N784"/>
      <c r="O784"/>
    </row>
    <row r="785" spans="2:15" x14ac:dyDescent="0.5">
      <c r="B785" s="91">
        <v>775</v>
      </c>
      <c r="C785" s="92">
        <v>66.098821006307418</v>
      </c>
      <c r="D785" s="92">
        <v>3605.6788274629903</v>
      </c>
      <c r="E785" s="91">
        <v>0</v>
      </c>
      <c r="N785"/>
      <c r="O785"/>
    </row>
    <row r="786" spans="2:15" x14ac:dyDescent="0.5">
      <c r="B786" s="91">
        <v>776</v>
      </c>
      <c r="C786" s="92">
        <v>100.54035512594182</v>
      </c>
      <c r="D786" s="92">
        <v>7823.4325657637564</v>
      </c>
      <c r="E786" s="91">
        <v>0</v>
      </c>
      <c r="N786"/>
      <c r="O786"/>
    </row>
    <row r="787" spans="2:15" x14ac:dyDescent="0.5">
      <c r="B787" s="91">
        <v>777</v>
      </c>
      <c r="C787" s="92">
        <v>31.630136193044184</v>
      </c>
      <c r="D787" s="92">
        <v>-708.51381547455185</v>
      </c>
      <c r="E787" s="91">
        <v>1</v>
      </c>
      <c r="N787"/>
      <c r="O787"/>
    </row>
    <row r="788" spans="2:15" x14ac:dyDescent="0.5">
      <c r="B788" s="91">
        <v>778</v>
      </c>
      <c r="C788" s="92">
        <v>108.48372511047846</v>
      </c>
      <c r="D788" s="92">
        <v>8796.1876797087552</v>
      </c>
      <c r="E788" s="91">
        <v>0</v>
      </c>
      <c r="N788"/>
      <c r="O788"/>
    </row>
    <row r="789" spans="2:15" x14ac:dyDescent="0.5">
      <c r="B789" s="91">
        <v>779</v>
      </c>
      <c r="C789" s="92">
        <v>64.371829753988109</v>
      </c>
      <c r="D789" s="92">
        <v>3394.1892990006099</v>
      </c>
      <c r="E789" s="91">
        <v>0</v>
      </c>
      <c r="N789"/>
      <c r="O789"/>
    </row>
    <row r="790" spans="2:15" x14ac:dyDescent="0.5">
      <c r="B790" s="91">
        <v>780</v>
      </c>
      <c r="C790" s="92">
        <v>110.85372320800916</v>
      </c>
      <c r="D790" s="92">
        <v>9086.4206379998686</v>
      </c>
      <c r="E790" s="91">
        <v>0</v>
      </c>
      <c r="N790"/>
      <c r="O790"/>
    </row>
    <row r="791" spans="2:15" x14ac:dyDescent="0.5">
      <c r="B791" s="91">
        <v>781</v>
      </c>
      <c r="C791" s="92">
        <v>76.626905763509882</v>
      </c>
      <c r="D791" s="92">
        <v>4894.9613747384819</v>
      </c>
      <c r="E791" s="91">
        <v>0</v>
      </c>
      <c r="N791"/>
      <c r="O791"/>
    </row>
    <row r="792" spans="2:15" x14ac:dyDescent="0.5">
      <c r="B792" s="91">
        <v>782</v>
      </c>
      <c r="C792" s="92">
        <v>88.736462605148333</v>
      </c>
      <c r="D792" s="92">
        <v>6377.9129895119177</v>
      </c>
      <c r="E792" s="91">
        <v>0</v>
      </c>
      <c r="N792"/>
      <c r="O792"/>
    </row>
    <row r="793" spans="2:15" x14ac:dyDescent="0.5">
      <c r="B793" s="91">
        <v>783</v>
      </c>
      <c r="C793" s="92">
        <v>32.726899776892459</v>
      </c>
      <c r="D793" s="92">
        <v>-566.3732795124439</v>
      </c>
      <c r="E793" s="91">
        <v>1</v>
      </c>
      <c r="N793"/>
      <c r="O793"/>
    </row>
    <row r="794" spans="2:15" x14ac:dyDescent="0.5">
      <c r="B794" s="91">
        <v>784</v>
      </c>
      <c r="C794" s="92">
        <v>32.992048790594538</v>
      </c>
      <c r="D794" s="92">
        <v>-532.0099732607913</v>
      </c>
      <c r="E794" s="91">
        <v>1</v>
      </c>
      <c r="N794"/>
      <c r="O794"/>
    </row>
    <row r="795" spans="2:15" x14ac:dyDescent="0.5">
      <c r="B795" s="91">
        <v>785</v>
      </c>
      <c r="C795" s="92">
        <v>34.773327749891415</v>
      </c>
      <c r="D795" s="92">
        <v>-301.15625993444735</v>
      </c>
      <c r="E795" s="91">
        <v>1</v>
      </c>
      <c r="N795"/>
      <c r="O795"/>
    </row>
    <row r="796" spans="2:15" x14ac:dyDescent="0.5">
      <c r="B796" s="91">
        <v>786</v>
      </c>
      <c r="C796" s="92">
        <v>34.958061352426547</v>
      </c>
      <c r="D796" s="92">
        <v>-277.21478917333604</v>
      </c>
      <c r="E796" s="91">
        <v>1</v>
      </c>
      <c r="N796"/>
      <c r="O796"/>
    </row>
    <row r="797" spans="2:15" x14ac:dyDescent="0.5">
      <c r="B797" s="91">
        <v>787</v>
      </c>
      <c r="C797" s="92">
        <v>43.922540323808221</v>
      </c>
      <c r="D797" s="92">
        <v>860.70149226238243</v>
      </c>
      <c r="E797" s="91">
        <v>0</v>
      </c>
      <c r="N797"/>
      <c r="O797"/>
    </row>
    <row r="798" spans="2:15" x14ac:dyDescent="0.5">
      <c r="B798" s="91">
        <v>788</v>
      </c>
      <c r="C798" s="92">
        <v>83.647278935391356</v>
      </c>
      <c r="D798" s="92">
        <v>5754.6851340552712</v>
      </c>
      <c r="E798" s="91">
        <v>0</v>
      </c>
      <c r="N798"/>
      <c r="O798"/>
    </row>
    <row r="799" spans="2:15" x14ac:dyDescent="0.5">
      <c r="B799" s="91">
        <v>789</v>
      </c>
      <c r="C799" s="92">
        <v>69.497650981329599</v>
      </c>
      <c r="D799" s="92">
        <v>4021.903836000753</v>
      </c>
      <c r="E799" s="91">
        <v>0</v>
      </c>
      <c r="N799"/>
      <c r="O799"/>
    </row>
    <row r="800" spans="2:15" x14ac:dyDescent="0.5">
      <c r="B800" s="91">
        <v>790</v>
      </c>
      <c r="C800" s="92">
        <v>60.470988907850909</v>
      </c>
      <c r="D800" s="92">
        <v>2916.4874055785017</v>
      </c>
      <c r="E800" s="91">
        <v>0</v>
      </c>
      <c r="N800"/>
      <c r="O800"/>
    </row>
    <row r="801" spans="2:15" x14ac:dyDescent="0.5">
      <c r="B801" s="91">
        <v>791</v>
      </c>
      <c r="C801" s="92">
        <v>26.921158588372201</v>
      </c>
      <c r="D801" s="92">
        <v>-1333.7011406861286</v>
      </c>
      <c r="E801" s="91">
        <v>1</v>
      </c>
      <c r="N801"/>
      <c r="O801"/>
    </row>
    <row r="802" spans="2:15" x14ac:dyDescent="0.5">
      <c r="B802" s="91">
        <v>792</v>
      </c>
      <c r="C802" s="92">
        <v>186.10091122429154</v>
      </c>
      <c r="D802" s="92">
        <v>18267.66348559891</v>
      </c>
      <c r="E802" s="91">
        <v>0</v>
      </c>
      <c r="N802"/>
      <c r="O802"/>
    </row>
    <row r="803" spans="2:15" x14ac:dyDescent="0.5">
      <c r="B803" s="91">
        <v>793</v>
      </c>
      <c r="C803" s="92">
        <v>65.5417793089821</v>
      </c>
      <c r="D803" s="92">
        <v>3537.46279814437</v>
      </c>
      <c r="E803" s="91">
        <v>0</v>
      </c>
      <c r="N803"/>
      <c r="O803"/>
    </row>
    <row r="804" spans="2:15" x14ac:dyDescent="0.5">
      <c r="B804" s="91">
        <v>794</v>
      </c>
      <c r="C804" s="92">
        <v>52.163268973239795</v>
      </c>
      <c r="D804" s="92">
        <v>1890.2610254405777</v>
      </c>
      <c r="E804" s="91">
        <v>0</v>
      </c>
      <c r="N804"/>
      <c r="O804"/>
    </row>
    <row r="805" spans="2:15" x14ac:dyDescent="0.5">
      <c r="B805" s="91">
        <v>795</v>
      </c>
      <c r="C805" s="92">
        <v>46.659604137486859</v>
      </c>
      <c r="D805" s="92">
        <v>1203.7465377358847</v>
      </c>
      <c r="E805" s="91">
        <v>0</v>
      </c>
      <c r="N805"/>
      <c r="O805"/>
    </row>
    <row r="806" spans="2:15" x14ac:dyDescent="0.5">
      <c r="B806" s="91">
        <v>796</v>
      </c>
      <c r="C806" s="92">
        <v>47.283155471716512</v>
      </c>
      <c r="D806" s="92">
        <v>1281.898239839747</v>
      </c>
      <c r="E806" s="91">
        <v>0</v>
      </c>
      <c r="N806"/>
      <c r="O806"/>
    </row>
    <row r="807" spans="2:15" x14ac:dyDescent="0.5">
      <c r="B807" s="91">
        <v>797</v>
      </c>
      <c r="C807" s="92">
        <v>55.505818770750167</v>
      </c>
      <c r="D807" s="92">
        <v>2305.2624670314108</v>
      </c>
      <c r="E807" s="91">
        <v>0</v>
      </c>
      <c r="N807"/>
      <c r="O807"/>
    </row>
    <row r="808" spans="2:15" x14ac:dyDescent="0.5">
      <c r="B808" s="91">
        <v>798</v>
      </c>
      <c r="C808" s="92">
        <v>63.936216235356788</v>
      </c>
      <c r="D808" s="92">
        <v>3340.8435177041197</v>
      </c>
      <c r="E808" s="91">
        <v>0</v>
      </c>
      <c r="N808"/>
      <c r="O808"/>
    </row>
    <row r="809" spans="2:15" x14ac:dyDescent="0.5">
      <c r="B809" s="91">
        <v>799</v>
      </c>
      <c r="C809" s="92">
        <v>32.659377240840705</v>
      </c>
      <c r="D809" s="92">
        <v>-575.12419867611743</v>
      </c>
      <c r="E809" s="91">
        <v>1</v>
      </c>
      <c r="N809"/>
      <c r="O809"/>
    </row>
    <row r="810" spans="2:15" x14ac:dyDescent="0.5">
      <c r="B810" s="91">
        <v>800</v>
      </c>
      <c r="C810" s="92">
        <v>76.668725593556658</v>
      </c>
      <c r="D810" s="92">
        <v>4900.0826839084584</v>
      </c>
      <c r="E810" s="91">
        <v>0</v>
      </c>
      <c r="N810"/>
      <c r="O810"/>
    </row>
    <row r="811" spans="2:15" x14ac:dyDescent="0.5">
      <c r="B811" s="91">
        <v>801</v>
      </c>
      <c r="C811" s="92">
        <v>69.725826901873049</v>
      </c>
      <c r="D811" s="92">
        <v>4049.8465472202793</v>
      </c>
      <c r="E811" s="91">
        <v>0</v>
      </c>
      <c r="N811"/>
      <c r="O811"/>
    </row>
    <row r="812" spans="2:15" x14ac:dyDescent="0.5">
      <c r="B812" s="91">
        <v>802</v>
      </c>
      <c r="C812" s="92">
        <v>24.841769920542745</v>
      </c>
      <c r="D812" s="92">
        <v>-1620.0160786514762</v>
      </c>
      <c r="E812" s="91">
        <v>1</v>
      </c>
      <c r="N812"/>
      <c r="O812"/>
    </row>
    <row r="813" spans="2:15" x14ac:dyDescent="0.5">
      <c r="B813" s="91">
        <v>803</v>
      </c>
      <c r="C813" s="92">
        <v>92.338203525078114</v>
      </c>
      <c r="D813" s="92">
        <v>6818.9867284649226</v>
      </c>
      <c r="E813" s="91">
        <v>0</v>
      </c>
      <c r="N813"/>
      <c r="O813"/>
    </row>
    <row r="814" spans="2:15" x14ac:dyDescent="0.5">
      <c r="B814" s="91">
        <v>804</v>
      </c>
      <c r="C814" s="92">
        <v>93.514972485863851</v>
      </c>
      <c r="D814" s="92">
        <v>6963.0953406489798</v>
      </c>
      <c r="E814" s="91">
        <v>0</v>
      </c>
      <c r="N814"/>
      <c r="O814"/>
    </row>
    <row r="815" spans="2:15" x14ac:dyDescent="0.5">
      <c r="B815" s="91">
        <v>805</v>
      </c>
      <c r="C815" s="92">
        <v>24.160731482697901</v>
      </c>
      <c r="D815" s="92">
        <v>-1716.8365575499529</v>
      </c>
      <c r="E815" s="91">
        <v>1</v>
      </c>
      <c r="N815"/>
      <c r="O815"/>
    </row>
    <row r="816" spans="2:15" x14ac:dyDescent="0.5">
      <c r="B816" s="91">
        <v>806</v>
      </c>
      <c r="C816" s="92">
        <v>30.744882027248018</v>
      </c>
      <c r="D816" s="92">
        <v>-823.24273558279197</v>
      </c>
      <c r="E816" s="91">
        <v>1</v>
      </c>
      <c r="N816"/>
      <c r="O816"/>
    </row>
    <row r="817" spans="2:15" x14ac:dyDescent="0.5">
      <c r="B817" s="91">
        <v>807</v>
      </c>
      <c r="C817" s="92">
        <v>74.579917636926055</v>
      </c>
      <c r="D817" s="92">
        <v>4644.2846251730698</v>
      </c>
      <c r="E817" s="91">
        <v>0</v>
      </c>
      <c r="N817"/>
      <c r="O817"/>
    </row>
    <row r="818" spans="2:15" x14ac:dyDescent="0.5">
      <c r="B818" s="91">
        <v>808</v>
      </c>
      <c r="C818" s="92">
        <v>52.962039114629178</v>
      </c>
      <c r="D818" s="92">
        <v>1989.7778643833192</v>
      </c>
      <c r="E818" s="91">
        <v>0</v>
      </c>
      <c r="N818"/>
      <c r="O818"/>
    </row>
    <row r="819" spans="2:15" x14ac:dyDescent="0.5">
      <c r="B819" s="91">
        <v>809</v>
      </c>
      <c r="C819" s="92">
        <v>70.979452379380788</v>
      </c>
      <c r="D819" s="92">
        <v>4203.3671054457345</v>
      </c>
      <c r="E819" s="91">
        <v>0</v>
      </c>
      <c r="N819"/>
      <c r="O819"/>
    </row>
    <row r="820" spans="2:15" x14ac:dyDescent="0.5">
      <c r="B820" s="91">
        <v>810</v>
      </c>
      <c r="C820" s="92">
        <v>64.348163690320519</v>
      </c>
      <c r="D820" s="92">
        <v>3391.2911229740098</v>
      </c>
      <c r="E820" s="91">
        <v>0</v>
      </c>
      <c r="N820"/>
      <c r="O820"/>
    </row>
    <row r="821" spans="2:15" x14ac:dyDescent="0.5">
      <c r="B821" s="91">
        <v>811</v>
      </c>
      <c r="C821" s="92">
        <v>96.760451864427253</v>
      </c>
      <c r="D821" s="92">
        <v>7360.540841594604</v>
      </c>
      <c r="E821" s="91">
        <v>0</v>
      </c>
      <c r="N821"/>
      <c r="O821"/>
    </row>
    <row r="822" spans="2:15" x14ac:dyDescent="0.5">
      <c r="B822" s="91">
        <v>812</v>
      </c>
      <c r="C822" s="92">
        <v>72.885022902753391</v>
      </c>
      <c r="D822" s="92">
        <v>4436.725676833199</v>
      </c>
      <c r="E822" s="91">
        <v>0</v>
      </c>
      <c r="N822"/>
      <c r="O822"/>
    </row>
    <row r="823" spans="2:15" x14ac:dyDescent="0.5">
      <c r="B823" s="91">
        <v>813</v>
      </c>
      <c r="C823" s="92">
        <v>43.699381602942502</v>
      </c>
      <c r="D823" s="92">
        <v>832.73228921910356</v>
      </c>
      <c r="E823" s="91">
        <v>0</v>
      </c>
      <c r="N823"/>
      <c r="O823"/>
    </row>
    <row r="824" spans="2:15" x14ac:dyDescent="0.5">
      <c r="B824" s="91">
        <v>814</v>
      </c>
      <c r="C824" s="92">
        <v>32.366730357353624</v>
      </c>
      <c r="D824" s="92">
        <v>-613.05122823752981</v>
      </c>
      <c r="E824" s="91">
        <v>1</v>
      </c>
      <c r="N824"/>
      <c r="O824"/>
    </row>
    <row r="825" spans="2:15" x14ac:dyDescent="0.5">
      <c r="B825" s="91">
        <v>815</v>
      </c>
      <c r="C825" s="92">
        <v>24.891815773224057</v>
      </c>
      <c r="D825" s="92">
        <v>-1613.0136790236595</v>
      </c>
      <c r="E825" s="91">
        <v>1</v>
      </c>
      <c r="N825"/>
      <c r="O825"/>
    </row>
    <row r="826" spans="2:15" x14ac:dyDescent="0.5">
      <c r="B826" s="91">
        <v>816</v>
      </c>
      <c r="C826" s="92">
        <v>41.9266060015417</v>
      </c>
      <c r="D826" s="92">
        <v>609.24170538808858</v>
      </c>
      <c r="E826" s="91">
        <v>0</v>
      </c>
      <c r="N826"/>
      <c r="O826"/>
    </row>
    <row r="827" spans="2:15" x14ac:dyDescent="0.5">
      <c r="B827" s="91">
        <v>817</v>
      </c>
      <c r="C827" s="92">
        <v>58.361609105091922</v>
      </c>
      <c r="D827" s="92">
        <v>2658.170092601697</v>
      </c>
      <c r="E827" s="91">
        <v>0</v>
      </c>
      <c r="N827"/>
      <c r="O827"/>
    </row>
    <row r="828" spans="2:15" x14ac:dyDescent="0.5">
      <c r="B828" s="91">
        <v>818</v>
      </c>
      <c r="C828" s="92">
        <v>40.510575888625546</v>
      </c>
      <c r="D828" s="92">
        <v>430.52692660124302</v>
      </c>
      <c r="E828" s="91">
        <v>0</v>
      </c>
      <c r="N828"/>
      <c r="O828"/>
    </row>
    <row r="829" spans="2:15" x14ac:dyDescent="0.5">
      <c r="B829" s="91">
        <v>819</v>
      </c>
      <c r="C829" s="92">
        <v>36.579058151409271</v>
      </c>
      <c r="D829" s="92">
        <v>-68.870909403037871</v>
      </c>
      <c r="E829" s="91">
        <v>1</v>
      </c>
      <c r="N829"/>
      <c r="O829"/>
    </row>
    <row r="830" spans="2:15" x14ac:dyDescent="0.5">
      <c r="B830" s="91">
        <v>820</v>
      </c>
      <c r="C830" s="92">
        <v>58.282458142211283</v>
      </c>
      <c r="D830" s="92">
        <v>2648.4771657878018</v>
      </c>
      <c r="E830" s="91">
        <v>0</v>
      </c>
      <c r="N830"/>
      <c r="O830"/>
    </row>
    <row r="831" spans="2:15" x14ac:dyDescent="0.5">
      <c r="B831" s="91">
        <v>821</v>
      </c>
      <c r="C831" s="92">
        <v>77.642248249366446</v>
      </c>
      <c r="D831" s="92">
        <v>5019.3014970600307</v>
      </c>
      <c r="E831" s="91">
        <v>0</v>
      </c>
      <c r="N831"/>
      <c r="O831"/>
    </row>
    <row r="832" spans="2:15" x14ac:dyDescent="0.5">
      <c r="B832" s="91">
        <v>822</v>
      </c>
      <c r="C832" s="92">
        <v>152.62083196255239</v>
      </c>
      <c r="D832" s="92">
        <v>14189.439481881229</v>
      </c>
      <c r="E832" s="91">
        <v>0</v>
      </c>
      <c r="N832"/>
      <c r="O832"/>
    </row>
    <row r="833" spans="2:15" x14ac:dyDescent="0.5">
      <c r="B833" s="91">
        <v>823</v>
      </c>
      <c r="C833" s="92">
        <v>42.346972744031724</v>
      </c>
      <c r="D833" s="92">
        <v>662.29548490040349</v>
      </c>
      <c r="E833" s="91">
        <v>0</v>
      </c>
      <c r="N833"/>
      <c r="O833"/>
    </row>
    <row r="834" spans="2:15" x14ac:dyDescent="0.5">
      <c r="B834" s="91">
        <v>824</v>
      </c>
      <c r="C834" s="92">
        <v>81.52645118265599</v>
      </c>
      <c r="D834" s="92">
        <v>5494.9658906754512</v>
      </c>
      <c r="E834" s="91">
        <v>0</v>
      </c>
      <c r="N834"/>
      <c r="O834"/>
    </row>
    <row r="835" spans="2:15" x14ac:dyDescent="0.5">
      <c r="B835" s="91">
        <v>825</v>
      </c>
      <c r="C835" s="92">
        <v>93.988166201575382</v>
      </c>
      <c r="D835" s="92">
        <v>7021.0432403113518</v>
      </c>
      <c r="E835" s="91">
        <v>0</v>
      </c>
      <c r="N835"/>
      <c r="O835"/>
    </row>
    <row r="836" spans="2:15" x14ac:dyDescent="0.5">
      <c r="B836" s="91">
        <v>826</v>
      </c>
      <c r="C836" s="92">
        <v>203.31079189027113</v>
      </c>
      <c r="D836" s="92">
        <v>20364.007042148442</v>
      </c>
      <c r="E836" s="91">
        <v>0</v>
      </c>
      <c r="N836"/>
      <c r="O836"/>
    </row>
    <row r="837" spans="2:15" x14ac:dyDescent="0.5">
      <c r="B837" s="91">
        <v>827</v>
      </c>
      <c r="C837" s="92">
        <v>36.869715376756446</v>
      </c>
      <c r="D837" s="92">
        <v>-31.537557397936517</v>
      </c>
      <c r="E837" s="91">
        <v>1</v>
      </c>
      <c r="N837"/>
      <c r="O837"/>
    </row>
    <row r="838" spans="2:15" x14ac:dyDescent="0.5">
      <c r="B838" s="91">
        <v>828</v>
      </c>
      <c r="C838" s="92">
        <v>76.037056803241754</v>
      </c>
      <c r="D838" s="92">
        <v>4822.7277265925522</v>
      </c>
      <c r="E838" s="91">
        <v>0</v>
      </c>
      <c r="N838"/>
      <c r="O838"/>
    </row>
    <row r="839" spans="2:15" x14ac:dyDescent="0.5">
      <c r="B839" s="91">
        <v>829</v>
      </c>
      <c r="C839" s="92">
        <v>58.117550278052306</v>
      </c>
      <c r="D839" s="92">
        <v>2628.2823406062134</v>
      </c>
      <c r="E839" s="91">
        <v>0</v>
      </c>
      <c r="N839"/>
      <c r="O839"/>
    </row>
    <row r="840" spans="2:15" x14ac:dyDescent="0.5">
      <c r="B840" s="91">
        <v>830</v>
      </c>
      <c r="C840" s="92">
        <v>109.11366553907374</v>
      </c>
      <c r="D840" s="92">
        <v>8873.3309796670419</v>
      </c>
      <c r="E840" s="91">
        <v>0</v>
      </c>
      <c r="N840"/>
      <c r="O840"/>
    </row>
    <row r="841" spans="2:15" x14ac:dyDescent="0.5">
      <c r="B841" s="91">
        <v>831</v>
      </c>
      <c r="C841" s="92">
        <v>63.381683369583932</v>
      </c>
      <c r="D841" s="92">
        <v>3272.9347230639082</v>
      </c>
      <c r="E841" s="91">
        <v>0</v>
      </c>
      <c r="N841"/>
      <c r="O841"/>
    </row>
    <row r="842" spans="2:15" x14ac:dyDescent="0.5">
      <c r="B842" s="91">
        <v>832</v>
      </c>
      <c r="C842" s="92">
        <v>43.689915759445171</v>
      </c>
      <c r="D842" s="92">
        <v>831.54590448932152</v>
      </c>
      <c r="E842" s="91">
        <v>0</v>
      </c>
      <c r="N842"/>
      <c r="O842"/>
    </row>
    <row r="843" spans="2:15" x14ac:dyDescent="0.5">
      <c r="B843" s="91">
        <v>833</v>
      </c>
      <c r="C843" s="92">
        <v>35.748684465210168</v>
      </c>
      <c r="D843" s="92">
        <v>-175.52792811508266</v>
      </c>
      <c r="E843" s="91">
        <v>1</v>
      </c>
      <c r="N843"/>
      <c r="O843"/>
    </row>
    <row r="844" spans="2:15" x14ac:dyDescent="0.5">
      <c r="B844" s="91">
        <v>834</v>
      </c>
      <c r="C844" s="92">
        <v>123.4708848572715</v>
      </c>
      <c r="D844" s="92">
        <v>10631.534178182854</v>
      </c>
      <c r="E844" s="91">
        <v>0</v>
      </c>
      <c r="N844"/>
      <c r="O844"/>
    </row>
    <row r="845" spans="2:15" x14ac:dyDescent="0.5">
      <c r="B845" s="91">
        <v>835</v>
      </c>
      <c r="C845" s="92">
        <v>70.976240275499578</v>
      </c>
      <c r="D845" s="92">
        <v>4202.9737471503195</v>
      </c>
      <c r="E845" s="91">
        <v>0</v>
      </c>
      <c r="N845"/>
      <c r="O845"/>
    </row>
    <row r="846" spans="2:15" x14ac:dyDescent="0.5">
      <c r="B846" s="91">
        <v>836</v>
      </c>
      <c r="C846" s="92">
        <v>73.871710880816295</v>
      </c>
      <c r="D846" s="92">
        <v>4557.5567319643596</v>
      </c>
      <c r="E846" s="91">
        <v>0</v>
      </c>
      <c r="N846"/>
      <c r="O846"/>
    </row>
    <row r="847" spans="2:15" x14ac:dyDescent="0.5">
      <c r="B847" s="91">
        <v>837</v>
      </c>
      <c r="C847" s="92">
        <v>80.772085888542975</v>
      </c>
      <c r="D847" s="92">
        <v>5402.5853646443638</v>
      </c>
      <c r="E847" s="91">
        <v>0</v>
      </c>
      <c r="N847"/>
      <c r="O847"/>
    </row>
    <row r="848" spans="2:15" x14ac:dyDescent="0.5">
      <c r="B848" s="91">
        <v>838</v>
      </c>
      <c r="C848" s="92">
        <v>124.03401915180471</v>
      </c>
      <c r="D848" s="92">
        <v>10700.496314645256</v>
      </c>
      <c r="E848" s="91">
        <v>0</v>
      </c>
      <c r="N848"/>
      <c r="O848"/>
    </row>
    <row r="849" spans="2:15" x14ac:dyDescent="0.5">
      <c r="B849" s="91">
        <v>839</v>
      </c>
      <c r="C849" s="92">
        <v>57.94765375948537</v>
      </c>
      <c r="D849" s="92">
        <v>2607.4765985094496</v>
      </c>
      <c r="E849" s="91">
        <v>0</v>
      </c>
      <c r="N849"/>
      <c r="O849"/>
    </row>
    <row r="850" spans="2:15" x14ac:dyDescent="0.5">
      <c r="B850" s="91">
        <v>840</v>
      </c>
      <c r="C850" s="92">
        <v>49.759725860335934</v>
      </c>
      <c r="D850" s="92">
        <v>1590.8094054254148</v>
      </c>
      <c r="E850" s="91">
        <v>0</v>
      </c>
      <c r="N850"/>
      <c r="O850"/>
    </row>
    <row r="851" spans="2:15" x14ac:dyDescent="0.5">
      <c r="B851" s="91">
        <v>841</v>
      </c>
      <c r="C851" s="92">
        <v>43.12636361992255</v>
      </c>
      <c r="D851" s="92">
        <v>760.66109641022115</v>
      </c>
      <c r="E851" s="91">
        <v>0</v>
      </c>
      <c r="N851"/>
      <c r="O851"/>
    </row>
    <row r="852" spans="2:15" x14ac:dyDescent="0.5">
      <c r="B852" s="91">
        <v>842</v>
      </c>
      <c r="C852" s="92">
        <v>36.795624996206406</v>
      </c>
      <c r="D852" s="92">
        <v>-41.054066935803853</v>
      </c>
      <c r="E852" s="91">
        <v>1</v>
      </c>
      <c r="N852"/>
      <c r="O852"/>
    </row>
    <row r="853" spans="2:15" x14ac:dyDescent="0.5">
      <c r="B853" s="91">
        <v>843</v>
      </c>
      <c r="C853" s="92">
        <v>65.923138240890324</v>
      </c>
      <c r="D853" s="92">
        <v>3584.164494273909</v>
      </c>
      <c r="E853" s="91">
        <v>0</v>
      </c>
      <c r="N853"/>
      <c r="O853"/>
    </row>
    <row r="854" spans="2:15" x14ac:dyDescent="0.5">
      <c r="B854" s="91">
        <v>844</v>
      </c>
      <c r="C854" s="92">
        <v>52.893534225323947</v>
      </c>
      <c r="D854" s="92">
        <v>1981.2430060022577</v>
      </c>
      <c r="E854" s="91">
        <v>0</v>
      </c>
      <c r="N854"/>
      <c r="O854"/>
    </row>
    <row r="855" spans="2:15" x14ac:dyDescent="0.5">
      <c r="B855" s="91">
        <v>845</v>
      </c>
      <c r="C855" s="92">
        <v>229.46760770813344</v>
      </c>
      <c r="D855" s="92">
        <v>23550.180924691605</v>
      </c>
      <c r="E855" s="91">
        <v>0</v>
      </c>
      <c r="N855"/>
      <c r="O855"/>
    </row>
    <row r="856" spans="2:15" x14ac:dyDescent="0.5">
      <c r="B856" s="91">
        <v>846</v>
      </c>
      <c r="C856" s="92">
        <v>13.456377928182674</v>
      </c>
      <c r="D856" s="92">
        <v>-3719.7196051823689</v>
      </c>
      <c r="E856" s="91">
        <v>1</v>
      </c>
      <c r="N856"/>
      <c r="O856"/>
    </row>
    <row r="857" spans="2:15" x14ac:dyDescent="0.5">
      <c r="B857" s="91">
        <v>847</v>
      </c>
      <c r="C857" s="92">
        <v>45.086467771925037</v>
      </c>
      <c r="D857" s="92">
        <v>1006.5802775401191</v>
      </c>
      <c r="E857" s="91">
        <v>0</v>
      </c>
      <c r="N857"/>
      <c r="O857"/>
    </row>
    <row r="858" spans="2:15" x14ac:dyDescent="0.5">
      <c r="B858" s="91">
        <v>848</v>
      </c>
      <c r="C858" s="92">
        <v>42.930915287173576</v>
      </c>
      <c r="D858" s="92">
        <v>735.99389107829745</v>
      </c>
      <c r="E858" s="91">
        <v>0</v>
      </c>
      <c r="N858"/>
      <c r="O858"/>
    </row>
    <row r="859" spans="2:15" x14ac:dyDescent="0.5">
      <c r="B859" s="91">
        <v>849</v>
      </c>
      <c r="C859" s="92">
        <v>141.87121964990715</v>
      </c>
      <c r="D859" s="92">
        <v>12880.024213734358</v>
      </c>
      <c r="E859" s="91">
        <v>0</v>
      </c>
      <c r="N859"/>
      <c r="O859"/>
    </row>
    <row r="860" spans="2:15" x14ac:dyDescent="0.5">
      <c r="B860" s="91">
        <v>850</v>
      </c>
      <c r="C860" s="92">
        <v>70.863177723504208</v>
      </c>
      <c r="D860" s="92">
        <v>4189.1279643322878</v>
      </c>
      <c r="E860" s="91">
        <v>0</v>
      </c>
      <c r="N860"/>
      <c r="O860"/>
    </row>
    <row r="861" spans="2:15" x14ac:dyDescent="0.5">
      <c r="B861" s="91">
        <v>851</v>
      </c>
      <c r="C861" s="92">
        <v>120.92593076845652</v>
      </c>
      <c r="D861" s="92">
        <v>10319.875888380249</v>
      </c>
      <c r="E861" s="91">
        <v>0</v>
      </c>
      <c r="N861"/>
      <c r="O861"/>
    </row>
    <row r="862" spans="2:15" x14ac:dyDescent="0.5">
      <c r="B862" s="91">
        <v>852</v>
      </c>
      <c r="C862" s="92">
        <v>127.43230098509446</v>
      </c>
      <c r="D862" s="92">
        <v>11116.654197054631</v>
      </c>
      <c r="E862" s="91">
        <v>0</v>
      </c>
      <c r="N862"/>
      <c r="O862"/>
    </row>
    <row r="863" spans="2:15" x14ac:dyDescent="0.5">
      <c r="B863" s="91">
        <v>853</v>
      </c>
      <c r="C863" s="92">
        <v>59.098006954015275</v>
      </c>
      <c r="D863" s="92">
        <v>2748.350302617444</v>
      </c>
      <c r="E863" s="91">
        <v>0</v>
      </c>
      <c r="N863"/>
      <c r="O863"/>
    </row>
    <row r="864" spans="2:15" x14ac:dyDescent="0.5">
      <c r="B864" s="91">
        <v>854</v>
      </c>
      <c r="C864" s="92">
        <v>75.027800438625064</v>
      </c>
      <c r="D864" s="92">
        <v>4699.1329183595708</v>
      </c>
      <c r="E864" s="91">
        <v>0</v>
      </c>
      <c r="N864"/>
      <c r="O864"/>
    </row>
    <row r="865" spans="2:15" x14ac:dyDescent="0.5">
      <c r="B865" s="91">
        <v>855</v>
      </c>
      <c r="C865" s="92">
        <v>38.986177156733447</v>
      </c>
      <c r="D865" s="92">
        <v>238.13512668958663</v>
      </c>
      <c r="E865" s="91">
        <v>0</v>
      </c>
      <c r="N865"/>
      <c r="O865"/>
    </row>
    <row r="866" spans="2:15" x14ac:dyDescent="0.5">
      <c r="B866" s="91">
        <v>856</v>
      </c>
      <c r="C866" s="92">
        <v>74.419606365324867</v>
      </c>
      <c r="D866" s="92">
        <v>4624.652704517649</v>
      </c>
      <c r="E866" s="91">
        <v>0</v>
      </c>
      <c r="N866"/>
      <c r="O866"/>
    </row>
    <row r="867" spans="2:15" x14ac:dyDescent="0.5">
      <c r="B867" s="91">
        <v>857</v>
      </c>
      <c r="C867" s="92">
        <v>74.497807582304105</v>
      </c>
      <c r="D867" s="92">
        <v>4634.2293242497472</v>
      </c>
      <c r="E867" s="91">
        <v>0</v>
      </c>
      <c r="N867"/>
      <c r="O867"/>
    </row>
    <row r="868" spans="2:15" x14ac:dyDescent="0.5">
      <c r="B868" s="91">
        <v>858</v>
      </c>
      <c r="C868" s="92">
        <v>57.228239198188646</v>
      </c>
      <c r="D868" s="92">
        <v>2518.7738220737133</v>
      </c>
      <c r="E868" s="91">
        <v>0</v>
      </c>
      <c r="N868"/>
      <c r="O868"/>
    </row>
    <row r="869" spans="2:15" x14ac:dyDescent="0.5">
      <c r="B869" s="91">
        <v>859</v>
      </c>
      <c r="C869" s="92">
        <v>138.19841714026211</v>
      </c>
      <c r="D869" s="92">
        <v>12432.638434308616</v>
      </c>
      <c r="E869" s="91">
        <v>0</v>
      </c>
      <c r="N869"/>
      <c r="O869"/>
    </row>
    <row r="870" spans="2:15" x14ac:dyDescent="0.5">
      <c r="B870" s="91">
        <v>860</v>
      </c>
      <c r="C870" s="92">
        <v>55.534898721875365</v>
      </c>
      <c r="D870" s="92">
        <v>2308.8672197795759</v>
      </c>
      <c r="E870" s="91">
        <v>0</v>
      </c>
      <c r="N870"/>
      <c r="O870"/>
    </row>
    <row r="871" spans="2:15" x14ac:dyDescent="0.5">
      <c r="B871" s="91">
        <v>861</v>
      </c>
      <c r="C871" s="92">
        <v>40.324035649145515</v>
      </c>
      <c r="D871" s="92">
        <v>406.98399673736884</v>
      </c>
      <c r="E871" s="91">
        <v>0</v>
      </c>
      <c r="N871"/>
      <c r="O871"/>
    </row>
    <row r="872" spans="2:15" x14ac:dyDescent="0.5">
      <c r="B872" s="91">
        <v>862</v>
      </c>
      <c r="C872" s="92">
        <v>153.50451737079425</v>
      </c>
      <c r="D872" s="92">
        <v>14297.081611861058</v>
      </c>
      <c r="E872" s="91">
        <v>0</v>
      </c>
      <c r="N872"/>
      <c r="O872"/>
    </row>
    <row r="873" spans="2:15" x14ac:dyDescent="0.5">
      <c r="B873" s="91">
        <v>863</v>
      </c>
      <c r="C873" s="92">
        <v>35.885139236500571</v>
      </c>
      <c r="D873" s="92">
        <v>-158.00104914871457</v>
      </c>
      <c r="E873" s="91">
        <v>1</v>
      </c>
      <c r="N873"/>
      <c r="O873"/>
    </row>
    <row r="874" spans="2:15" x14ac:dyDescent="0.5">
      <c r="B874" s="91">
        <v>864</v>
      </c>
      <c r="C874" s="92">
        <v>34.970619151587158</v>
      </c>
      <c r="D874" s="92">
        <v>-275.58729868269535</v>
      </c>
      <c r="E874" s="91">
        <v>1</v>
      </c>
      <c r="N874"/>
      <c r="O874"/>
    </row>
    <row r="875" spans="2:15" x14ac:dyDescent="0.5">
      <c r="B875" s="91">
        <v>865</v>
      </c>
      <c r="C875" s="92">
        <v>175.02656231584004</v>
      </c>
      <c r="D875" s="92">
        <v>16918.691901902439</v>
      </c>
      <c r="E875" s="91">
        <v>0</v>
      </c>
      <c r="N875"/>
      <c r="O875"/>
    </row>
    <row r="876" spans="2:15" x14ac:dyDescent="0.5">
      <c r="B876" s="91">
        <v>866</v>
      </c>
      <c r="C876" s="92">
        <v>67.363585955731509</v>
      </c>
      <c r="D876" s="92">
        <v>3760.5635394788874</v>
      </c>
      <c r="E876" s="91">
        <v>0</v>
      </c>
      <c r="N876"/>
      <c r="O876"/>
    </row>
    <row r="877" spans="2:15" x14ac:dyDescent="0.5">
      <c r="B877" s="91">
        <v>867</v>
      </c>
      <c r="C877" s="92">
        <v>59.526766784957466</v>
      </c>
      <c r="D877" s="92">
        <v>2800.8567726692158</v>
      </c>
      <c r="E877" s="91">
        <v>0</v>
      </c>
      <c r="N877"/>
      <c r="O877"/>
    </row>
    <row r="878" spans="2:15" x14ac:dyDescent="0.5">
      <c r="B878" s="91">
        <v>868</v>
      </c>
      <c r="C878" s="92">
        <v>79.522242754720466</v>
      </c>
      <c r="D878" s="92">
        <v>5249.5279970004458</v>
      </c>
      <c r="E878" s="91">
        <v>0</v>
      </c>
      <c r="N878"/>
      <c r="O878"/>
    </row>
    <row r="879" spans="2:15" x14ac:dyDescent="0.5">
      <c r="B879" s="91">
        <v>869</v>
      </c>
      <c r="C879" s="92">
        <v>87.23116323335897</v>
      </c>
      <c r="D879" s="92">
        <v>6193.5721285452455</v>
      </c>
      <c r="E879" s="91">
        <v>0</v>
      </c>
      <c r="N879"/>
      <c r="O879"/>
    </row>
    <row r="880" spans="2:15" x14ac:dyDescent="0.5">
      <c r="B880" s="91">
        <v>870</v>
      </c>
      <c r="C880" s="92">
        <v>88.623495419998079</v>
      </c>
      <c r="D880" s="92">
        <v>6364.0788854381044</v>
      </c>
      <c r="E880" s="91">
        <v>0</v>
      </c>
      <c r="N880"/>
      <c r="O880"/>
    </row>
    <row r="881" spans="2:15" x14ac:dyDescent="0.5">
      <c r="B881" s="91">
        <v>871</v>
      </c>
      <c r="C881" s="92">
        <v>34.4387642124534</v>
      </c>
      <c r="D881" s="92">
        <v>-344.51568691137021</v>
      </c>
      <c r="E881" s="91">
        <v>1</v>
      </c>
      <c r="N881"/>
      <c r="O881"/>
    </row>
    <row r="882" spans="2:15" x14ac:dyDescent="0.5">
      <c r="B882" s="91">
        <v>872</v>
      </c>
      <c r="C882" s="92">
        <v>63.812572261501522</v>
      </c>
      <c r="D882" s="92">
        <v>3325.701920609898</v>
      </c>
      <c r="E882" s="91">
        <v>0</v>
      </c>
      <c r="N882"/>
      <c r="O882"/>
    </row>
    <row r="883" spans="2:15" x14ac:dyDescent="0.5">
      <c r="B883" s="91">
        <v>873</v>
      </c>
      <c r="C883" s="92">
        <v>60.473620918107251</v>
      </c>
      <c r="D883" s="92">
        <v>2916.8097248764557</v>
      </c>
      <c r="E883" s="91">
        <v>0</v>
      </c>
      <c r="N883"/>
      <c r="O883"/>
    </row>
    <row r="884" spans="2:15" x14ac:dyDescent="0.5">
      <c r="B884" s="91">
        <v>874</v>
      </c>
      <c r="C884" s="92">
        <v>36.924833047291067</v>
      </c>
      <c r="D884" s="92">
        <v>-24.457990071466519</v>
      </c>
      <c r="E884" s="91">
        <v>1</v>
      </c>
      <c r="N884"/>
      <c r="O884"/>
    </row>
    <row r="885" spans="2:15" x14ac:dyDescent="0.5">
      <c r="B885" s="91">
        <v>875</v>
      </c>
      <c r="C885" s="92">
        <v>63.105991345080319</v>
      </c>
      <c r="D885" s="92">
        <v>3239.1731297814836</v>
      </c>
      <c r="E885" s="91">
        <v>0</v>
      </c>
      <c r="N885"/>
      <c r="O885"/>
    </row>
    <row r="886" spans="2:15" x14ac:dyDescent="0.5">
      <c r="B886" s="91">
        <v>876</v>
      </c>
      <c r="C886" s="92">
        <v>100.84537671439332</v>
      </c>
      <c r="D886" s="92">
        <v>7860.7858944652316</v>
      </c>
      <c r="E886" s="91">
        <v>0</v>
      </c>
      <c r="N886"/>
      <c r="O886"/>
    </row>
    <row r="887" spans="2:15" x14ac:dyDescent="0.5">
      <c r="B887" s="91">
        <v>877</v>
      </c>
      <c r="C887" s="92">
        <v>84.263701916717082</v>
      </c>
      <c r="D887" s="92">
        <v>5830.1730703600269</v>
      </c>
      <c r="E887" s="91">
        <v>0</v>
      </c>
      <c r="N887"/>
      <c r="O887"/>
    </row>
    <row r="888" spans="2:15" x14ac:dyDescent="0.5">
      <c r="B888" s="91">
        <v>878</v>
      </c>
      <c r="C888" s="92">
        <v>63.426753191002994</v>
      </c>
      <c r="D888" s="92">
        <v>3278.4540302792739</v>
      </c>
      <c r="E888" s="91">
        <v>0</v>
      </c>
      <c r="N888"/>
      <c r="O888"/>
    </row>
    <row r="889" spans="2:15" x14ac:dyDescent="0.5">
      <c r="B889" s="91">
        <v>879</v>
      </c>
      <c r="C889" s="92">
        <v>111.06100014093502</v>
      </c>
      <c r="D889" s="92">
        <v>9111.8040328183106</v>
      </c>
      <c r="E889" s="91">
        <v>0</v>
      </c>
      <c r="N889"/>
      <c r="O889"/>
    </row>
    <row r="890" spans="2:15" x14ac:dyDescent="0.5">
      <c r="B890" s="91">
        <v>880</v>
      </c>
      <c r="C890" s="92">
        <v>84.113053525252838</v>
      </c>
      <c r="D890" s="92">
        <v>5811.7244782020771</v>
      </c>
      <c r="E890" s="91">
        <v>0</v>
      </c>
      <c r="N890"/>
      <c r="O890"/>
    </row>
    <row r="891" spans="2:15" x14ac:dyDescent="0.5">
      <c r="B891" s="91">
        <v>881</v>
      </c>
      <c r="C891" s="92">
        <v>39.383159007986521</v>
      </c>
      <c r="D891" s="92">
        <v>288.23753841230098</v>
      </c>
      <c r="E891" s="91">
        <v>0</v>
      </c>
      <c r="N891"/>
      <c r="O891"/>
    </row>
    <row r="892" spans="2:15" x14ac:dyDescent="0.5">
      <c r="B892" s="91">
        <v>882</v>
      </c>
      <c r="C892" s="92">
        <v>74.508716204851709</v>
      </c>
      <c r="D892" s="92">
        <v>4635.5652079351275</v>
      </c>
      <c r="E892" s="91">
        <v>0</v>
      </c>
      <c r="N892"/>
      <c r="O892"/>
    </row>
    <row r="893" spans="2:15" x14ac:dyDescent="0.5">
      <c r="B893" s="91">
        <v>883</v>
      </c>
      <c r="C893" s="92">
        <v>129.63328583720184</v>
      </c>
      <c r="D893" s="92">
        <v>11386.189579992968</v>
      </c>
      <c r="E893" s="91">
        <v>0</v>
      </c>
      <c r="N893"/>
      <c r="O893"/>
    </row>
    <row r="894" spans="2:15" x14ac:dyDescent="0.5">
      <c r="B894" s="91">
        <v>884</v>
      </c>
      <c r="C894" s="92">
        <v>31.392235068852496</v>
      </c>
      <c r="D894" s="92">
        <v>-739.3457958544484</v>
      </c>
      <c r="E894" s="91">
        <v>1</v>
      </c>
      <c r="N894"/>
      <c r="O894"/>
    </row>
    <row r="895" spans="2:15" x14ac:dyDescent="0.5">
      <c r="B895" s="91">
        <v>885</v>
      </c>
      <c r="C895" s="92">
        <v>163.65824468933624</v>
      </c>
      <c r="D895" s="92">
        <v>15533.911852134834</v>
      </c>
      <c r="E895" s="91">
        <v>0</v>
      </c>
      <c r="N895"/>
      <c r="O895"/>
    </row>
    <row r="896" spans="2:15" x14ac:dyDescent="0.5">
      <c r="B896" s="91">
        <v>886</v>
      </c>
      <c r="C896" s="92">
        <v>99.440682756844069</v>
      </c>
      <c r="D896" s="92">
        <v>7688.7652995044409</v>
      </c>
      <c r="E896" s="91">
        <v>0</v>
      </c>
      <c r="N896"/>
      <c r="O896"/>
    </row>
    <row r="897" spans="2:15" x14ac:dyDescent="0.5">
      <c r="B897" s="91">
        <v>887</v>
      </c>
      <c r="C897" s="92">
        <v>49.719675732387991</v>
      </c>
      <c r="D897" s="92">
        <v>1585.8196569031447</v>
      </c>
      <c r="E897" s="91">
        <v>0</v>
      </c>
      <c r="N897"/>
      <c r="O897"/>
    </row>
    <row r="898" spans="2:15" x14ac:dyDescent="0.5">
      <c r="B898" s="91">
        <v>888</v>
      </c>
      <c r="C898" s="92">
        <v>61.774457288731348</v>
      </c>
      <c r="D898" s="92">
        <v>3076.1117886596589</v>
      </c>
      <c r="E898" s="91">
        <v>0</v>
      </c>
      <c r="N898"/>
      <c r="O898"/>
    </row>
    <row r="899" spans="2:15" x14ac:dyDescent="0.5">
      <c r="B899" s="91">
        <v>889</v>
      </c>
      <c r="C899" s="92">
        <v>38.746035685808614</v>
      </c>
      <c r="D899" s="92">
        <v>207.82727556239871</v>
      </c>
      <c r="E899" s="91">
        <v>0</v>
      </c>
      <c r="N899"/>
      <c r="O899"/>
    </row>
    <row r="900" spans="2:15" x14ac:dyDescent="0.5">
      <c r="B900" s="91">
        <v>890</v>
      </c>
      <c r="C900" s="92">
        <v>43.980690515183369</v>
      </c>
      <c r="D900" s="92">
        <v>867.98964350857841</v>
      </c>
      <c r="E900" s="91">
        <v>0</v>
      </c>
      <c r="N900"/>
      <c r="O900"/>
    </row>
    <row r="901" spans="2:15" x14ac:dyDescent="0.5">
      <c r="B901" s="91">
        <v>891</v>
      </c>
      <c r="C901" s="92">
        <v>192.8725602454754</v>
      </c>
      <c r="D901" s="92">
        <v>19092.521197763974</v>
      </c>
      <c r="E901" s="91">
        <v>0</v>
      </c>
      <c r="N901"/>
      <c r="O901"/>
    </row>
    <row r="902" spans="2:15" x14ac:dyDescent="0.5">
      <c r="B902" s="91">
        <v>892</v>
      </c>
      <c r="C902" s="92">
        <v>73.389991083038581</v>
      </c>
      <c r="D902" s="92">
        <v>4498.5647175310605</v>
      </c>
      <c r="E902" s="91">
        <v>0</v>
      </c>
      <c r="N902"/>
      <c r="O902"/>
    </row>
    <row r="903" spans="2:15" x14ac:dyDescent="0.5">
      <c r="B903" s="91">
        <v>893</v>
      </c>
      <c r="C903" s="92">
        <v>72.683169281989862</v>
      </c>
      <c r="D903" s="92">
        <v>4412.006427667131</v>
      </c>
      <c r="E903" s="91">
        <v>0</v>
      </c>
      <c r="N903"/>
      <c r="O903"/>
    </row>
    <row r="904" spans="2:15" x14ac:dyDescent="0.5">
      <c r="B904" s="91">
        <v>894</v>
      </c>
      <c r="C904" s="92">
        <v>116.48450406167802</v>
      </c>
      <c r="D904" s="92">
        <v>9775.9731681694029</v>
      </c>
      <c r="E904" s="91">
        <v>0</v>
      </c>
      <c r="N904"/>
      <c r="O904"/>
    </row>
    <row r="905" spans="2:15" x14ac:dyDescent="0.5">
      <c r="B905" s="91">
        <v>895</v>
      </c>
      <c r="C905" s="92">
        <v>70.633375256537704</v>
      </c>
      <c r="D905" s="92">
        <v>4160.9860641848672</v>
      </c>
      <c r="E905" s="91">
        <v>0</v>
      </c>
      <c r="N905"/>
      <c r="O905"/>
    </row>
    <row r="906" spans="2:15" x14ac:dyDescent="0.5">
      <c r="B906" s="91">
        <v>896</v>
      </c>
      <c r="C906" s="92">
        <v>66.153348211146465</v>
      </c>
      <c r="D906" s="92">
        <v>3612.3562977885022</v>
      </c>
      <c r="E906" s="91">
        <v>0</v>
      </c>
      <c r="N906"/>
      <c r="O906"/>
    </row>
    <row r="907" spans="2:15" x14ac:dyDescent="0.5">
      <c r="B907" s="91">
        <v>897</v>
      </c>
      <c r="C907" s="92">
        <v>39.780797929768667</v>
      </c>
      <c r="D907" s="92">
        <v>338.42287790129473</v>
      </c>
      <c r="E907" s="91">
        <v>0</v>
      </c>
      <c r="N907"/>
      <c r="O907"/>
    </row>
    <row r="908" spans="2:15" x14ac:dyDescent="0.5">
      <c r="B908" s="91">
        <v>898</v>
      </c>
      <c r="C908" s="92">
        <v>53.933679718321699</v>
      </c>
      <c r="D908" s="92">
        <v>2110.3800016056371</v>
      </c>
      <c r="E908" s="91">
        <v>0</v>
      </c>
      <c r="N908"/>
      <c r="O908"/>
    </row>
    <row r="909" spans="2:15" x14ac:dyDescent="0.5">
      <c r="B909" s="91">
        <v>899</v>
      </c>
      <c r="C909" s="92">
        <v>55.389481934080877</v>
      </c>
      <c r="D909" s="92">
        <v>2290.8413447299667</v>
      </c>
      <c r="E909" s="91">
        <v>0</v>
      </c>
      <c r="N909"/>
      <c r="O909"/>
    </row>
    <row r="910" spans="2:15" x14ac:dyDescent="0.5">
      <c r="B910" s="91">
        <v>900</v>
      </c>
      <c r="C910" s="92">
        <v>33.910233389668043</v>
      </c>
      <c r="D910" s="92">
        <v>-413.01326973556189</v>
      </c>
      <c r="E910" s="91">
        <v>1</v>
      </c>
      <c r="N910"/>
      <c r="O910"/>
    </row>
    <row r="911" spans="2:15" x14ac:dyDescent="0.5">
      <c r="B911" s="91">
        <v>901</v>
      </c>
      <c r="C911" s="92">
        <v>55.881384938585413</v>
      </c>
      <c r="D911" s="92">
        <v>2351.8176751125175</v>
      </c>
      <c r="E911" s="91">
        <v>0</v>
      </c>
      <c r="N911"/>
      <c r="O911"/>
    </row>
    <row r="912" spans="2:15" x14ac:dyDescent="0.5">
      <c r="B912" s="91">
        <v>902</v>
      </c>
      <c r="C912" s="92">
        <v>94.517385552305313</v>
      </c>
      <c r="D912" s="92">
        <v>7085.8521099502268</v>
      </c>
      <c r="E912" s="91">
        <v>0</v>
      </c>
      <c r="N912"/>
      <c r="O912"/>
    </row>
    <row r="913" spans="2:15" x14ac:dyDescent="0.5">
      <c r="B913" s="91">
        <v>903</v>
      </c>
      <c r="C913" s="92">
        <v>44.81269888612119</v>
      </c>
      <c r="D913" s="92">
        <v>972.26793910998731</v>
      </c>
      <c r="E913" s="91">
        <v>0</v>
      </c>
      <c r="N913"/>
      <c r="O913"/>
    </row>
    <row r="914" spans="2:15" x14ac:dyDescent="0.5">
      <c r="B914" s="91">
        <v>904</v>
      </c>
      <c r="C914" s="92">
        <v>42.968225230728649</v>
      </c>
      <c r="D914" s="92">
        <v>740.70271629901367</v>
      </c>
      <c r="E914" s="91">
        <v>0</v>
      </c>
      <c r="N914"/>
      <c r="O914"/>
    </row>
    <row r="915" spans="2:15" x14ac:dyDescent="0.5">
      <c r="B915" s="91">
        <v>905</v>
      </c>
      <c r="C915" s="92">
        <v>99.425694730360377</v>
      </c>
      <c r="D915" s="92">
        <v>7686.9298468642728</v>
      </c>
      <c r="E915" s="91">
        <v>0</v>
      </c>
      <c r="N915"/>
      <c r="O915"/>
    </row>
    <row r="916" spans="2:15" x14ac:dyDescent="0.5">
      <c r="B916" s="91">
        <v>906</v>
      </c>
      <c r="C916" s="92">
        <v>22.193158804476461</v>
      </c>
      <c r="D916" s="92">
        <v>-2082.9397167986626</v>
      </c>
      <c r="E916" s="91">
        <v>1</v>
      </c>
      <c r="N916"/>
      <c r="O916"/>
    </row>
    <row r="917" spans="2:15" x14ac:dyDescent="0.5">
      <c r="B917" s="91">
        <v>907</v>
      </c>
      <c r="C917" s="92">
        <v>56.548648211922128</v>
      </c>
      <c r="D917" s="92">
        <v>2434.5316765203852</v>
      </c>
      <c r="E917" s="91">
        <v>0</v>
      </c>
      <c r="N917"/>
      <c r="O917"/>
    </row>
    <row r="918" spans="2:15" x14ac:dyDescent="0.5">
      <c r="B918" s="91">
        <v>908</v>
      </c>
      <c r="C918" s="92">
        <v>49.473260796673451</v>
      </c>
      <c r="D918" s="92">
        <v>1555.1194163709483</v>
      </c>
      <c r="E918" s="91">
        <v>0</v>
      </c>
      <c r="N918"/>
      <c r="O918"/>
    </row>
    <row r="919" spans="2:15" x14ac:dyDescent="0.5">
      <c r="B919" s="91">
        <v>909</v>
      </c>
      <c r="C919" s="92">
        <v>83.872472190781977</v>
      </c>
      <c r="D919" s="92">
        <v>5782.2625843356409</v>
      </c>
      <c r="E919" s="91">
        <v>0</v>
      </c>
      <c r="N919"/>
      <c r="O919"/>
    </row>
    <row r="920" spans="2:15" x14ac:dyDescent="0.5">
      <c r="B920" s="91">
        <v>910</v>
      </c>
      <c r="C920" s="92">
        <v>59.958185981684146</v>
      </c>
      <c r="D920" s="92">
        <v>2853.6889120114438</v>
      </c>
      <c r="E920" s="91">
        <v>0</v>
      </c>
      <c r="N920"/>
      <c r="O920"/>
    </row>
    <row r="921" spans="2:15" x14ac:dyDescent="0.5">
      <c r="B921" s="91">
        <v>911</v>
      </c>
      <c r="C921" s="92">
        <v>34.152007411928224</v>
      </c>
      <c r="D921" s="92">
        <v>-381.67936185252034</v>
      </c>
      <c r="E921" s="91">
        <v>1</v>
      </c>
      <c r="N921"/>
      <c r="O921"/>
    </row>
    <row r="922" spans="2:15" x14ac:dyDescent="0.5">
      <c r="B922" s="91">
        <v>912</v>
      </c>
      <c r="C922" s="92">
        <v>44.51346984432179</v>
      </c>
      <c r="D922" s="92">
        <v>934.76459712063638</v>
      </c>
      <c r="E922" s="91">
        <v>0</v>
      </c>
      <c r="N922"/>
      <c r="O922"/>
    </row>
    <row r="923" spans="2:15" x14ac:dyDescent="0.5">
      <c r="B923" s="91">
        <v>913</v>
      </c>
      <c r="C923" s="92">
        <v>114.44084004839502</v>
      </c>
      <c r="D923" s="92">
        <v>9525.7034937143035</v>
      </c>
      <c r="E923" s="91">
        <v>0</v>
      </c>
      <c r="N923"/>
      <c r="O923"/>
    </row>
    <row r="924" spans="2:15" x14ac:dyDescent="0.5">
      <c r="B924" s="91">
        <v>914</v>
      </c>
      <c r="C924" s="92">
        <v>80.779579354293006</v>
      </c>
      <c r="D924" s="92">
        <v>5403.5030239179096</v>
      </c>
      <c r="E924" s="91">
        <v>0</v>
      </c>
      <c r="N924"/>
      <c r="O924"/>
    </row>
    <row r="925" spans="2:15" x14ac:dyDescent="0.5">
      <c r="B925" s="91">
        <v>915</v>
      </c>
      <c r="C925" s="92">
        <v>80.213533447481439</v>
      </c>
      <c r="D925" s="92">
        <v>5334.184327741038</v>
      </c>
      <c r="E925" s="91">
        <v>0</v>
      </c>
      <c r="N925"/>
      <c r="O925"/>
    </row>
    <row r="926" spans="2:15" x14ac:dyDescent="0.5">
      <c r="B926" s="91">
        <v>916</v>
      </c>
      <c r="C926" s="92">
        <v>34.130264800058931</v>
      </c>
      <c r="D926" s="92">
        <v>-384.49720386499251</v>
      </c>
      <c r="E926" s="91">
        <v>1</v>
      </c>
      <c r="N926"/>
      <c r="O926"/>
    </row>
    <row r="927" spans="2:15" x14ac:dyDescent="0.5">
      <c r="B927" s="91">
        <v>917</v>
      </c>
      <c r="C927" s="92">
        <v>24.233476584255254</v>
      </c>
      <c r="D927" s="92">
        <v>-1706.3314995600449</v>
      </c>
      <c r="E927" s="91">
        <v>1</v>
      </c>
      <c r="N927"/>
      <c r="O927"/>
    </row>
    <row r="928" spans="2:15" x14ac:dyDescent="0.5">
      <c r="B928" s="91">
        <v>918</v>
      </c>
      <c r="C928" s="92">
        <v>69.887487030806767</v>
      </c>
      <c r="D928" s="92">
        <v>4069.6436506470886</v>
      </c>
      <c r="E928" s="91">
        <v>0</v>
      </c>
      <c r="N928"/>
      <c r="O928"/>
    </row>
    <row r="929" spans="2:15" x14ac:dyDescent="0.5">
      <c r="B929" s="91">
        <v>919</v>
      </c>
      <c r="C929" s="92">
        <v>43.14954502889276</v>
      </c>
      <c r="D929" s="92">
        <v>763.58678304519435</v>
      </c>
      <c r="E929" s="91">
        <v>0</v>
      </c>
      <c r="N929"/>
      <c r="O929"/>
    </row>
    <row r="930" spans="2:15" x14ac:dyDescent="0.5">
      <c r="B930" s="91">
        <v>920</v>
      </c>
      <c r="C930" s="92">
        <v>41.639259048611329</v>
      </c>
      <c r="D930" s="92">
        <v>572.97612977665631</v>
      </c>
      <c r="E930" s="91">
        <v>0</v>
      </c>
      <c r="N930"/>
      <c r="O930"/>
    </row>
    <row r="931" spans="2:15" x14ac:dyDescent="0.5">
      <c r="B931" s="91">
        <v>921</v>
      </c>
      <c r="C931" s="92">
        <v>245.28841756725049</v>
      </c>
      <c r="D931" s="92">
        <v>25477.321121143839</v>
      </c>
      <c r="E931" s="91">
        <v>0</v>
      </c>
      <c r="N931"/>
      <c r="O931"/>
    </row>
    <row r="932" spans="2:15" x14ac:dyDescent="0.5">
      <c r="B932" s="91">
        <v>922</v>
      </c>
      <c r="C932" s="92">
        <v>54.406349432287051</v>
      </c>
      <c r="D932" s="92">
        <v>2168.9721719657418</v>
      </c>
      <c r="E932" s="91">
        <v>0</v>
      </c>
      <c r="N932"/>
      <c r="O932"/>
    </row>
    <row r="933" spans="2:15" x14ac:dyDescent="0.5">
      <c r="B933" s="91">
        <v>923</v>
      </c>
      <c r="C933" s="92">
        <v>131.85199195807286</v>
      </c>
      <c r="D933" s="92">
        <v>11657.895131870797</v>
      </c>
      <c r="E933" s="91">
        <v>0</v>
      </c>
      <c r="N933"/>
      <c r="O933"/>
    </row>
    <row r="934" spans="2:15" x14ac:dyDescent="0.5">
      <c r="B934" s="91">
        <v>924</v>
      </c>
      <c r="C934" s="92">
        <v>25.059990062553606</v>
      </c>
      <c r="D934" s="92">
        <v>-1589.4827864937888</v>
      </c>
      <c r="E934" s="91">
        <v>1</v>
      </c>
      <c r="N934"/>
      <c r="O934"/>
    </row>
    <row r="935" spans="2:15" x14ac:dyDescent="0.5">
      <c r="B935" s="91">
        <v>925</v>
      </c>
      <c r="C935" s="92">
        <v>26.362453544316359</v>
      </c>
      <c r="D935" s="92">
        <v>-1410.1234352929891</v>
      </c>
      <c r="E935" s="91">
        <v>1</v>
      </c>
      <c r="N935"/>
      <c r="O935"/>
    </row>
    <row r="936" spans="2:15" x14ac:dyDescent="0.5">
      <c r="B936" s="91">
        <v>926</v>
      </c>
      <c r="C936" s="92">
        <v>66.885506600030453</v>
      </c>
      <c r="D936" s="92">
        <v>3702.0173381770396</v>
      </c>
      <c r="E936" s="91">
        <v>0</v>
      </c>
      <c r="N936"/>
      <c r="O936"/>
    </row>
    <row r="937" spans="2:15" x14ac:dyDescent="0.5">
      <c r="B937" s="91">
        <v>927</v>
      </c>
      <c r="C937" s="92">
        <v>68.735697375551212</v>
      </c>
      <c r="D937" s="92">
        <v>3928.5940357456175</v>
      </c>
      <c r="E937" s="91">
        <v>0</v>
      </c>
      <c r="N937"/>
      <c r="O937"/>
    </row>
    <row r="938" spans="2:15" x14ac:dyDescent="0.5">
      <c r="B938" s="91">
        <v>928</v>
      </c>
      <c r="C938" s="92">
        <v>77.306869546319533</v>
      </c>
      <c r="D938" s="92">
        <v>4978.2305977902997</v>
      </c>
      <c r="E938" s="91">
        <v>0</v>
      </c>
      <c r="N938"/>
      <c r="O938"/>
    </row>
    <row r="939" spans="2:15" x14ac:dyDescent="0.5">
      <c r="B939" s="91">
        <v>929</v>
      </c>
      <c r="C939" s="92">
        <v>64.544097710346676</v>
      </c>
      <c r="D939" s="92">
        <v>3415.2854503624208</v>
      </c>
      <c r="E939" s="91">
        <v>0</v>
      </c>
      <c r="N939"/>
      <c r="O939"/>
    </row>
    <row r="940" spans="2:15" x14ac:dyDescent="0.5">
      <c r="B940" s="91">
        <v>930</v>
      </c>
      <c r="C940" s="92">
        <v>73.42772365296122</v>
      </c>
      <c r="D940" s="92">
        <v>4503.1854956675415</v>
      </c>
      <c r="E940" s="91">
        <v>0</v>
      </c>
      <c r="N940"/>
      <c r="O940"/>
    </row>
    <row r="941" spans="2:15" x14ac:dyDescent="0.5">
      <c r="B941" s="91">
        <v>931</v>
      </c>
      <c r="C941" s="92">
        <v>79.755132452161803</v>
      </c>
      <c r="D941" s="92">
        <v>5278.047963288328</v>
      </c>
      <c r="E941" s="91">
        <v>0</v>
      </c>
      <c r="N941"/>
      <c r="O941"/>
    </row>
    <row r="942" spans="2:15" x14ac:dyDescent="0.5">
      <c r="B942" s="91">
        <v>932</v>
      </c>
      <c r="C942" s="92">
        <v>33.070223484159271</v>
      </c>
      <c r="D942" s="92">
        <v>-521.87853472143377</v>
      </c>
      <c r="E942" s="91">
        <v>1</v>
      </c>
      <c r="N942"/>
      <c r="O942"/>
    </row>
    <row r="943" spans="2:15" x14ac:dyDescent="0.5">
      <c r="B943" s="91">
        <v>933</v>
      </c>
      <c r="C943" s="92">
        <v>62.200998158701985</v>
      </c>
      <c r="D943" s="92">
        <v>3128.3465219502159</v>
      </c>
      <c r="E943" s="91">
        <v>0</v>
      </c>
      <c r="N943"/>
      <c r="O943"/>
    </row>
    <row r="944" spans="2:15" x14ac:dyDescent="0.5">
      <c r="B944" s="91">
        <v>934</v>
      </c>
      <c r="C944" s="92">
        <v>50.438519990201144</v>
      </c>
      <c r="D944" s="92">
        <v>1675.3787234266811</v>
      </c>
      <c r="E944" s="91">
        <v>0</v>
      </c>
      <c r="N944"/>
      <c r="O944"/>
    </row>
    <row r="945" spans="2:15" x14ac:dyDescent="0.5">
      <c r="B945" s="91">
        <v>935</v>
      </c>
      <c r="C945" s="92">
        <v>71.558479522256022</v>
      </c>
      <c r="D945" s="92">
        <v>4274.2755001750911</v>
      </c>
      <c r="E945" s="91">
        <v>0</v>
      </c>
      <c r="N945"/>
      <c r="O945"/>
    </row>
    <row r="946" spans="2:15" x14ac:dyDescent="0.5">
      <c r="B946" s="91">
        <v>936</v>
      </c>
      <c r="C946" s="92">
        <v>64.501345456373784</v>
      </c>
      <c r="D946" s="92">
        <v>3410.0499553816044</v>
      </c>
      <c r="E946" s="91">
        <v>0</v>
      </c>
      <c r="N946"/>
      <c r="O946"/>
    </row>
    <row r="947" spans="2:15" x14ac:dyDescent="0.5">
      <c r="B947" s="91">
        <v>937</v>
      </c>
      <c r="C947" s="92">
        <v>73.485870886892144</v>
      </c>
      <c r="D947" s="92">
        <v>4510.3062793246263</v>
      </c>
      <c r="E947" s="91">
        <v>0</v>
      </c>
      <c r="N947"/>
      <c r="O947"/>
    </row>
    <row r="948" spans="2:15" x14ac:dyDescent="0.5">
      <c r="B948" s="91">
        <v>938</v>
      </c>
      <c r="C948" s="92">
        <v>95.91649306951885</v>
      </c>
      <c r="D948" s="92">
        <v>7257.1885823766406</v>
      </c>
      <c r="E948" s="91">
        <v>0</v>
      </c>
      <c r="N948"/>
      <c r="O948"/>
    </row>
    <row r="949" spans="2:15" x14ac:dyDescent="0.5">
      <c r="B949" s="91">
        <v>939</v>
      </c>
      <c r="C949" s="92">
        <v>81.83622428911336</v>
      </c>
      <c r="D949" s="92">
        <v>5532.9010962690036</v>
      </c>
      <c r="E949" s="91">
        <v>0</v>
      </c>
      <c r="N949"/>
      <c r="O949"/>
    </row>
    <row r="950" spans="2:15" x14ac:dyDescent="0.5">
      <c r="B950" s="91">
        <v>940</v>
      </c>
      <c r="C950" s="92">
        <v>68.402877308984358</v>
      </c>
      <c r="D950" s="92">
        <v>3887.8364703285888</v>
      </c>
      <c r="E950" s="91">
        <v>0</v>
      </c>
      <c r="N950"/>
      <c r="O950"/>
    </row>
    <row r="951" spans="2:15" x14ac:dyDescent="0.5">
      <c r="B951" s="91">
        <v>941</v>
      </c>
      <c r="C951" s="92">
        <v>69.982430698183464</v>
      </c>
      <c r="D951" s="92">
        <v>4081.2705719861638</v>
      </c>
      <c r="E951" s="91">
        <v>0</v>
      </c>
      <c r="N951"/>
      <c r="O951"/>
    </row>
    <row r="952" spans="2:15" x14ac:dyDescent="0.5">
      <c r="B952" s="91">
        <v>942</v>
      </c>
      <c r="C952" s="92">
        <v>72.883441292916984</v>
      </c>
      <c r="D952" s="92">
        <v>4436.531990896422</v>
      </c>
      <c r="E952" s="91">
        <v>0</v>
      </c>
      <c r="N952"/>
      <c r="O952"/>
    </row>
    <row r="953" spans="2:15" x14ac:dyDescent="0.5">
      <c r="B953" s="91">
        <v>943</v>
      </c>
      <c r="C953" s="92">
        <v>59.061556634661343</v>
      </c>
      <c r="D953" s="92">
        <v>2743.8865505039844</v>
      </c>
      <c r="E953" s="91">
        <v>0</v>
      </c>
      <c r="N953"/>
      <c r="O953"/>
    </row>
    <row r="954" spans="2:15" x14ac:dyDescent="0.5">
      <c r="B954" s="91">
        <v>944</v>
      </c>
      <c r="C954" s="92">
        <v>69.813957410271868</v>
      </c>
      <c r="D954" s="92">
        <v>4060.6391205117675</v>
      </c>
      <c r="E954" s="91">
        <v>0</v>
      </c>
      <c r="N954"/>
      <c r="O954"/>
    </row>
    <row r="955" spans="2:15" x14ac:dyDescent="0.5">
      <c r="B955" s="91">
        <v>945</v>
      </c>
      <c r="C955" s="92">
        <v>48.988384617505105</v>
      </c>
      <c r="D955" s="92">
        <v>1494.7098665778917</v>
      </c>
      <c r="E955" s="91">
        <v>0</v>
      </c>
      <c r="N955"/>
      <c r="O955"/>
    </row>
    <row r="956" spans="2:15" x14ac:dyDescent="0.5">
      <c r="B956" s="91">
        <v>946</v>
      </c>
      <c r="C956" s="92">
        <v>59.667139878798402</v>
      </c>
      <c r="D956" s="92">
        <v>2818.0470389113602</v>
      </c>
      <c r="E956" s="91">
        <v>0</v>
      </c>
      <c r="N956"/>
      <c r="O956"/>
    </row>
    <row r="957" spans="2:15" x14ac:dyDescent="0.5">
      <c r="B957" s="91">
        <v>947</v>
      </c>
      <c r="C957" s="92">
        <v>40.06706653319754</v>
      </c>
      <c r="D957" s="92">
        <v>374.55235683592792</v>
      </c>
      <c r="E957" s="91">
        <v>0</v>
      </c>
      <c r="N957"/>
      <c r="O957"/>
    </row>
    <row r="958" spans="2:15" x14ac:dyDescent="0.5">
      <c r="B958" s="91">
        <v>948</v>
      </c>
      <c r="C958" s="92">
        <v>118.3363750696541</v>
      </c>
      <c r="D958" s="92">
        <v>10002.755629125146</v>
      </c>
      <c r="E958" s="91">
        <v>0</v>
      </c>
      <c r="N958"/>
      <c r="O958"/>
    </row>
    <row r="959" spans="2:15" x14ac:dyDescent="0.5">
      <c r="B959" s="91">
        <v>949</v>
      </c>
      <c r="C959" s="92">
        <v>51.766714153581681</v>
      </c>
      <c r="D959" s="92">
        <v>1840.8552200968256</v>
      </c>
      <c r="E959" s="91">
        <v>0</v>
      </c>
      <c r="N959"/>
      <c r="O959"/>
    </row>
    <row r="960" spans="2:15" x14ac:dyDescent="0.5">
      <c r="B960" s="91">
        <v>950</v>
      </c>
      <c r="C960" s="92">
        <v>151.44247028565462</v>
      </c>
      <c r="D960" s="92">
        <v>14045.902698762642</v>
      </c>
      <c r="E960" s="91">
        <v>0</v>
      </c>
      <c r="N960"/>
      <c r="O960"/>
    </row>
    <row r="961" spans="2:15" x14ac:dyDescent="0.5">
      <c r="B961" s="91">
        <v>951</v>
      </c>
      <c r="C961" s="92">
        <v>55.071390408028982</v>
      </c>
      <c r="D961" s="92">
        <v>2251.4106972104082</v>
      </c>
      <c r="E961" s="91">
        <v>0</v>
      </c>
      <c r="N961"/>
      <c r="O961"/>
    </row>
    <row r="962" spans="2:15" x14ac:dyDescent="0.5">
      <c r="B962" s="91">
        <v>952</v>
      </c>
      <c r="C962" s="92">
        <v>68.625449990128573</v>
      </c>
      <c r="D962" s="92">
        <v>3915.0930017792148</v>
      </c>
      <c r="E962" s="91">
        <v>0</v>
      </c>
      <c r="N962"/>
      <c r="O962"/>
    </row>
    <row r="963" spans="2:15" x14ac:dyDescent="0.5">
      <c r="B963" s="91">
        <v>953</v>
      </c>
      <c r="C963" s="92">
        <v>45.664679204216014</v>
      </c>
      <c r="D963" s="92">
        <v>1079.0493833360017</v>
      </c>
      <c r="E963" s="91">
        <v>0</v>
      </c>
      <c r="N963"/>
      <c r="O963"/>
    </row>
    <row r="964" spans="2:15" x14ac:dyDescent="0.5">
      <c r="B964" s="91">
        <v>954</v>
      </c>
      <c r="C964" s="92">
        <v>50.976597853299396</v>
      </c>
      <c r="D964" s="92">
        <v>1742.4165422758715</v>
      </c>
      <c r="E964" s="91">
        <v>0</v>
      </c>
      <c r="N964"/>
      <c r="O964"/>
    </row>
    <row r="965" spans="2:15" x14ac:dyDescent="0.5">
      <c r="B965" s="91">
        <v>955</v>
      </c>
      <c r="C965" s="92">
        <v>128.34866979215735</v>
      </c>
      <c r="D965" s="92">
        <v>11228.873877752549</v>
      </c>
      <c r="E965" s="91">
        <v>0</v>
      </c>
      <c r="N965"/>
      <c r="O965"/>
    </row>
    <row r="966" spans="2:15" x14ac:dyDescent="0.5">
      <c r="B966" s="91">
        <v>956</v>
      </c>
      <c r="C966" s="92">
        <v>42.979766792427583</v>
      </c>
      <c r="D966" s="92">
        <v>742.15935738811686</v>
      </c>
      <c r="E966" s="91">
        <v>0</v>
      </c>
      <c r="N966"/>
      <c r="O966"/>
    </row>
    <row r="967" spans="2:15" x14ac:dyDescent="0.5">
      <c r="B967" s="91">
        <v>957</v>
      </c>
      <c r="C967" s="92">
        <v>189.0597460677036</v>
      </c>
      <c r="D967" s="92">
        <v>18628.080532019376</v>
      </c>
      <c r="E967" s="91">
        <v>0</v>
      </c>
      <c r="N967"/>
      <c r="O967"/>
    </row>
    <row r="968" spans="2:15" x14ac:dyDescent="0.5">
      <c r="B968" s="91">
        <v>958</v>
      </c>
      <c r="C968" s="92">
        <v>101.91885879363761</v>
      </c>
      <c r="D968" s="92">
        <v>7992.245864773301</v>
      </c>
      <c r="E968" s="91">
        <v>0</v>
      </c>
      <c r="N968"/>
      <c r="O968"/>
    </row>
    <row r="969" spans="2:15" x14ac:dyDescent="0.5">
      <c r="B969" s="91">
        <v>959</v>
      </c>
      <c r="C969" s="92">
        <v>75.642142969436463</v>
      </c>
      <c r="D969" s="92">
        <v>4774.3660800685266</v>
      </c>
      <c r="E969" s="91">
        <v>0</v>
      </c>
      <c r="N969"/>
      <c r="O969"/>
    </row>
    <row r="970" spans="2:15" x14ac:dyDescent="0.5">
      <c r="B970" s="91">
        <v>960</v>
      </c>
      <c r="C970" s="92">
        <v>82.038635012150849</v>
      </c>
      <c r="D970" s="92">
        <v>5557.6885688826824</v>
      </c>
      <c r="E970" s="91">
        <v>0</v>
      </c>
      <c r="N970"/>
      <c r="O970"/>
    </row>
    <row r="971" spans="2:15" x14ac:dyDescent="0.5">
      <c r="B971" s="91">
        <v>961</v>
      </c>
      <c r="C971" s="92">
        <v>36.035144018969689</v>
      </c>
      <c r="D971" s="92">
        <v>-138.73374437182787</v>
      </c>
      <c r="E971" s="91">
        <v>1</v>
      </c>
      <c r="N971"/>
      <c r="O971"/>
    </row>
    <row r="972" spans="2:15" x14ac:dyDescent="0.5">
      <c r="B972" s="91">
        <v>962</v>
      </c>
      <c r="C972" s="92">
        <v>53.801382177159809</v>
      </c>
      <c r="D972" s="92">
        <v>2093.9803892739096</v>
      </c>
      <c r="E972" s="91">
        <v>0</v>
      </c>
      <c r="N972"/>
      <c r="O972"/>
    </row>
    <row r="973" spans="2:15" x14ac:dyDescent="0.5">
      <c r="B973" s="91">
        <v>963</v>
      </c>
      <c r="C973" s="92">
        <v>67.321622230173148</v>
      </c>
      <c r="D973" s="92">
        <v>3755.4246086829462</v>
      </c>
      <c r="E973" s="91">
        <v>0</v>
      </c>
      <c r="N973"/>
      <c r="O973"/>
    </row>
    <row r="974" spans="2:15" x14ac:dyDescent="0.5">
      <c r="B974" s="91">
        <v>964</v>
      </c>
      <c r="C974" s="92">
        <v>114.80946013650784</v>
      </c>
      <c r="D974" s="92">
        <v>9570.8451749544602</v>
      </c>
      <c r="E974" s="91">
        <v>0</v>
      </c>
      <c r="N974"/>
      <c r="O974"/>
    </row>
    <row r="975" spans="2:15" x14ac:dyDescent="0.5">
      <c r="B975" s="91">
        <v>965</v>
      </c>
      <c r="C975" s="92">
        <v>58.922906343303019</v>
      </c>
      <c r="D975" s="92">
        <v>2726.9072608282754</v>
      </c>
      <c r="E975" s="91">
        <v>0</v>
      </c>
      <c r="N975"/>
      <c r="O975"/>
    </row>
    <row r="976" spans="2:15" x14ac:dyDescent="0.5">
      <c r="B976" s="91">
        <v>966</v>
      </c>
      <c r="C976" s="92">
        <v>52.417096609529509</v>
      </c>
      <c r="D976" s="92">
        <v>1921.8847963991695</v>
      </c>
      <c r="E976" s="91">
        <v>0</v>
      </c>
      <c r="N976"/>
      <c r="O976"/>
    </row>
    <row r="977" spans="2:15" x14ac:dyDescent="0.5">
      <c r="B977" s="91">
        <v>967</v>
      </c>
      <c r="C977" s="92">
        <v>69.026928645662224</v>
      </c>
      <c r="D977" s="92">
        <v>3964.2585846578149</v>
      </c>
      <c r="E977" s="91">
        <v>0</v>
      </c>
      <c r="N977"/>
      <c r="O977"/>
    </row>
    <row r="978" spans="2:15" x14ac:dyDescent="0.5">
      <c r="B978" s="91">
        <v>968</v>
      </c>
      <c r="C978" s="92">
        <v>82.702458192358208</v>
      </c>
      <c r="D978" s="92">
        <v>5638.9811933681331</v>
      </c>
      <c r="E978" s="91">
        <v>0</v>
      </c>
      <c r="N978"/>
      <c r="O978"/>
    </row>
    <row r="979" spans="2:15" x14ac:dyDescent="0.5">
      <c r="B979" s="91">
        <v>969</v>
      </c>
      <c r="C979" s="92">
        <v>64.84085247775549</v>
      </c>
      <c r="D979" s="92">
        <v>3451.6264137251273</v>
      </c>
      <c r="E979" s="91">
        <v>0</v>
      </c>
      <c r="N979"/>
      <c r="O979"/>
    </row>
    <row r="980" spans="2:15" x14ac:dyDescent="0.5">
      <c r="B980" s="91">
        <v>970</v>
      </c>
      <c r="C980" s="92">
        <v>73.388680866654283</v>
      </c>
      <c r="D980" s="92">
        <v>4498.4042667789627</v>
      </c>
      <c r="E980" s="91">
        <v>0</v>
      </c>
      <c r="N980"/>
      <c r="O980"/>
    </row>
    <row r="981" spans="2:15" x14ac:dyDescent="0.5">
      <c r="B981" s="91">
        <v>971</v>
      </c>
      <c r="C981" s="92">
        <v>118.38024063056015</v>
      </c>
      <c r="D981" s="92">
        <v>10008.127461078147</v>
      </c>
      <c r="E981" s="91">
        <v>0</v>
      </c>
      <c r="N981"/>
      <c r="O981"/>
    </row>
    <row r="982" spans="2:15" x14ac:dyDescent="0.5">
      <c r="B982" s="91">
        <v>972</v>
      </c>
      <c r="C982" s="92">
        <v>39.663670643732196</v>
      </c>
      <c r="D982" s="92">
        <v>323.64044013886365</v>
      </c>
      <c r="E982" s="91">
        <v>0</v>
      </c>
      <c r="N982"/>
      <c r="O982"/>
    </row>
    <row r="983" spans="2:15" x14ac:dyDescent="0.5">
      <c r="B983" s="91">
        <v>973</v>
      </c>
      <c r="C983" s="92">
        <v>50.398697524812121</v>
      </c>
      <c r="D983" s="92">
        <v>1670.4173388316972</v>
      </c>
      <c r="E983" s="91">
        <v>0</v>
      </c>
      <c r="N983"/>
      <c r="O983"/>
    </row>
    <row r="984" spans="2:15" x14ac:dyDescent="0.5">
      <c r="B984" s="91">
        <v>974</v>
      </c>
      <c r="C984" s="92">
        <v>66.954517208777801</v>
      </c>
      <c r="D984" s="92">
        <v>3710.4684644252343</v>
      </c>
      <c r="E984" s="91">
        <v>0</v>
      </c>
      <c r="N984"/>
      <c r="O984"/>
    </row>
    <row r="985" spans="2:15" x14ac:dyDescent="0.5">
      <c r="B985" s="91">
        <v>975</v>
      </c>
      <c r="C985" s="92">
        <v>54.101755155429665</v>
      </c>
      <c r="D985" s="92">
        <v>2131.2146443877232</v>
      </c>
      <c r="E985" s="91">
        <v>0</v>
      </c>
      <c r="N985"/>
      <c r="O985"/>
    </row>
    <row r="986" spans="2:15" x14ac:dyDescent="0.5">
      <c r="B986" s="91">
        <v>976</v>
      </c>
      <c r="C986" s="92">
        <v>53.109512363509026</v>
      </c>
      <c r="D986" s="92">
        <v>2008.151199585373</v>
      </c>
      <c r="E986" s="91">
        <v>0</v>
      </c>
      <c r="N986"/>
      <c r="O986"/>
    </row>
    <row r="987" spans="2:15" x14ac:dyDescent="0.5">
      <c r="B987" s="91">
        <v>977</v>
      </c>
      <c r="C987" s="92">
        <v>67.836483846850996</v>
      </c>
      <c r="D987" s="92">
        <v>3818.4752120883459</v>
      </c>
      <c r="E987" s="91">
        <v>0</v>
      </c>
      <c r="N987"/>
      <c r="O987"/>
    </row>
    <row r="988" spans="2:15" x14ac:dyDescent="0.5">
      <c r="B988" s="91">
        <v>978</v>
      </c>
      <c r="C988" s="92">
        <v>63.816114879675418</v>
      </c>
      <c r="D988" s="92">
        <v>3326.1357541027501</v>
      </c>
      <c r="E988" s="91">
        <v>0</v>
      </c>
      <c r="N988"/>
      <c r="O988"/>
    </row>
    <row r="989" spans="2:15" x14ac:dyDescent="0.5">
      <c r="B989" s="91">
        <v>979</v>
      </c>
      <c r="C989" s="92">
        <v>71.882368437698076</v>
      </c>
      <c r="D989" s="92">
        <v>4313.9393455530208</v>
      </c>
      <c r="E989" s="91">
        <v>0</v>
      </c>
      <c r="N989"/>
      <c r="O989"/>
    </row>
    <row r="990" spans="2:15" x14ac:dyDescent="0.5">
      <c r="B990" s="91">
        <v>980</v>
      </c>
      <c r="C990" s="92">
        <v>110.62887513017215</v>
      </c>
      <c r="D990" s="92">
        <v>9058.8854585983718</v>
      </c>
      <c r="E990" s="91">
        <v>0</v>
      </c>
      <c r="N990"/>
      <c r="O990"/>
    </row>
    <row r="991" spans="2:15" x14ac:dyDescent="0.5">
      <c r="B991" s="91">
        <v>981</v>
      </c>
      <c r="C991" s="92">
        <v>57.277240188870671</v>
      </c>
      <c r="D991" s="92">
        <v>2524.8479882600109</v>
      </c>
      <c r="E991" s="91">
        <v>0</v>
      </c>
      <c r="N991"/>
      <c r="O991"/>
    </row>
    <row r="992" spans="2:15" x14ac:dyDescent="0.5">
      <c r="B992" s="91">
        <v>982</v>
      </c>
      <c r="C992" s="92">
        <v>37.066456807465521</v>
      </c>
      <c r="D992" s="92">
        <v>-6.2671823784411274</v>
      </c>
      <c r="E992" s="91">
        <v>1</v>
      </c>
      <c r="N992"/>
      <c r="O992"/>
    </row>
    <row r="993" spans="2:15" x14ac:dyDescent="0.5">
      <c r="B993" s="91">
        <v>983</v>
      </c>
      <c r="C993" s="92">
        <v>42.220612270079052</v>
      </c>
      <c r="D993" s="92">
        <v>646.34774202130097</v>
      </c>
      <c r="E993" s="91">
        <v>0</v>
      </c>
      <c r="N993"/>
      <c r="O993"/>
    </row>
    <row r="994" spans="2:15" x14ac:dyDescent="0.5">
      <c r="B994" s="91">
        <v>984</v>
      </c>
      <c r="C994" s="92">
        <v>60.966626546002956</v>
      </c>
      <c r="D994" s="92">
        <v>2977.1838163102934</v>
      </c>
      <c r="E994" s="91">
        <v>0</v>
      </c>
      <c r="N994"/>
      <c r="O994"/>
    </row>
    <row r="995" spans="2:15" x14ac:dyDescent="0.5">
      <c r="B995" s="91">
        <v>985</v>
      </c>
      <c r="C995" s="92">
        <v>92.794961466726122</v>
      </c>
      <c r="D995" s="92">
        <v>6874.9218824912396</v>
      </c>
      <c r="E995" s="91">
        <v>0</v>
      </c>
      <c r="N995"/>
      <c r="O995"/>
    </row>
    <row r="996" spans="2:15" x14ac:dyDescent="0.5">
      <c r="B996" s="91">
        <v>986</v>
      </c>
      <c r="C996" s="92">
        <v>113.40065793644483</v>
      </c>
      <c r="D996" s="92">
        <v>9398.3214794302603</v>
      </c>
      <c r="E996" s="91">
        <v>0</v>
      </c>
      <c r="N996"/>
      <c r="O996"/>
    </row>
    <row r="997" spans="2:15" x14ac:dyDescent="0.5">
      <c r="B997" s="91">
        <v>987</v>
      </c>
      <c r="C997" s="92">
        <v>96.843541921592347</v>
      </c>
      <c r="D997" s="92">
        <v>7370.7161548662571</v>
      </c>
      <c r="E997" s="91">
        <v>0</v>
      </c>
      <c r="N997"/>
      <c r="O997"/>
    </row>
    <row r="998" spans="2:15" x14ac:dyDescent="0.5">
      <c r="B998" s="91">
        <v>988</v>
      </c>
      <c r="C998" s="92">
        <v>101.6871252026273</v>
      </c>
      <c r="D998" s="92">
        <v>7963.8674767381281</v>
      </c>
      <c r="E998" s="91">
        <v>0</v>
      </c>
      <c r="N998"/>
      <c r="O998"/>
    </row>
    <row r="999" spans="2:15" x14ac:dyDescent="0.5">
      <c r="B999" s="91">
        <v>989</v>
      </c>
      <c r="C999" s="92">
        <v>81.920637737834539</v>
      </c>
      <c r="D999" s="92">
        <v>5543.238473740922</v>
      </c>
      <c r="E999" s="91">
        <v>0</v>
      </c>
      <c r="N999"/>
      <c r="O999"/>
    </row>
    <row r="1000" spans="2:15" x14ac:dyDescent="0.5">
      <c r="B1000" s="91">
        <v>990</v>
      </c>
      <c r="C1000" s="92">
        <v>95.179039934295375</v>
      </c>
      <c r="D1000" s="92">
        <v>7166.8791406686651</v>
      </c>
      <c r="E1000" s="91">
        <v>0</v>
      </c>
      <c r="N1000"/>
      <c r="O1000"/>
    </row>
    <row r="1001" spans="2:15" x14ac:dyDescent="0.5">
      <c r="B1001" s="91">
        <v>991</v>
      </c>
      <c r="C1001" s="92">
        <v>157.84373870728078</v>
      </c>
      <c r="D1001" s="92">
        <v>14825.644178083132</v>
      </c>
      <c r="E1001" s="91">
        <v>0</v>
      </c>
      <c r="N1001"/>
      <c r="O1001"/>
    </row>
    <row r="1002" spans="2:15" x14ac:dyDescent="0.5">
      <c r="B1002" s="91">
        <v>992</v>
      </c>
      <c r="C1002" s="92">
        <v>47.633310549484875</v>
      </c>
      <c r="D1002" s="92">
        <v>1325.7843063521625</v>
      </c>
      <c r="E1002" s="91">
        <v>0</v>
      </c>
      <c r="N1002"/>
      <c r="O1002"/>
    </row>
    <row r="1003" spans="2:15" x14ac:dyDescent="0.5">
      <c r="B1003" s="91">
        <v>993</v>
      </c>
      <c r="C1003" s="92">
        <v>64.843237998642635</v>
      </c>
      <c r="D1003" s="92">
        <v>3451.9185476238281</v>
      </c>
      <c r="E1003" s="91">
        <v>0</v>
      </c>
      <c r="N1003"/>
      <c r="O1003"/>
    </row>
    <row r="1004" spans="2:15" x14ac:dyDescent="0.5">
      <c r="B1004" s="91">
        <v>994</v>
      </c>
      <c r="C1004" s="92">
        <v>105.33654326427505</v>
      </c>
      <c r="D1004" s="92">
        <v>8410.7798186411055</v>
      </c>
      <c r="E1004" s="91">
        <v>0</v>
      </c>
      <c r="N1004"/>
      <c r="O1004"/>
    </row>
    <row r="1005" spans="2:15" x14ac:dyDescent="0.5">
      <c r="B1005" s="91">
        <v>995</v>
      </c>
      <c r="C1005" s="92">
        <v>76.785665718875265</v>
      </c>
      <c r="D1005" s="92">
        <v>4914.4033192496909</v>
      </c>
      <c r="E1005" s="91">
        <v>0</v>
      </c>
      <c r="N1005"/>
      <c r="O1005"/>
    </row>
    <row r="1006" spans="2:15" x14ac:dyDescent="0.5">
      <c r="B1006" s="91">
        <v>996</v>
      </c>
      <c r="C1006" s="92">
        <v>34.835081556037174</v>
      </c>
      <c r="D1006" s="92">
        <v>-293.1529680377015</v>
      </c>
      <c r="E1006" s="91">
        <v>1</v>
      </c>
      <c r="N1006"/>
      <c r="O1006"/>
    </row>
    <row r="1007" spans="2:15" x14ac:dyDescent="0.5">
      <c r="B1007" s="91">
        <v>997</v>
      </c>
      <c r="C1007" s="92">
        <v>64.085889680154935</v>
      </c>
      <c r="D1007" s="92">
        <v>3359.1727166628225</v>
      </c>
      <c r="E1007" s="91">
        <v>0</v>
      </c>
      <c r="N1007"/>
      <c r="O1007"/>
    </row>
    <row r="1008" spans="2:15" x14ac:dyDescent="0.5">
      <c r="B1008" s="91">
        <v>998</v>
      </c>
      <c r="C1008" s="92">
        <v>42.936981299297734</v>
      </c>
      <c r="D1008" s="92">
        <v>736.75947226544781</v>
      </c>
      <c r="E1008" s="91">
        <v>0</v>
      </c>
      <c r="N1008"/>
      <c r="O1008"/>
    </row>
    <row r="1009" spans="2:15" x14ac:dyDescent="0.5">
      <c r="B1009" s="91">
        <v>999</v>
      </c>
      <c r="C1009" s="92">
        <v>63.879512701704591</v>
      </c>
      <c r="D1009" s="92">
        <v>3333.8995314053182</v>
      </c>
      <c r="E1009" s="91">
        <v>0</v>
      </c>
      <c r="N1009"/>
      <c r="O1009"/>
    </row>
    <row r="1010" spans="2:15" x14ac:dyDescent="0.5">
      <c r="B1010" s="91">
        <v>1000</v>
      </c>
      <c r="C1010" s="92">
        <v>124.4208471549382</v>
      </c>
      <c r="D1010" s="92">
        <v>10747.867760139769</v>
      </c>
      <c r="E1010" s="91">
        <v>0</v>
      </c>
      <c r="N1010"/>
      <c r="O1010"/>
    </row>
    <row r="1011" spans="2:15" x14ac:dyDescent="0.5">
      <c r="N1011"/>
      <c r="O1011"/>
    </row>
    <row r="1012" spans="2:15" x14ac:dyDescent="0.5">
      <c r="N1012"/>
      <c r="O1012"/>
    </row>
  </sheetData>
  <pageMargins left="0.7" right="0.7" top="0.75" bottom="0.75" header="0.3" footer="0.3"/>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E9455-95CE-4E4B-84EA-746AABD5FE81}">
  <dimension ref="B2:O1043"/>
  <sheetViews>
    <sheetView topLeftCell="C104" zoomScale="73" zoomScaleNormal="80" workbookViewId="0">
      <selection activeCell="C10" sqref="C10"/>
    </sheetView>
  </sheetViews>
  <sheetFormatPr defaultRowHeight="16.8" x14ac:dyDescent="0.5"/>
  <cols>
    <col min="1" max="1" width="2.77734375" style="5" customWidth="1"/>
    <col min="2" max="2" width="51.109375" style="5" bestFit="1" customWidth="1"/>
    <col min="3" max="3" width="35.5546875" style="5" bestFit="1" customWidth="1"/>
    <col min="4" max="7" width="8.88671875" style="5"/>
    <col min="8" max="8" width="29.33203125" style="5" customWidth="1"/>
    <col min="9" max="9" width="14.33203125" style="5" bestFit="1" customWidth="1"/>
    <col min="10" max="10" width="11.109375" style="5" bestFit="1" customWidth="1"/>
    <col min="11" max="11" width="12.6640625" style="5" bestFit="1" customWidth="1"/>
    <col min="12" max="12" width="13.21875" style="5" bestFit="1" customWidth="1"/>
    <col min="13" max="13" width="8.88671875" style="5"/>
    <col min="14" max="14" width="14.33203125" style="5" bestFit="1" customWidth="1"/>
    <col min="15" max="15" width="18.33203125" style="5" bestFit="1" customWidth="1"/>
    <col min="16" max="16384" width="8.88671875" style="5"/>
  </cols>
  <sheetData>
    <row r="2" spans="2:10" x14ac:dyDescent="0.5">
      <c r="B2" s="30" t="s">
        <v>98</v>
      </c>
    </row>
    <row r="3" spans="2:10" x14ac:dyDescent="0.5">
      <c r="B3" s="30"/>
    </row>
    <row r="4" spans="2:10" x14ac:dyDescent="0.5">
      <c r="B4" s="30"/>
    </row>
    <row r="5" spans="2:10" x14ac:dyDescent="0.5">
      <c r="B5" s="30" t="s">
        <v>100</v>
      </c>
    </row>
    <row r="6" spans="2:10" x14ac:dyDescent="0.5">
      <c r="B6" s="30"/>
    </row>
    <row r="7" spans="2:10" x14ac:dyDescent="0.5">
      <c r="B7" s="30" t="s">
        <v>131</v>
      </c>
    </row>
    <row r="9" spans="2:10" x14ac:dyDescent="0.5">
      <c r="B9" s="34" t="s">
        <v>82</v>
      </c>
      <c r="C9" s="34" t="s">
        <v>130</v>
      </c>
      <c r="D9" s="34" t="s">
        <v>85</v>
      </c>
      <c r="E9" s="34" t="s">
        <v>81</v>
      </c>
    </row>
    <row r="10" spans="2:10" x14ac:dyDescent="0.5">
      <c r="B10" s="36"/>
      <c r="C10" s="44">
        <f ca="1">oil_price_base</f>
        <v>53.706954968820042</v>
      </c>
      <c r="D10" s="44">
        <f ca="1">npv_post_tax</f>
        <v>2082.2751860120857</v>
      </c>
      <c r="E10" s="45">
        <f ca="1">IF(npv_post_tax&lt;0,1,0)</f>
        <v>0</v>
      </c>
      <c r="H10" s="69" t="s">
        <v>83</v>
      </c>
      <c r="I10" s="69" t="s">
        <v>86</v>
      </c>
      <c r="J10" s="69" t="s">
        <v>87</v>
      </c>
    </row>
    <row r="11" spans="2:10" x14ac:dyDescent="0.5">
      <c r="B11" s="91">
        <v>1</v>
      </c>
      <c r="C11" s="92">
        <v>27.266815556001845</v>
      </c>
      <c r="D11" s="92">
        <v>-1286.468366865221</v>
      </c>
      <c r="E11" s="91">
        <v>1</v>
      </c>
      <c r="H11" s="36" t="s">
        <v>88</v>
      </c>
      <c r="I11" s="37">
        <f>AVERAGE(Oil_Price_Nominal_MC_Log_Normal_1000_Trials)</f>
        <v>39.7763539337721</v>
      </c>
      <c r="J11" s="38">
        <f>AVERAGE(NPV_Nominal_Oil_Price_MC_Log_Normal_1000_Trials)</f>
        <v>103.64504021129106</v>
      </c>
    </row>
    <row r="12" spans="2:10" x14ac:dyDescent="0.5">
      <c r="B12" s="91">
        <v>2</v>
      </c>
      <c r="C12" s="92">
        <v>29.235560420600287</v>
      </c>
      <c r="D12" s="92">
        <v>-1023.0744591967681</v>
      </c>
      <c r="E12" s="91">
        <v>1</v>
      </c>
      <c r="H12" s="36" t="s">
        <v>89</v>
      </c>
      <c r="I12" s="37">
        <f>MEDIAN(Oil_Price_Nominal_MC_Log_Normal_1000_Trials)</f>
        <v>31.002712492665154</v>
      </c>
      <c r="J12" s="38">
        <f>MEDIAN(NPV_Nominal_Oil_Price_MC_Log_Normal_1000_Trials)</f>
        <v>-789.82791302535247</v>
      </c>
    </row>
    <row r="13" spans="2:10" x14ac:dyDescent="0.5">
      <c r="B13" s="91">
        <v>3</v>
      </c>
      <c r="C13" s="92">
        <v>28.39626991100959</v>
      </c>
      <c r="D13" s="92">
        <v>-1135.361231833115</v>
      </c>
      <c r="E13" s="91">
        <v>1</v>
      </c>
      <c r="H13" s="36" t="s">
        <v>206</v>
      </c>
      <c r="I13" s="37">
        <f>_xlfn.PERCENTILE.INC(Oil_Price_Nominal_MC_Log_Normal_1000_Trials,0.95)</f>
        <v>100.78982749446031</v>
      </c>
      <c r="J13" s="38">
        <f>_xlfn.PERCENTILE.INC(NPV_Nominal_Oil_Price_MC_Log_Normal_1000_Trials,0.99)</f>
        <v>13228.741580441592</v>
      </c>
    </row>
    <row r="14" spans="2:10" x14ac:dyDescent="0.5">
      <c r="B14" s="91">
        <v>4</v>
      </c>
      <c r="C14" s="92">
        <v>59.789739079906546</v>
      </c>
      <c r="D14" s="92">
        <v>2833.0606918163207</v>
      </c>
      <c r="E14" s="91">
        <v>0</v>
      </c>
      <c r="H14" s="36" t="s">
        <v>199</v>
      </c>
      <c r="I14" s="37">
        <f>_xlfn.PERCENTILE.INC(Oil_Price_Nominal_MC_Log_Normal_1000_Trials,0.75)</f>
        <v>49.90075660580834</v>
      </c>
      <c r="J14" s="38">
        <f>_xlfn.PERCENTILE.INC(NPV_Nominal_Oil_Price_MC_Log_Normal_1000_Trials,0.75)</f>
        <v>1608.3800847183836</v>
      </c>
    </row>
    <row r="15" spans="2:10" x14ac:dyDescent="0.5">
      <c r="B15" s="91">
        <v>5</v>
      </c>
      <c r="C15" s="92">
        <v>19.957533664611855</v>
      </c>
      <c r="D15" s="92">
        <v>-2501.7697548535566</v>
      </c>
      <c r="E15" s="91">
        <v>1</v>
      </c>
      <c r="H15" s="36" t="s">
        <v>200</v>
      </c>
      <c r="I15" s="37">
        <f>_xlfn.PERCENTILE.INC(Oil_Price_Nominal_MC_Log_Normal_1000_Trials,0.25)</f>
        <v>20.123273030829697</v>
      </c>
      <c r="J15" s="38">
        <f>_xlfn.PERCENTILE.INC(NPV_Nominal_Oil_Price_MC_Log_Normal_1000_Trials,0.25)</f>
        <v>-2470.7195470962679</v>
      </c>
    </row>
    <row r="16" spans="2:10" x14ac:dyDescent="0.5">
      <c r="B16" s="91">
        <v>6</v>
      </c>
      <c r="C16" s="92">
        <v>114.76813642528467</v>
      </c>
      <c r="D16" s="92">
        <v>9565.784621121793</v>
      </c>
      <c r="E16" s="91">
        <v>0</v>
      </c>
      <c r="H16" s="36" t="s">
        <v>205</v>
      </c>
      <c r="I16" s="37">
        <f>_xlfn.PERCENTILE.INC(Oil_Price_Nominal_MC_Log_Normal_1000_Trials,0.01)</f>
        <v>6.0582108405887718</v>
      </c>
      <c r="J16" s="38">
        <f>_xlfn.PERCENTILE.INC(NPV_Nominal_Oil_Price_MC_Log_Normal_1000_Trials,0.01)</f>
        <v>-5105.7187816905898</v>
      </c>
    </row>
    <row r="17" spans="2:15" x14ac:dyDescent="0.5">
      <c r="B17" s="91">
        <v>7</v>
      </c>
      <c r="C17" s="92">
        <v>12.300503823881401</v>
      </c>
      <c r="D17" s="92">
        <v>-3936.2652086731614</v>
      </c>
      <c r="E17" s="91">
        <v>1</v>
      </c>
      <c r="H17" s="36" t="s">
        <v>90</v>
      </c>
      <c r="I17" s="37">
        <f>MAX(Oil_Price_Nominal_MC_Log_Normal_1000_Trials)</f>
        <v>211.06203533372573</v>
      </c>
      <c r="J17" s="38">
        <f>MAX(NPV_Nominal_Oil_Price_MC_Log_Normal_1000_Trials)</f>
        <v>21308.189605834334</v>
      </c>
    </row>
    <row r="18" spans="2:15" x14ac:dyDescent="0.5">
      <c r="B18" s="91">
        <v>8</v>
      </c>
      <c r="C18" s="92">
        <v>142.34815297359427</v>
      </c>
      <c r="D18" s="92">
        <v>12938.119683390441</v>
      </c>
      <c r="E18" s="91">
        <v>0</v>
      </c>
      <c r="H18" s="36" t="s">
        <v>91</v>
      </c>
      <c r="I18" s="37">
        <f>MIN(Oil_Price_Nominal_MC_Log_Normal_1000_Trials)</f>
        <v>4.1522308128895284</v>
      </c>
      <c r="J18" s="38">
        <f>MIN(NPV_Nominal_Oil_Price_MC_Log_Normal_1000_Trials)</f>
        <v>-5462.7919212337811</v>
      </c>
    </row>
    <row r="19" spans="2:15" x14ac:dyDescent="0.5">
      <c r="B19" s="91">
        <v>9</v>
      </c>
      <c r="C19" s="92">
        <v>46.267978091082675</v>
      </c>
      <c r="D19" s="92">
        <v>1154.6627808187343</v>
      </c>
      <c r="E19" s="91">
        <v>0</v>
      </c>
      <c r="H19" s="36"/>
      <c r="I19" s="36"/>
      <c r="J19" s="36"/>
    </row>
    <row r="20" spans="2:15" x14ac:dyDescent="0.5">
      <c r="B20" s="91">
        <v>10</v>
      </c>
      <c r="C20" s="92">
        <v>54.44348467391309</v>
      </c>
      <c r="D20" s="92">
        <v>2173.5754590802539</v>
      </c>
      <c r="E20" s="91">
        <v>0</v>
      </c>
      <c r="H20" s="36" t="s">
        <v>93</v>
      </c>
      <c r="I20" s="36">
        <f>COUNT(Oil_Price_Nominal_MC_Log_Normal_1000_Trials)</f>
        <v>1000</v>
      </c>
      <c r="J20" s="36"/>
    </row>
    <row r="21" spans="2:15" x14ac:dyDescent="0.5">
      <c r="B21" s="91">
        <v>11</v>
      </c>
      <c r="C21" s="92">
        <v>27.587659837235833</v>
      </c>
      <c r="D21" s="92">
        <v>-1243.5433385860833</v>
      </c>
      <c r="E21" s="91">
        <v>1</v>
      </c>
      <c r="H21" s="36" t="s">
        <v>170</v>
      </c>
      <c r="I21" s="58">
        <f>_xlfn.PERCENTRANK.INC(Oil_Price_Nominal_MC_Log_Normal_1000_Trials, 30)</f>
        <v>0.47499999999999998</v>
      </c>
      <c r="J21" s="36"/>
    </row>
    <row r="22" spans="2:15" x14ac:dyDescent="0.5">
      <c r="B22" s="91">
        <v>12</v>
      </c>
      <c r="C22" s="92">
        <v>16.150686187346793</v>
      </c>
      <c r="D22" s="92">
        <v>-3214.9582252017944</v>
      </c>
      <c r="E22" s="91">
        <v>1</v>
      </c>
      <c r="H22" s="36" t="s">
        <v>171</v>
      </c>
      <c r="I22" s="58">
        <f>_xlfn.PERCENTRANK.EXC(NPV_Nominal_Oil_Price_MC_Log_Normal_1000_Trials,0)</f>
        <v>0.60299999999999998</v>
      </c>
      <c r="J22" s="36"/>
    </row>
    <row r="23" spans="2:15" x14ac:dyDescent="0.5">
      <c r="B23" s="91">
        <v>13</v>
      </c>
      <c r="C23" s="92">
        <v>22.000519324305785</v>
      </c>
      <c r="D23" s="92">
        <v>-2119.0294884567343</v>
      </c>
      <c r="E23" s="91">
        <v>1</v>
      </c>
      <c r="H23" s="36" t="s">
        <v>92</v>
      </c>
      <c r="I23" s="58">
        <f>SUM(Prob_Loss_MC_Nominal_Log_Normal_1000_Trials)/COUNT(Prob_Loss_MC_Nominal_Log_Normal_1000_Trials)</f>
        <v>0.60399999999999998</v>
      </c>
      <c r="J23" s="36"/>
    </row>
    <row r="24" spans="2:15" x14ac:dyDescent="0.5">
      <c r="B24" s="91">
        <v>14</v>
      </c>
      <c r="C24" s="92">
        <v>34.638862487944024</v>
      </c>
      <c r="D24" s="92">
        <v>-318.58295487851535</v>
      </c>
      <c r="E24" s="91">
        <v>1</v>
      </c>
    </row>
    <row r="25" spans="2:15" x14ac:dyDescent="0.5">
      <c r="B25" s="91">
        <v>15</v>
      </c>
      <c r="C25" s="92">
        <v>46.86338660691785</v>
      </c>
      <c r="D25" s="92">
        <v>1229.2872526228725</v>
      </c>
      <c r="E25" s="91">
        <v>0</v>
      </c>
      <c r="H25" s="39" t="s">
        <v>201</v>
      </c>
      <c r="N25" s="73" t="s">
        <v>82</v>
      </c>
      <c r="O25" t="s">
        <v>154</v>
      </c>
    </row>
    <row r="26" spans="2:15" x14ac:dyDescent="0.5">
      <c r="B26" s="91">
        <v>16</v>
      </c>
      <c r="C26" s="92">
        <v>38.321804533139854</v>
      </c>
      <c r="D26" s="92">
        <v>154.28577534136781</v>
      </c>
      <c r="E26" s="91">
        <v>0</v>
      </c>
    </row>
    <row r="27" spans="2:15" x14ac:dyDescent="0.5">
      <c r="B27" s="91">
        <v>17</v>
      </c>
      <c r="C27" s="92">
        <v>31.818938656679293</v>
      </c>
      <c r="D27" s="92">
        <v>-684.04502040579303</v>
      </c>
      <c r="E27" s="91">
        <v>1</v>
      </c>
      <c r="H27" s="70" t="s">
        <v>97</v>
      </c>
      <c r="I27" s="71" t="s">
        <v>87</v>
      </c>
      <c r="J27" s="71" t="s">
        <v>94</v>
      </c>
      <c r="K27" s="70" t="s">
        <v>96</v>
      </c>
      <c r="L27" s="70" t="s">
        <v>118</v>
      </c>
      <c r="N27" s="73" t="s">
        <v>141</v>
      </c>
      <c r="O27" t="s">
        <v>143</v>
      </c>
    </row>
    <row r="28" spans="2:15" x14ac:dyDescent="0.5">
      <c r="B28" s="91">
        <v>18</v>
      </c>
      <c r="C28" s="92">
        <v>23.855089604826141</v>
      </c>
      <c r="D28" s="92">
        <v>-1771.5876354755771</v>
      </c>
      <c r="E28" s="91">
        <v>1</v>
      </c>
      <c r="H28" s="88">
        <v>1</v>
      </c>
      <c r="I28" s="93">
        <v>-2786</v>
      </c>
      <c r="J28" s="88">
        <v>211</v>
      </c>
      <c r="K28" s="72">
        <f>J28/(SUM($J$28:$J$37))</f>
        <v>0.21099999999999999</v>
      </c>
      <c r="L28" s="72">
        <f>SUM($K$28:K28)</f>
        <v>0.21099999999999999</v>
      </c>
      <c r="N28" s="74" t="s">
        <v>144</v>
      </c>
      <c r="O28">
        <v>211</v>
      </c>
    </row>
    <row r="29" spans="2:15" x14ac:dyDescent="0.5">
      <c r="B29" s="91">
        <v>19</v>
      </c>
      <c r="C29" s="92">
        <v>26.129390451708637</v>
      </c>
      <c r="D29" s="92">
        <v>-1442.0028974792535</v>
      </c>
      <c r="E29" s="91">
        <v>1</v>
      </c>
      <c r="H29" s="88">
        <v>2</v>
      </c>
      <c r="I29" s="93">
        <v>-109</v>
      </c>
      <c r="J29" s="88">
        <v>377</v>
      </c>
      <c r="K29" s="72">
        <f t="shared" ref="K29:K37" si="0">J29/(SUM($J$28:$J$37))</f>
        <v>0.377</v>
      </c>
      <c r="L29" s="72">
        <f>SUM($K$28:K29)</f>
        <v>0.58799999999999997</v>
      </c>
      <c r="N29" s="74" t="s">
        <v>145</v>
      </c>
      <c r="O29">
        <v>377</v>
      </c>
    </row>
    <row r="30" spans="2:15" x14ac:dyDescent="0.5">
      <c r="B30" s="91">
        <v>20</v>
      </c>
      <c r="C30" s="92">
        <v>36.396181045435249</v>
      </c>
      <c r="D30" s="92">
        <v>-92.360486731959384</v>
      </c>
      <c r="E30" s="91">
        <v>1</v>
      </c>
      <c r="H30" s="88">
        <v>3</v>
      </c>
      <c r="I30" s="93">
        <v>2568</v>
      </c>
      <c r="J30" s="88">
        <v>219</v>
      </c>
      <c r="K30" s="72">
        <f t="shared" si="0"/>
        <v>0.219</v>
      </c>
      <c r="L30" s="72">
        <f>SUM($K$28:K30)</f>
        <v>0.80699999999999994</v>
      </c>
      <c r="N30" s="74" t="s">
        <v>146</v>
      </c>
      <c r="O30">
        <v>219</v>
      </c>
    </row>
    <row r="31" spans="2:15" x14ac:dyDescent="0.5">
      <c r="B31" s="91">
        <v>21</v>
      </c>
      <c r="C31" s="92">
        <v>55.691530816101256</v>
      </c>
      <c r="D31" s="92">
        <v>2328.2833449883419</v>
      </c>
      <c r="E31" s="91">
        <v>0</v>
      </c>
      <c r="H31" s="88">
        <v>4</v>
      </c>
      <c r="I31" s="93">
        <v>5245</v>
      </c>
      <c r="J31" s="88">
        <v>104</v>
      </c>
      <c r="K31" s="72">
        <f t="shared" si="0"/>
        <v>0.104</v>
      </c>
      <c r="L31" s="72">
        <f>SUM($K$28:K31)</f>
        <v>0.91099999999999992</v>
      </c>
      <c r="N31" s="74" t="s">
        <v>147</v>
      </c>
      <c r="O31">
        <v>104</v>
      </c>
    </row>
    <row r="32" spans="2:15" x14ac:dyDescent="0.5">
      <c r="B32" s="91">
        <v>22</v>
      </c>
      <c r="C32" s="92">
        <v>44.821146212711938</v>
      </c>
      <c r="D32" s="92">
        <v>973.32666982717797</v>
      </c>
      <c r="E32" s="91">
        <v>0</v>
      </c>
      <c r="H32" s="88">
        <v>5</v>
      </c>
      <c r="I32" s="93">
        <v>7922</v>
      </c>
      <c r="J32" s="88">
        <v>40</v>
      </c>
      <c r="K32" s="72">
        <f t="shared" si="0"/>
        <v>0.04</v>
      </c>
      <c r="L32" s="72">
        <f>SUM($K$28:K32)</f>
        <v>0.95099999999999996</v>
      </c>
      <c r="N32" s="74" t="s">
        <v>148</v>
      </c>
      <c r="O32">
        <v>40</v>
      </c>
    </row>
    <row r="33" spans="2:15" x14ac:dyDescent="0.5">
      <c r="B33" s="91">
        <v>23</v>
      </c>
      <c r="C33" s="92">
        <v>20.164672905810434</v>
      </c>
      <c r="D33" s="92">
        <v>-2462.9635459203728</v>
      </c>
      <c r="E33" s="91">
        <v>1</v>
      </c>
      <c r="H33" s="88">
        <v>6</v>
      </c>
      <c r="I33" s="93">
        <v>10599</v>
      </c>
      <c r="J33" s="88">
        <v>21</v>
      </c>
      <c r="K33" s="72">
        <f t="shared" si="0"/>
        <v>2.1000000000000001E-2</v>
      </c>
      <c r="L33" s="72">
        <f>SUM($K$28:K33)</f>
        <v>0.97199999999999998</v>
      </c>
      <c r="N33" s="74" t="s">
        <v>149</v>
      </c>
      <c r="O33">
        <v>21</v>
      </c>
    </row>
    <row r="34" spans="2:15" x14ac:dyDescent="0.5">
      <c r="B34" s="91">
        <v>24</v>
      </c>
      <c r="C34" s="92">
        <v>52.50812130988227</v>
      </c>
      <c r="D34" s="92">
        <v>1933.2253435421326</v>
      </c>
      <c r="E34" s="91">
        <v>0</v>
      </c>
      <c r="H34" s="88">
        <v>7</v>
      </c>
      <c r="I34" s="93">
        <v>13276</v>
      </c>
      <c r="J34" s="88">
        <v>18</v>
      </c>
      <c r="K34" s="72">
        <f t="shared" si="0"/>
        <v>1.7999999999999999E-2</v>
      </c>
      <c r="L34" s="72">
        <f>SUM($K$28:K34)</f>
        <v>0.99</v>
      </c>
      <c r="N34" s="74" t="s">
        <v>150</v>
      </c>
      <c r="O34">
        <v>18</v>
      </c>
    </row>
    <row r="35" spans="2:15" x14ac:dyDescent="0.5">
      <c r="B35" s="91">
        <v>25</v>
      </c>
      <c r="C35" s="92">
        <v>40.251349860488666</v>
      </c>
      <c r="D35" s="92">
        <v>397.81044560856924</v>
      </c>
      <c r="E35" s="91">
        <v>0</v>
      </c>
      <c r="H35" s="88">
        <v>8</v>
      </c>
      <c r="I35" s="93">
        <v>15953</v>
      </c>
      <c r="J35" s="88">
        <v>5</v>
      </c>
      <c r="K35" s="72">
        <f t="shared" si="0"/>
        <v>5.0000000000000001E-3</v>
      </c>
      <c r="L35" s="72">
        <f>SUM($K$28:K35)</f>
        <v>0.995</v>
      </c>
      <c r="N35" s="74" t="s">
        <v>151</v>
      </c>
      <c r="O35">
        <v>5</v>
      </c>
    </row>
    <row r="36" spans="2:15" x14ac:dyDescent="0.5">
      <c r="B36" s="91">
        <v>26</v>
      </c>
      <c r="C36" s="92">
        <v>8.3074983237772226</v>
      </c>
      <c r="D36" s="92">
        <v>-4684.3291911990154</v>
      </c>
      <c r="E36" s="91">
        <v>1</v>
      </c>
      <c r="H36" s="88">
        <v>9</v>
      </c>
      <c r="I36" s="93">
        <v>21307</v>
      </c>
      <c r="J36" s="88">
        <v>4</v>
      </c>
      <c r="K36" s="72">
        <f t="shared" si="0"/>
        <v>4.0000000000000001E-3</v>
      </c>
      <c r="L36" s="72">
        <f>SUM($K$28:K36)</f>
        <v>0.999</v>
      </c>
      <c r="N36" s="74" t="s">
        <v>152</v>
      </c>
      <c r="O36">
        <v>4</v>
      </c>
    </row>
    <row r="37" spans="2:15" x14ac:dyDescent="0.5">
      <c r="B37" s="91">
        <v>27</v>
      </c>
      <c r="C37" s="92">
        <v>16.970926648028453</v>
      </c>
      <c r="D37" s="92">
        <v>-3061.2914332000414</v>
      </c>
      <c r="E37" s="91">
        <v>1</v>
      </c>
      <c r="H37" s="88">
        <v>10</v>
      </c>
      <c r="I37" s="93">
        <v>23984</v>
      </c>
      <c r="J37" s="88">
        <v>1</v>
      </c>
      <c r="K37" s="72">
        <f t="shared" si="0"/>
        <v>1E-3</v>
      </c>
      <c r="L37" s="72">
        <f>SUM($K$28:K37)</f>
        <v>1</v>
      </c>
      <c r="N37" s="74" t="s">
        <v>153</v>
      </c>
      <c r="O37">
        <v>1</v>
      </c>
    </row>
    <row r="38" spans="2:15" x14ac:dyDescent="0.5">
      <c r="B38" s="91">
        <v>28</v>
      </c>
      <c r="C38" s="92">
        <v>75.685682824535959</v>
      </c>
      <c r="D38" s="92">
        <v>4779.6980256773677</v>
      </c>
      <c r="E38" s="91">
        <v>0</v>
      </c>
      <c r="N38" s="74" t="s">
        <v>142</v>
      </c>
      <c r="O38">
        <v>1000</v>
      </c>
    </row>
    <row r="39" spans="2:15" x14ac:dyDescent="0.5">
      <c r="B39" s="91">
        <v>29</v>
      </c>
      <c r="C39" s="92">
        <v>73.110656007878731</v>
      </c>
      <c r="D39" s="92">
        <v>4464.3569916672368</v>
      </c>
      <c r="E39" s="91">
        <v>0</v>
      </c>
    </row>
    <row r="40" spans="2:15" x14ac:dyDescent="0.5">
      <c r="B40" s="91">
        <v>30</v>
      </c>
      <c r="C40" s="92">
        <v>27.051013490028364</v>
      </c>
      <c r="D40" s="92">
        <v>-1315.9389786006179</v>
      </c>
      <c r="E40" s="91">
        <v>1</v>
      </c>
    </row>
    <row r="41" spans="2:15" x14ac:dyDescent="0.5">
      <c r="B41" s="91">
        <v>31</v>
      </c>
      <c r="C41" s="92">
        <v>21.759133821647907</v>
      </c>
      <c r="D41" s="92">
        <v>-2164.2515149321662</v>
      </c>
      <c r="E41" s="91">
        <v>1</v>
      </c>
      <c r="J41"/>
    </row>
    <row r="42" spans="2:15" x14ac:dyDescent="0.5">
      <c r="B42" s="91">
        <v>32</v>
      </c>
      <c r="C42" s="92">
        <v>35.87252777727501</v>
      </c>
      <c r="D42" s="92">
        <v>-159.62092302593635</v>
      </c>
      <c r="E42" s="91">
        <v>1</v>
      </c>
      <c r="J42"/>
    </row>
    <row r="43" spans="2:15" x14ac:dyDescent="0.5">
      <c r="B43" s="91">
        <v>33</v>
      </c>
      <c r="C43" s="92">
        <v>61.136931231969164</v>
      </c>
      <c r="D43" s="92">
        <v>2998.0395431019356</v>
      </c>
      <c r="E43" s="91">
        <v>0</v>
      </c>
      <c r="J43"/>
    </row>
    <row r="44" spans="2:15" x14ac:dyDescent="0.5">
      <c r="B44" s="91">
        <v>34</v>
      </c>
      <c r="C44" s="92">
        <v>61.667699724278158</v>
      </c>
      <c r="D44" s="92">
        <v>3063.0381225738151</v>
      </c>
      <c r="E44" s="91">
        <v>0</v>
      </c>
      <c r="J44"/>
    </row>
    <row r="45" spans="2:15" x14ac:dyDescent="0.5">
      <c r="B45" s="91">
        <v>35</v>
      </c>
      <c r="C45" s="92">
        <v>26.643714048903664</v>
      </c>
      <c r="D45" s="92">
        <v>-1371.6513051922686</v>
      </c>
      <c r="E45" s="91">
        <v>1</v>
      </c>
      <c r="J45"/>
    </row>
    <row r="46" spans="2:15" x14ac:dyDescent="0.5">
      <c r="B46" s="91">
        <v>36</v>
      </c>
      <c r="C46" s="92">
        <v>25.867054414448482</v>
      </c>
      <c r="D46" s="92">
        <v>-1477.8864502389611</v>
      </c>
      <c r="E46" s="91">
        <v>1</v>
      </c>
      <c r="J46"/>
    </row>
    <row r="47" spans="2:15" x14ac:dyDescent="0.5">
      <c r="B47" s="91">
        <v>37</v>
      </c>
      <c r="C47" s="92">
        <v>42.236800510555426</v>
      </c>
      <c r="D47" s="92">
        <v>648.39083262318456</v>
      </c>
      <c r="E47" s="91">
        <v>0</v>
      </c>
      <c r="J47"/>
    </row>
    <row r="48" spans="2:15" x14ac:dyDescent="0.5">
      <c r="B48" s="91">
        <v>38</v>
      </c>
      <c r="C48" s="92">
        <v>30.863122585446135</v>
      </c>
      <c r="D48" s="92">
        <v>-807.91876188212541</v>
      </c>
      <c r="E48" s="91">
        <v>1</v>
      </c>
      <c r="J48"/>
    </row>
    <row r="49" spans="2:10" x14ac:dyDescent="0.5">
      <c r="B49" s="91">
        <v>39</v>
      </c>
      <c r="C49" s="92">
        <v>15.792573141941228</v>
      </c>
      <c r="D49" s="92">
        <v>-3282.0484085069656</v>
      </c>
      <c r="E49" s="91">
        <v>1</v>
      </c>
      <c r="J49"/>
    </row>
    <row r="50" spans="2:10" x14ac:dyDescent="0.5">
      <c r="B50" s="91">
        <v>40</v>
      </c>
      <c r="C50" s="92">
        <v>20.089099494831547</v>
      </c>
      <c r="D50" s="92">
        <v>-2477.1217399895904</v>
      </c>
      <c r="E50" s="91">
        <v>1</v>
      </c>
      <c r="J50"/>
    </row>
    <row r="51" spans="2:10" x14ac:dyDescent="0.5">
      <c r="B51" s="91">
        <v>41</v>
      </c>
      <c r="C51" s="92">
        <v>38.611285107850904</v>
      </c>
      <c r="D51" s="92">
        <v>190.8206317689847</v>
      </c>
      <c r="E51" s="91">
        <v>0</v>
      </c>
      <c r="J51"/>
    </row>
    <row r="52" spans="2:10" x14ac:dyDescent="0.5">
      <c r="B52" s="91">
        <v>42</v>
      </c>
      <c r="C52" s="92">
        <v>86.916900547261804</v>
      </c>
      <c r="D52" s="92">
        <v>6155.0871233625321</v>
      </c>
      <c r="E52" s="91">
        <v>0</v>
      </c>
      <c r="J52"/>
    </row>
    <row r="53" spans="2:10" x14ac:dyDescent="0.5">
      <c r="B53" s="91">
        <v>43</v>
      </c>
      <c r="C53" s="92">
        <v>21.775705077570297</v>
      </c>
      <c r="D53" s="92">
        <v>-2161.1469963682835</v>
      </c>
      <c r="E53" s="91">
        <v>1</v>
      </c>
      <c r="H53"/>
      <c r="I53"/>
      <c r="J53"/>
    </row>
    <row r="54" spans="2:10" x14ac:dyDescent="0.5">
      <c r="B54" s="91">
        <v>44</v>
      </c>
      <c r="C54" s="92">
        <v>18.112200249456944</v>
      </c>
      <c r="D54" s="92">
        <v>-2847.4811403231733</v>
      </c>
      <c r="E54" s="91">
        <v>1</v>
      </c>
      <c r="H54"/>
      <c r="I54"/>
      <c r="J54"/>
    </row>
    <row r="55" spans="2:10" x14ac:dyDescent="0.5">
      <c r="B55" s="91">
        <v>45</v>
      </c>
      <c r="C55" s="92">
        <v>50.554797496420136</v>
      </c>
      <c r="D55" s="92">
        <v>1689.8654565423321</v>
      </c>
      <c r="E55" s="91">
        <v>0</v>
      </c>
      <c r="H55"/>
      <c r="I55"/>
      <c r="J55"/>
    </row>
    <row r="56" spans="2:10" x14ac:dyDescent="0.5">
      <c r="B56" s="91">
        <v>46</v>
      </c>
      <c r="C56" s="92">
        <v>18.978307119495916</v>
      </c>
      <c r="D56" s="92">
        <v>-2685.2215705636409</v>
      </c>
      <c r="E56" s="91">
        <v>1</v>
      </c>
      <c r="H56"/>
      <c r="I56"/>
      <c r="J56"/>
    </row>
    <row r="57" spans="2:10" x14ac:dyDescent="0.5">
      <c r="B57" s="91">
        <v>47</v>
      </c>
      <c r="C57" s="92">
        <v>43.410421797010699</v>
      </c>
      <c r="D57" s="92">
        <v>796.51160115433083</v>
      </c>
      <c r="E57" s="91">
        <v>0</v>
      </c>
      <c r="H57"/>
      <c r="I57"/>
      <c r="J57"/>
    </row>
    <row r="58" spans="2:10" x14ac:dyDescent="0.5">
      <c r="B58" s="91">
        <v>48</v>
      </c>
      <c r="C58" s="92">
        <v>88.949535904862728</v>
      </c>
      <c r="D58" s="92">
        <v>6404.0062147231065</v>
      </c>
      <c r="E58" s="91">
        <v>0</v>
      </c>
      <c r="H58"/>
      <c r="I58"/>
      <c r="J58"/>
    </row>
    <row r="59" spans="2:10" x14ac:dyDescent="0.5">
      <c r="B59" s="91">
        <v>49</v>
      </c>
      <c r="C59" s="92">
        <v>16.030673772847479</v>
      </c>
      <c r="D59" s="92">
        <v>-3237.441781695908</v>
      </c>
      <c r="E59" s="91">
        <v>1</v>
      </c>
      <c r="H59"/>
      <c r="I59"/>
    </row>
    <row r="60" spans="2:10" x14ac:dyDescent="0.5">
      <c r="B60" s="91">
        <v>50</v>
      </c>
      <c r="C60" s="92">
        <v>49.13083000061642</v>
      </c>
      <c r="D60" s="92">
        <v>1512.4567921509592</v>
      </c>
      <c r="E60" s="91">
        <v>0</v>
      </c>
      <c r="H60"/>
      <c r="I60"/>
    </row>
    <row r="61" spans="2:10" x14ac:dyDescent="0.5">
      <c r="B61" s="91">
        <v>51</v>
      </c>
      <c r="C61" s="92">
        <v>106.30930549859883</v>
      </c>
      <c r="D61" s="92">
        <v>8529.9055096177417</v>
      </c>
      <c r="E61" s="91">
        <v>0</v>
      </c>
      <c r="H61"/>
      <c r="I61"/>
    </row>
    <row r="62" spans="2:10" x14ac:dyDescent="0.5">
      <c r="B62" s="91">
        <v>52</v>
      </c>
      <c r="C62" s="92">
        <v>30.204273410107358</v>
      </c>
      <c r="D62" s="92">
        <v>-894.47724314083666</v>
      </c>
      <c r="E62" s="91">
        <v>1</v>
      </c>
      <c r="H62"/>
      <c r="I62"/>
    </row>
    <row r="63" spans="2:10" x14ac:dyDescent="0.5">
      <c r="B63" s="91">
        <v>53</v>
      </c>
      <c r="C63" s="92">
        <v>101.4036718230365</v>
      </c>
      <c r="D63" s="92">
        <v>7929.1554181158172</v>
      </c>
      <c r="E63" s="91">
        <v>0</v>
      </c>
      <c r="H63"/>
      <c r="I63"/>
    </row>
    <row r="64" spans="2:10" x14ac:dyDescent="0.5">
      <c r="B64" s="91">
        <v>54</v>
      </c>
      <c r="C64" s="92">
        <v>91.322531705732416</v>
      </c>
      <c r="D64" s="92">
        <v>6694.60627554863</v>
      </c>
      <c r="E64" s="91">
        <v>0</v>
      </c>
      <c r="H64"/>
      <c r="I64"/>
    </row>
    <row r="65" spans="2:9" x14ac:dyDescent="0.5">
      <c r="B65" s="91">
        <v>55</v>
      </c>
      <c r="C65" s="92">
        <v>51.672845090273512</v>
      </c>
      <c r="D65" s="92">
        <v>1829.1603006564264</v>
      </c>
      <c r="E65" s="91">
        <v>0</v>
      </c>
      <c r="H65"/>
      <c r="I65"/>
    </row>
    <row r="66" spans="2:9" x14ac:dyDescent="0.5">
      <c r="B66" s="91">
        <v>56</v>
      </c>
      <c r="C66" s="92">
        <v>40.082521657339505</v>
      </c>
      <c r="D66" s="92">
        <v>376.5029220583487</v>
      </c>
      <c r="E66" s="91">
        <v>0</v>
      </c>
      <c r="H66"/>
      <c r="I66"/>
    </row>
    <row r="67" spans="2:9" x14ac:dyDescent="0.5">
      <c r="B67" s="91">
        <v>57</v>
      </c>
      <c r="C67" s="92">
        <v>22.501719494902183</v>
      </c>
      <c r="D67" s="92">
        <v>-2025.1328495341995</v>
      </c>
      <c r="E67" s="91">
        <v>1</v>
      </c>
      <c r="H67"/>
      <c r="I67"/>
    </row>
    <row r="68" spans="2:9" x14ac:dyDescent="0.5">
      <c r="B68" s="91">
        <v>58</v>
      </c>
      <c r="C68" s="92">
        <v>72.966234207106339</v>
      </c>
      <c r="D68" s="92">
        <v>4446.6709156642337</v>
      </c>
      <c r="E68" s="91">
        <v>0</v>
      </c>
      <c r="H68"/>
      <c r="I68"/>
    </row>
    <row r="69" spans="2:9" x14ac:dyDescent="0.5">
      <c r="B69" s="91">
        <v>59</v>
      </c>
      <c r="C69" s="92">
        <v>8.167897213214907</v>
      </c>
      <c r="D69" s="92">
        <v>-4710.4825643234826</v>
      </c>
      <c r="E69" s="91">
        <v>1</v>
      </c>
      <c r="H69"/>
      <c r="I69"/>
    </row>
    <row r="70" spans="2:9" x14ac:dyDescent="0.5">
      <c r="B70" s="91">
        <v>60</v>
      </c>
      <c r="C70" s="92">
        <v>55.467082385873248</v>
      </c>
      <c r="D70" s="92">
        <v>2300.4607020890312</v>
      </c>
      <c r="E70" s="91">
        <v>0</v>
      </c>
      <c r="H70"/>
      <c r="I70"/>
    </row>
    <row r="71" spans="2:9" x14ac:dyDescent="0.5">
      <c r="B71" s="91">
        <v>61</v>
      </c>
      <c r="C71" s="92">
        <v>11.497930952789421</v>
      </c>
      <c r="D71" s="92">
        <v>-4086.6220910267189</v>
      </c>
      <c r="E71" s="91">
        <v>1</v>
      </c>
      <c r="H71"/>
      <c r="I71"/>
    </row>
    <row r="72" spans="2:9" x14ac:dyDescent="0.5">
      <c r="B72" s="91">
        <v>62</v>
      </c>
      <c r="C72" s="92">
        <v>9.2487270102256574</v>
      </c>
      <c r="D72" s="92">
        <v>-4507.9960307178126</v>
      </c>
      <c r="E72" s="91">
        <v>1</v>
      </c>
      <c r="H72"/>
      <c r="I72"/>
    </row>
    <row r="73" spans="2:9" x14ac:dyDescent="0.5">
      <c r="B73" s="91">
        <v>63</v>
      </c>
      <c r="C73" s="92">
        <v>18.818685503872167</v>
      </c>
      <c r="D73" s="92">
        <v>-2715.125656966125</v>
      </c>
      <c r="E73" s="91">
        <v>1</v>
      </c>
      <c r="H73"/>
      <c r="I73"/>
    </row>
    <row r="74" spans="2:9" x14ac:dyDescent="0.5">
      <c r="B74" s="91">
        <v>64</v>
      </c>
      <c r="C74" s="92">
        <v>52.317197548675836</v>
      </c>
      <c r="D74" s="92">
        <v>1909.4386141567875</v>
      </c>
      <c r="E74" s="91">
        <v>0</v>
      </c>
      <c r="H74"/>
      <c r="I74"/>
    </row>
    <row r="75" spans="2:9" x14ac:dyDescent="0.5">
      <c r="B75" s="91">
        <v>65</v>
      </c>
      <c r="C75" s="92">
        <v>7.3923155057215943</v>
      </c>
      <c r="D75" s="92">
        <v>-4855.7828252088011</v>
      </c>
      <c r="E75" s="91">
        <v>1</v>
      </c>
      <c r="H75"/>
      <c r="I75"/>
    </row>
    <row r="76" spans="2:9" x14ac:dyDescent="0.5">
      <c r="B76" s="91">
        <v>66</v>
      </c>
      <c r="C76" s="92">
        <v>47.833834523923024</v>
      </c>
      <c r="D76" s="92">
        <v>1350.8672643563275</v>
      </c>
      <c r="E76" s="91">
        <v>0</v>
      </c>
      <c r="H76"/>
      <c r="I76"/>
    </row>
    <row r="77" spans="2:9" x14ac:dyDescent="0.5">
      <c r="B77" s="91">
        <v>67</v>
      </c>
      <c r="C77" s="92">
        <v>60.623906623212235</v>
      </c>
      <c r="D77" s="92">
        <v>2935.2139020050922</v>
      </c>
      <c r="E77" s="91">
        <v>0</v>
      </c>
      <c r="H77"/>
      <c r="I77"/>
    </row>
    <row r="78" spans="2:9" x14ac:dyDescent="0.5">
      <c r="B78" s="91">
        <v>68</v>
      </c>
      <c r="C78" s="92">
        <v>32.273715705314068</v>
      </c>
      <c r="D78" s="92">
        <v>-625.10592506366083</v>
      </c>
      <c r="E78" s="91">
        <v>1</v>
      </c>
      <c r="H78"/>
      <c r="I78"/>
    </row>
    <row r="79" spans="2:9" x14ac:dyDescent="0.5">
      <c r="B79" s="91">
        <v>69</v>
      </c>
      <c r="C79" s="92">
        <v>68.678739450068207</v>
      </c>
      <c r="D79" s="92">
        <v>3921.6188963021386</v>
      </c>
      <c r="E79" s="91">
        <v>0</v>
      </c>
      <c r="H79"/>
      <c r="I79"/>
    </row>
    <row r="80" spans="2:9" x14ac:dyDescent="0.5">
      <c r="B80" s="91">
        <v>70</v>
      </c>
      <c r="C80" s="92">
        <v>17.150145053601243</v>
      </c>
      <c r="D80" s="92">
        <v>-3027.7160138295408</v>
      </c>
      <c r="E80" s="91">
        <v>1</v>
      </c>
      <c r="H80"/>
      <c r="I80"/>
    </row>
    <row r="81" spans="2:9" x14ac:dyDescent="0.5">
      <c r="B81" s="91">
        <v>71</v>
      </c>
      <c r="C81" s="92">
        <v>34.316045067091984</v>
      </c>
      <c r="D81" s="92">
        <v>-360.42008540833621</v>
      </c>
      <c r="E81" s="91">
        <v>1</v>
      </c>
      <c r="H81"/>
      <c r="I81"/>
    </row>
    <row r="82" spans="2:9" x14ac:dyDescent="0.5">
      <c r="B82" s="91">
        <v>72</v>
      </c>
      <c r="C82" s="92">
        <v>46.581846168015474</v>
      </c>
      <c r="D82" s="92">
        <v>1194.0008803493331</v>
      </c>
      <c r="E82" s="91">
        <v>0</v>
      </c>
      <c r="H82"/>
      <c r="I82"/>
    </row>
    <row r="83" spans="2:9" x14ac:dyDescent="0.5">
      <c r="B83" s="91">
        <v>73</v>
      </c>
      <c r="C83" s="92">
        <v>19.269842308697925</v>
      </c>
      <c r="D83" s="92">
        <v>-2630.6043218082364</v>
      </c>
      <c r="E83" s="91">
        <v>1</v>
      </c>
      <c r="H83"/>
      <c r="I83"/>
    </row>
    <row r="84" spans="2:9" x14ac:dyDescent="0.5">
      <c r="B84" s="91">
        <v>74</v>
      </c>
      <c r="C84" s="92">
        <v>26.450225042048885</v>
      </c>
      <c r="D84" s="92">
        <v>-1398.1176384433547</v>
      </c>
      <c r="E84" s="91">
        <v>1</v>
      </c>
      <c r="H84"/>
      <c r="I84"/>
    </row>
    <row r="85" spans="2:9" x14ac:dyDescent="0.5">
      <c r="B85" s="91">
        <v>75</v>
      </c>
      <c r="C85" s="92">
        <v>32.832674042279493</v>
      </c>
      <c r="D85" s="92">
        <v>-552.66493708156372</v>
      </c>
      <c r="E85" s="91">
        <v>1</v>
      </c>
      <c r="H85"/>
      <c r="I85"/>
    </row>
    <row r="86" spans="2:9" x14ac:dyDescent="0.5">
      <c r="B86" s="91">
        <v>76</v>
      </c>
      <c r="C86" s="92">
        <v>41.283978515692304</v>
      </c>
      <c r="D86" s="92">
        <v>528.1367712992178</v>
      </c>
      <c r="E86" s="91">
        <v>0</v>
      </c>
      <c r="H86"/>
      <c r="I86"/>
    </row>
    <row r="87" spans="2:9" x14ac:dyDescent="0.5">
      <c r="B87" s="91">
        <v>77</v>
      </c>
      <c r="C87" s="92">
        <v>74.934691961672101</v>
      </c>
      <c r="D87" s="92">
        <v>4687.7307367560543</v>
      </c>
      <c r="E87" s="91">
        <v>0</v>
      </c>
      <c r="H87"/>
      <c r="I87"/>
    </row>
    <row r="88" spans="2:9" x14ac:dyDescent="0.5">
      <c r="B88" s="91">
        <v>78</v>
      </c>
      <c r="C88" s="92">
        <v>39.035146620861724</v>
      </c>
      <c r="D88" s="92">
        <v>244.31548039052126</v>
      </c>
      <c r="E88" s="91">
        <v>0</v>
      </c>
      <c r="H88"/>
      <c r="I88"/>
    </row>
    <row r="89" spans="2:9" x14ac:dyDescent="0.5">
      <c r="B89" s="91">
        <v>79</v>
      </c>
      <c r="C89" s="92">
        <v>11.585140268097398</v>
      </c>
      <c r="D89" s="92">
        <v>-4070.2839848756171</v>
      </c>
      <c r="E89" s="91">
        <v>1</v>
      </c>
      <c r="H89"/>
      <c r="I89"/>
    </row>
    <row r="90" spans="2:9" x14ac:dyDescent="0.5">
      <c r="B90" s="91">
        <v>80</v>
      </c>
      <c r="C90" s="92">
        <v>15.621686762494567</v>
      </c>
      <c r="D90" s="92">
        <v>-3314.0628761967691</v>
      </c>
      <c r="E90" s="91">
        <v>1</v>
      </c>
      <c r="H90"/>
      <c r="I90"/>
    </row>
    <row r="91" spans="2:9" x14ac:dyDescent="0.5">
      <c r="B91" s="91">
        <v>81</v>
      </c>
      <c r="C91" s="92">
        <v>23.812076840476003</v>
      </c>
      <c r="D91" s="92">
        <v>-1779.6458011350971</v>
      </c>
      <c r="E91" s="91">
        <v>1</v>
      </c>
      <c r="H91"/>
      <c r="I91"/>
    </row>
    <row r="92" spans="2:9" x14ac:dyDescent="0.5">
      <c r="B92" s="91">
        <v>82</v>
      </c>
      <c r="C92" s="92">
        <v>7.5537158566248044</v>
      </c>
      <c r="D92" s="92">
        <v>-4825.5455041546293</v>
      </c>
      <c r="E92" s="91">
        <v>1</v>
      </c>
      <c r="H92"/>
      <c r="I92"/>
    </row>
    <row r="93" spans="2:9" x14ac:dyDescent="0.5">
      <c r="B93" s="91">
        <v>83</v>
      </c>
      <c r="C93" s="92">
        <v>30.979985016975363</v>
      </c>
      <c r="D93" s="92">
        <v>-792.77339336695718</v>
      </c>
      <c r="E93" s="91">
        <v>1</v>
      </c>
      <c r="H93"/>
      <c r="I93"/>
    </row>
    <row r="94" spans="2:9" x14ac:dyDescent="0.5">
      <c r="B94" s="91">
        <v>84</v>
      </c>
      <c r="C94" s="92">
        <v>22.409623508928238</v>
      </c>
      <c r="D94" s="92">
        <v>-2042.3864421076421</v>
      </c>
      <c r="E94" s="91">
        <v>1</v>
      </c>
      <c r="H94"/>
      <c r="I94"/>
    </row>
    <row r="95" spans="2:9" x14ac:dyDescent="0.5">
      <c r="B95" s="91">
        <v>85</v>
      </c>
      <c r="C95" s="92">
        <v>50.871385137955919</v>
      </c>
      <c r="D95" s="92">
        <v>1729.3083446793098</v>
      </c>
      <c r="E95" s="91">
        <v>0</v>
      </c>
      <c r="H95"/>
      <c r="I95"/>
    </row>
    <row r="96" spans="2:9" x14ac:dyDescent="0.5">
      <c r="B96" s="91">
        <v>86</v>
      </c>
      <c r="C96" s="92">
        <v>21.116679746513991</v>
      </c>
      <c r="D96" s="92">
        <v>-2284.6111673348742</v>
      </c>
      <c r="E96" s="91">
        <v>1</v>
      </c>
      <c r="H96"/>
      <c r="I96"/>
    </row>
    <row r="97" spans="2:9" x14ac:dyDescent="0.5">
      <c r="B97" s="91">
        <v>87</v>
      </c>
      <c r="C97" s="92">
        <v>24.495098426594392</v>
      </c>
      <c r="D97" s="92">
        <v>-1668.8991443567156</v>
      </c>
      <c r="E97" s="91">
        <v>1</v>
      </c>
      <c r="H97"/>
      <c r="I97"/>
    </row>
    <row r="98" spans="2:9" x14ac:dyDescent="0.5">
      <c r="B98" s="91">
        <v>88</v>
      </c>
      <c r="C98" s="92">
        <v>29.561227674567014</v>
      </c>
      <c r="D98" s="92">
        <v>-979.56718645951491</v>
      </c>
      <c r="E98" s="91">
        <v>1</v>
      </c>
      <c r="H98"/>
      <c r="I98"/>
    </row>
    <row r="99" spans="2:9" x14ac:dyDescent="0.5">
      <c r="B99" s="91">
        <v>89</v>
      </c>
      <c r="C99" s="92">
        <v>42.7941549509612</v>
      </c>
      <c r="D99" s="92">
        <v>718.73359907597819</v>
      </c>
      <c r="E99" s="91">
        <v>0</v>
      </c>
      <c r="H99"/>
      <c r="I99"/>
    </row>
    <row r="100" spans="2:9" x14ac:dyDescent="0.5">
      <c r="B100" s="91">
        <v>90</v>
      </c>
      <c r="C100" s="92">
        <v>29.644409461754861</v>
      </c>
      <c r="D100" s="92">
        <v>-968.56029664472931</v>
      </c>
      <c r="E100" s="91">
        <v>1</v>
      </c>
      <c r="H100"/>
      <c r="I100"/>
    </row>
    <row r="101" spans="2:9" x14ac:dyDescent="0.5">
      <c r="B101" s="91">
        <v>91</v>
      </c>
      <c r="C101" s="92">
        <v>36.035186515285503</v>
      </c>
      <c r="D101" s="92">
        <v>-138.72828594940199</v>
      </c>
      <c r="E101" s="91">
        <v>1</v>
      </c>
      <c r="H101"/>
      <c r="I101"/>
    </row>
    <row r="102" spans="2:9" x14ac:dyDescent="0.5">
      <c r="B102" s="91">
        <v>92</v>
      </c>
      <c r="C102" s="92">
        <v>25.276197329136515</v>
      </c>
      <c r="D102" s="92">
        <v>-1559.2311352192592</v>
      </c>
      <c r="E102" s="91">
        <v>1</v>
      </c>
      <c r="H102"/>
      <c r="I102"/>
    </row>
    <row r="103" spans="2:9" x14ac:dyDescent="0.5">
      <c r="B103" s="91">
        <v>93</v>
      </c>
      <c r="C103" s="92">
        <v>58.469841942422462</v>
      </c>
      <c r="D103" s="92">
        <v>2671.4244224661015</v>
      </c>
      <c r="E103" s="91">
        <v>0</v>
      </c>
      <c r="H103"/>
      <c r="I103"/>
    </row>
    <row r="104" spans="2:9" x14ac:dyDescent="0.5">
      <c r="B104" s="91">
        <v>94</v>
      </c>
      <c r="C104" s="92">
        <v>65.418677906986147</v>
      </c>
      <c r="D104" s="92">
        <v>3522.3876450848406</v>
      </c>
      <c r="E104" s="91">
        <v>0</v>
      </c>
      <c r="H104"/>
      <c r="I104"/>
    </row>
    <row r="105" spans="2:9" x14ac:dyDescent="0.5">
      <c r="B105" s="91">
        <v>95</v>
      </c>
      <c r="C105" s="92">
        <v>20.020331596089143</v>
      </c>
      <c r="D105" s="92">
        <v>-2490.0049649693301</v>
      </c>
      <c r="E105" s="91">
        <v>1</v>
      </c>
      <c r="H105"/>
      <c r="I105"/>
    </row>
    <row r="106" spans="2:9" x14ac:dyDescent="0.5">
      <c r="B106" s="91">
        <v>96</v>
      </c>
      <c r="C106" s="92">
        <v>32.524567143730948</v>
      </c>
      <c r="D106" s="92">
        <v>-592.59558424952411</v>
      </c>
      <c r="E106" s="91">
        <v>1</v>
      </c>
      <c r="H106"/>
      <c r="I106"/>
    </row>
    <row r="107" spans="2:9" x14ac:dyDescent="0.5">
      <c r="B107" s="91">
        <v>97</v>
      </c>
      <c r="C107" s="92">
        <v>60.432010868459734</v>
      </c>
      <c r="D107" s="92">
        <v>2911.7141056789469</v>
      </c>
      <c r="E107" s="91">
        <v>0</v>
      </c>
      <c r="H107"/>
      <c r="I107"/>
    </row>
    <row r="108" spans="2:9" x14ac:dyDescent="0.5">
      <c r="B108" s="91">
        <v>98</v>
      </c>
      <c r="C108" s="92">
        <v>24.874540070362709</v>
      </c>
      <c r="D108" s="92">
        <v>-1615.4308898174668</v>
      </c>
      <c r="E108" s="91">
        <v>1</v>
      </c>
      <c r="H108"/>
      <c r="I108"/>
    </row>
    <row r="109" spans="2:9" x14ac:dyDescent="0.5">
      <c r="B109" s="91">
        <v>99</v>
      </c>
      <c r="C109" s="92">
        <v>34.566838444562784</v>
      </c>
      <c r="D109" s="92">
        <v>-327.91726929151469</v>
      </c>
      <c r="E109" s="91">
        <v>1</v>
      </c>
      <c r="H109"/>
      <c r="I109"/>
    </row>
    <row r="110" spans="2:9" x14ac:dyDescent="0.5">
      <c r="B110" s="91">
        <v>100</v>
      </c>
      <c r="C110" s="92">
        <v>52.915644048287817</v>
      </c>
      <c r="D110" s="92">
        <v>1983.99761534096</v>
      </c>
      <c r="E110" s="91">
        <v>0</v>
      </c>
      <c r="H110"/>
      <c r="I110"/>
    </row>
    <row r="111" spans="2:9" x14ac:dyDescent="0.5">
      <c r="B111" s="91">
        <v>101</v>
      </c>
      <c r="C111" s="92">
        <v>39.844445059448482</v>
      </c>
      <c r="D111" s="92">
        <v>346.45567508363774</v>
      </c>
      <c r="E111" s="91">
        <v>0</v>
      </c>
      <c r="H111"/>
      <c r="I111"/>
    </row>
    <row r="112" spans="2:9" x14ac:dyDescent="0.5">
      <c r="B112" s="91">
        <v>102</v>
      </c>
      <c r="C112" s="92">
        <v>71.634871379783576</v>
      </c>
      <c r="D112" s="92">
        <v>4283.6305434650731</v>
      </c>
      <c r="E112" s="91">
        <v>0</v>
      </c>
      <c r="H112"/>
      <c r="I112"/>
    </row>
    <row r="113" spans="2:9" x14ac:dyDescent="0.5">
      <c r="B113" s="91">
        <v>103</v>
      </c>
      <c r="C113" s="92">
        <v>51.726412163975176</v>
      </c>
      <c r="D113" s="92">
        <v>1835.8340927400041</v>
      </c>
      <c r="E113" s="91">
        <v>0</v>
      </c>
      <c r="H113"/>
      <c r="I113"/>
    </row>
    <row r="114" spans="2:9" x14ac:dyDescent="0.5">
      <c r="B114" s="91">
        <v>104</v>
      </c>
      <c r="C114" s="92">
        <v>75.341048979602661</v>
      </c>
      <c r="D114" s="92">
        <v>4737.4937300509519</v>
      </c>
      <c r="E114" s="91">
        <v>0</v>
      </c>
      <c r="H114"/>
      <c r="I114"/>
    </row>
    <row r="115" spans="2:9" x14ac:dyDescent="0.5">
      <c r="B115" s="91">
        <v>105</v>
      </c>
      <c r="C115" s="92">
        <v>15.938499341590868</v>
      </c>
      <c r="D115" s="92">
        <v>-3254.71007049017</v>
      </c>
      <c r="E115" s="91">
        <v>1</v>
      </c>
      <c r="H115"/>
      <c r="I115"/>
    </row>
    <row r="116" spans="2:9" x14ac:dyDescent="0.5">
      <c r="B116" s="91">
        <v>106</v>
      </c>
      <c r="C116" s="92">
        <v>16.837440711748087</v>
      </c>
      <c r="D116" s="92">
        <v>-3086.29916762527</v>
      </c>
      <c r="E116" s="91">
        <v>1</v>
      </c>
      <c r="H116"/>
      <c r="I116"/>
    </row>
    <row r="117" spans="2:9" x14ac:dyDescent="0.5">
      <c r="B117" s="91">
        <v>107</v>
      </c>
      <c r="C117" s="92">
        <v>19.222563270368326</v>
      </c>
      <c r="D117" s="92">
        <v>-2639.4617465480496</v>
      </c>
      <c r="E117" s="91">
        <v>1</v>
      </c>
      <c r="H117"/>
      <c r="I117"/>
    </row>
    <row r="118" spans="2:9" x14ac:dyDescent="0.5">
      <c r="B118" s="91">
        <v>108</v>
      </c>
      <c r="C118" s="92">
        <v>39.729155037056195</v>
      </c>
      <c r="D118" s="92">
        <v>331.90511527545959</v>
      </c>
      <c r="E118" s="91">
        <v>0</v>
      </c>
      <c r="H118"/>
      <c r="I118"/>
    </row>
    <row r="119" spans="2:9" x14ac:dyDescent="0.5">
      <c r="B119" s="91">
        <v>109</v>
      </c>
      <c r="C119" s="92">
        <v>46.39792725571364</v>
      </c>
      <c r="D119" s="92">
        <v>1170.9497292147812</v>
      </c>
      <c r="E119" s="91">
        <v>0</v>
      </c>
      <c r="H119"/>
      <c r="I119"/>
    </row>
    <row r="120" spans="2:9" x14ac:dyDescent="0.5">
      <c r="B120" s="91">
        <v>110</v>
      </c>
      <c r="C120" s="92">
        <v>18.917210772831559</v>
      </c>
      <c r="D120" s="92">
        <v>-2696.6675794414955</v>
      </c>
      <c r="E120" s="91">
        <v>1</v>
      </c>
      <c r="H120"/>
      <c r="I120"/>
    </row>
    <row r="121" spans="2:9" x14ac:dyDescent="0.5">
      <c r="B121" s="91">
        <v>111</v>
      </c>
      <c r="C121" s="92">
        <v>34.972257995293546</v>
      </c>
      <c r="D121" s="92">
        <v>-275.37490457496426</v>
      </c>
      <c r="E121" s="91">
        <v>1</v>
      </c>
      <c r="H121"/>
      <c r="I121"/>
    </row>
    <row r="122" spans="2:9" x14ac:dyDescent="0.5">
      <c r="B122" s="91">
        <v>112</v>
      </c>
      <c r="C122" s="92">
        <v>39.570060642047487</v>
      </c>
      <c r="D122" s="92">
        <v>311.82607927836938</v>
      </c>
      <c r="E122" s="91">
        <v>0</v>
      </c>
      <c r="H122"/>
      <c r="I122"/>
    </row>
    <row r="123" spans="2:9" x14ac:dyDescent="0.5">
      <c r="B123" s="91">
        <v>113</v>
      </c>
      <c r="C123" s="92">
        <v>31.566077587187952</v>
      </c>
      <c r="D123" s="92">
        <v>-716.8158093622792</v>
      </c>
      <c r="E123" s="91">
        <v>1</v>
      </c>
      <c r="H123"/>
      <c r="I123"/>
    </row>
    <row r="124" spans="2:9" x14ac:dyDescent="0.5">
      <c r="B124" s="91">
        <v>114</v>
      </c>
      <c r="C124" s="92">
        <v>30.458900832274157</v>
      </c>
      <c r="D124" s="92">
        <v>-860.78409859125259</v>
      </c>
      <c r="E124" s="91">
        <v>1</v>
      </c>
      <c r="H124"/>
      <c r="I124"/>
    </row>
    <row r="125" spans="2:9" x14ac:dyDescent="0.5">
      <c r="B125" s="91">
        <v>115</v>
      </c>
      <c r="C125" s="92">
        <v>10.757854224422923</v>
      </c>
      <c r="D125" s="92">
        <v>-4225.270721684029</v>
      </c>
      <c r="E125" s="91">
        <v>1</v>
      </c>
      <c r="H125"/>
      <c r="I125"/>
    </row>
    <row r="126" spans="2:9" x14ac:dyDescent="0.5">
      <c r="B126" s="91">
        <v>116</v>
      </c>
      <c r="C126" s="92">
        <v>40.028208113581272</v>
      </c>
      <c r="D126" s="92">
        <v>369.64810105606597</v>
      </c>
      <c r="E126" s="91">
        <v>0</v>
      </c>
      <c r="H126"/>
      <c r="I126"/>
    </row>
    <row r="127" spans="2:9" x14ac:dyDescent="0.5">
      <c r="B127" s="91">
        <v>117</v>
      </c>
      <c r="C127" s="92">
        <v>27.006185401765073</v>
      </c>
      <c r="D127" s="92">
        <v>-1322.0707746249564</v>
      </c>
      <c r="E127" s="91">
        <v>1</v>
      </c>
      <c r="H127"/>
      <c r="I127"/>
    </row>
    <row r="128" spans="2:9" x14ac:dyDescent="0.5">
      <c r="B128" s="91">
        <v>118</v>
      </c>
      <c r="C128" s="92">
        <v>45.78821287186323</v>
      </c>
      <c r="D128" s="92">
        <v>1094.5322567800777</v>
      </c>
      <c r="E128" s="91">
        <v>0</v>
      </c>
      <c r="H128"/>
      <c r="I128"/>
    </row>
    <row r="129" spans="2:9" x14ac:dyDescent="0.5">
      <c r="B129" s="91">
        <v>119</v>
      </c>
      <c r="C129" s="92">
        <v>16.700020210790242</v>
      </c>
      <c r="D129" s="92">
        <v>-3112.0440175195513</v>
      </c>
      <c r="E129" s="91">
        <v>1</v>
      </c>
      <c r="H129"/>
      <c r="I129"/>
    </row>
    <row r="130" spans="2:9" x14ac:dyDescent="0.5">
      <c r="B130" s="91">
        <v>120</v>
      </c>
      <c r="C130" s="92">
        <v>12.004234256050708</v>
      </c>
      <c r="D130" s="92">
        <v>-3991.7694129140173</v>
      </c>
      <c r="E130" s="91">
        <v>1</v>
      </c>
      <c r="H130"/>
      <c r="I130"/>
    </row>
    <row r="131" spans="2:9" x14ac:dyDescent="0.5">
      <c r="B131" s="91">
        <v>121</v>
      </c>
      <c r="C131" s="92">
        <v>24.945060659139656</v>
      </c>
      <c r="D131" s="92">
        <v>-1605.5636716935251</v>
      </c>
      <c r="E131" s="91">
        <v>1</v>
      </c>
      <c r="H131"/>
      <c r="I131"/>
    </row>
    <row r="132" spans="2:9" x14ac:dyDescent="0.5">
      <c r="B132" s="91">
        <v>122</v>
      </c>
      <c r="C132" s="92">
        <v>20.695644316241598</v>
      </c>
      <c r="D132" s="92">
        <v>-2363.4894560689713</v>
      </c>
      <c r="E132" s="91">
        <v>1</v>
      </c>
      <c r="H132"/>
      <c r="I132"/>
    </row>
    <row r="133" spans="2:9" x14ac:dyDescent="0.5">
      <c r="B133" s="91">
        <v>123</v>
      </c>
      <c r="C133" s="92">
        <v>57.780509347714982</v>
      </c>
      <c r="D133" s="92">
        <v>2587.007882884534</v>
      </c>
      <c r="E133" s="91">
        <v>0</v>
      </c>
      <c r="H133"/>
      <c r="I133"/>
    </row>
    <row r="134" spans="2:9" x14ac:dyDescent="0.5">
      <c r="B134" s="91">
        <v>124</v>
      </c>
      <c r="C134" s="92">
        <v>89.857573347334139</v>
      </c>
      <c r="D134" s="92">
        <v>6515.2056259978081</v>
      </c>
      <c r="E134" s="91">
        <v>0</v>
      </c>
      <c r="H134"/>
      <c r="I134"/>
    </row>
    <row r="135" spans="2:9" x14ac:dyDescent="0.5">
      <c r="B135" s="91">
        <v>125</v>
      </c>
      <c r="C135" s="92">
        <v>17.008063774420147</v>
      </c>
      <c r="D135" s="92">
        <v>-3054.334030645145</v>
      </c>
      <c r="E135" s="91">
        <v>1</v>
      </c>
      <c r="H135"/>
      <c r="I135"/>
    </row>
    <row r="136" spans="2:9" x14ac:dyDescent="0.5">
      <c r="B136" s="91">
        <v>126</v>
      </c>
      <c r="C136" s="92">
        <v>38.264949222713241</v>
      </c>
      <c r="D136" s="92">
        <v>147.11016224312391</v>
      </c>
      <c r="E136" s="91">
        <v>0</v>
      </c>
      <c r="H136"/>
      <c r="I136"/>
    </row>
    <row r="137" spans="2:9" x14ac:dyDescent="0.5">
      <c r="B137" s="91">
        <v>127</v>
      </c>
      <c r="C137" s="92">
        <v>28.605510615574886</v>
      </c>
      <c r="D137" s="92">
        <v>-1107.3673928091866</v>
      </c>
      <c r="E137" s="91">
        <v>1</v>
      </c>
      <c r="H137"/>
      <c r="I137"/>
    </row>
    <row r="138" spans="2:9" x14ac:dyDescent="0.5">
      <c r="B138" s="91">
        <v>128</v>
      </c>
      <c r="C138" s="92">
        <v>53.354980587746596</v>
      </c>
      <c r="D138" s="92">
        <v>2038.6444174459411</v>
      </c>
      <c r="E138" s="91">
        <v>0</v>
      </c>
      <c r="H138"/>
      <c r="I138"/>
    </row>
    <row r="139" spans="2:9" x14ac:dyDescent="0.5">
      <c r="B139" s="91">
        <v>129</v>
      </c>
      <c r="C139" s="92">
        <v>8.5831055297189227</v>
      </c>
      <c r="D139" s="92">
        <v>-4632.6959479980751</v>
      </c>
      <c r="E139" s="91">
        <v>1</v>
      </c>
      <c r="H139"/>
      <c r="I139"/>
    </row>
    <row r="140" spans="2:9" x14ac:dyDescent="0.5">
      <c r="B140" s="91">
        <v>130</v>
      </c>
      <c r="C140" s="92">
        <v>33.68307564608223</v>
      </c>
      <c r="D140" s="92">
        <v>-442.45290822897306</v>
      </c>
      <c r="E140" s="91">
        <v>1</v>
      </c>
      <c r="H140"/>
      <c r="I140"/>
    </row>
    <row r="141" spans="2:9" x14ac:dyDescent="0.5">
      <c r="B141" s="91">
        <v>131</v>
      </c>
      <c r="C141" s="92">
        <v>48.09563129661818</v>
      </c>
      <c r="D141" s="92">
        <v>1383.4838907348703</v>
      </c>
      <c r="E141" s="91">
        <v>0</v>
      </c>
      <c r="H141"/>
      <c r="I141"/>
    </row>
    <row r="142" spans="2:9" x14ac:dyDescent="0.5">
      <c r="B142" s="91">
        <v>132</v>
      </c>
      <c r="C142" s="92">
        <v>15.962740630830767</v>
      </c>
      <c r="D142" s="92">
        <v>-3250.1686203544546</v>
      </c>
      <c r="E142" s="91">
        <v>1</v>
      </c>
      <c r="H142"/>
      <c r="I142"/>
    </row>
    <row r="143" spans="2:9" x14ac:dyDescent="0.5">
      <c r="B143" s="91">
        <v>133</v>
      </c>
      <c r="C143" s="92">
        <v>24.518812708070168</v>
      </c>
      <c r="D143" s="92">
        <v>-1665.5061501034209</v>
      </c>
      <c r="E143" s="91">
        <v>1</v>
      </c>
      <c r="H143"/>
      <c r="I143"/>
    </row>
    <row r="144" spans="2:9" x14ac:dyDescent="0.5">
      <c r="B144" s="91">
        <v>134</v>
      </c>
      <c r="C144" s="92">
        <v>28.649315468647192</v>
      </c>
      <c r="D144" s="92">
        <v>-1101.5068409250757</v>
      </c>
      <c r="E144" s="91">
        <v>1</v>
      </c>
      <c r="H144"/>
      <c r="I144"/>
    </row>
    <row r="145" spans="2:9" x14ac:dyDescent="0.5">
      <c r="B145" s="91">
        <v>135</v>
      </c>
      <c r="C145" s="92">
        <v>36.437241315166631</v>
      </c>
      <c r="D145" s="92">
        <v>-87.086516675047335</v>
      </c>
      <c r="E145" s="91">
        <v>1</v>
      </c>
      <c r="H145"/>
      <c r="I145"/>
    </row>
    <row r="146" spans="2:9" x14ac:dyDescent="0.5">
      <c r="B146" s="91">
        <v>136</v>
      </c>
      <c r="C146" s="92">
        <v>18.103260766546164</v>
      </c>
      <c r="D146" s="92">
        <v>-2849.1558951382585</v>
      </c>
      <c r="E146" s="91">
        <v>1</v>
      </c>
      <c r="H146"/>
      <c r="I146"/>
    </row>
    <row r="147" spans="2:9" x14ac:dyDescent="0.5">
      <c r="B147" s="91">
        <v>137</v>
      </c>
      <c r="C147" s="92">
        <v>9.6553756630171854</v>
      </c>
      <c r="D147" s="92">
        <v>-4431.8130125155913</v>
      </c>
      <c r="E147" s="91">
        <v>1</v>
      </c>
      <c r="H147"/>
      <c r="I147"/>
    </row>
    <row r="148" spans="2:9" x14ac:dyDescent="0.5">
      <c r="B148" s="91">
        <v>138</v>
      </c>
      <c r="C148" s="92">
        <v>45.898182560813154</v>
      </c>
      <c r="D148" s="92">
        <v>1108.3151129772925</v>
      </c>
      <c r="E148" s="91">
        <v>0</v>
      </c>
      <c r="H148"/>
      <c r="I148"/>
    </row>
    <row r="149" spans="2:9" x14ac:dyDescent="0.5">
      <c r="B149" s="91">
        <v>139</v>
      </c>
      <c r="C149" s="92">
        <v>46.602884355355542</v>
      </c>
      <c r="D149" s="92">
        <v>1196.6376642988653</v>
      </c>
      <c r="E149" s="91">
        <v>0</v>
      </c>
      <c r="H149"/>
      <c r="I149"/>
    </row>
    <row r="150" spans="2:9" x14ac:dyDescent="0.5">
      <c r="B150" s="91">
        <v>140</v>
      </c>
      <c r="C150" s="92">
        <v>49.166463547277218</v>
      </c>
      <c r="D150" s="92">
        <v>1516.8962894985114</v>
      </c>
      <c r="E150" s="91">
        <v>0</v>
      </c>
      <c r="H150"/>
      <c r="I150"/>
    </row>
    <row r="151" spans="2:9" x14ac:dyDescent="0.5">
      <c r="B151" s="91">
        <v>141</v>
      </c>
      <c r="C151" s="92">
        <v>22.603532280705632</v>
      </c>
      <c r="D151" s="92">
        <v>-2006.0588768040855</v>
      </c>
      <c r="E151" s="91">
        <v>1</v>
      </c>
      <c r="H151"/>
      <c r="I151"/>
    </row>
    <row r="152" spans="2:9" x14ac:dyDescent="0.5">
      <c r="B152" s="91">
        <v>142</v>
      </c>
      <c r="C152" s="92">
        <v>38.330866502629533</v>
      </c>
      <c r="D152" s="92">
        <v>155.42947126841682</v>
      </c>
      <c r="E152" s="91">
        <v>0</v>
      </c>
      <c r="H152"/>
      <c r="I152"/>
    </row>
    <row r="153" spans="2:9" x14ac:dyDescent="0.5">
      <c r="B153" s="91">
        <v>143</v>
      </c>
      <c r="C153" s="92">
        <v>17.435052156439571</v>
      </c>
      <c r="D153" s="92">
        <v>-2974.340494563769</v>
      </c>
      <c r="E153" s="91">
        <v>1</v>
      </c>
      <c r="H153"/>
      <c r="I153"/>
    </row>
    <row r="154" spans="2:9" x14ac:dyDescent="0.5">
      <c r="B154" s="91">
        <v>144</v>
      </c>
      <c r="C154" s="92">
        <v>24.611506891595326</v>
      </c>
      <c r="D154" s="92">
        <v>-1652.2436427685082</v>
      </c>
      <c r="E154" s="91">
        <v>1</v>
      </c>
      <c r="H154"/>
      <c r="I154"/>
    </row>
    <row r="155" spans="2:9" x14ac:dyDescent="0.5">
      <c r="B155" s="91">
        <v>145</v>
      </c>
      <c r="C155" s="92">
        <v>23.41207273349935</v>
      </c>
      <c r="D155" s="92">
        <v>-1854.5840062750208</v>
      </c>
      <c r="E155" s="91">
        <v>1</v>
      </c>
      <c r="H155"/>
      <c r="I155"/>
    </row>
    <row r="156" spans="2:9" x14ac:dyDescent="0.5">
      <c r="B156" s="91">
        <v>146</v>
      </c>
      <c r="C156" s="92">
        <v>20.313514166439131</v>
      </c>
      <c r="D156" s="92">
        <v>-2435.0790899167027</v>
      </c>
      <c r="E156" s="91">
        <v>1</v>
      </c>
      <c r="H156"/>
      <c r="I156"/>
    </row>
    <row r="157" spans="2:9" x14ac:dyDescent="0.5">
      <c r="B157" s="91">
        <v>147</v>
      </c>
      <c r="C157" s="92">
        <v>115.81161666407736</v>
      </c>
      <c r="D157" s="92">
        <v>9693.5705281816627</v>
      </c>
      <c r="E157" s="91">
        <v>0</v>
      </c>
      <c r="H157"/>
      <c r="I157"/>
    </row>
    <row r="158" spans="2:9" x14ac:dyDescent="0.5">
      <c r="B158" s="91">
        <v>148</v>
      </c>
      <c r="C158" s="92">
        <v>123.8888162656777</v>
      </c>
      <c r="D158" s="92">
        <v>10682.71458594389</v>
      </c>
      <c r="E158" s="91">
        <v>0</v>
      </c>
      <c r="H158"/>
      <c r="I158"/>
    </row>
    <row r="159" spans="2:9" x14ac:dyDescent="0.5">
      <c r="B159" s="91">
        <v>149</v>
      </c>
      <c r="C159" s="92">
        <v>31.922528908655618</v>
      </c>
      <c r="D159" s="92">
        <v>-670.61972606414429</v>
      </c>
      <c r="E159" s="91">
        <v>1</v>
      </c>
      <c r="H159"/>
      <c r="I159"/>
    </row>
    <row r="160" spans="2:9" x14ac:dyDescent="0.5">
      <c r="B160" s="91">
        <v>150</v>
      </c>
      <c r="C160" s="92">
        <v>9.7788786698449179</v>
      </c>
      <c r="D160" s="92">
        <v>-4408.6755159258528</v>
      </c>
      <c r="E160" s="91">
        <v>1</v>
      </c>
      <c r="H160"/>
      <c r="I160"/>
    </row>
    <row r="161" spans="2:9" x14ac:dyDescent="0.5">
      <c r="B161" s="91">
        <v>151</v>
      </c>
      <c r="C161" s="92">
        <v>78.37229377794489</v>
      </c>
      <c r="D161" s="92">
        <v>5108.7037939088268</v>
      </c>
      <c r="E161" s="91">
        <v>0</v>
      </c>
      <c r="H161"/>
      <c r="I161"/>
    </row>
    <row r="162" spans="2:9" x14ac:dyDescent="0.5">
      <c r="B162" s="91">
        <v>152</v>
      </c>
      <c r="C162" s="92">
        <v>60.235359391954525</v>
      </c>
      <c r="D162" s="92">
        <v>2887.6319176645811</v>
      </c>
      <c r="E162" s="91">
        <v>0</v>
      </c>
      <c r="H162"/>
      <c r="I162"/>
    </row>
    <row r="163" spans="2:9" x14ac:dyDescent="0.5">
      <c r="B163" s="91">
        <v>153</v>
      </c>
      <c r="C163" s="92">
        <v>52.699841642334704</v>
      </c>
      <c r="D163" s="92">
        <v>1957.1113158113651</v>
      </c>
      <c r="E163" s="91">
        <v>0</v>
      </c>
      <c r="H163"/>
      <c r="I163"/>
    </row>
    <row r="164" spans="2:9" x14ac:dyDescent="0.5">
      <c r="B164" s="91">
        <v>154</v>
      </c>
      <c r="C164" s="92">
        <v>52.223051065374797</v>
      </c>
      <c r="D164" s="92">
        <v>1897.7091316308147</v>
      </c>
      <c r="E164" s="91">
        <v>0</v>
      </c>
      <c r="H164"/>
      <c r="I164"/>
    </row>
    <row r="165" spans="2:9" x14ac:dyDescent="0.5">
      <c r="B165" s="91">
        <v>155</v>
      </c>
      <c r="C165" s="92">
        <v>21.445201514517372</v>
      </c>
      <c r="D165" s="92">
        <v>-2223.0647201505085</v>
      </c>
      <c r="E165" s="91">
        <v>1</v>
      </c>
      <c r="H165"/>
      <c r="I165"/>
    </row>
    <row r="166" spans="2:9" x14ac:dyDescent="0.5">
      <c r="B166" s="91">
        <v>156</v>
      </c>
      <c r="C166" s="92">
        <v>88.72205668433682</v>
      </c>
      <c r="D166" s="92">
        <v>6376.1488222670623</v>
      </c>
      <c r="E166" s="91">
        <v>0</v>
      </c>
      <c r="H166"/>
      <c r="I166"/>
    </row>
    <row r="167" spans="2:9" x14ac:dyDescent="0.5">
      <c r="B167" s="91">
        <v>157</v>
      </c>
      <c r="C167" s="92">
        <v>36.758567430169286</v>
      </c>
      <c r="D167" s="92">
        <v>-45.813911304591578</v>
      </c>
      <c r="E167" s="91">
        <v>1</v>
      </c>
      <c r="H167"/>
      <c r="I167"/>
    </row>
    <row r="168" spans="2:9" x14ac:dyDescent="0.5">
      <c r="B168" s="91">
        <v>158</v>
      </c>
      <c r="C168" s="92">
        <v>91.37530064079229</v>
      </c>
      <c r="D168" s="92">
        <v>6701.0684259378077</v>
      </c>
      <c r="E168" s="91">
        <v>0</v>
      </c>
      <c r="H168"/>
      <c r="I168"/>
    </row>
    <row r="169" spans="2:9" x14ac:dyDescent="0.5">
      <c r="B169" s="91">
        <v>159</v>
      </c>
      <c r="C169" s="92">
        <v>37.500523067058644</v>
      </c>
      <c r="D169" s="92">
        <v>49.486286139575483</v>
      </c>
      <c r="E169" s="91">
        <v>0</v>
      </c>
      <c r="H169"/>
      <c r="I169"/>
    </row>
    <row r="170" spans="2:9" x14ac:dyDescent="0.5">
      <c r="B170" s="91">
        <v>160</v>
      </c>
      <c r="C170" s="92">
        <v>14.25145117198659</v>
      </c>
      <c r="D170" s="92">
        <v>-3570.7677299234474</v>
      </c>
      <c r="E170" s="91">
        <v>1</v>
      </c>
      <c r="H170"/>
      <c r="I170"/>
    </row>
    <row r="171" spans="2:9" x14ac:dyDescent="0.5">
      <c r="B171" s="91">
        <v>161</v>
      </c>
      <c r="C171" s="92">
        <v>51.018390344920036</v>
      </c>
      <c r="D171" s="92">
        <v>1747.6233676717143</v>
      </c>
      <c r="E171" s="91">
        <v>0</v>
      </c>
      <c r="H171"/>
      <c r="I171"/>
    </row>
    <row r="172" spans="2:9" x14ac:dyDescent="0.5">
      <c r="B172" s="91">
        <v>162</v>
      </c>
      <c r="C172" s="92">
        <v>45.471396752865736</v>
      </c>
      <c r="D172" s="92">
        <v>1054.8246696185768</v>
      </c>
      <c r="E172" s="91">
        <v>0</v>
      </c>
      <c r="H172"/>
      <c r="I172"/>
    </row>
    <row r="173" spans="2:9" x14ac:dyDescent="0.5">
      <c r="B173" s="91">
        <v>163</v>
      </c>
      <c r="C173" s="92">
        <v>37.581180714762802</v>
      </c>
      <c r="D173" s="92">
        <v>59.84632570179896</v>
      </c>
      <c r="E173" s="91">
        <v>0</v>
      </c>
      <c r="H173"/>
      <c r="I173"/>
    </row>
    <row r="174" spans="2:9" x14ac:dyDescent="0.5">
      <c r="B174" s="91">
        <v>164</v>
      </c>
      <c r="C174" s="92">
        <v>11.291649772836124</v>
      </c>
      <c r="D174" s="92">
        <v>-4125.2675476863633</v>
      </c>
      <c r="E174" s="91">
        <v>1</v>
      </c>
      <c r="H174"/>
      <c r="I174"/>
    </row>
    <row r="175" spans="2:9" x14ac:dyDescent="0.5">
      <c r="B175" s="91">
        <v>165</v>
      </c>
      <c r="C175" s="92">
        <v>38.269899340459396</v>
      </c>
      <c r="D175" s="92">
        <v>147.73490827776186</v>
      </c>
      <c r="E175" s="91">
        <v>0</v>
      </c>
      <c r="H175"/>
      <c r="I175"/>
    </row>
    <row r="176" spans="2:9" x14ac:dyDescent="0.5">
      <c r="B176" s="91">
        <v>166</v>
      </c>
      <c r="C176" s="92">
        <v>37.010828901743182</v>
      </c>
      <c r="D176" s="92">
        <v>-13.412286661185185</v>
      </c>
      <c r="E176" s="91">
        <v>1</v>
      </c>
      <c r="H176"/>
      <c r="I176"/>
    </row>
    <row r="177" spans="2:9" x14ac:dyDescent="0.5">
      <c r="B177" s="91">
        <v>167</v>
      </c>
      <c r="C177" s="92">
        <v>22.963402007892597</v>
      </c>
      <c r="D177" s="92">
        <v>-1938.6395904287112</v>
      </c>
      <c r="E177" s="91">
        <v>1</v>
      </c>
      <c r="H177"/>
      <c r="I177"/>
    </row>
    <row r="178" spans="2:9" x14ac:dyDescent="0.5">
      <c r="B178" s="91">
        <v>168</v>
      </c>
      <c r="C178" s="92">
        <v>25.21541906128305</v>
      </c>
      <c r="D178" s="92">
        <v>-1567.735210929721</v>
      </c>
      <c r="E178" s="91">
        <v>1</v>
      </c>
      <c r="H178"/>
      <c r="I178"/>
    </row>
    <row r="179" spans="2:9" x14ac:dyDescent="0.5">
      <c r="B179" s="91">
        <v>169</v>
      </c>
      <c r="C179" s="92">
        <v>12.712344315714889</v>
      </c>
      <c r="D179" s="92">
        <v>-3859.1095327096987</v>
      </c>
      <c r="E179" s="91">
        <v>1</v>
      </c>
      <c r="H179"/>
      <c r="I179"/>
    </row>
    <row r="180" spans="2:9" x14ac:dyDescent="0.5">
      <c r="B180" s="91">
        <v>170</v>
      </c>
      <c r="C180" s="92">
        <v>5.1394899477658251</v>
      </c>
      <c r="D180" s="92">
        <v>-5277.8352513265345</v>
      </c>
      <c r="E180" s="91">
        <v>1</v>
      </c>
      <c r="H180"/>
      <c r="I180"/>
    </row>
    <row r="181" spans="2:9" x14ac:dyDescent="0.5">
      <c r="B181" s="91">
        <v>171</v>
      </c>
      <c r="C181" s="92">
        <v>20.134664209495746</v>
      </c>
      <c r="D181" s="92">
        <v>-2468.5854827984936</v>
      </c>
      <c r="E181" s="91">
        <v>1</v>
      </c>
      <c r="H181"/>
      <c r="I181"/>
    </row>
    <row r="182" spans="2:9" x14ac:dyDescent="0.5">
      <c r="B182" s="91">
        <v>172</v>
      </c>
      <c r="C182" s="92">
        <v>17.311420381334518</v>
      </c>
      <c r="D182" s="92">
        <v>-2997.5021150647717</v>
      </c>
      <c r="E182" s="91">
        <v>1</v>
      </c>
      <c r="H182"/>
      <c r="I182"/>
    </row>
    <row r="183" spans="2:9" x14ac:dyDescent="0.5">
      <c r="B183" s="91">
        <v>173</v>
      </c>
      <c r="C183" s="92">
        <v>45.602370722218701</v>
      </c>
      <c r="D183" s="92">
        <v>1071.2400600994249</v>
      </c>
      <c r="E183" s="91">
        <v>0</v>
      </c>
      <c r="H183"/>
      <c r="I183"/>
    </row>
    <row r="184" spans="2:9" x14ac:dyDescent="0.5">
      <c r="B184" s="91">
        <v>174</v>
      </c>
      <c r="C184" s="92">
        <v>13.514761792706285</v>
      </c>
      <c r="D184" s="92">
        <v>-3708.7817624447016</v>
      </c>
      <c r="E184" s="91">
        <v>1</v>
      </c>
      <c r="H184"/>
      <c r="I184"/>
    </row>
    <row r="185" spans="2:9" x14ac:dyDescent="0.5">
      <c r="B185" s="91">
        <v>175</v>
      </c>
      <c r="C185" s="92">
        <v>10.576728463792533</v>
      </c>
      <c r="D185" s="92">
        <v>-4259.2034717971101</v>
      </c>
      <c r="E185" s="91">
        <v>1</v>
      </c>
      <c r="H185"/>
      <c r="I185"/>
    </row>
    <row r="186" spans="2:9" x14ac:dyDescent="0.5">
      <c r="B186" s="91">
        <v>176</v>
      </c>
      <c r="C186" s="92">
        <v>9.7252821523339126</v>
      </c>
      <c r="D186" s="92">
        <v>-4418.7164798909043</v>
      </c>
      <c r="E186" s="91">
        <v>1</v>
      </c>
      <c r="H186"/>
      <c r="I186"/>
    </row>
    <row r="187" spans="2:9" x14ac:dyDescent="0.5">
      <c r="B187" s="91">
        <v>177</v>
      </c>
      <c r="C187" s="92">
        <v>48.208140112823315</v>
      </c>
      <c r="D187" s="92">
        <v>1397.5010918816856</v>
      </c>
      <c r="E187" s="91">
        <v>0</v>
      </c>
      <c r="H187"/>
      <c r="I187"/>
    </row>
    <row r="188" spans="2:9" x14ac:dyDescent="0.5">
      <c r="B188" s="91">
        <v>178</v>
      </c>
      <c r="C188" s="92">
        <v>48.230466139947438</v>
      </c>
      <c r="D188" s="92">
        <v>1400.282637573514</v>
      </c>
      <c r="E188" s="91">
        <v>0</v>
      </c>
      <c r="H188"/>
      <c r="I188"/>
    </row>
    <row r="189" spans="2:9" x14ac:dyDescent="0.5">
      <c r="B189" s="91">
        <v>179</v>
      </c>
      <c r="C189" s="92">
        <v>17.568694604563518</v>
      </c>
      <c r="D189" s="92">
        <v>-2949.303438647994</v>
      </c>
      <c r="E189" s="91">
        <v>1</v>
      </c>
      <c r="H189"/>
      <c r="I189"/>
    </row>
    <row r="190" spans="2:9" x14ac:dyDescent="0.5">
      <c r="B190" s="91">
        <v>180</v>
      </c>
      <c r="C190" s="92">
        <v>46.63055534346212</v>
      </c>
      <c r="D190" s="92">
        <v>1200.1057585851154</v>
      </c>
      <c r="E190" s="91">
        <v>0</v>
      </c>
      <c r="H190"/>
      <c r="I190"/>
    </row>
    <row r="191" spans="2:9" x14ac:dyDescent="0.5">
      <c r="B191" s="91">
        <v>181</v>
      </c>
      <c r="C191" s="92">
        <v>127.40913690358495</v>
      </c>
      <c r="D191" s="92">
        <v>11113.817494396684</v>
      </c>
      <c r="E191" s="91">
        <v>0</v>
      </c>
      <c r="H191"/>
      <c r="I191"/>
    </row>
    <row r="192" spans="2:9" x14ac:dyDescent="0.5">
      <c r="B192" s="91">
        <v>182</v>
      </c>
      <c r="C192" s="92">
        <v>15.620299313692426</v>
      </c>
      <c r="D192" s="92">
        <v>-3314.3228058353475</v>
      </c>
      <c r="E192" s="91">
        <v>1</v>
      </c>
      <c r="H192"/>
      <c r="I192"/>
    </row>
    <row r="193" spans="2:9" x14ac:dyDescent="0.5">
      <c r="B193" s="91">
        <v>183</v>
      </c>
      <c r="C193" s="92">
        <v>4.1522308128895284</v>
      </c>
      <c r="D193" s="92">
        <v>-5462.7919212337811</v>
      </c>
      <c r="E193" s="91">
        <v>1</v>
      </c>
      <c r="H193"/>
      <c r="I193"/>
    </row>
    <row r="194" spans="2:9" x14ac:dyDescent="0.5">
      <c r="B194" s="91">
        <v>184</v>
      </c>
      <c r="C194" s="92">
        <v>23.65710817640641</v>
      </c>
      <c r="D194" s="92">
        <v>-1808.678186892538</v>
      </c>
      <c r="E194" s="91">
        <v>1</v>
      </c>
      <c r="H194"/>
      <c r="I194"/>
    </row>
    <row r="195" spans="2:9" x14ac:dyDescent="0.5">
      <c r="B195" s="91">
        <v>185</v>
      </c>
      <c r="C195" s="92">
        <v>13.612273889589467</v>
      </c>
      <c r="D195" s="92">
        <v>-3690.5134962134189</v>
      </c>
      <c r="E195" s="91">
        <v>1</v>
      </c>
      <c r="H195"/>
      <c r="I195"/>
    </row>
    <row r="196" spans="2:9" x14ac:dyDescent="0.5">
      <c r="B196" s="91">
        <v>186</v>
      </c>
      <c r="C196" s="92">
        <v>11.935021703661516</v>
      </c>
      <c r="D196" s="92">
        <v>-4004.7359409039464</v>
      </c>
      <c r="E196" s="91">
        <v>1</v>
      </c>
      <c r="H196"/>
      <c r="I196"/>
    </row>
    <row r="197" spans="2:9" x14ac:dyDescent="0.5">
      <c r="B197" s="91">
        <v>187</v>
      </c>
      <c r="C197" s="92">
        <v>25.23110930674213</v>
      </c>
      <c r="D197" s="92">
        <v>-1565.5398368262424</v>
      </c>
      <c r="E197" s="91">
        <v>1</v>
      </c>
      <c r="H197"/>
      <c r="I197"/>
    </row>
    <row r="198" spans="2:9" x14ac:dyDescent="0.5">
      <c r="B198" s="91">
        <v>188</v>
      </c>
      <c r="C198" s="92">
        <v>24.021827598159138</v>
      </c>
      <c r="D198" s="92">
        <v>-1740.3503413301535</v>
      </c>
      <c r="E198" s="91">
        <v>1</v>
      </c>
      <c r="H198"/>
      <c r="I198"/>
    </row>
    <row r="199" spans="2:9" x14ac:dyDescent="0.5">
      <c r="B199" s="91">
        <v>189</v>
      </c>
      <c r="C199" s="92">
        <v>11.795294634810375</v>
      </c>
      <c r="D199" s="92">
        <v>-4030.9129115063452</v>
      </c>
      <c r="E199" s="91">
        <v>1</v>
      </c>
      <c r="H199"/>
      <c r="I199"/>
    </row>
    <row r="200" spans="2:9" x14ac:dyDescent="0.5">
      <c r="B200" s="91">
        <v>190</v>
      </c>
      <c r="C200" s="92">
        <v>26.719743327976733</v>
      </c>
      <c r="D200" s="92">
        <v>-1361.2516640472916</v>
      </c>
      <c r="E200" s="91">
        <v>1</v>
      </c>
      <c r="H200"/>
      <c r="I200"/>
    </row>
    <row r="201" spans="2:9" x14ac:dyDescent="0.5">
      <c r="B201" s="91">
        <v>191</v>
      </c>
      <c r="C201" s="92">
        <v>27.325688325256245</v>
      </c>
      <c r="D201" s="92">
        <v>-1278.5919126694448</v>
      </c>
      <c r="E201" s="91">
        <v>1</v>
      </c>
      <c r="H201"/>
      <c r="I201"/>
    </row>
    <row r="202" spans="2:9" x14ac:dyDescent="0.5">
      <c r="B202" s="91">
        <v>192</v>
      </c>
      <c r="C202" s="92">
        <v>166.62597389079198</v>
      </c>
      <c r="D202" s="92">
        <v>15895.412324439329</v>
      </c>
      <c r="E202" s="91">
        <v>0</v>
      </c>
      <c r="H202"/>
      <c r="I202"/>
    </row>
    <row r="203" spans="2:9" x14ac:dyDescent="0.5">
      <c r="B203" s="91">
        <v>193</v>
      </c>
      <c r="C203" s="92">
        <v>22.716187735133971</v>
      </c>
      <c r="D203" s="92">
        <v>-1984.9535996160821</v>
      </c>
      <c r="E203" s="91">
        <v>1</v>
      </c>
      <c r="H203"/>
      <c r="I203"/>
    </row>
    <row r="204" spans="2:9" x14ac:dyDescent="0.5">
      <c r="B204" s="91">
        <v>194</v>
      </c>
      <c r="C204" s="92">
        <v>70.077718160623618</v>
      </c>
      <c r="D204" s="92">
        <v>4092.9395949026243</v>
      </c>
      <c r="E204" s="91">
        <v>0</v>
      </c>
      <c r="H204"/>
      <c r="I204"/>
    </row>
    <row r="205" spans="2:9" x14ac:dyDescent="0.5">
      <c r="B205" s="91">
        <v>195</v>
      </c>
      <c r="C205" s="92">
        <v>33.150833076403202</v>
      </c>
      <c r="D205" s="92">
        <v>-511.43153336765391</v>
      </c>
      <c r="E205" s="91">
        <v>1</v>
      </c>
      <c r="H205"/>
      <c r="I205"/>
    </row>
    <row r="206" spans="2:9" x14ac:dyDescent="0.5">
      <c r="B206" s="91">
        <v>196</v>
      </c>
      <c r="C206" s="92">
        <v>69.924767252356858</v>
      </c>
      <c r="D206" s="92">
        <v>4074.2090336309398</v>
      </c>
      <c r="E206" s="91">
        <v>0</v>
      </c>
      <c r="H206"/>
      <c r="I206"/>
    </row>
    <row r="207" spans="2:9" x14ac:dyDescent="0.5">
      <c r="B207" s="91">
        <v>197</v>
      </c>
      <c r="C207" s="92">
        <v>31.441464409829482</v>
      </c>
      <c r="D207" s="92">
        <v>-732.96567436374573</v>
      </c>
      <c r="E207" s="91">
        <v>1</v>
      </c>
      <c r="H207"/>
      <c r="I207"/>
    </row>
    <row r="208" spans="2:9" x14ac:dyDescent="0.5">
      <c r="B208" s="91">
        <v>198</v>
      </c>
      <c r="C208" s="92">
        <v>49.058443575644709</v>
      </c>
      <c r="D208" s="92">
        <v>1503.4383426342808</v>
      </c>
      <c r="E208" s="91">
        <v>0</v>
      </c>
      <c r="H208"/>
      <c r="I208"/>
    </row>
    <row r="209" spans="2:9" x14ac:dyDescent="0.5">
      <c r="B209" s="91">
        <v>199</v>
      </c>
      <c r="C209" s="92">
        <v>57.818842930135908</v>
      </c>
      <c r="D209" s="92">
        <v>2591.7022617701182</v>
      </c>
      <c r="E209" s="91">
        <v>0</v>
      </c>
      <c r="H209"/>
      <c r="I209"/>
    </row>
    <row r="210" spans="2:9" x14ac:dyDescent="0.5">
      <c r="B210" s="91">
        <v>200</v>
      </c>
      <c r="C210" s="92">
        <v>29.31242225491118</v>
      </c>
      <c r="D210" s="92">
        <v>-1012.7912888105227</v>
      </c>
      <c r="E210" s="91">
        <v>1</v>
      </c>
      <c r="H210"/>
      <c r="I210"/>
    </row>
    <row r="211" spans="2:9" x14ac:dyDescent="0.5">
      <c r="B211" s="91">
        <v>201</v>
      </c>
      <c r="C211" s="92">
        <v>49.11139000335141</v>
      </c>
      <c r="D211" s="92">
        <v>1510.0348099352702</v>
      </c>
      <c r="E211" s="91">
        <v>0</v>
      </c>
      <c r="H211"/>
      <c r="I211"/>
    </row>
    <row r="212" spans="2:9" x14ac:dyDescent="0.5">
      <c r="B212" s="91">
        <v>202</v>
      </c>
      <c r="C212" s="92">
        <v>23.303911124318255</v>
      </c>
      <c r="D212" s="92">
        <v>-1874.8473903646006</v>
      </c>
      <c r="E212" s="91">
        <v>1</v>
      </c>
      <c r="H212"/>
      <c r="I212"/>
    </row>
    <row r="213" spans="2:9" x14ac:dyDescent="0.5">
      <c r="B213" s="91">
        <v>203</v>
      </c>
      <c r="C213" s="92">
        <v>33.073214962281924</v>
      </c>
      <c r="D213" s="92">
        <v>-521.49083922357556</v>
      </c>
      <c r="E213" s="91">
        <v>1</v>
      </c>
      <c r="H213"/>
      <c r="I213"/>
    </row>
    <row r="214" spans="2:9" x14ac:dyDescent="0.5">
      <c r="B214" s="91">
        <v>204</v>
      </c>
      <c r="C214" s="92">
        <v>12.631892629811659</v>
      </c>
      <c r="D214" s="92">
        <v>-3874.1816403128864</v>
      </c>
      <c r="E214" s="91">
        <v>1</v>
      </c>
      <c r="H214"/>
      <c r="I214"/>
    </row>
    <row r="215" spans="2:9" x14ac:dyDescent="0.5">
      <c r="B215" s="91">
        <v>205</v>
      </c>
      <c r="C215" s="92">
        <v>64.398090854833924</v>
      </c>
      <c r="D215" s="92">
        <v>3397.4052665553518</v>
      </c>
      <c r="E215" s="91">
        <v>0</v>
      </c>
      <c r="H215"/>
      <c r="I215"/>
    </row>
    <row r="216" spans="2:9" x14ac:dyDescent="0.5">
      <c r="B216" s="91">
        <v>206</v>
      </c>
      <c r="C216" s="92">
        <v>14.863108942996474</v>
      </c>
      <c r="D216" s="92">
        <v>-3456.1775676728316</v>
      </c>
      <c r="E216" s="91">
        <v>1</v>
      </c>
      <c r="H216"/>
      <c r="I216"/>
    </row>
    <row r="217" spans="2:9" x14ac:dyDescent="0.5">
      <c r="B217" s="91">
        <v>207</v>
      </c>
      <c r="C217" s="92">
        <v>27.404841156869935</v>
      </c>
      <c r="D217" s="92">
        <v>-1268.0022349531271</v>
      </c>
      <c r="E217" s="91">
        <v>1</v>
      </c>
      <c r="H217"/>
      <c r="I217"/>
    </row>
    <row r="218" spans="2:9" x14ac:dyDescent="0.5">
      <c r="B218" s="91">
        <v>208</v>
      </c>
      <c r="C218" s="92">
        <v>34.1525658016105</v>
      </c>
      <c r="D218" s="92">
        <v>-381.60699456217361</v>
      </c>
      <c r="E218" s="91">
        <v>1</v>
      </c>
      <c r="H218"/>
      <c r="I218"/>
    </row>
    <row r="219" spans="2:9" x14ac:dyDescent="0.5">
      <c r="B219" s="91">
        <v>209</v>
      </c>
      <c r="C219" s="92">
        <v>16.069911483071522</v>
      </c>
      <c r="D219" s="92">
        <v>-3230.0908482262134</v>
      </c>
      <c r="E219" s="91">
        <v>1</v>
      </c>
      <c r="H219"/>
      <c r="I219"/>
    </row>
    <row r="220" spans="2:9" x14ac:dyDescent="0.5">
      <c r="B220" s="91">
        <v>210</v>
      </c>
      <c r="C220" s="92">
        <v>202.46267440176695</v>
      </c>
      <c r="D220" s="92">
        <v>20260.697456990343</v>
      </c>
      <c r="E220" s="91">
        <v>0</v>
      </c>
      <c r="H220"/>
      <c r="I220"/>
    </row>
    <row r="221" spans="2:9" x14ac:dyDescent="0.5">
      <c r="B221" s="91">
        <v>211</v>
      </c>
      <c r="C221" s="92">
        <v>17.607370063038609</v>
      </c>
      <c r="D221" s="92">
        <v>-2942.0578394390436</v>
      </c>
      <c r="E221" s="91">
        <v>1</v>
      </c>
      <c r="H221"/>
      <c r="I221"/>
    </row>
    <row r="222" spans="2:9" x14ac:dyDescent="0.5">
      <c r="B222" s="91">
        <v>212</v>
      </c>
      <c r="C222" s="92">
        <v>41.321993126506847</v>
      </c>
      <c r="D222" s="92">
        <v>532.93453138950144</v>
      </c>
      <c r="E222" s="91">
        <v>0</v>
      </c>
      <c r="H222"/>
      <c r="I222"/>
    </row>
    <row r="223" spans="2:9" x14ac:dyDescent="0.5">
      <c r="B223" s="91">
        <v>213</v>
      </c>
      <c r="C223" s="92">
        <v>7.2285007206241305</v>
      </c>
      <c r="D223" s="92">
        <v>-4886.4724750310788</v>
      </c>
      <c r="E223" s="91">
        <v>1</v>
      </c>
      <c r="H223"/>
      <c r="I223"/>
    </row>
    <row r="224" spans="2:9" x14ac:dyDescent="0.5">
      <c r="B224" s="91">
        <v>214</v>
      </c>
      <c r="C224" s="92">
        <v>101.12423828558715</v>
      </c>
      <c r="D224" s="92">
        <v>7894.9356344357484</v>
      </c>
      <c r="E224" s="91">
        <v>0</v>
      </c>
      <c r="H224"/>
      <c r="I224"/>
    </row>
    <row r="225" spans="2:9" x14ac:dyDescent="0.5">
      <c r="B225" s="91">
        <v>215</v>
      </c>
      <c r="C225" s="92">
        <v>8.7568827208581137</v>
      </c>
      <c r="D225" s="92">
        <v>-4600.1399052697716</v>
      </c>
      <c r="E225" s="91">
        <v>1</v>
      </c>
      <c r="H225"/>
      <c r="I225"/>
    </row>
    <row r="226" spans="2:9" x14ac:dyDescent="0.5">
      <c r="B226" s="91">
        <v>216</v>
      </c>
      <c r="C226" s="92">
        <v>48.366908841705083</v>
      </c>
      <c r="D226" s="92">
        <v>1417.2817036028353</v>
      </c>
      <c r="E226" s="91">
        <v>0</v>
      </c>
      <c r="H226"/>
      <c r="I226"/>
    </row>
    <row r="227" spans="2:9" x14ac:dyDescent="0.5">
      <c r="B227" s="91">
        <v>217</v>
      </c>
      <c r="C227" s="92">
        <v>30.27377413268373</v>
      </c>
      <c r="D227" s="92">
        <v>-885.28067714594329</v>
      </c>
      <c r="E227" s="91">
        <v>1</v>
      </c>
      <c r="H227"/>
      <c r="I227"/>
    </row>
    <row r="228" spans="2:9" x14ac:dyDescent="0.5">
      <c r="B228" s="91">
        <v>218</v>
      </c>
      <c r="C228" s="92">
        <v>8.9785705612286755</v>
      </c>
      <c r="D228" s="92">
        <v>-4558.6081095482696</v>
      </c>
      <c r="E228" s="91">
        <v>1</v>
      </c>
      <c r="H228"/>
      <c r="I228"/>
    </row>
    <row r="229" spans="2:9" x14ac:dyDescent="0.5">
      <c r="B229" s="91">
        <v>219</v>
      </c>
      <c r="C229" s="92">
        <v>6.0051845273987805</v>
      </c>
      <c r="D229" s="92">
        <v>-5115.6529215315013</v>
      </c>
      <c r="E229" s="91">
        <v>1</v>
      </c>
      <c r="H229"/>
      <c r="I229"/>
    </row>
    <row r="230" spans="2:9" x14ac:dyDescent="0.5">
      <c r="B230" s="91">
        <v>220</v>
      </c>
      <c r="C230" s="92">
        <v>5.8062993490750463</v>
      </c>
      <c r="D230" s="92">
        <v>-5152.9127846993188</v>
      </c>
      <c r="E230" s="91">
        <v>1</v>
      </c>
      <c r="H230"/>
      <c r="I230"/>
    </row>
    <row r="231" spans="2:9" x14ac:dyDescent="0.5">
      <c r="B231" s="91">
        <v>221</v>
      </c>
      <c r="C231" s="92">
        <v>30.500529786347091</v>
      </c>
      <c r="D231" s="92">
        <v>-855.27561739511248</v>
      </c>
      <c r="E231" s="91">
        <v>1</v>
      </c>
      <c r="H231"/>
      <c r="I231"/>
    </row>
    <row r="232" spans="2:9" x14ac:dyDescent="0.5">
      <c r="B232" s="91">
        <v>222</v>
      </c>
      <c r="C232" s="92">
        <v>20.411441965949727</v>
      </c>
      <c r="D232" s="92">
        <v>-2416.7329444631137</v>
      </c>
      <c r="E232" s="91">
        <v>1</v>
      </c>
      <c r="H232"/>
      <c r="I232"/>
    </row>
    <row r="233" spans="2:9" x14ac:dyDescent="0.5">
      <c r="B233" s="91">
        <v>223</v>
      </c>
      <c r="C233" s="92">
        <v>29.010680633726626</v>
      </c>
      <c r="D233" s="92">
        <v>-1053.1606155522204</v>
      </c>
      <c r="E233" s="91">
        <v>1</v>
      </c>
      <c r="H233"/>
      <c r="I233"/>
    </row>
    <row r="234" spans="2:9" x14ac:dyDescent="0.5">
      <c r="B234" s="91">
        <v>224</v>
      </c>
      <c r="C234" s="92">
        <v>14.734418482656839</v>
      </c>
      <c r="D234" s="92">
        <v>-3480.2869004228719</v>
      </c>
      <c r="E234" s="91">
        <v>1</v>
      </c>
      <c r="H234"/>
      <c r="I234"/>
    </row>
    <row r="235" spans="2:9" x14ac:dyDescent="0.5">
      <c r="B235" s="91">
        <v>225</v>
      </c>
      <c r="C235" s="92">
        <v>80.425335974254594</v>
      </c>
      <c r="D235" s="92">
        <v>5360.1219324939502</v>
      </c>
      <c r="E235" s="91">
        <v>0</v>
      </c>
      <c r="H235"/>
      <c r="I235"/>
    </row>
    <row r="236" spans="2:9" x14ac:dyDescent="0.5">
      <c r="B236" s="91">
        <v>226</v>
      </c>
      <c r="C236" s="92">
        <v>31.701629492561068</v>
      </c>
      <c r="D236" s="92">
        <v>-699.24828545451533</v>
      </c>
      <c r="E236" s="91">
        <v>1</v>
      </c>
      <c r="H236"/>
      <c r="I236"/>
    </row>
    <row r="237" spans="2:9" x14ac:dyDescent="0.5">
      <c r="B237" s="91">
        <v>227</v>
      </c>
      <c r="C237" s="92">
        <v>17.241757888689158</v>
      </c>
      <c r="D237" s="92">
        <v>-3010.5529364772656</v>
      </c>
      <c r="E237" s="91">
        <v>1</v>
      </c>
      <c r="H237"/>
      <c r="I237"/>
    </row>
    <row r="238" spans="2:9" x14ac:dyDescent="0.5">
      <c r="B238" s="91">
        <v>228</v>
      </c>
      <c r="C238" s="92">
        <v>39.844707044618197</v>
      </c>
      <c r="D238" s="92">
        <v>346.48873979124772</v>
      </c>
      <c r="E238" s="91">
        <v>0</v>
      </c>
      <c r="H238"/>
      <c r="I238"/>
    </row>
    <row r="239" spans="2:9" x14ac:dyDescent="0.5">
      <c r="B239" s="91">
        <v>229</v>
      </c>
      <c r="C239" s="92">
        <v>137.25785522528929</v>
      </c>
      <c r="D239" s="92">
        <v>12318.068150629251</v>
      </c>
      <c r="E239" s="91">
        <v>0</v>
      </c>
      <c r="H239"/>
      <c r="I239"/>
    </row>
    <row r="240" spans="2:9" x14ac:dyDescent="0.5">
      <c r="B240" s="91">
        <v>230</v>
      </c>
      <c r="C240" s="92">
        <v>35.427365930574865</v>
      </c>
      <c r="D240" s="92">
        <v>-216.79955982826129</v>
      </c>
      <c r="E240" s="91">
        <v>1</v>
      </c>
      <c r="H240"/>
      <c r="I240"/>
    </row>
    <row r="241" spans="2:9" x14ac:dyDescent="0.5">
      <c r="B241" s="91">
        <v>231</v>
      </c>
      <c r="C241" s="92">
        <v>31.8611139727292</v>
      </c>
      <c r="D241" s="92">
        <v>-678.57910038803436</v>
      </c>
      <c r="E241" s="91">
        <v>1</v>
      </c>
      <c r="H241"/>
      <c r="I241"/>
    </row>
    <row r="242" spans="2:9" x14ac:dyDescent="0.5">
      <c r="B242" s="91">
        <v>232</v>
      </c>
      <c r="C242" s="92">
        <v>109.75592996382879</v>
      </c>
      <c r="D242" s="92">
        <v>8951.9834917496501</v>
      </c>
      <c r="E242" s="91">
        <v>0</v>
      </c>
      <c r="H242"/>
      <c r="I242"/>
    </row>
    <row r="243" spans="2:9" x14ac:dyDescent="0.5">
      <c r="B243" s="91">
        <v>233</v>
      </c>
      <c r="C243" s="92">
        <v>26.637164195001322</v>
      </c>
      <c r="D243" s="92">
        <v>-1372.5472249085522</v>
      </c>
      <c r="E243" s="91">
        <v>1</v>
      </c>
      <c r="H243"/>
      <c r="I243"/>
    </row>
    <row r="244" spans="2:9" x14ac:dyDescent="0.5">
      <c r="B244" s="91">
        <v>234</v>
      </c>
      <c r="C244" s="92">
        <v>15.757425082108941</v>
      </c>
      <c r="D244" s="92">
        <v>-3288.6331721932447</v>
      </c>
      <c r="E244" s="91">
        <v>1</v>
      </c>
      <c r="H244"/>
      <c r="I244"/>
    </row>
    <row r="245" spans="2:9" x14ac:dyDescent="0.5">
      <c r="B245" s="91">
        <v>235</v>
      </c>
      <c r="C245" s="92">
        <v>56.321086225194129</v>
      </c>
      <c r="D245" s="92">
        <v>2406.3230769424808</v>
      </c>
      <c r="E245" s="91">
        <v>0</v>
      </c>
      <c r="H245"/>
      <c r="I245"/>
    </row>
    <row r="246" spans="2:9" x14ac:dyDescent="0.5">
      <c r="B246" s="91">
        <v>236</v>
      </c>
      <c r="C246" s="92">
        <v>89.419074561662129</v>
      </c>
      <c r="D246" s="92">
        <v>6461.506511257905</v>
      </c>
      <c r="E246" s="91">
        <v>0</v>
      </c>
      <c r="H246"/>
      <c r="I246"/>
    </row>
    <row r="247" spans="2:9" x14ac:dyDescent="0.5">
      <c r="B247" s="91">
        <v>237</v>
      </c>
      <c r="C247" s="92">
        <v>23.841136416884154</v>
      </c>
      <c r="D247" s="92">
        <v>-1774.2016757869526</v>
      </c>
      <c r="E247" s="91">
        <v>1</v>
      </c>
      <c r="H247"/>
      <c r="I247"/>
    </row>
    <row r="248" spans="2:9" x14ac:dyDescent="0.5">
      <c r="B248" s="91">
        <v>238</v>
      </c>
      <c r="C248" s="92">
        <v>25.655417332265078</v>
      </c>
      <c r="D248" s="92">
        <v>-1506.8351622945115</v>
      </c>
      <c r="E248" s="91">
        <v>1</v>
      </c>
      <c r="H248"/>
      <c r="I248"/>
    </row>
    <row r="249" spans="2:9" x14ac:dyDescent="0.5">
      <c r="B249" s="91">
        <v>239</v>
      </c>
      <c r="C249" s="92">
        <v>26.819515251592208</v>
      </c>
      <c r="D249" s="92">
        <v>-1347.6043926987393</v>
      </c>
      <c r="E249" s="91">
        <v>1</v>
      </c>
      <c r="H249"/>
      <c r="I249"/>
    </row>
    <row r="250" spans="2:9" x14ac:dyDescent="0.5">
      <c r="B250" s="91">
        <v>240</v>
      </c>
      <c r="C250" s="92">
        <v>59.430518585889395</v>
      </c>
      <c r="D250" s="92">
        <v>2789.070096732713</v>
      </c>
      <c r="E250" s="91">
        <v>0</v>
      </c>
      <c r="H250"/>
      <c r="I250"/>
    </row>
    <row r="251" spans="2:9" x14ac:dyDescent="0.5">
      <c r="B251" s="91">
        <v>241</v>
      </c>
      <c r="C251" s="92">
        <v>70.846550570264739</v>
      </c>
      <c r="D251" s="92">
        <v>4187.0917821607991</v>
      </c>
      <c r="E251" s="91">
        <v>0</v>
      </c>
      <c r="H251"/>
      <c r="I251"/>
    </row>
    <row r="252" spans="2:9" x14ac:dyDescent="0.5">
      <c r="B252" s="91">
        <v>242</v>
      </c>
      <c r="C252" s="92">
        <v>33.174173063105371</v>
      </c>
      <c r="D252" s="92">
        <v>-508.40667161253026</v>
      </c>
      <c r="E252" s="91">
        <v>1</v>
      </c>
      <c r="H252"/>
      <c r="I252"/>
    </row>
    <row r="253" spans="2:9" x14ac:dyDescent="0.5">
      <c r="B253" s="91">
        <v>243</v>
      </c>
      <c r="C253" s="92">
        <v>41.708078100018056</v>
      </c>
      <c r="D253" s="92">
        <v>581.66166650097512</v>
      </c>
      <c r="E253" s="91">
        <v>0</v>
      </c>
      <c r="H253"/>
      <c r="I253"/>
    </row>
    <row r="254" spans="2:9" x14ac:dyDescent="0.5">
      <c r="B254" s="91">
        <v>244</v>
      </c>
      <c r="C254" s="92">
        <v>150.49451808287205</v>
      </c>
      <c r="D254" s="92">
        <v>13930.432200692976</v>
      </c>
      <c r="E254" s="91">
        <v>0</v>
      </c>
      <c r="H254"/>
      <c r="I254"/>
    </row>
    <row r="255" spans="2:9" x14ac:dyDescent="0.5">
      <c r="B255" s="91">
        <v>245</v>
      </c>
      <c r="C255" s="92">
        <v>17.962934526101176</v>
      </c>
      <c r="D255" s="92">
        <v>-2875.4451166976619</v>
      </c>
      <c r="E255" s="91">
        <v>1</v>
      </c>
      <c r="H255"/>
      <c r="I255"/>
    </row>
    <row r="256" spans="2:9" x14ac:dyDescent="0.5">
      <c r="B256" s="91">
        <v>246</v>
      </c>
      <c r="C256" s="92">
        <v>38.679082858026291</v>
      </c>
      <c r="D256" s="92">
        <v>199.3772717827257</v>
      </c>
      <c r="E256" s="91">
        <v>0</v>
      </c>
      <c r="H256"/>
      <c r="I256"/>
    </row>
    <row r="257" spans="2:9" x14ac:dyDescent="0.5">
      <c r="B257" s="91">
        <v>247</v>
      </c>
      <c r="C257" s="92">
        <v>18.614609828519274</v>
      </c>
      <c r="D257" s="92">
        <v>-2753.3579264776886</v>
      </c>
      <c r="E257" s="91">
        <v>1</v>
      </c>
      <c r="H257"/>
      <c r="I257"/>
    </row>
    <row r="258" spans="2:9" x14ac:dyDescent="0.5">
      <c r="B258" s="91">
        <v>248</v>
      </c>
      <c r="C258" s="92">
        <v>28.885711769696517</v>
      </c>
      <c r="D258" s="92">
        <v>-1069.8799162730334</v>
      </c>
      <c r="E258" s="91">
        <v>1</v>
      </c>
      <c r="H258"/>
      <c r="I258"/>
    </row>
    <row r="259" spans="2:9" x14ac:dyDescent="0.5">
      <c r="B259" s="91">
        <v>249</v>
      </c>
      <c r="C259" s="92">
        <v>11.204691814538807</v>
      </c>
      <c r="D259" s="92">
        <v>-4141.5585637128906</v>
      </c>
      <c r="E259" s="91">
        <v>1</v>
      </c>
      <c r="H259"/>
      <c r="I259"/>
    </row>
    <row r="260" spans="2:9" x14ac:dyDescent="0.5">
      <c r="B260" s="91">
        <v>250</v>
      </c>
      <c r="C260" s="92">
        <v>10.427686015731798</v>
      </c>
      <c r="D260" s="92">
        <v>-4287.1256189764235</v>
      </c>
      <c r="E260" s="91">
        <v>1</v>
      </c>
      <c r="H260"/>
      <c r="I260"/>
    </row>
    <row r="261" spans="2:9" x14ac:dyDescent="0.5">
      <c r="B261" s="91">
        <v>251</v>
      </c>
      <c r="C261" s="92">
        <v>13.9383890555708</v>
      </c>
      <c r="D261" s="92">
        <v>-3629.4179104899044</v>
      </c>
      <c r="E261" s="91">
        <v>1</v>
      </c>
      <c r="H261"/>
      <c r="I261"/>
    </row>
    <row r="262" spans="2:9" x14ac:dyDescent="0.5">
      <c r="B262" s="91">
        <v>252</v>
      </c>
      <c r="C262" s="92">
        <v>8.2814996124051152</v>
      </c>
      <c r="D262" s="92">
        <v>-4689.1998831049114</v>
      </c>
      <c r="E262" s="91">
        <v>1</v>
      </c>
      <c r="H262"/>
      <c r="I262"/>
    </row>
    <row r="263" spans="2:9" x14ac:dyDescent="0.5">
      <c r="B263" s="91">
        <v>253</v>
      </c>
      <c r="C263" s="92">
        <v>38.588149995248081</v>
      </c>
      <c r="D263" s="92">
        <v>187.90078812066935</v>
      </c>
      <c r="E263" s="91">
        <v>0</v>
      </c>
      <c r="H263"/>
      <c r="I263"/>
    </row>
    <row r="264" spans="2:9" x14ac:dyDescent="0.5">
      <c r="B264" s="91">
        <v>254</v>
      </c>
      <c r="C264" s="92">
        <v>109.36844194482572</v>
      </c>
      <c r="D264" s="92">
        <v>8904.5312198787178</v>
      </c>
      <c r="E264" s="91">
        <v>0</v>
      </c>
      <c r="H264"/>
      <c r="I264"/>
    </row>
    <row r="265" spans="2:9" x14ac:dyDescent="0.5">
      <c r="B265" s="91">
        <v>255</v>
      </c>
      <c r="C265" s="92">
        <v>31.662880644199138</v>
      </c>
      <c r="D265" s="92">
        <v>-704.270135336468</v>
      </c>
      <c r="E265" s="91">
        <v>1</v>
      </c>
      <c r="H265"/>
      <c r="I265"/>
    </row>
    <row r="266" spans="2:9" x14ac:dyDescent="0.5">
      <c r="B266" s="91">
        <v>256</v>
      </c>
      <c r="C266" s="92">
        <v>21.024775938581413</v>
      </c>
      <c r="D266" s="92">
        <v>-2301.8287565842606</v>
      </c>
      <c r="E266" s="91">
        <v>1</v>
      </c>
      <c r="H266"/>
      <c r="I266"/>
    </row>
    <row r="267" spans="2:9" x14ac:dyDescent="0.5">
      <c r="B267" s="91">
        <v>257</v>
      </c>
      <c r="C267" s="92">
        <v>77.547010468431537</v>
      </c>
      <c r="D267" s="92">
        <v>5007.6385582034045</v>
      </c>
      <c r="E267" s="91">
        <v>0</v>
      </c>
      <c r="H267"/>
      <c r="I267"/>
    </row>
    <row r="268" spans="2:9" x14ac:dyDescent="0.5">
      <c r="B268" s="91">
        <v>258</v>
      </c>
      <c r="C268" s="92">
        <v>75.833319828890879</v>
      </c>
      <c r="D268" s="92">
        <v>4797.777839569123</v>
      </c>
      <c r="E268" s="91">
        <v>0</v>
      </c>
      <c r="H268"/>
      <c r="I268"/>
    </row>
    <row r="269" spans="2:9" x14ac:dyDescent="0.5">
      <c r="B269" s="91">
        <v>259</v>
      </c>
      <c r="C269" s="92">
        <v>59.15305281538145</v>
      </c>
      <c r="D269" s="92">
        <v>2755.0912882758853</v>
      </c>
      <c r="E269" s="91">
        <v>0</v>
      </c>
      <c r="H269"/>
      <c r="I269"/>
    </row>
    <row r="270" spans="2:9" x14ac:dyDescent="0.5">
      <c r="B270" s="91">
        <v>260</v>
      </c>
      <c r="C270" s="92">
        <v>47.857304674676982</v>
      </c>
      <c r="D270" s="92">
        <v>1353.7913536424905</v>
      </c>
      <c r="E270" s="91">
        <v>0</v>
      </c>
      <c r="H270"/>
      <c r="I270"/>
    </row>
    <row r="271" spans="2:9" x14ac:dyDescent="0.5">
      <c r="B271" s="91">
        <v>261</v>
      </c>
      <c r="C271" s="92">
        <v>94.405064593484823</v>
      </c>
      <c r="D271" s="92">
        <v>7072.0971435683859</v>
      </c>
      <c r="E271" s="91">
        <v>0</v>
      </c>
      <c r="H271"/>
      <c r="I271"/>
    </row>
    <row r="272" spans="2:9" x14ac:dyDescent="0.5">
      <c r="B272" s="91">
        <v>262</v>
      </c>
      <c r="C272" s="92">
        <v>68.205528200999311</v>
      </c>
      <c r="D272" s="92">
        <v>3863.6688494826935</v>
      </c>
      <c r="E272" s="91">
        <v>0</v>
      </c>
      <c r="H272"/>
      <c r="I272"/>
    </row>
    <row r="273" spans="2:9" x14ac:dyDescent="0.5">
      <c r="B273" s="91">
        <v>263</v>
      </c>
      <c r="C273" s="92">
        <v>11.334236557349817</v>
      </c>
      <c r="D273" s="92">
        <v>-4117.2891866183782</v>
      </c>
      <c r="E273" s="91">
        <v>1</v>
      </c>
      <c r="H273"/>
      <c r="I273"/>
    </row>
    <row r="274" spans="2:9" x14ac:dyDescent="0.5">
      <c r="B274" s="91">
        <v>264</v>
      </c>
      <c r="C274" s="92">
        <v>43.137216146267626</v>
      </c>
      <c r="D274" s="92">
        <v>762.0307755062712</v>
      </c>
      <c r="E274" s="91">
        <v>0</v>
      </c>
      <c r="H274"/>
      <c r="I274"/>
    </row>
    <row r="275" spans="2:9" x14ac:dyDescent="0.5">
      <c r="B275" s="91">
        <v>265</v>
      </c>
      <c r="C275" s="92">
        <v>28.138913125308903</v>
      </c>
      <c r="D275" s="92">
        <v>-1169.7924121600406</v>
      </c>
      <c r="E275" s="91">
        <v>1</v>
      </c>
      <c r="H275"/>
      <c r="I275"/>
    </row>
    <row r="276" spans="2:9" x14ac:dyDescent="0.5">
      <c r="B276" s="91">
        <v>266</v>
      </c>
      <c r="C276" s="92">
        <v>55.132370983048851</v>
      </c>
      <c r="D276" s="92">
        <v>2258.9698534978861</v>
      </c>
      <c r="E276" s="91">
        <v>0</v>
      </c>
      <c r="H276"/>
      <c r="I276"/>
    </row>
    <row r="277" spans="2:9" x14ac:dyDescent="0.5">
      <c r="B277" s="91">
        <v>267</v>
      </c>
      <c r="C277" s="92">
        <v>81.292460988065585</v>
      </c>
      <c r="D277" s="92">
        <v>5466.3111561177147</v>
      </c>
      <c r="E277" s="91">
        <v>0</v>
      </c>
      <c r="H277"/>
      <c r="I277"/>
    </row>
    <row r="278" spans="2:9" x14ac:dyDescent="0.5">
      <c r="B278" s="91">
        <v>268</v>
      </c>
      <c r="C278" s="92">
        <v>56.360940971316005</v>
      </c>
      <c r="D278" s="92">
        <v>2411.2634740219578</v>
      </c>
      <c r="E278" s="91">
        <v>0</v>
      </c>
      <c r="H278"/>
      <c r="I278"/>
    </row>
    <row r="279" spans="2:9" x14ac:dyDescent="0.5">
      <c r="B279" s="91">
        <v>269</v>
      </c>
      <c r="C279" s="92">
        <v>134.43293114474233</v>
      </c>
      <c r="D279" s="92">
        <v>11973.960202174865</v>
      </c>
      <c r="E279" s="91">
        <v>0</v>
      </c>
      <c r="H279"/>
      <c r="I279"/>
    </row>
    <row r="280" spans="2:9" x14ac:dyDescent="0.5">
      <c r="B280" s="91">
        <v>270</v>
      </c>
      <c r="C280" s="92">
        <v>14.1231076513048</v>
      </c>
      <c r="D280" s="92">
        <v>-3594.8120657527129</v>
      </c>
      <c r="E280" s="91">
        <v>1</v>
      </c>
      <c r="H280"/>
      <c r="I280"/>
    </row>
    <row r="281" spans="2:9" x14ac:dyDescent="0.5">
      <c r="B281" s="91">
        <v>271</v>
      </c>
      <c r="C281" s="92">
        <v>21.747747181268338</v>
      </c>
      <c r="D281" s="92">
        <v>-2166.3847290110625</v>
      </c>
      <c r="E281" s="91">
        <v>1</v>
      </c>
      <c r="H281"/>
      <c r="I281"/>
    </row>
    <row r="282" spans="2:9" x14ac:dyDescent="0.5">
      <c r="B282" s="91">
        <v>272</v>
      </c>
      <c r="C282" s="92">
        <v>19.060469831565293</v>
      </c>
      <c r="D282" s="92">
        <v>-2669.8289131770825</v>
      </c>
      <c r="E282" s="91">
        <v>1</v>
      </c>
      <c r="H282"/>
      <c r="I282"/>
    </row>
    <row r="283" spans="2:9" x14ac:dyDescent="0.5">
      <c r="B283" s="91">
        <v>273</v>
      </c>
      <c r="C283" s="92">
        <v>21.861247785722785</v>
      </c>
      <c r="D283" s="92">
        <v>-2145.1211183836622</v>
      </c>
      <c r="E283" s="91">
        <v>1</v>
      </c>
      <c r="H283"/>
      <c r="I283"/>
    </row>
    <row r="284" spans="2:9" x14ac:dyDescent="0.5">
      <c r="B284" s="91">
        <v>274</v>
      </c>
      <c r="C284" s="92">
        <v>47.123789966077673</v>
      </c>
      <c r="D284" s="92">
        <v>1261.9244464427609</v>
      </c>
      <c r="E284" s="91">
        <v>0</v>
      </c>
      <c r="H284"/>
      <c r="I284"/>
    </row>
    <row r="285" spans="2:9" x14ac:dyDescent="0.5">
      <c r="B285" s="91">
        <v>275</v>
      </c>
      <c r="C285" s="92">
        <v>53.462484799533001</v>
      </c>
      <c r="D285" s="92">
        <v>2051.9706469573994</v>
      </c>
      <c r="E285" s="91">
        <v>0</v>
      </c>
      <c r="H285"/>
      <c r="I285"/>
    </row>
    <row r="286" spans="2:9" x14ac:dyDescent="0.5">
      <c r="B286" s="91">
        <v>276</v>
      </c>
      <c r="C286" s="92">
        <v>80.966156117802925</v>
      </c>
      <c r="D286" s="92">
        <v>5426.3514498631812</v>
      </c>
      <c r="E286" s="91">
        <v>0</v>
      </c>
      <c r="H286"/>
      <c r="I286"/>
    </row>
    <row r="287" spans="2:9" x14ac:dyDescent="0.5">
      <c r="B287" s="91">
        <v>277</v>
      </c>
      <c r="C287" s="92">
        <v>27.12809907541688</v>
      </c>
      <c r="D287" s="92">
        <v>-1305.3948509268487</v>
      </c>
      <c r="E287" s="91">
        <v>1</v>
      </c>
      <c r="H287"/>
      <c r="I287"/>
    </row>
    <row r="288" spans="2:9" x14ac:dyDescent="0.5">
      <c r="B288" s="91">
        <v>278</v>
      </c>
      <c r="C288" s="92">
        <v>25.905217201312105</v>
      </c>
      <c r="D288" s="92">
        <v>-1472.6663653806986</v>
      </c>
      <c r="E288" s="91">
        <v>1</v>
      </c>
      <c r="H288"/>
      <c r="I288"/>
    </row>
    <row r="289" spans="2:9" x14ac:dyDescent="0.5">
      <c r="B289" s="91">
        <v>279</v>
      </c>
      <c r="C289" s="92">
        <v>141.297872936831</v>
      </c>
      <c r="D289" s="92">
        <v>12810.184584340408</v>
      </c>
      <c r="E289" s="91">
        <v>0</v>
      </c>
      <c r="H289"/>
      <c r="I289"/>
    </row>
    <row r="290" spans="2:9" x14ac:dyDescent="0.5">
      <c r="B290" s="91">
        <v>280</v>
      </c>
      <c r="C290" s="92">
        <v>53.648136647817886</v>
      </c>
      <c r="D290" s="92">
        <v>2074.9840628818506</v>
      </c>
      <c r="E290" s="91">
        <v>0</v>
      </c>
      <c r="H290"/>
      <c r="I290"/>
    </row>
    <row r="291" spans="2:9" x14ac:dyDescent="0.5">
      <c r="B291" s="91">
        <v>281</v>
      </c>
      <c r="C291" s="92">
        <v>29.686785497374629</v>
      </c>
      <c r="D291" s="92">
        <v>-962.95295914185863</v>
      </c>
      <c r="E291" s="91">
        <v>1</v>
      </c>
      <c r="H291"/>
      <c r="I291"/>
    </row>
    <row r="292" spans="2:9" x14ac:dyDescent="0.5">
      <c r="B292" s="91">
        <v>282</v>
      </c>
      <c r="C292" s="92">
        <v>37.052419134196867</v>
      </c>
      <c r="D292" s="92">
        <v>-8.0702457526445741</v>
      </c>
      <c r="E292" s="91">
        <v>1</v>
      </c>
      <c r="H292"/>
      <c r="I292"/>
    </row>
    <row r="293" spans="2:9" x14ac:dyDescent="0.5">
      <c r="B293" s="91">
        <v>283</v>
      </c>
      <c r="C293" s="92">
        <v>22.026851679326839</v>
      </c>
      <c r="D293" s="92">
        <v>-2114.0962905520933</v>
      </c>
      <c r="E293" s="91">
        <v>1</v>
      </c>
      <c r="H293"/>
      <c r="I293"/>
    </row>
    <row r="294" spans="2:9" x14ac:dyDescent="0.5">
      <c r="B294" s="91">
        <v>284</v>
      </c>
      <c r="C294" s="92">
        <v>12.457056245616306</v>
      </c>
      <c r="D294" s="92">
        <v>-3906.9361160701023</v>
      </c>
      <c r="E294" s="91">
        <v>1</v>
      </c>
      <c r="H294"/>
      <c r="I294"/>
    </row>
    <row r="295" spans="2:9" x14ac:dyDescent="0.5">
      <c r="B295" s="91">
        <v>285</v>
      </c>
      <c r="C295" s="92">
        <v>46.603590104834424</v>
      </c>
      <c r="D295" s="92">
        <v>1196.7261181598485</v>
      </c>
      <c r="E295" s="91">
        <v>0</v>
      </c>
      <c r="H295"/>
      <c r="I295"/>
    </row>
    <row r="296" spans="2:9" x14ac:dyDescent="0.5">
      <c r="B296" s="91">
        <v>286</v>
      </c>
      <c r="C296" s="92">
        <v>58.65382127703235</v>
      </c>
      <c r="D296" s="92">
        <v>2693.9547639899597</v>
      </c>
      <c r="E296" s="91">
        <v>0</v>
      </c>
      <c r="H296"/>
      <c r="I296"/>
    </row>
    <row r="297" spans="2:9" x14ac:dyDescent="0.5">
      <c r="B297" s="91">
        <v>287</v>
      </c>
      <c r="C297" s="92">
        <v>11.129875394639971</v>
      </c>
      <c r="D297" s="92">
        <v>-4155.5749403560958</v>
      </c>
      <c r="E297" s="91">
        <v>1</v>
      </c>
      <c r="H297"/>
      <c r="I297"/>
    </row>
    <row r="298" spans="2:9" x14ac:dyDescent="0.5">
      <c r="B298" s="91">
        <v>288</v>
      </c>
      <c r="C298" s="92">
        <v>15.931926396565363</v>
      </c>
      <c r="D298" s="92">
        <v>-3255.9414696035892</v>
      </c>
      <c r="E298" s="91">
        <v>1</v>
      </c>
      <c r="H298"/>
      <c r="I298"/>
    </row>
    <row r="299" spans="2:9" x14ac:dyDescent="0.5">
      <c r="B299" s="91">
        <v>289</v>
      </c>
      <c r="C299" s="92">
        <v>23.345783212183726</v>
      </c>
      <c r="D299" s="92">
        <v>-1867.0029231319613</v>
      </c>
      <c r="E299" s="91">
        <v>1</v>
      </c>
      <c r="H299"/>
      <c r="I299"/>
    </row>
    <row r="300" spans="2:9" x14ac:dyDescent="0.5">
      <c r="B300" s="91">
        <v>290</v>
      </c>
      <c r="C300" s="92">
        <v>19.703192421471257</v>
      </c>
      <c r="D300" s="92">
        <v>-2549.4189562531951</v>
      </c>
      <c r="E300" s="91">
        <v>1</v>
      </c>
      <c r="H300"/>
      <c r="I300"/>
    </row>
    <row r="301" spans="2:9" x14ac:dyDescent="0.5">
      <c r="B301" s="91">
        <v>291</v>
      </c>
      <c r="C301" s="92">
        <v>44.357477169241889</v>
      </c>
      <c r="D301" s="92">
        <v>915.21353146813431</v>
      </c>
      <c r="E301" s="91">
        <v>0</v>
      </c>
      <c r="H301"/>
      <c r="I301"/>
    </row>
    <row r="302" spans="2:9" x14ac:dyDescent="0.5">
      <c r="B302" s="91">
        <v>292</v>
      </c>
      <c r="C302" s="92">
        <v>12.739778025653044</v>
      </c>
      <c r="D302" s="92">
        <v>-3853.9700030217818</v>
      </c>
      <c r="E302" s="91">
        <v>1</v>
      </c>
      <c r="H302"/>
      <c r="I302"/>
    </row>
    <row r="303" spans="2:9" x14ac:dyDescent="0.5">
      <c r="B303" s="91">
        <v>293</v>
      </c>
      <c r="C303" s="92">
        <v>17.651669993999619</v>
      </c>
      <c r="D303" s="92">
        <v>-2933.7585313666036</v>
      </c>
      <c r="E303" s="91">
        <v>1</v>
      </c>
      <c r="H303"/>
      <c r="I303"/>
    </row>
    <row r="304" spans="2:9" x14ac:dyDescent="0.5">
      <c r="B304" s="91">
        <v>294</v>
      </c>
      <c r="C304" s="92">
        <v>69.548066549585712</v>
      </c>
      <c r="D304" s="92">
        <v>4028.0777901208635</v>
      </c>
      <c r="E304" s="91">
        <v>0</v>
      </c>
      <c r="H304"/>
      <c r="I304"/>
    </row>
    <row r="305" spans="2:9" x14ac:dyDescent="0.5">
      <c r="B305" s="91">
        <v>295</v>
      </c>
      <c r="C305" s="92">
        <v>13.989230371249004</v>
      </c>
      <c r="D305" s="92">
        <v>-3619.8931159254848</v>
      </c>
      <c r="E305" s="91">
        <v>1</v>
      </c>
      <c r="H305"/>
      <c r="I305"/>
    </row>
    <row r="306" spans="2:9" x14ac:dyDescent="0.5">
      <c r="B306" s="91">
        <v>296</v>
      </c>
      <c r="C306" s="92">
        <v>32.164912300220109</v>
      </c>
      <c r="D306" s="92">
        <v>-639.20684393287866</v>
      </c>
      <c r="E306" s="91">
        <v>1</v>
      </c>
      <c r="H306"/>
      <c r="I306"/>
    </row>
    <row r="307" spans="2:9" x14ac:dyDescent="0.5">
      <c r="B307" s="91">
        <v>297</v>
      </c>
      <c r="C307" s="92">
        <v>14.059850038118643</v>
      </c>
      <c r="D307" s="92">
        <v>-3606.6629740582189</v>
      </c>
      <c r="E307" s="91">
        <v>1</v>
      </c>
      <c r="H307"/>
      <c r="I307"/>
    </row>
    <row r="308" spans="2:9" x14ac:dyDescent="0.5">
      <c r="B308" s="91">
        <v>298</v>
      </c>
      <c r="C308" s="92">
        <v>73.552828638307744</v>
      </c>
      <c r="D308" s="92">
        <v>4518.5060100729834</v>
      </c>
      <c r="E308" s="91">
        <v>0</v>
      </c>
      <c r="H308"/>
      <c r="I308"/>
    </row>
    <row r="309" spans="2:9" x14ac:dyDescent="0.5">
      <c r="B309" s="91">
        <v>299</v>
      </c>
      <c r="C309" s="92">
        <v>114.6018408698686</v>
      </c>
      <c r="D309" s="92">
        <v>9545.419857517405</v>
      </c>
      <c r="E309" s="91">
        <v>0</v>
      </c>
      <c r="H309"/>
      <c r="I309"/>
    </row>
    <row r="310" spans="2:9" x14ac:dyDescent="0.5">
      <c r="B310" s="91">
        <v>300</v>
      </c>
      <c r="C310" s="92">
        <v>11.290532711395056</v>
      </c>
      <c r="D310" s="92">
        <v>-4125.4768219862144</v>
      </c>
      <c r="E310" s="91">
        <v>1</v>
      </c>
      <c r="H310"/>
      <c r="I310"/>
    </row>
    <row r="311" spans="2:9" x14ac:dyDescent="0.5">
      <c r="B311" s="91">
        <v>301</v>
      </c>
      <c r="C311" s="92">
        <v>102.36379502431929</v>
      </c>
      <c r="D311" s="92">
        <v>8046.7333171540376</v>
      </c>
      <c r="E311" s="91">
        <v>0</v>
      </c>
      <c r="H311"/>
      <c r="I311"/>
    </row>
    <row r="312" spans="2:9" x14ac:dyDescent="0.5">
      <c r="B312" s="91">
        <v>302</v>
      </c>
      <c r="C312" s="92">
        <v>29.024694417594262</v>
      </c>
      <c r="D312" s="92">
        <v>-1051.2857432107148</v>
      </c>
      <c r="E312" s="91">
        <v>1</v>
      </c>
      <c r="H312"/>
      <c r="I312"/>
    </row>
    <row r="313" spans="2:9" x14ac:dyDescent="0.5">
      <c r="B313" s="91">
        <v>303</v>
      </c>
      <c r="C313" s="92">
        <v>83.229662670348148</v>
      </c>
      <c r="D313" s="92">
        <v>5703.5433191482198</v>
      </c>
      <c r="E313" s="91">
        <v>0</v>
      </c>
      <c r="H313"/>
      <c r="I313"/>
    </row>
    <row r="314" spans="2:9" x14ac:dyDescent="0.5">
      <c r="B314" s="91">
        <v>304</v>
      </c>
      <c r="C314" s="92">
        <v>16.476819742667278</v>
      </c>
      <c r="D314" s="92">
        <v>-3153.859194353478</v>
      </c>
      <c r="E314" s="91">
        <v>1</v>
      </c>
      <c r="H314"/>
      <c r="I314"/>
    </row>
    <row r="315" spans="2:9" x14ac:dyDescent="0.5">
      <c r="B315" s="91">
        <v>305</v>
      </c>
      <c r="C315" s="92">
        <v>18.642728234365599</v>
      </c>
      <c r="D315" s="92">
        <v>-2748.0901234007506</v>
      </c>
      <c r="E315" s="91">
        <v>1</v>
      </c>
      <c r="H315"/>
      <c r="I315"/>
    </row>
    <row r="316" spans="2:9" x14ac:dyDescent="0.5">
      <c r="B316" s="91">
        <v>306</v>
      </c>
      <c r="C316" s="92">
        <v>18.492966945850217</v>
      </c>
      <c r="D316" s="92">
        <v>-2776.1469407309787</v>
      </c>
      <c r="E316" s="91">
        <v>1</v>
      </c>
      <c r="H316"/>
      <c r="I316"/>
    </row>
    <row r="317" spans="2:9" x14ac:dyDescent="0.5">
      <c r="B317" s="91">
        <v>307</v>
      </c>
      <c r="C317" s="92">
        <v>77.918446141817029</v>
      </c>
      <c r="D317" s="92">
        <v>5053.125039569718</v>
      </c>
      <c r="E317" s="91">
        <v>0</v>
      </c>
      <c r="H317"/>
      <c r="I317"/>
    </row>
    <row r="318" spans="2:9" x14ac:dyDescent="0.5">
      <c r="B318" s="91">
        <v>308</v>
      </c>
      <c r="C318" s="92">
        <v>27.060441774633166</v>
      </c>
      <c r="D318" s="92">
        <v>-1314.6493336414906</v>
      </c>
      <c r="E318" s="91">
        <v>1</v>
      </c>
      <c r="H318"/>
      <c r="I318"/>
    </row>
    <row r="319" spans="2:9" x14ac:dyDescent="0.5">
      <c r="B319" s="91">
        <v>309</v>
      </c>
      <c r="C319" s="92">
        <v>22.867220753644901</v>
      </c>
      <c r="D319" s="92">
        <v>-1956.6585318238542</v>
      </c>
      <c r="E319" s="91">
        <v>1</v>
      </c>
      <c r="H319"/>
      <c r="I319"/>
    </row>
    <row r="320" spans="2:9" x14ac:dyDescent="0.5">
      <c r="B320" s="91">
        <v>310</v>
      </c>
      <c r="C320" s="92">
        <v>12.276975874122767</v>
      </c>
      <c r="D320" s="92">
        <v>-3940.6730192300597</v>
      </c>
      <c r="E320" s="91">
        <v>1</v>
      </c>
      <c r="H320"/>
      <c r="I320"/>
    </row>
    <row r="321" spans="2:9" x14ac:dyDescent="0.5">
      <c r="B321" s="91">
        <v>311</v>
      </c>
      <c r="C321" s="92">
        <v>34.037776353883146</v>
      </c>
      <c r="D321" s="92">
        <v>-396.4837044229352</v>
      </c>
      <c r="E321" s="91">
        <v>1</v>
      </c>
      <c r="H321"/>
      <c r="I321"/>
    </row>
    <row r="322" spans="2:9" x14ac:dyDescent="0.5">
      <c r="B322" s="91">
        <v>312</v>
      </c>
      <c r="C322" s="92">
        <v>30.381777907619234</v>
      </c>
      <c r="D322" s="92">
        <v>-870.98925963153783</v>
      </c>
      <c r="E322" s="91">
        <v>1</v>
      </c>
      <c r="H322"/>
      <c r="I322"/>
    </row>
    <row r="323" spans="2:9" x14ac:dyDescent="0.5">
      <c r="B323" s="91">
        <v>313</v>
      </c>
      <c r="C323" s="92">
        <v>72.656843880585612</v>
      </c>
      <c r="D323" s="92">
        <v>4408.7825857848457</v>
      </c>
      <c r="E323" s="91">
        <v>0</v>
      </c>
      <c r="H323"/>
      <c r="I323"/>
    </row>
    <row r="324" spans="2:9" x14ac:dyDescent="0.5">
      <c r="B324" s="91">
        <v>314</v>
      </c>
      <c r="C324" s="92">
        <v>63.388911642423075</v>
      </c>
      <c r="D324" s="92">
        <v>3273.8199064788764</v>
      </c>
      <c r="E324" s="91">
        <v>0</v>
      </c>
      <c r="H324"/>
      <c r="I324"/>
    </row>
    <row r="325" spans="2:9" x14ac:dyDescent="0.5">
      <c r="B325" s="91">
        <v>315</v>
      </c>
      <c r="C325" s="92">
        <v>11.133959196689617</v>
      </c>
      <c r="D325" s="92">
        <v>-4154.8098662220818</v>
      </c>
      <c r="E325" s="91">
        <v>1</v>
      </c>
      <c r="H325"/>
      <c r="I325"/>
    </row>
    <row r="326" spans="2:9" x14ac:dyDescent="0.5">
      <c r="B326" s="91">
        <v>316</v>
      </c>
      <c r="C326" s="92">
        <v>143.72237611156172</v>
      </c>
      <c r="D326" s="92">
        <v>13105.514442044065</v>
      </c>
      <c r="E326" s="91">
        <v>0</v>
      </c>
      <c r="H326"/>
      <c r="I326"/>
    </row>
    <row r="327" spans="2:9" x14ac:dyDescent="0.5">
      <c r="B327" s="91">
        <v>317</v>
      </c>
      <c r="C327" s="92">
        <v>11.097669828191377</v>
      </c>
      <c r="D327" s="92">
        <v>-4161.6084467703513</v>
      </c>
      <c r="E327" s="91">
        <v>1</v>
      </c>
      <c r="H327"/>
      <c r="I327"/>
    </row>
    <row r="328" spans="2:9" x14ac:dyDescent="0.5">
      <c r="B328" s="91">
        <v>318</v>
      </c>
      <c r="C328" s="92">
        <v>28.585835287240151</v>
      </c>
      <c r="D328" s="92">
        <v>-1109.9997103369344</v>
      </c>
      <c r="E328" s="91">
        <v>1</v>
      </c>
      <c r="H328"/>
      <c r="I328"/>
    </row>
    <row r="329" spans="2:9" x14ac:dyDescent="0.5">
      <c r="B329" s="91">
        <v>319</v>
      </c>
      <c r="C329" s="92">
        <v>105.82447400662107</v>
      </c>
      <c r="D329" s="92">
        <v>8470.5324331853171</v>
      </c>
      <c r="E329" s="91">
        <v>0</v>
      </c>
      <c r="H329"/>
      <c r="I329"/>
    </row>
    <row r="330" spans="2:9" x14ac:dyDescent="0.5">
      <c r="B330" s="91">
        <v>320</v>
      </c>
      <c r="C330" s="92">
        <v>13.897084597378013</v>
      </c>
      <c r="D330" s="92">
        <v>-3637.1560359422642</v>
      </c>
      <c r="E330" s="91">
        <v>1</v>
      </c>
      <c r="H330"/>
      <c r="I330"/>
    </row>
    <row r="331" spans="2:9" x14ac:dyDescent="0.5">
      <c r="B331" s="91">
        <v>321</v>
      </c>
      <c r="C331" s="92">
        <v>85.144175304125469</v>
      </c>
      <c r="D331" s="92">
        <v>5937.9969526620353</v>
      </c>
      <c r="E331" s="91">
        <v>0</v>
      </c>
      <c r="H331"/>
      <c r="I331"/>
    </row>
    <row r="332" spans="2:9" x14ac:dyDescent="0.5">
      <c r="B332" s="91">
        <v>322</v>
      </c>
      <c r="C332" s="92">
        <v>13.047559515928416</v>
      </c>
      <c r="D332" s="92">
        <v>-3796.3091139102776</v>
      </c>
      <c r="E332" s="91">
        <v>1</v>
      </c>
      <c r="H332"/>
      <c r="I332"/>
    </row>
    <row r="333" spans="2:9" x14ac:dyDescent="0.5">
      <c r="B333" s="91">
        <v>323</v>
      </c>
      <c r="C333" s="92">
        <v>64.663591010539577</v>
      </c>
      <c r="D333" s="92">
        <v>3429.9187507212218</v>
      </c>
      <c r="E333" s="91">
        <v>0</v>
      </c>
      <c r="H333"/>
      <c r="I333"/>
    </row>
    <row r="334" spans="2:9" x14ac:dyDescent="0.5">
      <c r="B334" s="91">
        <v>324</v>
      </c>
      <c r="C334" s="92">
        <v>18.649732666755508</v>
      </c>
      <c r="D334" s="92">
        <v>-2746.7778878957415</v>
      </c>
      <c r="E334" s="91">
        <v>1</v>
      </c>
      <c r="H334"/>
      <c r="I334"/>
    </row>
    <row r="335" spans="2:9" x14ac:dyDescent="0.5">
      <c r="B335" s="91">
        <v>325</v>
      </c>
      <c r="C335" s="92">
        <v>43.029468909095471</v>
      </c>
      <c r="D335" s="92">
        <v>748.4321779337522</v>
      </c>
      <c r="E335" s="91">
        <v>0</v>
      </c>
      <c r="H335"/>
      <c r="I335"/>
    </row>
    <row r="336" spans="2:9" x14ac:dyDescent="0.5">
      <c r="B336" s="91">
        <v>326</v>
      </c>
      <c r="C336" s="92">
        <v>7.875594325709999</v>
      </c>
      <c r="D336" s="92">
        <v>-4765.2436364344585</v>
      </c>
      <c r="E336" s="91">
        <v>1</v>
      </c>
      <c r="H336"/>
      <c r="I336"/>
    </row>
    <row r="337" spans="2:9" x14ac:dyDescent="0.5">
      <c r="B337" s="91">
        <v>327</v>
      </c>
      <c r="C337" s="92">
        <v>71.985907081935053</v>
      </c>
      <c r="D337" s="92">
        <v>4326.6188186064628</v>
      </c>
      <c r="E337" s="91">
        <v>0</v>
      </c>
      <c r="H337"/>
      <c r="I337"/>
    </row>
    <row r="338" spans="2:9" x14ac:dyDescent="0.5">
      <c r="B338" s="91">
        <v>328</v>
      </c>
      <c r="C338" s="92">
        <v>15.815471345878214</v>
      </c>
      <c r="D338" s="92">
        <v>-3277.7585767926485</v>
      </c>
      <c r="E338" s="91">
        <v>1</v>
      </c>
      <c r="H338"/>
      <c r="I338"/>
    </row>
    <row r="339" spans="2:9" x14ac:dyDescent="0.5">
      <c r="B339" s="91">
        <v>329</v>
      </c>
      <c r="C339" s="92">
        <v>32.507078688432316</v>
      </c>
      <c r="D339" s="92">
        <v>-594.86208766548805</v>
      </c>
      <c r="E339" s="91">
        <v>1</v>
      </c>
      <c r="H339"/>
      <c r="I339"/>
    </row>
    <row r="340" spans="2:9" x14ac:dyDescent="0.5">
      <c r="B340" s="91">
        <v>330</v>
      </c>
      <c r="C340" s="92">
        <v>23.326558633964591</v>
      </c>
      <c r="D340" s="92">
        <v>-1870.6045246185131</v>
      </c>
      <c r="E340" s="91">
        <v>1</v>
      </c>
      <c r="H340"/>
      <c r="I340"/>
    </row>
    <row r="341" spans="2:9" x14ac:dyDescent="0.5">
      <c r="B341" s="91">
        <v>331</v>
      </c>
      <c r="C341" s="92">
        <v>72.041406194988227</v>
      </c>
      <c r="D341" s="92">
        <v>4333.4153100385611</v>
      </c>
      <c r="E341" s="91">
        <v>0</v>
      </c>
      <c r="H341"/>
      <c r="I341"/>
    </row>
    <row r="342" spans="2:9" x14ac:dyDescent="0.5">
      <c r="B342" s="91">
        <v>332</v>
      </c>
      <c r="C342" s="92">
        <v>73.728941415260522</v>
      </c>
      <c r="D342" s="92">
        <v>4540.07300301746</v>
      </c>
      <c r="E342" s="91">
        <v>0</v>
      </c>
      <c r="H342"/>
      <c r="I342"/>
    </row>
    <row r="343" spans="2:9" x14ac:dyDescent="0.5">
      <c r="B343" s="91">
        <v>333</v>
      </c>
      <c r="C343" s="92">
        <v>5.0342812622467354</v>
      </c>
      <c r="D343" s="92">
        <v>-5297.5454240983145</v>
      </c>
      <c r="E343" s="91">
        <v>1</v>
      </c>
      <c r="H343"/>
      <c r="I343"/>
    </row>
    <row r="344" spans="2:9" x14ac:dyDescent="0.5">
      <c r="B344" s="91">
        <v>334</v>
      </c>
      <c r="C344" s="92">
        <v>56.211693687429786</v>
      </c>
      <c r="D344" s="92">
        <v>2392.762770412492</v>
      </c>
      <c r="E344" s="91">
        <v>0</v>
      </c>
      <c r="H344"/>
      <c r="I344"/>
    </row>
    <row r="345" spans="2:9" x14ac:dyDescent="0.5">
      <c r="B345" s="91">
        <v>335</v>
      </c>
      <c r="C345" s="92">
        <v>15.822070820132035</v>
      </c>
      <c r="D345" s="92">
        <v>-3276.5222075983747</v>
      </c>
      <c r="E345" s="91">
        <v>1</v>
      </c>
      <c r="H345"/>
      <c r="I345"/>
    </row>
    <row r="346" spans="2:9" x14ac:dyDescent="0.5">
      <c r="B346" s="91">
        <v>336</v>
      </c>
      <c r="C346" s="92">
        <v>46.730009773045346</v>
      </c>
      <c r="D346" s="92">
        <v>1212.5707033731817</v>
      </c>
      <c r="E346" s="91">
        <v>0</v>
      </c>
      <c r="H346"/>
      <c r="I346"/>
    </row>
    <row r="347" spans="2:9" x14ac:dyDescent="0.5">
      <c r="B347" s="91">
        <v>337</v>
      </c>
      <c r="C347" s="92">
        <v>20.303380844565066</v>
      </c>
      <c r="D347" s="92">
        <v>-2436.9775028082277</v>
      </c>
      <c r="E347" s="91">
        <v>1</v>
      </c>
      <c r="H347"/>
      <c r="I347"/>
    </row>
    <row r="348" spans="2:9" x14ac:dyDescent="0.5">
      <c r="B348" s="91">
        <v>338</v>
      </c>
      <c r="C348" s="92">
        <v>16.032971279535307</v>
      </c>
      <c r="D348" s="92">
        <v>-3237.0113585465469</v>
      </c>
      <c r="E348" s="91">
        <v>1</v>
      </c>
      <c r="H348"/>
      <c r="I348"/>
    </row>
    <row r="349" spans="2:9" x14ac:dyDescent="0.5">
      <c r="B349" s="91">
        <v>339</v>
      </c>
      <c r="C349" s="92">
        <v>16.904178887642708</v>
      </c>
      <c r="D349" s="92">
        <v>-3073.7961982091406</v>
      </c>
      <c r="E349" s="91">
        <v>1</v>
      </c>
      <c r="H349"/>
      <c r="I349"/>
    </row>
    <row r="350" spans="2:9" x14ac:dyDescent="0.5">
      <c r="B350" s="91">
        <v>340</v>
      </c>
      <c r="C350" s="92">
        <v>57.577791506045969</v>
      </c>
      <c r="D350" s="92">
        <v>2562.1043502768493</v>
      </c>
      <c r="E350" s="91">
        <v>0</v>
      </c>
      <c r="H350"/>
      <c r="I350"/>
    </row>
    <row r="351" spans="2:9" x14ac:dyDescent="0.5">
      <c r="B351" s="91">
        <v>341</v>
      </c>
      <c r="C351" s="92">
        <v>19.913455876286417</v>
      </c>
      <c r="D351" s="92">
        <v>-2510.0274459273096</v>
      </c>
      <c r="E351" s="91">
        <v>1</v>
      </c>
      <c r="H351"/>
      <c r="I351"/>
    </row>
    <row r="352" spans="2:9" x14ac:dyDescent="0.5">
      <c r="B352" s="91">
        <v>342</v>
      </c>
      <c r="C352" s="92">
        <v>27.269333981616139</v>
      </c>
      <c r="D352" s="92">
        <v>-1286.1314324174673</v>
      </c>
      <c r="E352" s="91">
        <v>1</v>
      </c>
      <c r="H352"/>
      <c r="I352"/>
    </row>
    <row r="353" spans="2:9" x14ac:dyDescent="0.5">
      <c r="B353" s="91">
        <v>343</v>
      </c>
      <c r="C353" s="92">
        <v>13.518362517208562</v>
      </c>
      <c r="D353" s="92">
        <v>-3708.1071897923266</v>
      </c>
      <c r="E353" s="91">
        <v>1</v>
      </c>
      <c r="H353"/>
      <c r="I353"/>
    </row>
    <row r="354" spans="2:9" x14ac:dyDescent="0.5">
      <c r="B354" s="91">
        <v>344</v>
      </c>
      <c r="C354" s="92">
        <v>53.660463288289975</v>
      </c>
      <c r="D354" s="92">
        <v>2076.5120740853808</v>
      </c>
      <c r="E354" s="91">
        <v>0</v>
      </c>
      <c r="H354"/>
      <c r="I354"/>
    </row>
    <row r="355" spans="2:9" x14ac:dyDescent="0.5">
      <c r="B355" s="91">
        <v>345</v>
      </c>
      <c r="C355" s="92">
        <v>58.497043021792607</v>
      </c>
      <c r="D355" s="92">
        <v>2674.7555009773191</v>
      </c>
      <c r="E355" s="91">
        <v>0</v>
      </c>
      <c r="H355"/>
      <c r="I355"/>
    </row>
    <row r="356" spans="2:9" x14ac:dyDescent="0.5">
      <c r="B356" s="91">
        <v>346</v>
      </c>
      <c r="C356" s="92">
        <v>14.114462640668465</v>
      </c>
      <c r="D356" s="92">
        <v>-3596.4316530749497</v>
      </c>
      <c r="E356" s="91">
        <v>1</v>
      </c>
      <c r="H356"/>
      <c r="I356"/>
    </row>
    <row r="357" spans="2:9" x14ac:dyDescent="0.5">
      <c r="B357" s="91">
        <v>347</v>
      </c>
      <c r="C357" s="92">
        <v>19.693849253585284</v>
      </c>
      <c r="D357" s="92">
        <v>-2551.1693388604835</v>
      </c>
      <c r="E357" s="91">
        <v>1</v>
      </c>
      <c r="H357"/>
      <c r="I357"/>
    </row>
    <row r="358" spans="2:9" x14ac:dyDescent="0.5">
      <c r="B358" s="91">
        <v>348</v>
      </c>
      <c r="C358" s="92">
        <v>10.033445474713163</v>
      </c>
      <c r="D358" s="92">
        <v>-4360.9840569825437</v>
      </c>
      <c r="E358" s="91">
        <v>1</v>
      </c>
      <c r="H358"/>
      <c r="I358"/>
    </row>
    <row r="359" spans="2:9" x14ac:dyDescent="0.5">
      <c r="B359" s="91">
        <v>349</v>
      </c>
      <c r="C359" s="92">
        <v>42.350478760615211</v>
      </c>
      <c r="D359" s="92">
        <v>662.73797335628046</v>
      </c>
      <c r="E359" s="91">
        <v>0</v>
      </c>
      <c r="H359"/>
      <c r="I359"/>
    </row>
    <row r="360" spans="2:9" x14ac:dyDescent="0.5">
      <c r="B360" s="91">
        <v>350</v>
      </c>
      <c r="C360" s="92">
        <v>68.610022204297351</v>
      </c>
      <c r="D360" s="92">
        <v>3913.2036956543102</v>
      </c>
      <c r="E360" s="91">
        <v>0</v>
      </c>
      <c r="H360"/>
      <c r="I360"/>
    </row>
    <row r="361" spans="2:9" x14ac:dyDescent="0.5">
      <c r="B361" s="91">
        <v>351</v>
      </c>
      <c r="C361" s="92">
        <v>19.411403836652109</v>
      </c>
      <c r="D361" s="92">
        <v>-2604.0836770530304</v>
      </c>
      <c r="E361" s="91">
        <v>1</v>
      </c>
      <c r="H361"/>
      <c r="I361"/>
    </row>
    <row r="362" spans="2:9" x14ac:dyDescent="0.5">
      <c r="B362" s="91">
        <v>352</v>
      </c>
      <c r="C362" s="92">
        <v>23.250759204926091</v>
      </c>
      <c r="D362" s="92">
        <v>-1884.805061722268</v>
      </c>
      <c r="E362" s="91">
        <v>1</v>
      </c>
      <c r="H362"/>
      <c r="I362"/>
    </row>
    <row r="363" spans="2:9" x14ac:dyDescent="0.5">
      <c r="B363" s="91">
        <v>353</v>
      </c>
      <c r="C363" s="92">
        <v>27.893189666948857</v>
      </c>
      <c r="D363" s="92">
        <v>-1202.6671960221233</v>
      </c>
      <c r="E363" s="91">
        <v>1</v>
      </c>
      <c r="H363"/>
      <c r="I363"/>
    </row>
    <row r="364" spans="2:9" x14ac:dyDescent="0.5">
      <c r="B364" s="91">
        <v>354</v>
      </c>
      <c r="C364" s="92">
        <v>30.458101448437979</v>
      </c>
      <c r="D364" s="92">
        <v>-860.88987571028281</v>
      </c>
      <c r="E364" s="91">
        <v>1</v>
      </c>
      <c r="H364"/>
      <c r="I364"/>
    </row>
    <row r="365" spans="2:9" x14ac:dyDescent="0.5">
      <c r="B365" s="91">
        <v>355</v>
      </c>
      <c r="C365" s="92">
        <v>37.9829435638093</v>
      </c>
      <c r="D365" s="92">
        <v>111.45059546701633</v>
      </c>
      <c r="E365" s="91">
        <v>0</v>
      </c>
      <c r="H365"/>
      <c r="I365"/>
    </row>
    <row r="366" spans="2:9" x14ac:dyDescent="0.5">
      <c r="B366" s="91">
        <v>356</v>
      </c>
      <c r="C366" s="92">
        <v>11.305740778899898</v>
      </c>
      <c r="D366" s="92">
        <v>-4122.6276880333817</v>
      </c>
      <c r="E366" s="91">
        <v>1</v>
      </c>
      <c r="H366"/>
      <c r="I366"/>
    </row>
    <row r="367" spans="2:9" x14ac:dyDescent="0.5">
      <c r="B367" s="91">
        <v>357</v>
      </c>
      <c r="C367" s="92">
        <v>16.385915459213155</v>
      </c>
      <c r="D367" s="92">
        <v>-3170.8895290994669</v>
      </c>
      <c r="E367" s="91">
        <v>1</v>
      </c>
      <c r="H367"/>
      <c r="I367"/>
    </row>
    <row r="368" spans="2:9" x14ac:dyDescent="0.5">
      <c r="B368" s="91">
        <v>358</v>
      </c>
      <c r="C368" s="92">
        <v>31.761154784427774</v>
      </c>
      <c r="D368" s="92">
        <v>-691.53380895854377</v>
      </c>
      <c r="E368" s="91">
        <v>1</v>
      </c>
      <c r="H368"/>
      <c r="I368"/>
    </row>
    <row r="369" spans="2:9" x14ac:dyDescent="0.5">
      <c r="B369" s="91">
        <v>359</v>
      </c>
      <c r="C369" s="92">
        <v>47.508342839154565</v>
      </c>
      <c r="D369" s="92">
        <v>1310.1216997082333</v>
      </c>
      <c r="E369" s="91">
        <v>0</v>
      </c>
      <c r="H369"/>
      <c r="I369"/>
    </row>
    <row r="370" spans="2:9" x14ac:dyDescent="0.5">
      <c r="B370" s="91">
        <v>360</v>
      </c>
      <c r="C370" s="92">
        <v>31.621116898940731</v>
      </c>
      <c r="D370" s="92">
        <v>-709.68271578884412</v>
      </c>
      <c r="E370" s="91">
        <v>1</v>
      </c>
      <c r="H370"/>
      <c r="I370"/>
    </row>
    <row r="371" spans="2:9" x14ac:dyDescent="0.5">
      <c r="B371" s="91">
        <v>361</v>
      </c>
      <c r="C371" s="92">
        <v>34.815597894462407</v>
      </c>
      <c r="D371" s="92">
        <v>-295.67805014247404</v>
      </c>
      <c r="E371" s="91">
        <v>1</v>
      </c>
      <c r="H371"/>
      <c r="I371"/>
    </row>
    <row r="372" spans="2:9" x14ac:dyDescent="0.5">
      <c r="B372" s="91">
        <v>362</v>
      </c>
      <c r="C372" s="92">
        <v>27.851101198802322</v>
      </c>
      <c r="D372" s="92">
        <v>-1208.2981166620896</v>
      </c>
      <c r="E372" s="91">
        <v>1</v>
      </c>
      <c r="H372"/>
      <c r="I372"/>
    </row>
    <row r="373" spans="2:9" x14ac:dyDescent="0.5">
      <c r="B373" s="91">
        <v>363</v>
      </c>
      <c r="C373" s="92">
        <v>71.926721630925627</v>
      </c>
      <c r="D373" s="92">
        <v>4319.3708935755731</v>
      </c>
      <c r="E373" s="91">
        <v>0</v>
      </c>
      <c r="H373"/>
      <c r="I373"/>
    </row>
    <row r="374" spans="2:9" x14ac:dyDescent="0.5">
      <c r="B374" s="91">
        <v>364</v>
      </c>
      <c r="C374" s="92">
        <v>22.394049147366534</v>
      </c>
      <c r="D374" s="92">
        <v>-2045.3041989038309</v>
      </c>
      <c r="E374" s="91">
        <v>1</v>
      </c>
      <c r="H374"/>
      <c r="I374"/>
    </row>
    <row r="375" spans="2:9" x14ac:dyDescent="0.5">
      <c r="B375" s="91">
        <v>365</v>
      </c>
      <c r="C375" s="92">
        <v>14.171524340330336</v>
      </c>
      <c r="D375" s="92">
        <v>-3585.7415094481412</v>
      </c>
      <c r="E375" s="91">
        <v>1</v>
      </c>
      <c r="H375"/>
      <c r="I375"/>
    </row>
    <row r="376" spans="2:9" x14ac:dyDescent="0.5">
      <c r="B376" s="91">
        <v>366</v>
      </c>
      <c r="C376" s="92">
        <v>53.518997712025019</v>
      </c>
      <c r="D376" s="92">
        <v>2058.9759914896299</v>
      </c>
      <c r="E376" s="91">
        <v>0</v>
      </c>
      <c r="H376"/>
      <c r="I376"/>
    </row>
    <row r="377" spans="2:9" x14ac:dyDescent="0.5">
      <c r="B377" s="91">
        <v>367</v>
      </c>
      <c r="C377" s="92">
        <v>22.816302342022471</v>
      </c>
      <c r="D377" s="92">
        <v>-1966.1977698191868</v>
      </c>
      <c r="E377" s="91">
        <v>1</v>
      </c>
      <c r="H377"/>
      <c r="I377"/>
    </row>
    <row r="378" spans="2:9" x14ac:dyDescent="0.5">
      <c r="B378" s="91">
        <v>368</v>
      </c>
      <c r="C378" s="92">
        <v>69.326962781221468</v>
      </c>
      <c r="D378" s="92">
        <v>4001.0011435832444</v>
      </c>
      <c r="E378" s="91">
        <v>0</v>
      </c>
      <c r="H378"/>
      <c r="I378"/>
    </row>
    <row r="379" spans="2:9" x14ac:dyDescent="0.5">
      <c r="B379" s="91">
        <v>369</v>
      </c>
      <c r="C379" s="92">
        <v>28.028912634130588</v>
      </c>
      <c r="D379" s="92">
        <v>-1184.5091282454509</v>
      </c>
      <c r="E379" s="91">
        <v>1</v>
      </c>
      <c r="H379"/>
      <c r="I379"/>
    </row>
    <row r="380" spans="2:9" x14ac:dyDescent="0.5">
      <c r="B380" s="91">
        <v>370</v>
      </c>
      <c r="C380" s="92">
        <v>23.16850507780595</v>
      </c>
      <c r="D380" s="92">
        <v>-1900.2148451325525</v>
      </c>
      <c r="E380" s="91">
        <v>1</v>
      </c>
      <c r="H380"/>
      <c r="I380"/>
    </row>
    <row r="381" spans="2:9" x14ac:dyDescent="0.5">
      <c r="B381" s="91">
        <v>371</v>
      </c>
      <c r="C381" s="92">
        <v>57.887928944171925</v>
      </c>
      <c r="D381" s="92">
        <v>2600.1626222451346</v>
      </c>
      <c r="E381" s="91">
        <v>0</v>
      </c>
      <c r="H381"/>
      <c r="I381"/>
    </row>
    <row r="382" spans="2:9" x14ac:dyDescent="0.5">
      <c r="B382" s="91">
        <v>372</v>
      </c>
      <c r="C382" s="92">
        <v>31.263237310597805</v>
      </c>
      <c r="D382" s="92">
        <v>-756.06390244210093</v>
      </c>
      <c r="E382" s="91">
        <v>1</v>
      </c>
      <c r="H382"/>
      <c r="I382"/>
    </row>
    <row r="383" spans="2:9" x14ac:dyDescent="0.5">
      <c r="B383" s="91">
        <v>373</v>
      </c>
      <c r="C383" s="92">
        <v>34.51275136287839</v>
      </c>
      <c r="D383" s="92">
        <v>-334.92695386936225</v>
      </c>
      <c r="E383" s="91">
        <v>1</v>
      </c>
      <c r="H383"/>
      <c r="I383"/>
    </row>
    <row r="384" spans="2:9" x14ac:dyDescent="0.5">
      <c r="B384" s="91">
        <v>374</v>
      </c>
      <c r="C384" s="92">
        <v>26.276464434055601</v>
      </c>
      <c r="D384" s="92">
        <v>-1421.8854288300884</v>
      </c>
      <c r="E384" s="91">
        <v>1</v>
      </c>
      <c r="H384"/>
      <c r="I384"/>
    </row>
    <row r="385" spans="2:9" x14ac:dyDescent="0.5">
      <c r="B385" s="91">
        <v>375</v>
      </c>
      <c r="C385" s="92">
        <v>14.20164409695108</v>
      </c>
      <c r="D385" s="92">
        <v>-3580.098766133654</v>
      </c>
      <c r="E385" s="91">
        <v>1</v>
      </c>
      <c r="H385"/>
      <c r="I385"/>
    </row>
    <row r="386" spans="2:9" x14ac:dyDescent="0.5">
      <c r="B386" s="91">
        <v>376</v>
      </c>
      <c r="C386" s="92">
        <v>24.56971285302189</v>
      </c>
      <c r="D386" s="92">
        <v>-1658.2234542524229</v>
      </c>
      <c r="E386" s="91">
        <v>1</v>
      </c>
      <c r="H386"/>
      <c r="I386"/>
    </row>
    <row r="387" spans="2:9" x14ac:dyDescent="0.5">
      <c r="B387" s="91">
        <v>377</v>
      </c>
      <c r="C387" s="92">
        <v>118.15016849001226</v>
      </c>
      <c r="D387" s="92">
        <v>9979.9525363635821</v>
      </c>
      <c r="E387" s="91">
        <v>0</v>
      </c>
      <c r="H387"/>
      <c r="I387"/>
    </row>
    <row r="388" spans="2:9" x14ac:dyDescent="0.5">
      <c r="B388" s="91">
        <v>378</v>
      </c>
      <c r="C388" s="92">
        <v>8.9576391839795484</v>
      </c>
      <c r="D388" s="92">
        <v>-4562.5294688913327</v>
      </c>
      <c r="E388" s="91">
        <v>1</v>
      </c>
      <c r="H388"/>
      <c r="I388"/>
    </row>
    <row r="389" spans="2:9" x14ac:dyDescent="0.5">
      <c r="B389" s="91">
        <v>379</v>
      </c>
      <c r="C389" s="92">
        <v>65.160764583547888</v>
      </c>
      <c r="D389" s="92">
        <v>3490.8032539740748</v>
      </c>
      <c r="E389" s="91">
        <v>0</v>
      </c>
      <c r="H389"/>
      <c r="I389"/>
    </row>
    <row r="390" spans="2:9" x14ac:dyDescent="0.5">
      <c r="B390" s="91">
        <v>380</v>
      </c>
      <c r="C390" s="92">
        <v>18.867976731890415</v>
      </c>
      <c r="D390" s="92">
        <v>-2705.8912613876669</v>
      </c>
      <c r="E390" s="91">
        <v>1</v>
      </c>
      <c r="H390"/>
      <c r="I390"/>
    </row>
    <row r="391" spans="2:9" x14ac:dyDescent="0.5">
      <c r="B391" s="91">
        <v>381</v>
      </c>
      <c r="C391" s="92">
        <v>25.473934909788369</v>
      </c>
      <c r="D391" s="92">
        <v>-1531.6591786588524</v>
      </c>
      <c r="E391" s="91">
        <v>1</v>
      </c>
      <c r="H391"/>
      <c r="I391"/>
    </row>
    <row r="392" spans="2:9" x14ac:dyDescent="0.5">
      <c r="B392" s="91">
        <v>382</v>
      </c>
      <c r="C392" s="92">
        <v>38.897593312687441</v>
      </c>
      <c r="D392" s="92">
        <v>226.95510873066974</v>
      </c>
      <c r="E392" s="91">
        <v>0</v>
      </c>
      <c r="H392"/>
      <c r="I392"/>
    </row>
    <row r="393" spans="2:9" x14ac:dyDescent="0.5">
      <c r="B393" s="91">
        <v>383</v>
      </c>
      <c r="C393" s="92">
        <v>13.024933109285875</v>
      </c>
      <c r="D393" s="92">
        <v>-3800.5480261438888</v>
      </c>
      <c r="E393" s="91">
        <v>1</v>
      </c>
      <c r="H393"/>
      <c r="I393"/>
    </row>
    <row r="394" spans="2:9" x14ac:dyDescent="0.5">
      <c r="B394" s="91">
        <v>384</v>
      </c>
      <c r="C394" s="92">
        <v>29.629946011954306</v>
      </c>
      <c r="D394" s="92">
        <v>-970.47414826632155</v>
      </c>
      <c r="E394" s="91">
        <v>1</v>
      </c>
      <c r="H394"/>
      <c r="I394"/>
    </row>
    <row r="395" spans="2:9" x14ac:dyDescent="0.5">
      <c r="B395" s="91">
        <v>385</v>
      </c>
      <c r="C395" s="92">
        <v>59.133022055565512</v>
      </c>
      <c r="D395" s="92">
        <v>2752.6382961472177</v>
      </c>
      <c r="E395" s="91">
        <v>0</v>
      </c>
      <c r="H395"/>
      <c r="I395"/>
    </row>
    <row r="396" spans="2:9" x14ac:dyDescent="0.5">
      <c r="B396" s="91">
        <v>386</v>
      </c>
      <c r="C396" s="92">
        <v>39.012455995840298</v>
      </c>
      <c r="D396" s="92">
        <v>241.45173477222471</v>
      </c>
      <c r="E396" s="91">
        <v>0</v>
      </c>
      <c r="H396"/>
      <c r="I396"/>
    </row>
    <row r="397" spans="2:9" x14ac:dyDescent="0.5">
      <c r="B397" s="91">
        <v>387</v>
      </c>
      <c r="C397" s="92">
        <v>60.080128243225431</v>
      </c>
      <c r="D397" s="92">
        <v>2868.6221152678982</v>
      </c>
      <c r="E397" s="91">
        <v>0</v>
      </c>
      <c r="H397"/>
      <c r="I397"/>
    </row>
    <row r="398" spans="2:9" x14ac:dyDescent="0.5">
      <c r="B398" s="91">
        <v>388</v>
      </c>
      <c r="C398" s="92">
        <v>21.081644745496046</v>
      </c>
      <c r="D398" s="92">
        <v>-2291.1747501770715</v>
      </c>
      <c r="E398" s="91">
        <v>1</v>
      </c>
      <c r="H398"/>
      <c r="I398"/>
    </row>
    <row r="399" spans="2:9" x14ac:dyDescent="0.5">
      <c r="B399" s="91">
        <v>389</v>
      </c>
      <c r="C399" s="92">
        <v>23.789028845939967</v>
      </c>
      <c r="D399" s="92">
        <v>-1783.9636951578857</v>
      </c>
      <c r="E399" s="91">
        <v>1</v>
      </c>
      <c r="H399"/>
      <c r="I399"/>
    </row>
    <row r="400" spans="2:9" x14ac:dyDescent="0.5">
      <c r="B400" s="91">
        <v>390</v>
      </c>
      <c r="C400" s="92">
        <v>36.495188715142689</v>
      </c>
      <c r="D400" s="92">
        <v>-79.643485873034876</v>
      </c>
      <c r="E400" s="91">
        <v>1</v>
      </c>
      <c r="H400"/>
      <c r="I400"/>
    </row>
    <row r="401" spans="2:9" x14ac:dyDescent="0.5">
      <c r="B401" s="91">
        <v>391</v>
      </c>
      <c r="C401" s="92">
        <v>54.21186572723289</v>
      </c>
      <c r="D401" s="92">
        <v>2144.8639584667203</v>
      </c>
      <c r="E401" s="91">
        <v>0</v>
      </c>
      <c r="H401"/>
      <c r="I401"/>
    </row>
    <row r="402" spans="2:9" x14ac:dyDescent="0.5">
      <c r="B402" s="91">
        <v>392</v>
      </c>
      <c r="C402" s="92">
        <v>62.312560203228294</v>
      </c>
      <c r="D402" s="92">
        <v>3142.0085507297376</v>
      </c>
      <c r="E402" s="91">
        <v>0</v>
      </c>
      <c r="H402"/>
      <c r="I402"/>
    </row>
    <row r="403" spans="2:9" x14ac:dyDescent="0.5">
      <c r="B403" s="91">
        <v>393</v>
      </c>
      <c r="C403" s="92">
        <v>43.300108966579202</v>
      </c>
      <c r="D403" s="92">
        <v>782.58920437188181</v>
      </c>
      <c r="E403" s="91">
        <v>0</v>
      </c>
      <c r="H403"/>
      <c r="I403"/>
    </row>
    <row r="404" spans="2:9" x14ac:dyDescent="0.5">
      <c r="B404" s="91">
        <v>394</v>
      </c>
      <c r="C404" s="92">
        <v>21.744201846017209</v>
      </c>
      <c r="D404" s="92">
        <v>-2167.0489248423178</v>
      </c>
      <c r="E404" s="91">
        <v>1</v>
      </c>
      <c r="H404"/>
      <c r="I404"/>
    </row>
    <row r="405" spans="2:9" x14ac:dyDescent="0.5">
      <c r="B405" s="91">
        <v>395</v>
      </c>
      <c r="C405" s="92">
        <v>43.102112273386467</v>
      </c>
      <c r="D405" s="92">
        <v>757.60037475469562</v>
      </c>
      <c r="E405" s="91">
        <v>0</v>
      </c>
      <c r="H405"/>
      <c r="I405"/>
    </row>
    <row r="406" spans="2:9" x14ac:dyDescent="0.5">
      <c r="B406" s="91">
        <v>396</v>
      </c>
      <c r="C406" s="92">
        <v>21.576949861993278</v>
      </c>
      <c r="D406" s="92">
        <v>-2198.3825118486538</v>
      </c>
      <c r="E406" s="91">
        <v>1</v>
      </c>
      <c r="H406"/>
      <c r="I406"/>
    </row>
    <row r="407" spans="2:9" x14ac:dyDescent="0.5">
      <c r="B407" s="91">
        <v>397</v>
      </c>
      <c r="C407" s="92">
        <v>206.41169210883427</v>
      </c>
      <c r="D407" s="92">
        <v>20741.729137894188</v>
      </c>
      <c r="E407" s="91">
        <v>0</v>
      </c>
      <c r="H407"/>
      <c r="I407"/>
    </row>
    <row r="408" spans="2:9" x14ac:dyDescent="0.5">
      <c r="B408" s="91">
        <v>398</v>
      </c>
      <c r="C408" s="92">
        <v>29.845269936991581</v>
      </c>
      <c r="D408" s="92">
        <v>-941.98177274161367</v>
      </c>
      <c r="E408" s="91">
        <v>1</v>
      </c>
      <c r="H408"/>
      <c r="I408"/>
    </row>
    <row r="409" spans="2:9" x14ac:dyDescent="0.5">
      <c r="B409" s="91">
        <v>399</v>
      </c>
      <c r="C409" s="92">
        <v>31.961914102387354</v>
      </c>
      <c r="D409" s="92">
        <v>-665.51540583648148</v>
      </c>
      <c r="E409" s="91">
        <v>1</v>
      </c>
      <c r="H409"/>
      <c r="I409"/>
    </row>
    <row r="410" spans="2:9" x14ac:dyDescent="0.5">
      <c r="B410" s="91">
        <v>400</v>
      </c>
      <c r="C410" s="92">
        <v>24.093067993175193</v>
      </c>
      <c r="D410" s="92">
        <v>-1727.0039100239521</v>
      </c>
      <c r="E410" s="91">
        <v>1</v>
      </c>
      <c r="H410"/>
      <c r="I410"/>
    </row>
    <row r="411" spans="2:9" x14ac:dyDescent="0.5">
      <c r="B411" s="91">
        <v>401</v>
      </c>
      <c r="C411" s="92">
        <v>64.448370581956297</v>
      </c>
      <c r="D411" s="92">
        <v>3403.5625853987735</v>
      </c>
      <c r="E411" s="91">
        <v>0</v>
      </c>
      <c r="H411"/>
      <c r="I411"/>
    </row>
    <row r="412" spans="2:9" x14ac:dyDescent="0.5">
      <c r="B412" s="91">
        <v>402</v>
      </c>
      <c r="C412" s="92">
        <v>17.127722730154087</v>
      </c>
      <c r="D412" s="92">
        <v>-3031.9166923848106</v>
      </c>
      <c r="E412" s="91">
        <v>1</v>
      </c>
      <c r="H412"/>
      <c r="I412"/>
    </row>
    <row r="413" spans="2:9" x14ac:dyDescent="0.5">
      <c r="B413" s="91">
        <v>403</v>
      </c>
      <c r="C413" s="92">
        <v>26.461550519970974</v>
      </c>
      <c r="D413" s="92">
        <v>-1396.5684864900416</v>
      </c>
      <c r="E413" s="91">
        <v>1</v>
      </c>
      <c r="H413"/>
      <c r="I413"/>
    </row>
    <row r="414" spans="2:9" x14ac:dyDescent="0.5">
      <c r="B414" s="91">
        <v>404</v>
      </c>
      <c r="C414" s="92">
        <v>25.314022110359584</v>
      </c>
      <c r="D414" s="92">
        <v>-1553.9387039833416</v>
      </c>
      <c r="E414" s="91">
        <v>1</v>
      </c>
      <c r="H414"/>
      <c r="I414"/>
    </row>
    <row r="415" spans="2:9" x14ac:dyDescent="0.5">
      <c r="B415" s="91">
        <v>405</v>
      </c>
      <c r="C415" s="92">
        <v>56.62227907741687</v>
      </c>
      <c r="D415" s="92">
        <v>2443.6589636880708</v>
      </c>
      <c r="E415" s="91">
        <v>0</v>
      </c>
      <c r="H415"/>
      <c r="I415"/>
    </row>
    <row r="416" spans="2:9" x14ac:dyDescent="0.5">
      <c r="B416" s="91">
        <v>406</v>
      </c>
      <c r="C416" s="92">
        <v>58.753540849778084</v>
      </c>
      <c r="D416" s="92">
        <v>2706.166548728384</v>
      </c>
      <c r="E416" s="91">
        <v>0</v>
      </c>
      <c r="H416"/>
      <c r="I416"/>
    </row>
    <row r="417" spans="2:9" x14ac:dyDescent="0.5">
      <c r="B417" s="91">
        <v>407</v>
      </c>
      <c r="C417" s="92">
        <v>19.08175924601159</v>
      </c>
      <c r="D417" s="92">
        <v>-2665.8404778603958</v>
      </c>
      <c r="E417" s="91">
        <v>1</v>
      </c>
      <c r="H417"/>
      <c r="I417"/>
    </row>
    <row r="418" spans="2:9" x14ac:dyDescent="0.5">
      <c r="B418" s="91">
        <v>408</v>
      </c>
      <c r="C418" s="92">
        <v>46.30435909704957</v>
      </c>
      <c r="D418" s="92">
        <v>1159.2225297671923</v>
      </c>
      <c r="E418" s="91">
        <v>0</v>
      </c>
      <c r="H418"/>
      <c r="I418"/>
    </row>
    <row r="419" spans="2:9" x14ac:dyDescent="0.5">
      <c r="B419" s="91">
        <v>409</v>
      </c>
      <c r="C419" s="92">
        <v>29.70609866437616</v>
      </c>
      <c r="D419" s="92">
        <v>-960.39737686420949</v>
      </c>
      <c r="E419" s="91">
        <v>1</v>
      </c>
      <c r="H419"/>
      <c r="I419"/>
    </row>
    <row r="420" spans="2:9" x14ac:dyDescent="0.5">
      <c r="B420" s="91">
        <v>410</v>
      </c>
      <c r="C420" s="92">
        <v>21.731430964772663</v>
      </c>
      <c r="D420" s="92">
        <v>-2169.4414675733283</v>
      </c>
      <c r="E420" s="91">
        <v>1</v>
      </c>
      <c r="H420"/>
      <c r="I420"/>
    </row>
    <row r="421" spans="2:9" x14ac:dyDescent="0.5">
      <c r="B421" s="91">
        <v>411</v>
      </c>
      <c r="C421" s="92">
        <v>41.62067961591066</v>
      </c>
      <c r="D421" s="92">
        <v>570.6312508261326</v>
      </c>
      <c r="E421" s="91">
        <v>0</v>
      </c>
      <c r="H421"/>
      <c r="I421"/>
    </row>
    <row r="422" spans="2:9" x14ac:dyDescent="0.5">
      <c r="B422" s="91">
        <v>412</v>
      </c>
      <c r="C422" s="92">
        <v>87.644455931175628</v>
      </c>
      <c r="D422" s="92">
        <v>6244.1844739527887</v>
      </c>
      <c r="E422" s="91">
        <v>0</v>
      </c>
      <c r="H422"/>
      <c r="I422"/>
    </row>
    <row r="423" spans="2:9" x14ac:dyDescent="0.5">
      <c r="B423" s="91">
        <v>413</v>
      </c>
      <c r="C423" s="92">
        <v>31.675335070032144</v>
      </c>
      <c r="D423" s="92">
        <v>-702.65604202677582</v>
      </c>
      <c r="E423" s="91">
        <v>1</v>
      </c>
      <c r="H423"/>
      <c r="I423"/>
    </row>
    <row r="424" spans="2:9" x14ac:dyDescent="0.5">
      <c r="B424" s="91">
        <v>414</v>
      </c>
      <c r="C424" s="92">
        <v>42.206491700821992</v>
      </c>
      <c r="D424" s="92">
        <v>644.56560872618104</v>
      </c>
      <c r="E424" s="91">
        <v>0</v>
      </c>
      <c r="H424"/>
      <c r="I424"/>
    </row>
    <row r="425" spans="2:9" x14ac:dyDescent="0.5">
      <c r="B425" s="91">
        <v>415</v>
      </c>
      <c r="C425" s="92">
        <v>45.892464995674402</v>
      </c>
      <c r="D425" s="92">
        <v>1107.5985120770076</v>
      </c>
      <c r="E425" s="91">
        <v>0</v>
      </c>
      <c r="H425"/>
      <c r="I425"/>
    </row>
    <row r="426" spans="2:9" x14ac:dyDescent="0.5">
      <c r="B426" s="91">
        <v>416</v>
      </c>
      <c r="C426" s="92">
        <v>13.905246667717213</v>
      </c>
      <c r="D426" s="92">
        <v>-3635.6269243887141</v>
      </c>
      <c r="E426" s="91">
        <v>1</v>
      </c>
      <c r="H426"/>
      <c r="I426"/>
    </row>
    <row r="427" spans="2:9" x14ac:dyDescent="0.5">
      <c r="B427" s="91">
        <v>417</v>
      </c>
      <c r="C427" s="92">
        <v>26.322840251950275</v>
      </c>
      <c r="D427" s="92">
        <v>-1415.541927092476</v>
      </c>
      <c r="E427" s="91">
        <v>1</v>
      </c>
      <c r="H427"/>
      <c r="I427"/>
    </row>
    <row r="428" spans="2:9" x14ac:dyDescent="0.5">
      <c r="B428" s="91">
        <v>418</v>
      </c>
      <c r="C428" s="92">
        <v>54.085064405598644</v>
      </c>
      <c r="D428" s="92">
        <v>2129.1456578869111</v>
      </c>
      <c r="E428" s="91">
        <v>0</v>
      </c>
      <c r="H428"/>
      <c r="I428"/>
    </row>
    <row r="429" spans="2:9" x14ac:dyDescent="0.5">
      <c r="B429" s="91">
        <v>419</v>
      </c>
      <c r="C429" s="92">
        <v>70.988376282521671</v>
      </c>
      <c r="D429" s="92">
        <v>4204.4599378875755</v>
      </c>
      <c r="E429" s="91">
        <v>0</v>
      </c>
      <c r="H429"/>
      <c r="I429"/>
    </row>
    <row r="430" spans="2:9" x14ac:dyDescent="0.5">
      <c r="B430" s="91">
        <v>420</v>
      </c>
      <c r="C430" s="92">
        <v>31.627290538350035</v>
      </c>
      <c r="D430" s="92">
        <v>-708.88261225933377</v>
      </c>
      <c r="E430" s="91">
        <v>1</v>
      </c>
      <c r="H430"/>
      <c r="I430"/>
    </row>
    <row r="431" spans="2:9" x14ac:dyDescent="0.5">
      <c r="B431" s="91">
        <v>421</v>
      </c>
      <c r="C431" s="92">
        <v>47.83508661645287</v>
      </c>
      <c r="D431" s="92">
        <v>1351.0232595346363</v>
      </c>
      <c r="E431" s="91">
        <v>0</v>
      </c>
      <c r="H431"/>
      <c r="I431"/>
    </row>
    <row r="432" spans="2:9" x14ac:dyDescent="0.5">
      <c r="B432" s="91">
        <v>422</v>
      </c>
      <c r="C432" s="92">
        <v>24.217869299389616</v>
      </c>
      <c r="D432" s="92">
        <v>-1708.5645601700714</v>
      </c>
      <c r="E432" s="91">
        <v>1</v>
      </c>
      <c r="H432"/>
      <c r="I432"/>
    </row>
    <row r="433" spans="2:9" x14ac:dyDescent="0.5">
      <c r="B433" s="91">
        <v>423</v>
      </c>
      <c r="C433" s="92">
        <v>22.797278959564203</v>
      </c>
      <c r="D433" s="92">
        <v>-1969.7616785697439</v>
      </c>
      <c r="E433" s="91">
        <v>1</v>
      </c>
      <c r="H433"/>
      <c r="I433"/>
    </row>
    <row r="434" spans="2:9" x14ac:dyDescent="0.5">
      <c r="B434" s="91">
        <v>424</v>
      </c>
      <c r="C434" s="92">
        <v>79.702037827778227</v>
      </c>
      <c r="D434" s="92">
        <v>5271.5459285735069</v>
      </c>
      <c r="E434" s="91">
        <v>0</v>
      </c>
      <c r="H434"/>
      <c r="I434"/>
    </row>
    <row r="435" spans="2:9" x14ac:dyDescent="0.5">
      <c r="B435" s="91">
        <v>425</v>
      </c>
      <c r="C435" s="92">
        <v>40.402447236743676</v>
      </c>
      <c r="D435" s="92">
        <v>416.88019131975085</v>
      </c>
      <c r="E435" s="91">
        <v>0</v>
      </c>
      <c r="H435"/>
      <c r="I435"/>
    </row>
    <row r="436" spans="2:9" x14ac:dyDescent="0.5">
      <c r="B436" s="91">
        <v>426</v>
      </c>
      <c r="C436" s="92">
        <v>18.090853333147997</v>
      </c>
      <c r="D436" s="92">
        <v>-2851.4803482452012</v>
      </c>
      <c r="E436" s="91">
        <v>1</v>
      </c>
      <c r="H436"/>
      <c r="I436"/>
    </row>
    <row r="437" spans="2:9" x14ac:dyDescent="0.5">
      <c r="B437" s="91">
        <v>427</v>
      </c>
      <c r="C437" s="92">
        <v>48.159945318096575</v>
      </c>
      <c r="D437" s="92">
        <v>1391.496619035021</v>
      </c>
      <c r="E437" s="91">
        <v>0</v>
      </c>
      <c r="H437"/>
      <c r="I437"/>
    </row>
    <row r="438" spans="2:9" x14ac:dyDescent="0.5">
      <c r="B438" s="91">
        <v>428</v>
      </c>
      <c r="C438" s="92">
        <v>18.825254026814065</v>
      </c>
      <c r="D438" s="92">
        <v>-2713.8950863017203</v>
      </c>
      <c r="E438" s="91">
        <v>1</v>
      </c>
      <c r="H438"/>
      <c r="I438"/>
    </row>
    <row r="439" spans="2:9" x14ac:dyDescent="0.5">
      <c r="B439" s="91">
        <v>429</v>
      </c>
      <c r="C439" s="92">
        <v>44.390693215590552</v>
      </c>
      <c r="D439" s="92">
        <v>919.37660580830243</v>
      </c>
      <c r="E439" s="91">
        <v>0</v>
      </c>
      <c r="H439"/>
      <c r="I439"/>
    </row>
    <row r="440" spans="2:9" x14ac:dyDescent="0.5">
      <c r="B440" s="91">
        <v>430</v>
      </c>
      <c r="C440" s="92">
        <v>56.065059691921064</v>
      </c>
      <c r="D440" s="92">
        <v>2374.5860102106312</v>
      </c>
      <c r="E440" s="91">
        <v>0</v>
      </c>
      <c r="H440"/>
      <c r="I440"/>
    </row>
    <row r="441" spans="2:9" x14ac:dyDescent="0.5">
      <c r="B441" s="91">
        <v>431</v>
      </c>
      <c r="C441" s="92">
        <v>47.320654871263599</v>
      </c>
      <c r="D441" s="92">
        <v>1286.598160666792</v>
      </c>
      <c r="E441" s="91">
        <v>0</v>
      </c>
      <c r="H441"/>
      <c r="I441"/>
    </row>
    <row r="442" spans="2:9" x14ac:dyDescent="0.5">
      <c r="B442" s="91">
        <v>432</v>
      </c>
      <c r="C442" s="92">
        <v>59.470484666166314</v>
      </c>
      <c r="D442" s="92">
        <v>2793.964393366181</v>
      </c>
      <c r="E442" s="91">
        <v>0</v>
      </c>
      <c r="H442"/>
      <c r="I442"/>
    </row>
    <row r="443" spans="2:9" x14ac:dyDescent="0.5">
      <c r="B443" s="91">
        <v>433</v>
      </c>
      <c r="C443" s="92">
        <v>42.574517096532723</v>
      </c>
      <c r="D443" s="92">
        <v>691.01347489968703</v>
      </c>
      <c r="E443" s="91">
        <v>0</v>
      </c>
      <c r="H443"/>
      <c r="I443"/>
    </row>
    <row r="444" spans="2:9" x14ac:dyDescent="0.5">
      <c r="B444" s="91">
        <v>434</v>
      </c>
      <c r="C444" s="92">
        <v>33.833779645424045</v>
      </c>
      <c r="D444" s="92">
        <v>-422.92167328140346</v>
      </c>
      <c r="E444" s="91">
        <v>1</v>
      </c>
      <c r="H444"/>
      <c r="I444"/>
    </row>
    <row r="445" spans="2:9" x14ac:dyDescent="0.5">
      <c r="B445" s="91">
        <v>435</v>
      </c>
      <c r="C445" s="92">
        <v>19.65384183608435</v>
      </c>
      <c r="D445" s="92">
        <v>-2558.6644720541499</v>
      </c>
      <c r="E445" s="91">
        <v>1</v>
      </c>
      <c r="H445"/>
      <c r="I445"/>
    </row>
    <row r="446" spans="2:9" x14ac:dyDescent="0.5">
      <c r="B446" s="91">
        <v>436</v>
      </c>
      <c r="C446" s="92">
        <v>32.695732754502686</v>
      </c>
      <c r="D446" s="92">
        <v>-570.41252491780415</v>
      </c>
      <c r="E446" s="91">
        <v>1</v>
      </c>
      <c r="H446"/>
      <c r="I446"/>
    </row>
    <row r="447" spans="2:9" x14ac:dyDescent="0.5">
      <c r="B447" s="91">
        <v>437</v>
      </c>
      <c r="C447" s="92">
        <v>45.820077748653503</v>
      </c>
      <c r="D447" s="92">
        <v>1098.5259846767021</v>
      </c>
      <c r="E447" s="91">
        <v>0</v>
      </c>
      <c r="H447"/>
      <c r="I447"/>
    </row>
    <row r="448" spans="2:9" x14ac:dyDescent="0.5">
      <c r="B448" s="91">
        <v>438</v>
      </c>
      <c r="C448" s="92">
        <v>33.04041563164229</v>
      </c>
      <c r="D448" s="92">
        <v>-525.74163174164755</v>
      </c>
      <c r="E448" s="91">
        <v>1</v>
      </c>
      <c r="H448"/>
      <c r="I448"/>
    </row>
    <row r="449" spans="2:9" x14ac:dyDescent="0.5">
      <c r="B449" s="91">
        <v>439</v>
      </c>
      <c r="C449" s="92">
        <v>25.550217465029981</v>
      </c>
      <c r="D449" s="92">
        <v>-1521.2248932124232</v>
      </c>
      <c r="E449" s="91">
        <v>1</v>
      </c>
      <c r="H449"/>
      <c r="I449"/>
    </row>
    <row r="450" spans="2:9" x14ac:dyDescent="0.5">
      <c r="B450" s="91">
        <v>440</v>
      </c>
      <c r="C450" s="92">
        <v>10.078555571824811</v>
      </c>
      <c r="D450" s="92">
        <v>-4352.5329694755055</v>
      </c>
      <c r="E450" s="91">
        <v>1</v>
      </c>
      <c r="H450"/>
      <c r="I450"/>
    </row>
    <row r="451" spans="2:9" x14ac:dyDescent="0.5">
      <c r="B451" s="91">
        <v>441</v>
      </c>
      <c r="C451" s="92">
        <v>11.346996229369932</v>
      </c>
      <c r="D451" s="92">
        <v>-4114.8987438637059</v>
      </c>
      <c r="E451" s="91">
        <v>1</v>
      </c>
      <c r="H451"/>
      <c r="I451"/>
    </row>
    <row r="452" spans="2:9" x14ac:dyDescent="0.5">
      <c r="B452" s="91">
        <v>442</v>
      </c>
      <c r="C452" s="92">
        <v>19.009855252525909</v>
      </c>
      <c r="D452" s="92">
        <v>-2679.3112300857574</v>
      </c>
      <c r="E452" s="91">
        <v>1</v>
      </c>
      <c r="H452"/>
      <c r="I452"/>
    </row>
    <row r="453" spans="2:9" x14ac:dyDescent="0.5">
      <c r="B453" s="91">
        <v>443</v>
      </c>
      <c r="C453" s="92">
        <v>29.78113909756194</v>
      </c>
      <c r="D453" s="92">
        <v>-950.46777799824179</v>
      </c>
      <c r="E453" s="91">
        <v>1</v>
      </c>
      <c r="H453"/>
      <c r="I453"/>
    </row>
    <row r="454" spans="2:9" x14ac:dyDescent="0.5">
      <c r="B454" s="91">
        <v>444</v>
      </c>
      <c r="C454" s="92">
        <v>110.26660025428444</v>
      </c>
      <c r="D454" s="92">
        <v>9014.5208200558427</v>
      </c>
      <c r="E454" s="91">
        <v>0</v>
      </c>
      <c r="H454"/>
      <c r="I454"/>
    </row>
    <row r="455" spans="2:9" x14ac:dyDescent="0.5">
      <c r="B455" s="91">
        <v>445</v>
      </c>
      <c r="C455" s="92">
        <v>14.948685242066993</v>
      </c>
      <c r="D455" s="92">
        <v>-3440.1453966450563</v>
      </c>
      <c r="E455" s="91">
        <v>1</v>
      </c>
      <c r="H455"/>
      <c r="I455"/>
    </row>
    <row r="456" spans="2:9" x14ac:dyDescent="0.5">
      <c r="B456" s="91">
        <v>446</v>
      </c>
      <c r="C456" s="92">
        <v>62.197349658599599</v>
      </c>
      <c r="D456" s="92">
        <v>3127.8997220227634</v>
      </c>
      <c r="E456" s="91">
        <v>0</v>
      </c>
      <c r="H456"/>
      <c r="I456"/>
    </row>
    <row r="457" spans="2:9" x14ac:dyDescent="0.5">
      <c r="B457" s="91">
        <v>447</v>
      </c>
      <c r="C457" s="92">
        <v>77.167469084711598</v>
      </c>
      <c r="D457" s="92">
        <v>4961.1594413190051</v>
      </c>
      <c r="E457" s="91">
        <v>0</v>
      </c>
      <c r="H457"/>
      <c r="I457"/>
    </row>
    <row r="458" spans="2:9" x14ac:dyDescent="0.5">
      <c r="B458" s="91">
        <v>448</v>
      </c>
      <c r="C458" s="92">
        <v>25.079100980654196</v>
      </c>
      <c r="D458" s="92">
        <v>-1586.8087929733467</v>
      </c>
      <c r="E458" s="91">
        <v>1</v>
      </c>
      <c r="H458"/>
      <c r="I458"/>
    </row>
    <row r="459" spans="2:9" x14ac:dyDescent="0.5">
      <c r="B459" s="91">
        <v>449</v>
      </c>
      <c r="C459" s="92">
        <v>56.280569402268007</v>
      </c>
      <c r="D459" s="92">
        <v>2401.3006087766621</v>
      </c>
      <c r="E459" s="91">
        <v>0</v>
      </c>
      <c r="H459"/>
      <c r="I459"/>
    </row>
    <row r="460" spans="2:9" x14ac:dyDescent="0.5">
      <c r="B460" s="91">
        <v>450</v>
      </c>
      <c r="C460" s="92">
        <v>111.41735057683732</v>
      </c>
      <c r="D460" s="92">
        <v>9155.4431569627632</v>
      </c>
      <c r="E460" s="91">
        <v>0</v>
      </c>
      <c r="H460"/>
      <c r="I460"/>
    </row>
    <row r="461" spans="2:9" x14ac:dyDescent="0.5">
      <c r="B461" s="91">
        <v>451</v>
      </c>
      <c r="C461" s="92">
        <v>18.207035516870899</v>
      </c>
      <c r="D461" s="92">
        <v>-2829.7143609326267</v>
      </c>
      <c r="E461" s="91">
        <v>1</v>
      </c>
      <c r="H461"/>
      <c r="I461"/>
    </row>
    <row r="462" spans="2:9" x14ac:dyDescent="0.5">
      <c r="B462" s="91">
        <v>452</v>
      </c>
      <c r="C462" s="92">
        <v>10.962628726795087</v>
      </c>
      <c r="D462" s="92">
        <v>-4186.9075314103666</v>
      </c>
      <c r="E462" s="91">
        <v>1</v>
      </c>
      <c r="H462"/>
      <c r="I462"/>
    </row>
    <row r="463" spans="2:9" x14ac:dyDescent="0.5">
      <c r="B463" s="91">
        <v>453</v>
      </c>
      <c r="C463" s="92">
        <v>14.393933977834353</v>
      </c>
      <c r="D463" s="92">
        <v>-3544.0744896609035</v>
      </c>
      <c r="E463" s="91">
        <v>1</v>
      </c>
      <c r="H463"/>
      <c r="I463"/>
    </row>
    <row r="464" spans="2:9" x14ac:dyDescent="0.5">
      <c r="B464" s="91">
        <v>454</v>
      </c>
      <c r="C464" s="92">
        <v>26.182918098699904</v>
      </c>
      <c r="D464" s="92">
        <v>-1434.6811350367977</v>
      </c>
      <c r="E464" s="91">
        <v>1</v>
      </c>
      <c r="H464"/>
      <c r="I464"/>
    </row>
    <row r="465" spans="2:9" x14ac:dyDescent="0.5">
      <c r="B465" s="91">
        <v>455</v>
      </c>
      <c r="C465" s="92">
        <v>13.755188465906089</v>
      </c>
      <c r="D465" s="92">
        <v>-3663.7393665214809</v>
      </c>
      <c r="E465" s="91">
        <v>1</v>
      </c>
      <c r="H465"/>
      <c r="I465"/>
    </row>
    <row r="466" spans="2:9" x14ac:dyDescent="0.5">
      <c r="B466" s="91">
        <v>456</v>
      </c>
      <c r="C466" s="92">
        <v>6.1245297159792988</v>
      </c>
      <c r="D466" s="92">
        <v>-5093.2943655358968</v>
      </c>
      <c r="E466" s="91">
        <v>1</v>
      </c>
      <c r="H466"/>
      <c r="I466"/>
    </row>
    <row r="467" spans="2:9" x14ac:dyDescent="0.5">
      <c r="B467" s="91">
        <v>457</v>
      </c>
      <c r="C467" s="92">
        <v>13.041359215771827</v>
      </c>
      <c r="D467" s="92">
        <v>-3797.4707003964154</v>
      </c>
      <c r="E467" s="91">
        <v>1</v>
      </c>
      <c r="H467"/>
      <c r="I467"/>
    </row>
    <row r="468" spans="2:9" x14ac:dyDescent="0.5">
      <c r="B468" s="91">
        <v>458</v>
      </c>
      <c r="C468" s="92">
        <v>41.603812965210999</v>
      </c>
      <c r="D468" s="92">
        <v>568.50253921105377</v>
      </c>
      <c r="E468" s="91">
        <v>0</v>
      </c>
      <c r="H468"/>
      <c r="I468"/>
    </row>
    <row r="469" spans="2:9" x14ac:dyDescent="0.5">
      <c r="B469" s="91">
        <v>459</v>
      </c>
      <c r="C469" s="92">
        <v>12.437077656804911</v>
      </c>
      <c r="D469" s="92">
        <v>-3910.6789766073866</v>
      </c>
      <c r="E469" s="91">
        <v>1</v>
      </c>
      <c r="H469"/>
      <c r="I469"/>
    </row>
    <row r="470" spans="2:9" x14ac:dyDescent="0.5">
      <c r="B470" s="91">
        <v>460</v>
      </c>
      <c r="C470" s="92">
        <v>63.578923372498302</v>
      </c>
      <c r="D470" s="92">
        <v>3297.0889827651417</v>
      </c>
      <c r="E470" s="91">
        <v>0</v>
      </c>
      <c r="H470"/>
      <c r="I470"/>
    </row>
    <row r="471" spans="2:9" x14ac:dyDescent="0.5">
      <c r="B471" s="91">
        <v>461</v>
      </c>
      <c r="C471" s="92">
        <v>63.366885758513405</v>
      </c>
      <c r="D471" s="92">
        <v>3271.1225889355669</v>
      </c>
      <c r="E471" s="91">
        <v>0</v>
      </c>
      <c r="H471"/>
      <c r="I471"/>
    </row>
    <row r="472" spans="2:9" x14ac:dyDescent="0.5">
      <c r="B472" s="91">
        <v>462</v>
      </c>
      <c r="C472" s="92">
        <v>60.14093105611699</v>
      </c>
      <c r="D472" s="92">
        <v>2876.0681044762132</v>
      </c>
      <c r="E472" s="91">
        <v>0</v>
      </c>
      <c r="H472"/>
      <c r="I472"/>
    </row>
    <row r="473" spans="2:9" x14ac:dyDescent="0.5">
      <c r="B473" s="91">
        <v>463</v>
      </c>
      <c r="C473" s="92">
        <v>58.225493206446679</v>
      </c>
      <c r="D473" s="92">
        <v>2641.5011678563901</v>
      </c>
      <c r="E473" s="91">
        <v>0</v>
      </c>
      <c r="H473"/>
      <c r="I473"/>
    </row>
    <row r="474" spans="2:9" x14ac:dyDescent="0.5">
      <c r="B474" s="91">
        <v>464</v>
      </c>
      <c r="C474" s="92">
        <v>21.640232468617132</v>
      </c>
      <c r="D474" s="92">
        <v>-2186.5269211828195</v>
      </c>
      <c r="E474" s="91">
        <v>1</v>
      </c>
      <c r="H474"/>
      <c r="I474"/>
    </row>
    <row r="475" spans="2:9" x14ac:dyDescent="0.5">
      <c r="B475" s="91">
        <v>465</v>
      </c>
      <c r="C475" s="92">
        <v>65.206827731520022</v>
      </c>
      <c r="D475" s="92">
        <v>3496.444205212847</v>
      </c>
      <c r="E475" s="91">
        <v>0</v>
      </c>
      <c r="H475"/>
      <c r="I475"/>
    </row>
    <row r="476" spans="2:9" x14ac:dyDescent="0.5">
      <c r="B476" s="91">
        <v>466</v>
      </c>
      <c r="C476" s="92">
        <v>7.3016653160722917</v>
      </c>
      <c r="D476" s="92">
        <v>-4872.7655571093755</v>
      </c>
      <c r="E476" s="91">
        <v>1</v>
      </c>
      <c r="H476"/>
      <c r="I476"/>
    </row>
    <row r="477" spans="2:9" x14ac:dyDescent="0.5">
      <c r="B477" s="91">
        <v>467</v>
      </c>
      <c r="C477" s="92">
        <v>29.6449519969763</v>
      </c>
      <c r="D477" s="92">
        <v>-968.48850658581273</v>
      </c>
      <c r="E477" s="91">
        <v>1</v>
      </c>
      <c r="H477"/>
      <c r="I477"/>
    </row>
    <row r="478" spans="2:9" x14ac:dyDescent="0.5">
      <c r="B478" s="91">
        <v>468</v>
      </c>
      <c r="C478" s="92">
        <v>15.382523503452381</v>
      </c>
      <c r="D478" s="92">
        <v>-3358.8685795769156</v>
      </c>
      <c r="E478" s="91">
        <v>1</v>
      </c>
      <c r="H478"/>
      <c r="I478"/>
    </row>
    <row r="479" spans="2:9" x14ac:dyDescent="0.5">
      <c r="B479" s="91">
        <v>469</v>
      </c>
      <c r="C479" s="92">
        <v>13.345423259494892</v>
      </c>
      <c r="D479" s="92">
        <v>-3740.5062510650891</v>
      </c>
      <c r="E479" s="91">
        <v>1</v>
      </c>
      <c r="H479"/>
      <c r="I479"/>
    </row>
    <row r="480" spans="2:9" x14ac:dyDescent="0.5">
      <c r="B480" s="91">
        <v>470</v>
      </c>
      <c r="C480" s="92">
        <v>23.71999406662432</v>
      </c>
      <c r="D480" s="92">
        <v>-1796.8969185021333</v>
      </c>
      <c r="E480" s="91">
        <v>1</v>
      </c>
      <c r="H480"/>
      <c r="I480"/>
    </row>
    <row r="481" spans="2:9" x14ac:dyDescent="0.5">
      <c r="B481" s="91">
        <v>471</v>
      </c>
      <c r="C481" s="92">
        <v>72.713117148753383</v>
      </c>
      <c r="D481" s="92">
        <v>4415.6738812293688</v>
      </c>
      <c r="E481" s="91">
        <v>0</v>
      </c>
      <c r="H481"/>
      <c r="I481"/>
    </row>
    <row r="482" spans="2:9" x14ac:dyDescent="0.5">
      <c r="B482" s="91">
        <v>472</v>
      </c>
      <c r="C482" s="92">
        <v>22.705815737949795</v>
      </c>
      <c r="D482" s="92">
        <v>-1986.8967267968835</v>
      </c>
      <c r="E482" s="91">
        <v>1</v>
      </c>
      <c r="H482"/>
      <c r="I482"/>
    </row>
    <row r="483" spans="2:9" x14ac:dyDescent="0.5">
      <c r="B483" s="91">
        <v>473</v>
      </c>
      <c r="C483" s="92">
        <v>19.515755700934168</v>
      </c>
      <c r="D483" s="92">
        <v>-2584.5340242471916</v>
      </c>
      <c r="E483" s="91">
        <v>1</v>
      </c>
      <c r="H483"/>
      <c r="I483"/>
    </row>
    <row r="484" spans="2:9" x14ac:dyDescent="0.5">
      <c r="B484" s="91">
        <v>474</v>
      </c>
      <c r="C484" s="92">
        <v>33.728594842318437</v>
      </c>
      <c r="D484" s="92">
        <v>-436.55362141378083</v>
      </c>
      <c r="E484" s="91">
        <v>1</v>
      </c>
      <c r="H484"/>
      <c r="I484"/>
    </row>
    <row r="485" spans="2:9" x14ac:dyDescent="0.5">
      <c r="B485" s="91">
        <v>475</v>
      </c>
      <c r="C485" s="92">
        <v>36.941438138843658</v>
      </c>
      <c r="D485" s="92">
        <v>-22.325155674285121</v>
      </c>
      <c r="E485" s="91">
        <v>1</v>
      </c>
      <c r="H485"/>
      <c r="I485"/>
    </row>
    <row r="486" spans="2:9" x14ac:dyDescent="0.5">
      <c r="B486" s="91">
        <v>476</v>
      </c>
      <c r="C486" s="92">
        <v>39.270509563136848</v>
      </c>
      <c r="D486" s="92">
        <v>274.0202414543208</v>
      </c>
      <c r="E486" s="91">
        <v>0</v>
      </c>
      <c r="H486"/>
      <c r="I486"/>
    </row>
    <row r="487" spans="2:9" x14ac:dyDescent="0.5">
      <c r="B487" s="91">
        <v>477</v>
      </c>
      <c r="C487" s="92">
        <v>14.789000951396989</v>
      </c>
      <c r="D487" s="92">
        <v>-3470.0612248156658</v>
      </c>
      <c r="E487" s="91">
        <v>1</v>
      </c>
      <c r="H487"/>
      <c r="I487"/>
    </row>
    <row r="488" spans="2:9" x14ac:dyDescent="0.5">
      <c r="B488" s="91">
        <v>478</v>
      </c>
      <c r="C488" s="92">
        <v>85.442551169189102</v>
      </c>
      <c r="D488" s="92">
        <v>5974.536437689605</v>
      </c>
      <c r="E488" s="91">
        <v>0</v>
      </c>
      <c r="H488"/>
      <c r="I488"/>
    </row>
    <row r="489" spans="2:9" x14ac:dyDescent="0.5">
      <c r="B489" s="91">
        <v>479</v>
      </c>
      <c r="C489" s="92">
        <v>43.153109423930715</v>
      </c>
      <c r="D489" s="92">
        <v>764.03663934761857</v>
      </c>
      <c r="E489" s="91">
        <v>0</v>
      </c>
      <c r="H489"/>
      <c r="I489"/>
    </row>
    <row r="490" spans="2:9" x14ac:dyDescent="0.5">
      <c r="B490" s="91">
        <v>480</v>
      </c>
      <c r="C490" s="92">
        <v>26.010245509159986</v>
      </c>
      <c r="D490" s="92">
        <v>-1458.3001011598785</v>
      </c>
      <c r="E490" s="91">
        <v>1</v>
      </c>
      <c r="H490"/>
      <c r="I490"/>
    </row>
    <row r="491" spans="2:9" x14ac:dyDescent="0.5">
      <c r="B491" s="91">
        <v>481</v>
      </c>
      <c r="C491" s="92">
        <v>56.944931009277028</v>
      </c>
      <c r="D491" s="92">
        <v>2483.6549194263162</v>
      </c>
      <c r="E491" s="91">
        <v>0</v>
      </c>
      <c r="H491"/>
      <c r="I491"/>
    </row>
    <row r="492" spans="2:9" x14ac:dyDescent="0.5">
      <c r="B492" s="91">
        <v>482</v>
      </c>
      <c r="C492" s="92">
        <v>31.057105102350551</v>
      </c>
      <c r="D492" s="92">
        <v>-782.77863202540163</v>
      </c>
      <c r="E492" s="91">
        <v>1</v>
      </c>
      <c r="H492"/>
      <c r="I492"/>
    </row>
    <row r="493" spans="2:9" x14ac:dyDescent="0.5">
      <c r="B493" s="91">
        <v>483</v>
      </c>
      <c r="C493" s="92">
        <v>17.06811524695101</v>
      </c>
      <c r="D493" s="92">
        <v>-3043.0837722378369</v>
      </c>
      <c r="E493" s="91">
        <v>1</v>
      </c>
      <c r="H493"/>
      <c r="I493"/>
    </row>
    <row r="494" spans="2:9" x14ac:dyDescent="0.5">
      <c r="B494" s="91">
        <v>484</v>
      </c>
      <c r="C494" s="92">
        <v>129.70897993772058</v>
      </c>
      <c r="D494" s="92">
        <v>11395.459175078984</v>
      </c>
      <c r="E494" s="91">
        <v>0</v>
      </c>
      <c r="H494"/>
      <c r="I494"/>
    </row>
    <row r="495" spans="2:9" x14ac:dyDescent="0.5">
      <c r="B495" s="91">
        <v>485</v>
      </c>
      <c r="C495" s="92">
        <v>39.539001422407416</v>
      </c>
      <c r="D495" s="92">
        <v>307.90614740923905</v>
      </c>
      <c r="E495" s="91">
        <v>0</v>
      </c>
      <c r="H495"/>
      <c r="I495"/>
    </row>
    <row r="496" spans="2:9" x14ac:dyDescent="0.5">
      <c r="B496" s="91">
        <v>486</v>
      </c>
      <c r="C496" s="92">
        <v>15.061644621974184</v>
      </c>
      <c r="D496" s="92">
        <v>-3418.9831809669613</v>
      </c>
      <c r="E496" s="91">
        <v>1</v>
      </c>
      <c r="H496"/>
      <c r="I496"/>
    </row>
    <row r="497" spans="2:9" x14ac:dyDescent="0.5">
      <c r="B497" s="91">
        <v>487</v>
      </c>
      <c r="C497" s="92">
        <v>33.514120032083781</v>
      </c>
      <c r="D497" s="92">
        <v>-464.34955202825228</v>
      </c>
      <c r="E497" s="91">
        <v>1</v>
      </c>
      <c r="H497"/>
      <c r="I497"/>
    </row>
    <row r="498" spans="2:9" x14ac:dyDescent="0.5">
      <c r="B498" s="91">
        <v>488</v>
      </c>
      <c r="C498" s="92">
        <v>20.485479591507417</v>
      </c>
      <c r="D498" s="92">
        <v>-2402.8624699471129</v>
      </c>
      <c r="E498" s="91">
        <v>1</v>
      </c>
      <c r="H498"/>
      <c r="I498"/>
    </row>
    <row r="499" spans="2:9" x14ac:dyDescent="0.5">
      <c r="B499" s="91">
        <v>489</v>
      </c>
      <c r="C499" s="92">
        <v>32.391240278354964</v>
      </c>
      <c r="D499" s="92">
        <v>-609.87474302337318</v>
      </c>
      <c r="E499" s="91">
        <v>1</v>
      </c>
      <c r="H499"/>
      <c r="I499"/>
    </row>
    <row r="500" spans="2:9" x14ac:dyDescent="0.5">
      <c r="B500" s="91">
        <v>490</v>
      </c>
      <c r="C500" s="92">
        <v>36.295824934952201</v>
      </c>
      <c r="D500" s="92">
        <v>-105.25068753137674</v>
      </c>
      <c r="E500" s="91">
        <v>1</v>
      </c>
      <c r="H500"/>
      <c r="I500"/>
    </row>
    <row r="501" spans="2:9" x14ac:dyDescent="0.5">
      <c r="B501" s="91">
        <v>491</v>
      </c>
      <c r="C501" s="92">
        <v>75.345902579181697</v>
      </c>
      <c r="D501" s="92">
        <v>4738.0881079813171</v>
      </c>
      <c r="E501" s="91">
        <v>0</v>
      </c>
      <c r="H501"/>
      <c r="I501"/>
    </row>
    <row r="502" spans="2:9" x14ac:dyDescent="0.5">
      <c r="B502" s="91">
        <v>492</v>
      </c>
      <c r="C502" s="92">
        <v>33.264269818841008</v>
      </c>
      <c r="D502" s="92">
        <v>-496.7301340821943</v>
      </c>
      <c r="E502" s="91">
        <v>1</v>
      </c>
      <c r="H502"/>
      <c r="I502"/>
    </row>
    <row r="503" spans="2:9" x14ac:dyDescent="0.5">
      <c r="B503" s="91">
        <v>493</v>
      </c>
      <c r="C503" s="92">
        <v>153.52609696463381</v>
      </c>
      <c r="D503" s="92">
        <v>14299.71023220867</v>
      </c>
      <c r="E503" s="91">
        <v>0</v>
      </c>
      <c r="H503"/>
      <c r="I503"/>
    </row>
    <row r="504" spans="2:9" x14ac:dyDescent="0.5">
      <c r="B504" s="91">
        <v>494</v>
      </c>
      <c r="C504" s="92">
        <v>48.385965269296619</v>
      </c>
      <c r="D504" s="92">
        <v>1419.6558978011212</v>
      </c>
      <c r="E504" s="91">
        <v>0</v>
      </c>
      <c r="H504"/>
      <c r="I504"/>
    </row>
    <row r="505" spans="2:9" x14ac:dyDescent="0.5">
      <c r="B505" s="91">
        <v>495</v>
      </c>
      <c r="C505" s="92">
        <v>15.190118291074763</v>
      </c>
      <c r="D505" s="92">
        <v>-3394.9144626657776</v>
      </c>
      <c r="E505" s="91">
        <v>1</v>
      </c>
      <c r="H505"/>
      <c r="I505"/>
    </row>
    <row r="506" spans="2:9" x14ac:dyDescent="0.5">
      <c r="B506" s="91">
        <v>496</v>
      </c>
      <c r="C506" s="92">
        <v>61.072718007373588</v>
      </c>
      <c r="D506" s="92">
        <v>2990.175910571932</v>
      </c>
      <c r="E506" s="91">
        <v>0</v>
      </c>
      <c r="H506"/>
      <c r="I506"/>
    </row>
    <row r="507" spans="2:9" x14ac:dyDescent="0.5">
      <c r="B507" s="91">
        <v>497</v>
      </c>
      <c r="C507" s="92">
        <v>46.112022102721248</v>
      </c>
      <c r="D507" s="92">
        <v>1135.1163132311158</v>
      </c>
      <c r="E507" s="91">
        <v>0</v>
      </c>
      <c r="H507"/>
      <c r="I507"/>
    </row>
    <row r="508" spans="2:9" x14ac:dyDescent="0.5">
      <c r="B508" s="91">
        <v>498</v>
      </c>
      <c r="C508" s="92">
        <v>88.993061345368204</v>
      </c>
      <c r="D508" s="92">
        <v>6409.3363951025722</v>
      </c>
      <c r="E508" s="91">
        <v>0</v>
      </c>
      <c r="H508"/>
      <c r="I508"/>
    </row>
    <row r="509" spans="2:9" x14ac:dyDescent="0.5">
      <c r="B509" s="91">
        <v>499</v>
      </c>
      <c r="C509" s="92">
        <v>6.701650115293921</v>
      </c>
      <c r="D509" s="92">
        <v>-4985.1745584640203</v>
      </c>
      <c r="E509" s="91">
        <v>1</v>
      </c>
      <c r="H509"/>
      <c r="I509"/>
    </row>
    <row r="510" spans="2:9" x14ac:dyDescent="0.5">
      <c r="B510" s="91">
        <v>500</v>
      </c>
      <c r="C510" s="92">
        <v>44.363931607233241</v>
      </c>
      <c r="D510" s="92">
        <v>916.02248702232464</v>
      </c>
      <c r="E510" s="91">
        <v>0</v>
      </c>
      <c r="H510"/>
      <c r="I510"/>
    </row>
    <row r="511" spans="2:9" x14ac:dyDescent="0.5">
      <c r="B511" s="91">
        <v>501</v>
      </c>
      <c r="C511" s="92">
        <v>113.12384512313255</v>
      </c>
      <c r="D511" s="92">
        <v>9364.4226329357389</v>
      </c>
      <c r="E511" s="91">
        <v>0</v>
      </c>
      <c r="H511"/>
      <c r="I511"/>
    </row>
    <row r="512" spans="2:9" x14ac:dyDescent="0.5">
      <c r="B512" s="91">
        <v>502</v>
      </c>
      <c r="C512" s="92">
        <v>30.594339435783201</v>
      </c>
      <c r="D512" s="92">
        <v>-842.86241361800285</v>
      </c>
      <c r="E512" s="91">
        <v>1</v>
      </c>
      <c r="H512"/>
      <c r="I512"/>
    </row>
    <row r="513" spans="2:9" x14ac:dyDescent="0.5">
      <c r="B513" s="91">
        <v>503</v>
      </c>
      <c r="C513" s="92">
        <v>46.494187071387138</v>
      </c>
      <c r="D513" s="92">
        <v>1183.0142827264528</v>
      </c>
      <c r="E513" s="91">
        <v>0</v>
      </c>
      <c r="H513"/>
      <c r="I513"/>
    </row>
    <row r="514" spans="2:9" x14ac:dyDescent="0.5">
      <c r="B514" s="91">
        <v>504</v>
      </c>
      <c r="C514" s="92">
        <v>11.074189534968745</v>
      </c>
      <c r="D514" s="92">
        <v>-4166.0073291807403</v>
      </c>
      <c r="E514" s="91">
        <v>1</v>
      </c>
      <c r="H514"/>
      <c r="I514"/>
    </row>
    <row r="515" spans="2:9" x14ac:dyDescent="0.5">
      <c r="B515" s="91">
        <v>505</v>
      </c>
      <c r="C515" s="92">
        <v>23.045752127526409</v>
      </c>
      <c r="D515" s="92">
        <v>-1923.2118234363681</v>
      </c>
      <c r="E515" s="91">
        <v>1</v>
      </c>
      <c r="H515"/>
      <c r="I515"/>
    </row>
    <row r="516" spans="2:9" x14ac:dyDescent="0.5">
      <c r="B516" s="91">
        <v>506</v>
      </c>
      <c r="C516" s="92">
        <v>6.3773674562863816</v>
      </c>
      <c r="D516" s="92">
        <v>-5045.9268357536257</v>
      </c>
      <c r="E516" s="91">
        <v>1</v>
      </c>
      <c r="H516"/>
      <c r="I516"/>
    </row>
    <row r="517" spans="2:9" x14ac:dyDescent="0.5">
      <c r="B517" s="91">
        <v>507</v>
      </c>
      <c r="C517" s="92">
        <v>33.364733615069376</v>
      </c>
      <c r="D517" s="92">
        <v>-483.71002833562744</v>
      </c>
      <c r="E517" s="91">
        <v>1</v>
      </c>
      <c r="H517"/>
      <c r="I517"/>
    </row>
    <row r="518" spans="2:9" x14ac:dyDescent="0.5">
      <c r="B518" s="91">
        <v>508</v>
      </c>
      <c r="C518" s="92">
        <v>103.72942308151396</v>
      </c>
      <c r="D518" s="92">
        <v>8213.9698526507982</v>
      </c>
      <c r="E518" s="91">
        <v>0</v>
      </c>
      <c r="H518"/>
      <c r="I518"/>
    </row>
    <row r="519" spans="2:9" x14ac:dyDescent="0.5">
      <c r="B519" s="91">
        <v>509</v>
      </c>
      <c r="C519" s="92">
        <v>28.509055880547887</v>
      </c>
      <c r="D519" s="92">
        <v>-1120.2718529191407</v>
      </c>
      <c r="E519" s="91">
        <v>1</v>
      </c>
      <c r="H519"/>
      <c r="I519"/>
    </row>
    <row r="520" spans="2:9" x14ac:dyDescent="0.5">
      <c r="B520" s="91">
        <v>510</v>
      </c>
      <c r="C520" s="92">
        <v>53.190261103775164</v>
      </c>
      <c r="D520" s="92">
        <v>2018.2114897283141</v>
      </c>
      <c r="E520" s="91">
        <v>0</v>
      </c>
      <c r="H520"/>
      <c r="I520"/>
    </row>
    <row r="521" spans="2:9" x14ac:dyDescent="0.5">
      <c r="B521" s="91">
        <v>511</v>
      </c>
      <c r="C521" s="92">
        <v>16.563928562060678</v>
      </c>
      <c r="D521" s="92">
        <v>-3137.5399154677248</v>
      </c>
      <c r="E521" s="91">
        <v>1</v>
      </c>
      <c r="H521"/>
      <c r="I521"/>
    </row>
    <row r="522" spans="2:9" x14ac:dyDescent="0.5">
      <c r="B522" s="91">
        <v>512</v>
      </c>
      <c r="C522" s="92">
        <v>59.250511721517441</v>
      </c>
      <c r="D522" s="92">
        <v>2767.0262289280045</v>
      </c>
      <c r="E522" s="91">
        <v>0</v>
      </c>
      <c r="H522"/>
      <c r="I522"/>
    </row>
    <row r="523" spans="2:9" x14ac:dyDescent="0.5">
      <c r="B523" s="91">
        <v>513</v>
      </c>
      <c r="C523" s="92">
        <v>99.557697668475711</v>
      </c>
      <c r="D523" s="92">
        <v>7703.0950932719606</v>
      </c>
      <c r="E523" s="91">
        <v>0</v>
      </c>
      <c r="H523"/>
      <c r="I523"/>
    </row>
    <row r="524" spans="2:9" x14ac:dyDescent="0.5">
      <c r="B524" s="91">
        <v>514</v>
      </c>
      <c r="C524" s="92">
        <v>9.2168425569463217</v>
      </c>
      <c r="D524" s="92">
        <v>-4513.9693786383641</v>
      </c>
      <c r="E524" s="91">
        <v>1</v>
      </c>
      <c r="H524"/>
      <c r="I524"/>
    </row>
    <row r="525" spans="2:9" x14ac:dyDescent="0.5">
      <c r="B525" s="91">
        <v>515</v>
      </c>
      <c r="C525" s="92">
        <v>111.75778848361814</v>
      </c>
      <c r="D525" s="92">
        <v>9197.1336127071681</v>
      </c>
      <c r="E525" s="91">
        <v>0</v>
      </c>
      <c r="H525"/>
      <c r="I525"/>
    </row>
    <row r="526" spans="2:9" x14ac:dyDescent="0.5">
      <c r="B526" s="91">
        <v>516</v>
      </c>
      <c r="C526" s="92">
        <v>12.931880378039605</v>
      </c>
      <c r="D526" s="92">
        <v>-3817.9808588107057</v>
      </c>
      <c r="E526" s="91">
        <v>1</v>
      </c>
      <c r="H526"/>
      <c r="I526"/>
    </row>
    <row r="527" spans="2:9" x14ac:dyDescent="0.5">
      <c r="B527" s="91">
        <v>517</v>
      </c>
      <c r="C527" s="92">
        <v>33.039753454907775</v>
      </c>
      <c r="D527" s="92">
        <v>-525.82744983164616</v>
      </c>
      <c r="E527" s="91">
        <v>1</v>
      </c>
      <c r="H527"/>
      <c r="I527"/>
    </row>
    <row r="528" spans="2:9" x14ac:dyDescent="0.5">
      <c r="B528" s="91">
        <v>518</v>
      </c>
      <c r="C528" s="92">
        <v>155.56840491460397</v>
      </c>
      <c r="D528" s="92">
        <v>14548.484712084824</v>
      </c>
      <c r="E528" s="91">
        <v>0</v>
      </c>
      <c r="H528"/>
      <c r="I528"/>
    </row>
    <row r="529" spans="2:9" x14ac:dyDescent="0.5">
      <c r="B529" s="91">
        <v>519</v>
      </c>
      <c r="C529" s="92">
        <v>35.425190452720848</v>
      </c>
      <c r="D529" s="92">
        <v>-217.07898821820169</v>
      </c>
      <c r="E529" s="91">
        <v>1</v>
      </c>
      <c r="H529"/>
      <c r="I529"/>
    </row>
    <row r="530" spans="2:9" x14ac:dyDescent="0.5">
      <c r="B530" s="91">
        <v>520</v>
      </c>
      <c r="C530" s="92">
        <v>26.453337463325219</v>
      </c>
      <c r="D530" s="92">
        <v>-1397.6919068730906</v>
      </c>
      <c r="E530" s="91">
        <v>1</v>
      </c>
      <c r="H530"/>
      <c r="I530"/>
    </row>
    <row r="531" spans="2:9" x14ac:dyDescent="0.5">
      <c r="B531" s="91">
        <v>521</v>
      </c>
      <c r="C531" s="92">
        <v>155.31554872844887</v>
      </c>
      <c r="D531" s="92">
        <v>14517.684182617601</v>
      </c>
      <c r="E531" s="91">
        <v>0</v>
      </c>
      <c r="H531"/>
      <c r="I531"/>
    </row>
    <row r="532" spans="2:9" x14ac:dyDescent="0.5">
      <c r="B532" s="91">
        <v>522</v>
      </c>
      <c r="C532" s="92">
        <v>139.96963668456684</v>
      </c>
      <c r="D532" s="92">
        <v>12648.391509591565</v>
      </c>
      <c r="E532" s="91">
        <v>0</v>
      </c>
      <c r="H532"/>
      <c r="I532"/>
    </row>
    <row r="533" spans="2:9" x14ac:dyDescent="0.5">
      <c r="B533" s="91">
        <v>523</v>
      </c>
      <c r="C533" s="92">
        <v>14.99373289504133</v>
      </c>
      <c r="D533" s="92">
        <v>-3431.7060076468333</v>
      </c>
      <c r="E533" s="91">
        <v>1</v>
      </c>
      <c r="H533"/>
      <c r="I533"/>
    </row>
    <row r="534" spans="2:9" x14ac:dyDescent="0.5">
      <c r="B534" s="91">
        <v>524</v>
      </c>
      <c r="C534" s="92">
        <v>13.363986740030764</v>
      </c>
      <c r="D534" s="92">
        <v>-3737.0285019914031</v>
      </c>
      <c r="E534" s="91">
        <v>1</v>
      </c>
      <c r="H534"/>
      <c r="I534"/>
    </row>
    <row r="535" spans="2:9" x14ac:dyDescent="0.5">
      <c r="B535" s="91">
        <v>525</v>
      </c>
      <c r="C535" s="92">
        <v>20.657482359057337</v>
      </c>
      <c r="D535" s="92">
        <v>-2370.6388541029824</v>
      </c>
      <c r="E535" s="91">
        <v>1</v>
      </c>
      <c r="H535"/>
      <c r="I535"/>
    </row>
    <row r="536" spans="2:9" x14ac:dyDescent="0.5">
      <c r="B536" s="91">
        <v>526</v>
      </c>
      <c r="C536" s="92">
        <v>28.608616658612128</v>
      </c>
      <c r="D536" s="92">
        <v>-1106.9518423599252</v>
      </c>
      <c r="E536" s="91">
        <v>1</v>
      </c>
      <c r="H536"/>
      <c r="I536"/>
    </row>
    <row r="537" spans="2:9" x14ac:dyDescent="0.5">
      <c r="B537" s="91">
        <v>527</v>
      </c>
      <c r="C537" s="92">
        <v>31.44620727446112</v>
      </c>
      <c r="D537" s="92">
        <v>-732.35099921345363</v>
      </c>
      <c r="E537" s="91">
        <v>1</v>
      </c>
      <c r="H537"/>
      <c r="I537"/>
    </row>
    <row r="538" spans="2:9" x14ac:dyDescent="0.5">
      <c r="B538" s="91">
        <v>528</v>
      </c>
      <c r="C538" s="92">
        <v>18.090436916468065</v>
      </c>
      <c r="D538" s="92">
        <v>-2851.5583612406685</v>
      </c>
      <c r="E538" s="91">
        <v>1</v>
      </c>
      <c r="H538"/>
      <c r="I538"/>
    </row>
    <row r="539" spans="2:9" x14ac:dyDescent="0.5">
      <c r="B539" s="91">
        <v>529</v>
      </c>
      <c r="C539" s="92">
        <v>14.865694863151541</v>
      </c>
      <c r="D539" s="92">
        <v>-3455.6931121093112</v>
      </c>
      <c r="E539" s="91">
        <v>1</v>
      </c>
      <c r="H539"/>
      <c r="I539"/>
    </row>
    <row r="540" spans="2:9" x14ac:dyDescent="0.5">
      <c r="B540" s="91">
        <v>530</v>
      </c>
      <c r="C540" s="92">
        <v>19.671568462045954</v>
      </c>
      <c r="D540" s="92">
        <v>-2555.34350232014</v>
      </c>
      <c r="E540" s="91">
        <v>1</v>
      </c>
      <c r="H540"/>
      <c r="I540"/>
    </row>
    <row r="541" spans="2:9" x14ac:dyDescent="0.5">
      <c r="B541" s="91">
        <v>531</v>
      </c>
      <c r="C541" s="92">
        <v>18.264187130634461</v>
      </c>
      <c r="D541" s="92">
        <v>-2819.0073724752779</v>
      </c>
      <c r="E541" s="91">
        <v>1</v>
      </c>
      <c r="H541"/>
      <c r="I541"/>
    </row>
    <row r="542" spans="2:9" x14ac:dyDescent="0.5">
      <c r="B542" s="91">
        <v>532</v>
      </c>
      <c r="C542" s="92">
        <v>113.77613740607374</v>
      </c>
      <c r="D542" s="92">
        <v>9444.3031691883771</v>
      </c>
      <c r="E542" s="91">
        <v>0</v>
      </c>
      <c r="H542"/>
      <c r="I542"/>
    </row>
    <row r="543" spans="2:9" x14ac:dyDescent="0.5">
      <c r="B543" s="91">
        <v>533</v>
      </c>
      <c r="C543" s="92">
        <v>23.915953919739565</v>
      </c>
      <c r="D543" s="92">
        <v>-1760.1850962587757</v>
      </c>
      <c r="E543" s="91">
        <v>1</v>
      </c>
      <c r="H543"/>
      <c r="I543"/>
    </row>
    <row r="544" spans="2:9" x14ac:dyDescent="0.5">
      <c r="B544" s="91">
        <v>534</v>
      </c>
      <c r="C544" s="92">
        <v>5.4684596521521645</v>
      </c>
      <c r="D544" s="92">
        <v>-5216.204886132402</v>
      </c>
      <c r="E544" s="91">
        <v>1</v>
      </c>
      <c r="H544"/>
      <c r="I544"/>
    </row>
    <row r="545" spans="2:9" x14ac:dyDescent="0.5">
      <c r="B545" s="91">
        <v>535</v>
      </c>
      <c r="C545" s="92">
        <v>46.443662792568112</v>
      </c>
      <c r="D545" s="92">
        <v>1176.6819117242239</v>
      </c>
      <c r="E545" s="91">
        <v>0</v>
      </c>
      <c r="H545"/>
      <c r="I545"/>
    </row>
    <row r="546" spans="2:9" x14ac:dyDescent="0.5">
      <c r="B546" s="91">
        <v>536</v>
      </c>
      <c r="C546" s="92">
        <v>56.623089190402204</v>
      </c>
      <c r="D546" s="92">
        <v>2443.759385349636</v>
      </c>
      <c r="E546" s="91">
        <v>0</v>
      </c>
      <c r="H546"/>
      <c r="I546"/>
    </row>
    <row r="547" spans="2:9" x14ac:dyDescent="0.5">
      <c r="B547" s="91">
        <v>537</v>
      </c>
      <c r="C547" s="92">
        <v>114.67077755831333</v>
      </c>
      <c r="D547" s="92">
        <v>9553.8619313920408</v>
      </c>
      <c r="E547" s="91">
        <v>0</v>
      </c>
      <c r="H547"/>
      <c r="I547"/>
    </row>
    <row r="548" spans="2:9" x14ac:dyDescent="0.5">
      <c r="B548" s="91">
        <v>538</v>
      </c>
      <c r="C548" s="92">
        <v>20.817612523919401</v>
      </c>
      <c r="D548" s="92">
        <v>-2340.6394942608499</v>
      </c>
      <c r="E548" s="91">
        <v>1</v>
      </c>
      <c r="H548"/>
      <c r="I548"/>
    </row>
    <row r="549" spans="2:9" x14ac:dyDescent="0.5">
      <c r="B549" s="91">
        <v>539</v>
      </c>
      <c r="C549" s="92">
        <v>11.733703776220631</v>
      </c>
      <c r="D549" s="92">
        <v>-4042.4515640232603</v>
      </c>
      <c r="E549" s="91">
        <v>1</v>
      </c>
      <c r="H549"/>
      <c r="I549"/>
    </row>
    <row r="550" spans="2:9" x14ac:dyDescent="0.5">
      <c r="B550" s="91">
        <v>540</v>
      </c>
      <c r="C550" s="92">
        <v>56.39855463059731</v>
      </c>
      <c r="D550" s="92">
        <v>2415.9260658220292</v>
      </c>
      <c r="E550" s="91">
        <v>0</v>
      </c>
      <c r="H550"/>
      <c r="I550"/>
    </row>
    <row r="551" spans="2:9" x14ac:dyDescent="0.5">
      <c r="B551" s="91">
        <v>541</v>
      </c>
      <c r="C551" s="92">
        <v>23.489426454733579</v>
      </c>
      <c r="D551" s="92">
        <v>-1840.092282492481</v>
      </c>
      <c r="E551" s="91">
        <v>1</v>
      </c>
      <c r="H551"/>
      <c r="I551"/>
    </row>
    <row r="552" spans="2:9" x14ac:dyDescent="0.5">
      <c r="B552" s="91">
        <v>542</v>
      </c>
      <c r="C552" s="92">
        <v>18.101085918058846</v>
      </c>
      <c r="D552" s="92">
        <v>-2849.5633390600783</v>
      </c>
      <c r="E552" s="91">
        <v>1</v>
      </c>
      <c r="H552"/>
      <c r="I552"/>
    </row>
    <row r="553" spans="2:9" x14ac:dyDescent="0.5">
      <c r="B553" s="91">
        <v>543</v>
      </c>
      <c r="C553" s="92">
        <v>37.222754003021734</v>
      </c>
      <c r="D553" s="92">
        <v>13.808348901197533</v>
      </c>
      <c r="E553" s="91">
        <v>0</v>
      </c>
      <c r="H553"/>
      <c r="I553"/>
    </row>
    <row r="554" spans="2:9" x14ac:dyDescent="0.5">
      <c r="B554" s="91">
        <v>544</v>
      </c>
      <c r="C554" s="92">
        <v>68.959434167699612</v>
      </c>
      <c r="D554" s="92">
        <v>3955.9931256990881</v>
      </c>
      <c r="E554" s="91">
        <v>0</v>
      </c>
      <c r="H554"/>
      <c r="I554"/>
    </row>
    <row r="555" spans="2:9" x14ac:dyDescent="0.5">
      <c r="B555" s="91">
        <v>545</v>
      </c>
      <c r="C555" s="92">
        <v>32.094134718108975</v>
      </c>
      <c r="D555" s="92">
        <v>-648.37961699312154</v>
      </c>
      <c r="E555" s="91">
        <v>1</v>
      </c>
      <c r="H555"/>
      <c r="I555"/>
    </row>
    <row r="556" spans="2:9" x14ac:dyDescent="0.5">
      <c r="B556" s="91">
        <v>546</v>
      </c>
      <c r="C556" s="92">
        <v>47.953610197787036</v>
      </c>
      <c r="D556" s="92">
        <v>1365.7898257135282</v>
      </c>
      <c r="E556" s="91">
        <v>0</v>
      </c>
      <c r="H556"/>
      <c r="I556"/>
    </row>
    <row r="557" spans="2:9" x14ac:dyDescent="0.5">
      <c r="B557" s="91">
        <v>547</v>
      </c>
      <c r="C557" s="92">
        <v>33.713031632571479</v>
      </c>
      <c r="D557" s="92">
        <v>-438.57061304926305</v>
      </c>
      <c r="E557" s="91">
        <v>1</v>
      </c>
      <c r="H557"/>
      <c r="I557"/>
    </row>
    <row r="558" spans="2:9" x14ac:dyDescent="0.5">
      <c r="B558" s="91">
        <v>548</v>
      </c>
      <c r="C558" s="92">
        <v>35.643540813111038</v>
      </c>
      <c r="D558" s="92">
        <v>-189.03306279814404</v>
      </c>
      <c r="E558" s="91">
        <v>1</v>
      </c>
      <c r="H558"/>
      <c r="I558"/>
    </row>
    <row r="559" spans="2:9" x14ac:dyDescent="0.5">
      <c r="B559" s="91">
        <v>549</v>
      </c>
      <c r="C559" s="92">
        <v>8.9853404759124675</v>
      </c>
      <c r="D559" s="92">
        <v>-4557.3398094320828</v>
      </c>
      <c r="E559" s="91">
        <v>1</v>
      </c>
      <c r="H559"/>
      <c r="I559"/>
    </row>
    <row r="560" spans="2:9" x14ac:dyDescent="0.5">
      <c r="B560" s="91">
        <v>550</v>
      </c>
      <c r="C560" s="92">
        <v>28.296613645509623</v>
      </c>
      <c r="D560" s="92">
        <v>-1148.6940174396618</v>
      </c>
      <c r="E560" s="91">
        <v>1</v>
      </c>
      <c r="H560"/>
      <c r="I560"/>
    </row>
    <row r="561" spans="2:9" x14ac:dyDescent="0.5">
      <c r="B561" s="91">
        <v>551</v>
      </c>
      <c r="C561" s="92">
        <v>25.945561206576887</v>
      </c>
      <c r="D561" s="92">
        <v>-1467.1479232460363</v>
      </c>
      <c r="E561" s="91">
        <v>1</v>
      </c>
      <c r="H561"/>
      <c r="I561"/>
    </row>
    <row r="562" spans="2:9" x14ac:dyDescent="0.5">
      <c r="B562" s="91">
        <v>552</v>
      </c>
      <c r="C562" s="92">
        <v>38.013338242035097</v>
      </c>
      <c r="D562" s="92">
        <v>115.35462785406652</v>
      </c>
      <c r="E562" s="91">
        <v>0</v>
      </c>
      <c r="H562"/>
      <c r="I562"/>
    </row>
    <row r="563" spans="2:9" x14ac:dyDescent="0.5">
      <c r="B563" s="91">
        <v>553</v>
      </c>
      <c r="C563" s="92">
        <v>28.279073339118028</v>
      </c>
      <c r="D563" s="92">
        <v>-1151.0406952267435</v>
      </c>
      <c r="E563" s="91">
        <v>1</v>
      </c>
      <c r="H563"/>
      <c r="I563"/>
    </row>
    <row r="564" spans="2:9" x14ac:dyDescent="0.5">
      <c r="B564" s="91">
        <v>554</v>
      </c>
      <c r="C564" s="92">
        <v>16.217347044955034</v>
      </c>
      <c r="D564" s="92">
        <v>-3202.4697408709544</v>
      </c>
      <c r="E564" s="91">
        <v>1</v>
      </c>
      <c r="H564"/>
      <c r="I564"/>
    </row>
    <row r="565" spans="2:9" x14ac:dyDescent="0.5">
      <c r="B565" s="91">
        <v>555</v>
      </c>
      <c r="C565" s="92">
        <v>31.135033262512721</v>
      </c>
      <c r="D565" s="92">
        <v>-772.6791442095074</v>
      </c>
      <c r="E565" s="91">
        <v>1</v>
      </c>
      <c r="H565"/>
      <c r="I565"/>
    </row>
    <row r="566" spans="2:9" x14ac:dyDescent="0.5">
      <c r="B566" s="91">
        <v>556</v>
      </c>
      <c r="C566" s="92">
        <v>33.764885954623473</v>
      </c>
      <c r="D566" s="92">
        <v>-431.85029406988843</v>
      </c>
      <c r="E566" s="91">
        <v>1</v>
      </c>
      <c r="H566"/>
      <c r="I566"/>
    </row>
    <row r="567" spans="2:9" x14ac:dyDescent="0.5">
      <c r="B567" s="91">
        <v>557</v>
      </c>
      <c r="C567" s="92">
        <v>52.907036795692058</v>
      </c>
      <c r="D567" s="92">
        <v>1982.9252585690595</v>
      </c>
      <c r="E567" s="91">
        <v>0</v>
      </c>
      <c r="H567"/>
      <c r="I567"/>
    </row>
    <row r="568" spans="2:9" x14ac:dyDescent="0.5">
      <c r="B568" s="91">
        <v>558</v>
      </c>
      <c r="C568" s="92">
        <v>20.457421538121523</v>
      </c>
      <c r="D568" s="92">
        <v>-2408.1189663774908</v>
      </c>
      <c r="E568" s="91">
        <v>1</v>
      </c>
      <c r="H568"/>
      <c r="I568"/>
    </row>
    <row r="569" spans="2:9" x14ac:dyDescent="0.5">
      <c r="B569" s="91">
        <v>559</v>
      </c>
      <c r="C569" s="92">
        <v>23.592570262786865</v>
      </c>
      <c r="D569" s="92">
        <v>-1820.7689512766306</v>
      </c>
      <c r="E569" s="91">
        <v>1</v>
      </c>
      <c r="H569"/>
      <c r="I569"/>
    </row>
    <row r="570" spans="2:9" x14ac:dyDescent="0.5">
      <c r="B570" s="91">
        <v>560</v>
      </c>
      <c r="C570" s="92">
        <v>98.194853433504449</v>
      </c>
      <c r="D570" s="92">
        <v>7536.1994681582446</v>
      </c>
      <c r="E570" s="91">
        <v>0</v>
      </c>
      <c r="H570"/>
      <c r="I570"/>
    </row>
    <row r="571" spans="2:9" x14ac:dyDescent="0.5">
      <c r="B571" s="91">
        <v>561</v>
      </c>
      <c r="C571" s="92">
        <v>12.613880732132923</v>
      </c>
      <c r="D571" s="92">
        <v>-3877.5560538743121</v>
      </c>
      <c r="E571" s="91">
        <v>1</v>
      </c>
      <c r="H571"/>
      <c r="I571"/>
    </row>
    <row r="572" spans="2:9" x14ac:dyDescent="0.5">
      <c r="B572" s="91">
        <v>562</v>
      </c>
      <c r="C572" s="92">
        <v>29.9710723133011</v>
      </c>
      <c r="D572" s="92">
        <v>-925.33518529393132</v>
      </c>
      <c r="E572" s="91">
        <v>1</v>
      </c>
      <c r="H572"/>
      <c r="I572"/>
    </row>
    <row r="573" spans="2:9" x14ac:dyDescent="0.5">
      <c r="B573" s="91">
        <v>563</v>
      </c>
      <c r="C573" s="92">
        <v>22.75327407593354</v>
      </c>
      <c r="D573" s="92">
        <v>-1978.0057114163005</v>
      </c>
      <c r="E573" s="91">
        <v>1</v>
      </c>
      <c r="H573"/>
      <c r="I573"/>
    </row>
    <row r="574" spans="2:9" x14ac:dyDescent="0.5">
      <c r="B574" s="91">
        <v>564</v>
      </c>
      <c r="C574" s="92">
        <v>87.819879032162504</v>
      </c>
      <c r="D574" s="92">
        <v>6265.6670083080135</v>
      </c>
      <c r="E574" s="91">
        <v>0</v>
      </c>
      <c r="H574"/>
      <c r="I574"/>
    </row>
    <row r="575" spans="2:9" x14ac:dyDescent="0.5">
      <c r="B575" s="91">
        <v>565</v>
      </c>
      <c r="C575" s="92">
        <v>36.93969609634005</v>
      </c>
      <c r="D575" s="92">
        <v>-22.548911632587583</v>
      </c>
      <c r="E575" s="91">
        <v>1</v>
      </c>
      <c r="H575"/>
      <c r="I575"/>
    </row>
    <row r="576" spans="2:9" x14ac:dyDescent="0.5">
      <c r="B576" s="91">
        <v>566</v>
      </c>
      <c r="C576" s="92">
        <v>48.660576612497074</v>
      </c>
      <c r="D576" s="92">
        <v>1453.8690605084737</v>
      </c>
      <c r="E576" s="91">
        <v>0</v>
      </c>
      <c r="H576"/>
      <c r="I576"/>
    </row>
    <row r="577" spans="2:9" x14ac:dyDescent="0.5">
      <c r="B577" s="91">
        <v>567</v>
      </c>
      <c r="C577" s="92">
        <v>25.318783024854579</v>
      </c>
      <c r="D577" s="92">
        <v>-1553.2725583568474</v>
      </c>
      <c r="E577" s="91">
        <v>1</v>
      </c>
      <c r="H577"/>
      <c r="I577"/>
    </row>
    <row r="578" spans="2:9" x14ac:dyDescent="0.5">
      <c r="B578" s="91">
        <v>568</v>
      </c>
      <c r="C578" s="92">
        <v>48.074558849848728</v>
      </c>
      <c r="D578" s="92">
        <v>1380.8585255858454</v>
      </c>
      <c r="E578" s="91">
        <v>0</v>
      </c>
      <c r="H578"/>
      <c r="I578"/>
    </row>
    <row r="579" spans="2:9" x14ac:dyDescent="0.5">
      <c r="B579" s="91">
        <v>569</v>
      </c>
      <c r="C579" s="92">
        <v>10.408034838561813</v>
      </c>
      <c r="D579" s="92">
        <v>-4290.8071410416242</v>
      </c>
      <c r="E579" s="91">
        <v>1</v>
      </c>
      <c r="H579"/>
      <c r="I579"/>
    </row>
    <row r="580" spans="2:9" x14ac:dyDescent="0.5">
      <c r="B580" s="91">
        <v>570</v>
      </c>
      <c r="C580" s="92">
        <v>55.309756423156941</v>
      </c>
      <c r="D580" s="92">
        <v>2280.9585648943107</v>
      </c>
      <c r="E580" s="91">
        <v>0</v>
      </c>
      <c r="H580"/>
      <c r="I580"/>
    </row>
    <row r="581" spans="2:9" x14ac:dyDescent="0.5">
      <c r="B581" s="91">
        <v>571</v>
      </c>
      <c r="C581" s="92">
        <v>6.3800135295991822</v>
      </c>
      <c r="D581" s="92">
        <v>-5045.4311108816291</v>
      </c>
      <c r="E581" s="91">
        <v>1</v>
      </c>
      <c r="H581"/>
      <c r="I581"/>
    </row>
    <row r="582" spans="2:9" x14ac:dyDescent="0.5">
      <c r="B582" s="91">
        <v>572</v>
      </c>
      <c r="C582" s="92">
        <v>13.282467939472182</v>
      </c>
      <c r="D582" s="92">
        <v>-3752.3005266843306</v>
      </c>
      <c r="E582" s="91">
        <v>1</v>
      </c>
      <c r="H582"/>
      <c r="I582"/>
    </row>
    <row r="583" spans="2:9" x14ac:dyDescent="0.5">
      <c r="B583" s="91">
        <v>573</v>
      </c>
      <c r="C583" s="92">
        <v>30.634430328889845</v>
      </c>
      <c r="D583" s="92">
        <v>-837.5574537473442</v>
      </c>
      <c r="E583" s="91">
        <v>1</v>
      </c>
      <c r="H583"/>
      <c r="I583"/>
    </row>
    <row r="584" spans="2:9" x14ac:dyDescent="0.5">
      <c r="B584" s="91">
        <v>574</v>
      </c>
      <c r="C584" s="92">
        <v>6.594679201629571</v>
      </c>
      <c r="D584" s="92">
        <v>-5005.2148733817139</v>
      </c>
      <c r="E584" s="91">
        <v>1</v>
      </c>
      <c r="H584"/>
      <c r="I584"/>
    </row>
    <row r="585" spans="2:9" x14ac:dyDescent="0.5">
      <c r="B585" s="91">
        <v>575</v>
      </c>
      <c r="C585" s="92">
        <v>6.0587464599139231</v>
      </c>
      <c r="D585" s="92">
        <v>-5105.6184368437116</v>
      </c>
      <c r="E585" s="91">
        <v>1</v>
      </c>
      <c r="H585"/>
      <c r="I585"/>
    </row>
    <row r="586" spans="2:9" x14ac:dyDescent="0.5">
      <c r="B586" s="91">
        <v>576</v>
      </c>
      <c r="C586" s="92">
        <v>11.030400093174027</v>
      </c>
      <c r="D586" s="92">
        <v>-4174.2110003804646</v>
      </c>
      <c r="E586" s="91">
        <v>1</v>
      </c>
      <c r="H586"/>
      <c r="I586"/>
    </row>
    <row r="587" spans="2:9" x14ac:dyDescent="0.5">
      <c r="B587" s="91">
        <v>577</v>
      </c>
      <c r="C587" s="92">
        <v>23.719743931128221</v>
      </c>
      <c r="D587" s="92">
        <v>-1796.9437797837863</v>
      </c>
      <c r="E587" s="91">
        <v>1</v>
      </c>
      <c r="H587"/>
      <c r="I587"/>
    </row>
    <row r="588" spans="2:9" x14ac:dyDescent="0.5">
      <c r="B588" s="91">
        <v>578</v>
      </c>
      <c r="C588" s="92">
        <v>31.338451740575451</v>
      </c>
      <c r="D588" s="92">
        <v>-746.31611399748988</v>
      </c>
      <c r="E588" s="91">
        <v>1</v>
      </c>
      <c r="H588"/>
      <c r="I588"/>
    </row>
    <row r="589" spans="2:9" x14ac:dyDescent="0.5">
      <c r="B589" s="91">
        <v>579</v>
      </c>
      <c r="C589" s="92">
        <v>30.248401334936808</v>
      </c>
      <c r="D589" s="92">
        <v>-888.6380898505123</v>
      </c>
      <c r="E589" s="91">
        <v>1</v>
      </c>
      <c r="H589"/>
      <c r="I589"/>
    </row>
    <row r="590" spans="2:9" x14ac:dyDescent="0.5">
      <c r="B590" s="91">
        <v>580</v>
      </c>
      <c r="C590" s="92">
        <v>10.965050450102831</v>
      </c>
      <c r="D590" s="92">
        <v>-4186.4538370735772</v>
      </c>
      <c r="E590" s="91">
        <v>1</v>
      </c>
      <c r="H590"/>
      <c r="I590"/>
    </row>
    <row r="591" spans="2:9" x14ac:dyDescent="0.5">
      <c r="B591" s="91">
        <v>581</v>
      </c>
      <c r="C591" s="92">
        <v>27.452290196601119</v>
      </c>
      <c r="D591" s="92">
        <v>-1261.6541356058503</v>
      </c>
      <c r="E591" s="91">
        <v>1</v>
      </c>
      <c r="H591"/>
      <c r="I591"/>
    </row>
    <row r="592" spans="2:9" x14ac:dyDescent="0.5">
      <c r="B592" s="91">
        <v>582</v>
      </c>
      <c r="C592" s="92">
        <v>49.419655060961851</v>
      </c>
      <c r="D592" s="92">
        <v>1548.4408074811131</v>
      </c>
      <c r="E592" s="91">
        <v>0</v>
      </c>
      <c r="H592"/>
      <c r="I592"/>
    </row>
    <row r="593" spans="2:9" x14ac:dyDescent="0.5">
      <c r="B593" s="91">
        <v>583</v>
      </c>
      <c r="C593" s="92">
        <v>94.448862291016098</v>
      </c>
      <c r="D593" s="92">
        <v>7077.4606648868585</v>
      </c>
      <c r="E593" s="91">
        <v>0</v>
      </c>
      <c r="H593"/>
      <c r="I593"/>
    </row>
    <row r="594" spans="2:9" x14ac:dyDescent="0.5">
      <c r="B594" s="91">
        <v>584</v>
      </c>
      <c r="C594" s="92">
        <v>65.348449056563851</v>
      </c>
      <c r="D594" s="92">
        <v>3513.7873314235403</v>
      </c>
      <c r="E594" s="91">
        <v>0</v>
      </c>
      <c r="H594"/>
      <c r="I594"/>
    </row>
    <row r="595" spans="2:9" x14ac:dyDescent="0.5">
      <c r="B595" s="91">
        <v>585</v>
      </c>
      <c r="C595" s="92">
        <v>17.092524704568003</v>
      </c>
      <c r="D595" s="92">
        <v>-3038.5108168347492</v>
      </c>
      <c r="E595" s="91">
        <v>1</v>
      </c>
      <c r="H595"/>
      <c r="I595"/>
    </row>
    <row r="596" spans="2:9" x14ac:dyDescent="0.5">
      <c r="B596" s="91">
        <v>586</v>
      </c>
      <c r="C596" s="92">
        <v>28.028948330902725</v>
      </c>
      <c r="D596" s="92">
        <v>-1184.504352455315</v>
      </c>
      <c r="E596" s="91">
        <v>1</v>
      </c>
      <c r="H596"/>
      <c r="I596"/>
    </row>
    <row r="597" spans="2:9" x14ac:dyDescent="0.5">
      <c r="B597" s="91">
        <v>587</v>
      </c>
      <c r="C597" s="92">
        <v>43.579102757723149</v>
      </c>
      <c r="D597" s="92">
        <v>817.65735317940721</v>
      </c>
      <c r="E597" s="91">
        <v>0</v>
      </c>
      <c r="H597"/>
      <c r="I597"/>
    </row>
    <row r="598" spans="2:9" x14ac:dyDescent="0.5">
      <c r="B598" s="91">
        <v>588</v>
      </c>
      <c r="C598" s="92">
        <v>60.035615126826109</v>
      </c>
      <c r="D598" s="92">
        <v>2863.1709828518883</v>
      </c>
      <c r="E598" s="91">
        <v>0</v>
      </c>
      <c r="H598"/>
      <c r="I598"/>
    </row>
    <row r="599" spans="2:9" x14ac:dyDescent="0.5">
      <c r="B599" s="91">
        <v>589</v>
      </c>
      <c r="C599" s="92">
        <v>29.888958907406472</v>
      </c>
      <c r="D599" s="92">
        <v>-936.20070335448702</v>
      </c>
      <c r="E599" s="91">
        <v>1</v>
      </c>
      <c r="H599"/>
      <c r="I599"/>
    </row>
    <row r="600" spans="2:9" x14ac:dyDescent="0.5">
      <c r="B600" s="91">
        <v>590</v>
      </c>
      <c r="C600" s="92">
        <v>99.001291326630479</v>
      </c>
      <c r="D600" s="92">
        <v>7634.9568703873374</v>
      </c>
      <c r="E600" s="91">
        <v>0</v>
      </c>
      <c r="H600"/>
      <c r="I600"/>
    </row>
    <row r="601" spans="2:9" x14ac:dyDescent="0.5">
      <c r="B601" s="91">
        <v>591</v>
      </c>
      <c r="C601" s="92">
        <v>29.400081377374335</v>
      </c>
      <c r="D601" s="92">
        <v>-1001.0635737451846</v>
      </c>
      <c r="E601" s="91">
        <v>1</v>
      </c>
      <c r="H601"/>
      <c r="I601"/>
    </row>
    <row r="602" spans="2:9" x14ac:dyDescent="0.5">
      <c r="B602" s="91">
        <v>592</v>
      </c>
      <c r="C602" s="92">
        <v>24.588463421526495</v>
      </c>
      <c r="D602" s="92">
        <v>-1655.5406586025902</v>
      </c>
      <c r="E602" s="91">
        <v>1</v>
      </c>
      <c r="H602"/>
      <c r="I602"/>
    </row>
    <row r="603" spans="2:9" x14ac:dyDescent="0.5">
      <c r="B603" s="91">
        <v>593</v>
      </c>
      <c r="C603" s="92">
        <v>54.134293989119904</v>
      </c>
      <c r="D603" s="92">
        <v>2135.2481604573345</v>
      </c>
      <c r="E603" s="91">
        <v>0</v>
      </c>
      <c r="H603"/>
      <c r="I603"/>
    </row>
    <row r="604" spans="2:9" x14ac:dyDescent="0.5">
      <c r="B604" s="91">
        <v>594</v>
      </c>
      <c r="C604" s="92">
        <v>38.723237126633016</v>
      </c>
      <c r="D604" s="92">
        <v>204.94990775604919</v>
      </c>
      <c r="E604" s="91">
        <v>0</v>
      </c>
      <c r="H604"/>
      <c r="I604"/>
    </row>
    <row r="605" spans="2:9" x14ac:dyDescent="0.5">
      <c r="B605" s="91">
        <v>595</v>
      </c>
      <c r="C605" s="92">
        <v>65.590952640891089</v>
      </c>
      <c r="D605" s="92">
        <v>3543.4846264335333</v>
      </c>
      <c r="E605" s="91">
        <v>0</v>
      </c>
      <c r="H605"/>
      <c r="I605"/>
    </row>
    <row r="606" spans="2:9" x14ac:dyDescent="0.5">
      <c r="B606" s="91">
        <v>596</v>
      </c>
      <c r="C606" s="92">
        <v>35.606796534971373</v>
      </c>
      <c r="D606" s="92">
        <v>-193.75266702722558</v>
      </c>
      <c r="E606" s="91">
        <v>1</v>
      </c>
      <c r="H606"/>
      <c r="I606"/>
    </row>
    <row r="607" spans="2:9" x14ac:dyDescent="0.5">
      <c r="B607" s="91">
        <v>597</v>
      </c>
      <c r="C607" s="92">
        <v>142.99005887691175</v>
      </c>
      <c r="D607" s="92">
        <v>13016.310539587994</v>
      </c>
      <c r="E607" s="91">
        <v>0</v>
      </c>
      <c r="H607"/>
      <c r="I607"/>
    </row>
    <row r="608" spans="2:9" x14ac:dyDescent="0.5">
      <c r="B608" s="91">
        <v>598</v>
      </c>
      <c r="C608" s="92">
        <v>23.00702988268516</v>
      </c>
      <c r="D608" s="92">
        <v>-1930.4661877710853</v>
      </c>
      <c r="E608" s="91">
        <v>1</v>
      </c>
      <c r="H608"/>
      <c r="I608"/>
    </row>
    <row r="609" spans="2:9" x14ac:dyDescent="0.5">
      <c r="B609" s="91">
        <v>599</v>
      </c>
      <c r="C609" s="92">
        <v>30.154946116818973</v>
      </c>
      <c r="D609" s="92">
        <v>-901.00439410070658</v>
      </c>
      <c r="E609" s="91">
        <v>1</v>
      </c>
      <c r="H609"/>
      <c r="I609"/>
    </row>
    <row r="610" spans="2:9" x14ac:dyDescent="0.5">
      <c r="B610" s="91">
        <v>600</v>
      </c>
      <c r="C610" s="92">
        <v>62.885942533995632</v>
      </c>
      <c r="D610" s="92">
        <v>3212.2256746438225</v>
      </c>
      <c r="E610" s="91">
        <v>0</v>
      </c>
      <c r="H610"/>
      <c r="I610"/>
    </row>
    <row r="611" spans="2:9" x14ac:dyDescent="0.5">
      <c r="B611" s="91">
        <v>601</v>
      </c>
      <c r="C611" s="92">
        <v>17.023705575297573</v>
      </c>
      <c r="D611" s="92">
        <v>-3051.4036395254902</v>
      </c>
      <c r="E611" s="91">
        <v>1</v>
      </c>
      <c r="H611"/>
      <c r="I611"/>
    </row>
    <row r="612" spans="2:9" x14ac:dyDescent="0.5">
      <c r="B612" s="91">
        <v>602</v>
      </c>
      <c r="C612" s="92">
        <v>12.190202919922905</v>
      </c>
      <c r="D612" s="92">
        <v>-3956.9293759249322</v>
      </c>
      <c r="E612" s="91">
        <v>1</v>
      </c>
      <c r="H612"/>
      <c r="I612"/>
    </row>
    <row r="613" spans="2:9" x14ac:dyDescent="0.5">
      <c r="B613" s="91">
        <v>603</v>
      </c>
      <c r="C613" s="92">
        <v>17.994057393724617</v>
      </c>
      <c r="D613" s="92">
        <v>-2869.6144469674527</v>
      </c>
      <c r="E613" s="91">
        <v>1</v>
      </c>
      <c r="H613"/>
      <c r="I613"/>
    </row>
    <row r="614" spans="2:9" x14ac:dyDescent="0.5">
      <c r="B614" s="91">
        <v>604</v>
      </c>
      <c r="C614" s="92">
        <v>30.380157533777886</v>
      </c>
      <c r="D614" s="92">
        <v>-871.20367286950079</v>
      </c>
      <c r="E614" s="91">
        <v>1</v>
      </c>
      <c r="H614"/>
      <c r="I614"/>
    </row>
    <row r="615" spans="2:9" x14ac:dyDescent="0.5">
      <c r="B615" s="91">
        <v>605</v>
      </c>
      <c r="C615" s="92">
        <v>23.160947545184701</v>
      </c>
      <c r="D615" s="92">
        <v>-1901.6307004201481</v>
      </c>
      <c r="E615" s="91">
        <v>1</v>
      </c>
      <c r="H615"/>
      <c r="I615"/>
    </row>
    <row r="616" spans="2:9" x14ac:dyDescent="0.5">
      <c r="B616" s="91">
        <v>606</v>
      </c>
      <c r="C616" s="92">
        <v>68.138093156156884</v>
      </c>
      <c r="D616" s="92">
        <v>3855.4106687788762</v>
      </c>
      <c r="E616" s="91">
        <v>0</v>
      </c>
      <c r="H616"/>
      <c r="I616"/>
    </row>
    <row r="617" spans="2:9" x14ac:dyDescent="0.5">
      <c r="B617" s="91">
        <v>607</v>
      </c>
      <c r="C617" s="92">
        <v>18.630398458355621</v>
      </c>
      <c r="D617" s="92">
        <v>-2750.4000278938524</v>
      </c>
      <c r="E617" s="91">
        <v>1</v>
      </c>
      <c r="H617"/>
      <c r="I617"/>
    </row>
    <row r="618" spans="2:9" x14ac:dyDescent="0.5">
      <c r="B618" s="91">
        <v>608</v>
      </c>
      <c r="C618" s="92">
        <v>39.106428499526274</v>
      </c>
      <c r="D618" s="92">
        <v>253.31184640057097</v>
      </c>
      <c r="E618" s="91">
        <v>0</v>
      </c>
      <c r="H618"/>
      <c r="I618"/>
    </row>
    <row r="619" spans="2:9" x14ac:dyDescent="0.5">
      <c r="B619" s="91">
        <v>609</v>
      </c>
      <c r="C619" s="92">
        <v>22.945020431080543</v>
      </c>
      <c r="D619" s="92">
        <v>-1942.0832610058658</v>
      </c>
      <c r="E619" s="91">
        <v>1</v>
      </c>
      <c r="H619"/>
      <c r="I619"/>
    </row>
    <row r="620" spans="2:9" x14ac:dyDescent="0.5">
      <c r="B620" s="91">
        <v>610</v>
      </c>
      <c r="C620" s="92">
        <v>70.846890247727217</v>
      </c>
      <c r="D620" s="92">
        <v>4187.1333794915763</v>
      </c>
      <c r="E620" s="91">
        <v>0</v>
      </c>
      <c r="H620"/>
      <c r="I620"/>
    </row>
    <row r="621" spans="2:9" x14ac:dyDescent="0.5">
      <c r="B621" s="91">
        <v>611</v>
      </c>
      <c r="C621" s="92">
        <v>45.830606749571615</v>
      </c>
      <c r="D621" s="92">
        <v>1099.8456183588585</v>
      </c>
      <c r="E621" s="91">
        <v>0</v>
      </c>
      <c r="H621"/>
      <c r="I621"/>
    </row>
    <row r="622" spans="2:9" x14ac:dyDescent="0.5">
      <c r="B622" s="91">
        <v>612</v>
      </c>
      <c r="C622" s="92">
        <v>201.16743027291889</v>
      </c>
      <c r="D622" s="92">
        <v>20102.923168117053</v>
      </c>
      <c r="E622" s="91">
        <v>0</v>
      </c>
      <c r="H622"/>
      <c r="I622"/>
    </row>
    <row r="623" spans="2:9" x14ac:dyDescent="0.5">
      <c r="B623" s="91">
        <v>613</v>
      </c>
      <c r="C623" s="92">
        <v>23.899321688754014</v>
      </c>
      <c r="D623" s="92">
        <v>-1763.3010381098491</v>
      </c>
      <c r="E623" s="91">
        <v>1</v>
      </c>
      <c r="H623"/>
      <c r="I623"/>
    </row>
    <row r="624" spans="2:9" x14ac:dyDescent="0.5">
      <c r="B624" s="91">
        <v>614</v>
      </c>
      <c r="C624" s="92">
        <v>29.893831522044163</v>
      </c>
      <c r="D624" s="92">
        <v>-935.55594283370363</v>
      </c>
      <c r="E624" s="91">
        <v>1</v>
      </c>
      <c r="H624"/>
      <c r="I624"/>
    </row>
    <row r="625" spans="2:9" x14ac:dyDescent="0.5">
      <c r="B625" s="91">
        <v>615</v>
      </c>
      <c r="C625" s="92">
        <v>19.621376583003496</v>
      </c>
      <c r="D625" s="92">
        <v>-2564.7466290941898</v>
      </c>
      <c r="E625" s="91">
        <v>1</v>
      </c>
      <c r="H625"/>
      <c r="I625"/>
    </row>
    <row r="626" spans="2:9" x14ac:dyDescent="0.5">
      <c r="B626" s="91">
        <v>616</v>
      </c>
      <c r="C626" s="92">
        <v>9.9125717066920309</v>
      </c>
      <c r="D626" s="92">
        <v>-4383.6289825371005</v>
      </c>
      <c r="E626" s="91">
        <v>1</v>
      </c>
      <c r="H626"/>
      <c r="I626"/>
    </row>
    <row r="627" spans="2:9" x14ac:dyDescent="0.5">
      <c r="B627" s="91">
        <v>617</v>
      </c>
      <c r="C627" s="92">
        <v>18.43905307281911</v>
      </c>
      <c r="D627" s="92">
        <v>-2786.2473592182532</v>
      </c>
      <c r="E627" s="91">
        <v>1</v>
      </c>
      <c r="H627"/>
      <c r="I627"/>
    </row>
    <row r="628" spans="2:9" x14ac:dyDescent="0.5">
      <c r="B628" s="91">
        <v>618</v>
      </c>
      <c r="C628" s="92">
        <v>55.404791442716224</v>
      </c>
      <c r="D628" s="92">
        <v>2292.7391124768496</v>
      </c>
      <c r="E628" s="91">
        <v>0</v>
      </c>
      <c r="H628"/>
      <c r="I628"/>
    </row>
    <row r="629" spans="2:9" x14ac:dyDescent="0.5">
      <c r="B629" s="91">
        <v>619</v>
      </c>
      <c r="C629" s="92">
        <v>13.144070392802623</v>
      </c>
      <c r="D629" s="92">
        <v>-3778.2284198291659</v>
      </c>
      <c r="E629" s="91">
        <v>1</v>
      </c>
      <c r="H629"/>
      <c r="I629"/>
    </row>
    <row r="630" spans="2:9" x14ac:dyDescent="0.5">
      <c r="B630" s="91">
        <v>620</v>
      </c>
      <c r="C630" s="92">
        <v>15.963071300905597</v>
      </c>
      <c r="D630" s="92">
        <v>-3250.1066714357594</v>
      </c>
      <c r="E630" s="91">
        <v>1</v>
      </c>
      <c r="H630"/>
      <c r="I630"/>
    </row>
    <row r="631" spans="2:9" x14ac:dyDescent="0.5">
      <c r="B631" s="91">
        <v>621</v>
      </c>
      <c r="C631" s="92">
        <v>12.171016973398874</v>
      </c>
      <c r="D631" s="92">
        <v>-3960.5237400110627</v>
      </c>
      <c r="E631" s="91">
        <v>1</v>
      </c>
      <c r="H631"/>
      <c r="I631"/>
    </row>
    <row r="632" spans="2:9" x14ac:dyDescent="0.5">
      <c r="B632" s="91">
        <v>622</v>
      </c>
      <c r="C632" s="92">
        <v>64.836941003753608</v>
      </c>
      <c r="D632" s="92">
        <v>3451.147409682032</v>
      </c>
      <c r="E632" s="91">
        <v>0</v>
      </c>
      <c r="H632"/>
      <c r="I632"/>
    </row>
    <row r="633" spans="2:9" x14ac:dyDescent="0.5">
      <c r="B633" s="91">
        <v>623</v>
      </c>
      <c r="C633" s="92">
        <v>39.221237002104971</v>
      </c>
      <c r="D633" s="92">
        <v>267.80163440299316</v>
      </c>
      <c r="E633" s="91">
        <v>0</v>
      </c>
      <c r="H633"/>
      <c r="I633"/>
    </row>
    <row r="634" spans="2:9" x14ac:dyDescent="0.5">
      <c r="B634" s="91">
        <v>624</v>
      </c>
      <c r="C634" s="92">
        <v>44.694608817985326</v>
      </c>
      <c r="D634" s="92">
        <v>957.46732956950564</v>
      </c>
      <c r="E634" s="91">
        <v>0</v>
      </c>
      <c r="H634"/>
      <c r="I634"/>
    </row>
    <row r="635" spans="2:9" x14ac:dyDescent="0.5">
      <c r="B635" s="91">
        <v>625</v>
      </c>
      <c r="C635" s="92">
        <v>120.47072834380201</v>
      </c>
      <c r="D635" s="92">
        <v>10264.131224928233</v>
      </c>
      <c r="E635" s="91">
        <v>0</v>
      </c>
      <c r="H635"/>
      <c r="I635"/>
    </row>
    <row r="636" spans="2:9" x14ac:dyDescent="0.5">
      <c r="B636" s="91">
        <v>626</v>
      </c>
      <c r="C636" s="92">
        <v>77.799322682652502</v>
      </c>
      <c r="D636" s="92">
        <v>5038.5370304100397</v>
      </c>
      <c r="E636" s="91">
        <v>0</v>
      </c>
      <c r="H636"/>
      <c r="I636"/>
    </row>
    <row r="637" spans="2:9" x14ac:dyDescent="0.5">
      <c r="B637" s="91">
        <v>627</v>
      </c>
      <c r="C637" s="92">
        <v>14.979969904559598</v>
      </c>
      <c r="D637" s="92">
        <v>-3434.2844156833262</v>
      </c>
      <c r="E637" s="91">
        <v>1</v>
      </c>
      <c r="H637"/>
      <c r="I637"/>
    </row>
    <row r="638" spans="2:9" x14ac:dyDescent="0.5">
      <c r="B638" s="91">
        <v>628</v>
      </c>
      <c r="C638" s="92">
        <v>19.705231375339512</v>
      </c>
      <c r="D638" s="92">
        <v>-2549.036971317079</v>
      </c>
      <c r="E638" s="91">
        <v>1</v>
      </c>
      <c r="H638"/>
      <c r="I638"/>
    </row>
    <row r="639" spans="2:9" x14ac:dyDescent="0.5">
      <c r="B639" s="91">
        <v>629</v>
      </c>
      <c r="C639" s="92">
        <v>24.276211942370093</v>
      </c>
      <c r="D639" s="92">
        <v>-1700.2170058679533</v>
      </c>
      <c r="E639" s="91">
        <v>1</v>
      </c>
      <c r="H639"/>
      <c r="I639"/>
    </row>
    <row r="640" spans="2:9" x14ac:dyDescent="0.5">
      <c r="B640" s="91">
        <v>630</v>
      </c>
      <c r="C640" s="92">
        <v>43.73594014178984</v>
      </c>
      <c r="D640" s="92">
        <v>837.31428893670363</v>
      </c>
      <c r="E640" s="91">
        <v>0</v>
      </c>
      <c r="H640"/>
      <c r="I640"/>
    </row>
    <row r="641" spans="2:9" x14ac:dyDescent="0.5">
      <c r="B641" s="91">
        <v>631</v>
      </c>
      <c r="C641" s="92">
        <v>22.777984127277055</v>
      </c>
      <c r="D641" s="92">
        <v>-1973.3764417055606</v>
      </c>
      <c r="E641" s="91">
        <v>1</v>
      </c>
      <c r="H641"/>
      <c r="I641"/>
    </row>
    <row r="642" spans="2:9" x14ac:dyDescent="0.5">
      <c r="B642" s="91">
        <v>632</v>
      </c>
      <c r="C642" s="92">
        <v>23.179424467426838</v>
      </c>
      <c r="D642" s="92">
        <v>-1898.1691674878957</v>
      </c>
      <c r="E642" s="91">
        <v>1</v>
      </c>
      <c r="H642"/>
      <c r="I642"/>
    </row>
    <row r="643" spans="2:9" x14ac:dyDescent="0.5">
      <c r="B643" s="91">
        <v>633</v>
      </c>
      <c r="C643" s="92">
        <v>55.636030063569009</v>
      </c>
      <c r="D643" s="92">
        <v>2321.4034678745702</v>
      </c>
      <c r="E643" s="91">
        <v>0</v>
      </c>
      <c r="H643"/>
      <c r="I643"/>
    </row>
    <row r="644" spans="2:9" x14ac:dyDescent="0.5">
      <c r="B644" s="91">
        <v>634</v>
      </c>
      <c r="C644" s="92">
        <v>57.745647058797495</v>
      </c>
      <c r="D644" s="92">
        <v>2582.738602982638</v>
      </c>
      <c r="E644" s="91">
        <v>0</v>
      </c>
      <c r="H644"/>
      <c r="I644"/>
    </row>
    <row r="645" spans="2:9" x14ac:dyDescent="0.5">
      <c r="B645" s="91">
        <v>635</v>
      </c>
      <c r="C645" s="92">
        <v>31.722909119367227</v>
      </c>
      <c r="D645" s="92">
        <v>-696.49044629588025</v>
      </c>
      <c r="E645" s="91">
        <v>1</v>
      </c>
      <c r="H645"/>
      <c r="I645"/>
    </row>
    <row r="646" spans="2:9" x14ac:dyDescent="0.5">
      <c r="B646" s="91">
        <v>636</v>
      </c>
      <c r="C646" s="92">
        <v>13.142442284080389</v>
      </c>
      <c r="D646" s="92">
        <v>-3778.5334355609775</v>
      </c>
      <c r="E646" s="91">
        <v>1</v>
      </c>
      <c r="H646"/>
      <c r="I646"/>
    </row>
    <row r="647" spans="2:9" x14ac:dyDescent="0.5">
      <c r="B647" s="91">
        <v>637</v>
      </c>
      <c r="C647" s="92">
        <v>78.141016090755031</v>
      </c>
      <c r="D647" s="92">
        <v>5080.3812364309206</v>
      </c>
      <c r="E647" s="91">
        <v>0</v>
      </c>
      <c r="H647"/>
      <c r="I647"/>
    </row>
    <row r="648" spans="2:9" x14ac:dyDescent="0.5">
      <c r="B648" s="91">
        <v>638</v>
      </c>
      <c r="C648" s="92">
        <v>80.274924347150403</v>
      </c>
      <c r="D648" s="92">
        <v>5341.7023347983586</v>
      </c>
      <c r="E648" s="91">
        <v>0</v>
      </c>
      <c r="H648"/>
      <c r="I648"/>
    </row>
    <row r="649" spans="2:9" x14ac:dyDescent="0.5">
      <c r="B649" s="91">
        <v>639</v>
      </c>
      <c r="C649" s="92">
        <v>12.765229260340613</v>
      </c>
      <c r="D649" s="92">
        <v>-3849.2018773630316</v>
      </c>
      <c r="E649" s="91">
        <v>1</v>
      </c>
      <c r="H649"/>
      <c r="I649"/>
    </row>
    <row r="650" spans="2:9" x14ac:dyDescent="0.5">
      <c r="B650" s="91">
        <v>640</v>
      </c>
      <c r="C650" s="92">
        <v>11.736331608058016</v>
      </c>
      <c r="D650" s="92">
        <v>-4041.9592565747403</v>
      </c>
      <c r="E650" s="91">
        <v>1</v>
      </c>
      <c r="H650"/>
      <c r="I650"/>
    </row>
    <row r="651" spans="2:9" x14ac:dyDescent="0.5">
      <c r="B651" s="91">
        <v>641</v>
      </c>
      <c r="C651" s="92">
        <v>22.023853450063331</v>
      </c>
      <c r="D651" s="92">
        <v>-2114.6579895838945</v>
      </c>
      <c r="E651" s="91">
        <v>1</v>
      </c>
      <c r="H651"/>
      <c r="I651"/>
    </row>
    <row r="652" spans="2:9" x14ac:dyDescent="0.5">
      <c r="B652" s="91">
        <v>642</v>
      </c>
      <c r="C652" s="92">
        <v>47.228781494176857</v>
      </c>
      <c r="D652" s="92">
        <v>1275.0833736665693</v>
      </c>
      <c r="E652" s="91">
        <v>0</v>
      </c>
      <c r="H652"/>
      <c r="I652"/>
    </row>
    <row r="653" spans="2:9" x14ac:dyDescent="0.5">
      <c r="B653" s="91">
        <v>643</v>
      </c>
      <c r="C653" s="92">
        <v>8.2019462090132826</v>
      </c>
      <c r="D653" s="92">
        <v>-4704.1037032381992</v>
      </c>
      <c r="E653" s="91">
        <v>1</v>
      </c>
      <c r="H653"/>
      <c r="I653"/>
    </row>
    <row r="654" spans="2:9" x14ac:dyDescent="0.5">
      <c r="B654" s="91">
        <v>644</v>
      </c>
      <c r="C654" s="92">
        <v>61.850914950583068</v>
      </c>
      <c r="D654" s="92">
        <v>3085.4748904302337</v>
      </c>
      <c r="E654" s="91">
        <v>0</v>
      </c>
      <c r="H654"/>
      <c r="I654"/>
    </row>
    <row r="655" spans="2:9" x14ac:dyDescent="0.5">
      <c r="B655" s="91">
        <v>645</v>
      </c>
      <c r="C655" s="92">
        <v>70.801477129119974</v>
      </c>
      <c r="D655" s="92">
        <v>4181.572031669255</v>
      </c>
      <c r="E655" s="91">
        <v>0</v>
      </c>
      <c r="H655"/>
      <c r="I655"/>
    </row>
    <row r="656" spans="2:9" x14ac:dyDescent="0.5">
      <c r="B656" s="91">
        <v>646</v>
      </c>
      <c r="C656" s="92">
        <v>16.343731444990514</v>
      </c>
      <c r="D656" s="92">
        <v>-3178.7924337354607</v>
      </c>
      <c r="E656" s="91">
        <v>1</v>
      </c>
      <c r="H656"/>
      <c r="I656"/>
    </row>
    <row r="657" spans="2:9" x14ac:dyDescent="0.5">
      <c r="B657" s="91">
        <v>647</v>
      </c>
      <c r="C657" s="92">
        <v>20.556469234226103</v>
      </c>
      <c r="D657" s="92">
        <v>-2389.5630154763289</v>
      </c>
      <c r="E657" s="91">
        <v>1</v>
      </c>
      <c r="H657"/>
      <c r="I657"/>
    </row>
    <row r="658" spans="2:9" x14ac:dyDescent="0.5">
      <c r="B658" s="91">
        <v>648</v>
      </c>
      <c r="C658" s="92">
        <v>28.962044960197012</v>
      </c>
      <c r="D658" s="92">
        <v>-1059.6674719425043</v>
      </c>
      <c r="E658" s="91">
        <v>1</v>
      </c>
      <c r="H658"/>
      <c r="I658"/>
    </row>
    <row r="659" spans="2:9" x14ac:dyDescent="0.5">
      <c r="B659" s="91">
        <v>649</v>
      </c>
      <c r="C659" s="92">
        <v>53.598500918464516</v>
      </c>
      <c r="D659" s="92">
        <v>2068.8312144460533</v>
      </c>
      <c r="E659" s="91">
        <v>0</v>
      </c>
      <c r="H659"/>
      <c r="I659"/>
    </row>
    <row r="660" spans="2:9" x14ac:dyDescent="0.5">
      <c r="B660" s="91">
        <v>650</v>
      </c>
      <c r="C660" s="92">
        <v>66.351087301657472</v>
      </c>
      <c r="D660" s="92">
        <v>3636.5716763867385</v>
      </c>
      <c r="E660" s="91">
        <v>0</v>
      </c>
      <c r="H660"/>
      <c r="I660"/>
    </row>
    <row r="661" spans="2:9" x14ac:dyDescent="0.5">
      <c r="B661" s="91">
        <v>651</v>
      </c>
      <c r="C661" s="92">
        <v>38.84474554962312</v>
      </c>
      <c r="D661" s="92">
        <v>220.28528144432079</v>
      </c>
      <c r="E661" s="91">
        <v>0</v>
      </c>
      <c r="H661"/>
      <c r="I661"/>
    </row>
    <row r="662" spans="2:9" x14ac:dyDescent="0.5">
      <c r="B662" s="91">
        <v>652</v>
      </c>
      <c r="C662" s="92">
        <v>10.684538251366128</v>
      </c>
      <c r="D662" s="92">
        <v>-4239.0059992302758</v>
      </c>
      <c r="E662" s="91">
        <v>1</v>
      </c>
      <c r="H662"/>
      <c r="I662"/>
    </row>
    <row r="663" spans="2:9" x14ac:dyDescent="0.5">
      <c r="B663" s="91">
        <v>653</v>
      </c>
      <c r="C663" s="92">
        <v>14.120675224645522</v>
      </c>
      <c r="D663" s="92">
        <v>-3595.2677652937959</v>
      </c>
      <c r="E663" s="91">
        <v>1</v>
      </c>
      <c r="H663"/>
      <c r="I663"/>
    </row>
    <row r="664" spans="2:9" x14ac:dyDescent="0.5">
      <c r="B664" s="91">
        <v>654</v>
      </c>
      <c r="C664" s="92">
        <v>57.299604510804777</v>
      </c>
      <c r="D664" s="92">
        <v>2527.6202711502301</v>
      </c>
      <c r="E664" s="91">
        <v>0</v>
      </c>
      <c r="H664"/>
      <c r="I664"/>
    </row>
    <row r="665" spans="2:9" x14ac:dyDescent="0.5">
      <c r="B665" s="91">
        <v>655</v>
      </c>
      <c r="C665" s="92">
        <v>73.235223439160663</v>
      </c>
      <c r="D665" s="92">
        <v>4479.6116765234601</v>
      </c>
      <c r="E665" s="91">
        <v>0</v>
      </c>
      <c r="H665"/>
      <c r="I665"/>
    </row>
    <row r="666" spans="2:9" x14ac:dyDescent="0.5">
      <c r="B666" s="91">
        <v>656</v>
      </c>
      <c r="C666" s="92">
        <v>28.545108690587362</v>
      </c>
      <c r="D666" s="92">
        <v>-1115.4484292803127</v>
      </c>
      <c r="E666" s="91">
        <v>1</v>
      </c>
      <c r="H666"/>
      <c r="I666"/>
    </row>
    <row r="667" spans="2:9" x14ac:dyDescent="0.5">
      <c r="B667" s="91">
        <v>657</v>
      </c>
      <c r="C667" s="92">
        <v>10.783551670562355</v>
      </c>
      <c r="D667" s="92">
        <v>-4220.456469888155</v>
      </c>
      <c r="E667" s="91">
        <v>1</v>
      </c>
      <c r="H667"/>
      <c r="I667"/>
    </row>
    <row r="668" spans="2:9" x14ac:dyDescent="0.5">
      <c r="B668" s="91">
        <v>658</v>
      </c>
      <c r="C668" s="92">
        <v>11.486686053112427</v>
      </c>
      <c r="D668" s="92">
        <v>-4088.7287508936447</v>
      </c>
      <c r="E668" s="91">
        <v>1</v>
      </c>
      <c r="H668"/>
      <c r="I668"/>
    </row>
    <row r="669" spans="2:9" x14ac:dyDescent="0.5">
      <c r="B669" s="91">
        <v>659</v>
      </c>
      <c r="C669" s="92">
        <v>22.356641513445698</v>
      </c>
      <c r="D669" s="92">
        <v>-2052.3122793101707</v>
      </c>
      <c r="E669" s="91">
        <v>1</v>
      </c>
      <c r="H669"/>
      <c r="I669"/>
    </row>
    <row r="670" spans="2:9" x14ac:dyDescent="0.5">
      <c r="B670" s="91">
        <v>660</v>
      </c>
      <c r="C670" s="92">
        <v>22.819427223847676</v>
      </c>
      <c r="D670" s="92">
        <v>-1965.6123432418819</v>
      </c>
      <c r="E670" s="91">
        <v>1</v>
      </c>
      <c r="H670"/>
      <c r="I670"/>
    </row>
    <row r="671" spans="2:9" x14ac:dyDescent="0.5">
      <c r="B671" s="91">
        <v>661</v>
      </c>
      <c r="C671" s="92">
        <v>22.165171779157966</v>
      </c>
      <c r="D671" s="92">
        <v>-2088.1829065759512</v>
      </c>
      <c r="E671" s="91">
        <v>1</v>
      </c>
      <c r="H671"/>
      <c r="I671"/>
    </row>
    <row r="672" spans="2:9" x14ac:dyDescent="0.5">
      <c r="B672" s="91">
        <v>662</v>
      </c>
      <c r="C672" s="92">
        <v>39.72735481298735</v>
      </c>
      <c r="D672" s="92">
        <v>331.67791202370967</v>
      </c>
      <c r="E672" s="91">
        <v>0</v>
      </c>
      <c r="H672"/>
      <c r="I672"/>
    </row>
    <row r="673" spans="2:9" x14ac:dyDescent="0.5">
      <c r="B673" s="91">
        <v>663</v>
      </c>
      <c r="C673" s="92">
        <v>35.278627984399634</v>
      </c>
      <c r="D673" s="92">
        <v>-235.90414631993724</v>
      </c>
      <c r="E673" s="91">
        <v>1</v>
      </c>
      <c r="H673"/>
      <c r="I673"/>
    </row>
    <row r="674" spans="2:9" x14ac:dyDescent="0.5">
      <c r="B674" s="91">
        <v>664</v>
      </c>
      <c r="C674" s="92">
        <v>100.70936184754358</v>
      </c>
      <c r="D674" s="92">
        <v>7844.1293422011158</v>
      </c>
      <c r="E674" s="91">
        <v>0</v>
      </c>
      <c r="H674"/>
      <c r="I674"/>
    </row>
    <row r="675" spans="2:9" x14ac:dyDescent="0.5">
      <c r="B675" s="91">
        <v>665</v>
      </c>
      <c r="C675" s="92">
        <v>67.671326559218102</v>
      </c>
      <c r="D675" s="92">
        <v>3798.2498421933342</v>
      </c>
      <c r="E675" s="91">
        <v>0</v>
      </c>
      <c r="H675"/>
      <c r="I675"/>
    </row>
    <row r="676" spans="2:9" x14ac:dyDescent="0.5">
      <c r="B676" s="91">
        <v>666</v>
      </c>
      <c r="C676" s="92">
        <v>30.578182147266837</v>
      </c>
      <c r="D676" s="92">
        <v>-845.00039959327091</v>
      </c>
      <c r="E676" s="91">
        <v>1</v>
      </c>
      <c r="H676"/>
      <c r="I676"/>
    </row>
    <row r="677" spans="2:9" x14ac:dyDescent="0.5">
      <c r="B677" s="91">
        <v>667</v>
      </c>
      <c r="C677" s="92">
        <v>25.959247484473202</v>
      </c>
      <c r="D677" s="92">
        <v>-1465.2758500070497</v>
      </c>
      <c r="E677" s="91">
        <v>1</v>
      </c>
      <c r="H677"/>
      <c r="I677"/>
    </row>
    <row r="678" spans="2:9" x14ac:dyDescent="0.5">
      <c r="B678" s="91">
        <v>668</v>
      </c>
      <c r="C678" s="92">
        <v>40.100601490674066</v>
      </c>
      <c r="D678" s="92">
        <v>378.78474741320196</v>
      </c>
      <c r="E678" s="91">
        <v>0</v>
      </c>
      <c r="H678"/>
      <c r="I678"/>
    </row>
    <row r="679" spans="2:9" x14ac:dyDescent="0.5">
      <c r="B679" s="91">
        <v>669</v>
      </c>
      <c r="C679" s="92">
        <v>42.589092137928404</v>
      </c>
      <c r="D679" s="92">
        <v>692.85296635899931</v>
      </c>
      <c r="E679" s="91">
        <v>0</v>
      </c>
      <c r="H679"/>
      <c r="I679"/>
    </row>
    <row r="680" spans="2:9" x14ac:dyDescent="0.5">
      <c r="B680" s="91">
        <v>670</v>
      </c>
      <c r="C680" s="92">
        <v>18.868831024948499</v>
      </c>
      <c r="D680" s="92">
        <v>-2705.7312150598423</v>
      </c>
      <c r="E680" s="91">
        <v>1</v>
      </c>
      <c r="H680"/>
      <c r="I680"/>
    </row>
    <row r="681" spans="2:9" x14ac:dyDescent="0.5">
      <c r="B681" s="91">
        <v>671</v>
      </c>
      <c r="C681" s="92">
        <v>18.490647819151569</v>
      </c>
      <c r="D681" s="92">
        <v>-2776.5814142507693</v>
      </c>
      <c r="E681" s="91">
        <v>1</v>
      </c>
      <c r="H681"/>
      <c r="I681"/>
    </row>
    <row r="682" spans="2:9" x14ac:dyDescent="0.5">
      <c r="B682" s="91">
        <v>672</v>
      </c>
      <c r="C682" s="92">
        <v>33.729780086656866</v>
      </c>
      <c r="D682" s="92">
        <v>-436.40001377400176</v>
      </c>
      <c r="E682" s="91">
        <v>1</v>
      </c>
      <c r="H682"/>
      <c r="I682"/>
    </row>
    <row r="683" spans="2:9" x14ac:dyDescent="0.5">
      <c r="B683" s="91">
        <v>673</v>
      </c>
      <c r="C683" s="92">
        <v>26.028191496971136</v>
      </c>
      <c r="D683" s="92">
        <v>-1455.8453648332491</v>
      </c>
      <c r="E683" s="91">
        <v>1</v>
      </c>
      <c r="H683"/>
      <c r="I683"/>
    </row>
    <row r="684" spans="2:9" x14ac:dyDescent="0.5">
      <c r="B684" s="91">
        <v>674</v>
      </c>
      <c r="C684" s="92">
        <v>9.2750318696365017</v>
      </c>
      <c r="D684" s="92">
        <v>-4503.0679839394779</v>
      </c>
      <c r="E684" s="91">
        <v>1</v>
      </c>
      <c r="H684"/>
      <c r="I684"/>
    </row>
    <row r="685" spans="2:9" x14ac:dyDescent="0.5">
      <c r="B685" s="91">
        <v>675</v>
      </c>
      <c r="C685" s="92">
        <v>59.401101759083971</v>
      </c>
      <c r="D685" s="92">
        <v>2785.4676749939904</v>
      </c>
      <c r="E685" s="91">
        <v>0</v>
      </c>
      <c r="H685"/>
      <c r="I685"/>
    </row>
    <row r="686" spans="2:9" x14ac:dyDescent="0.5">
      <c r="B686" s="91">
        <v>676</v>
      </c>
      <c r="C686" s="92">
        <v>10.611108563301441</v>
      </c>
      <c r="D686" s="92">
        <v>-4252.7625805542602</v>
      </c>
      <c r="E686" s="91">
        <v>1</v>
      </c>
      <c r="H686"/>
      <c r="I686"/>
    </row>
    <row r="687" spans="2:9" x14ac:dyDescent="0.5">
      <c r="B687" s="91">
        <v>677</v>
      </c>
      <c r="C687" s="92">
        <v>71.474950792194235</v>
      </c>
      <c r="D687" s="92">
        <v>4264.0464664668398</v>
      </c>
      <c r="E687" s="91">
        <v>0</v>
      </c>
      <c r="H687"/>
      <c r="I687"/>
    </row>
    <row r="688" spans="2:9" x14ac:dyDescent="0.5">
      <c r="B688" s="91">
        <v>678</v>
      </c>
      <c r="C688" s="92">
        <v>25.596367625870499</v>
      </c>
      <c r="D688" s="92">
        <v>-1514.9122579043446</v>
      </c>
      <c r="E688" s="91">
        <v>1</v>
      </c>
      <c r="H688"/>
      <c r="I688"/>
    </row>
    <row r="689" spans="2:9" x14ac:dyDescent="0.5">
      <c r="B689" s="91">
        <v>679</v>
      </c>
      <c r="C689" s="92">
        <v>41.207860565387939</v>
      </c>
      <c r="D689" s="92">
        <v>518.53005282178469</v>
      </c>
      <c r="E689" s="91">
        <v>0</v>
      </c>
      <c r="H689"/>
      <c r="I689"/>
    </row>
    <row r="690" spans="2:9" x14ac:dyDescent="0.5">
      <c r="B690" s="91">
        <v>680</v>
      </c>
      <c r="C690" s="92">
        <v>10.714011567556376</v>
      </c>
      <c r="D690" s="92">
        <v>-4233.4843623863126</v>
      </c>
      <c r="E690" s="91">
        <v>1</v>
      </c>
      <c r="H690"/>
      <c r="I690"/>
    </row>
    <row r="691" spans="2:9" x14ac:dyDescent="0.5">
      <c r="B691" s="91">
        <v>681</v>
      </c>
      <c r="C691" s="92">
        <v>66.894856596033705</v>
      </c>
      <c r="D691" s="92">
        <v>3703.1623504885933</v>
      </c>
      <c r="E691" s="91">
        <v>0</v>
      </c>
      <c r="H691"/>
      <c r="I691"/>
    </row>
    <row r="692" spans="2:9" x14ac:dyDescent="0.5">
      <c r="B692" s="91">
        <v>682</v>
      </c>
      <c r="C692" s="92">
        <v>52.109235101573631</v>
      </c>
      <c r="D692" s="92">
        <v>1883.5290761282233</v>
      </c>
      <c r="E692" s="91">
        <v>0</v>
      </c>
      <c r="H692"/>
      <c r="I692"/>
    </row>
    <row r="693" spans="2:9" x14ac:dyDescent="0.5">
      <c r="B693" s="91">
        <v>683</v>
      </c>
      <c r="C693" s="92">
        <v>40.21074834517912</v>
      </c>
      <c r="D693" s="92">
        <v>392.68619665314719</v>
      </c>
      <c r="E693" s="91">
        <v>0</v>
      </c>
      <c r="H693"/>
      <c r="I693"/>
    </row>
    <row r="694" spans="2:9" x14ac:dyDescent="0.5">
      <c r="B694" s="91">
        <v>684</v>
      </c>
      <c r="C694" s="92">
        <v>20.147201112716104</v>
      </c>
      <c r="D694" s="92">
        <v>-2466.2367743503542</v>
      </c>
      <c r="E694" s="91">
        <v>1</v>
      </c>
      <c r="H694"/>
      <c r="I694"/>
    </row>
    <row r="695" spans="2:9" x14ac:dyDescent="0.5">
      <c r="B695" s="91">
        <v>685</v>
      </c>
      <c r="C695" s="92">
        <v>36.151588574671337</v>
      </c>
      <c r="D695" s="92">
        <v>-123.77706960864357</v>
      </c>
      <c r="E695" s="91">
        <v>1</v>
      </c>
      <c r="H695"/>
      <c r="I695"/>
    </row>
    <row r="696" spans="2:9" x14ac:dyDescent="0.5">
      <c r="B696" s="91">
        <v>686</v>
      </c>
      <c r="C696" s="92">
        <v>45.452325247413356</v>
      </c>
      <c r="D696" s="92">
        <v>1052.4343762602477</v>
      </c>
      <c r="E696" s="91">
        <v>0</v>
      </c>
      <c r="H696"/>
      <c r="I696"/>
    </row>
    <row r="697" spans="2:9" x14ac:dyDescent="0.5">
      <c r="B697" s="91">
        <v>687</v>
      </c>
      <c r="C697" s="92">
        <v>55.687945421896551</v>
      </c>
      <c r="D697" s="92">
        <v>2327.8388992753148</v>
      </c>
      <c r="E697" s="91">
        <v>0</v>
      </c>
      <c r="H697"/>
      <c r="I697"/>
    </row>
    <row r="698" spans="2:9" x14ac:dyDescent="0.5">
      <c r="B698" s="91">
        <v>688</v>
      </c>
      <c r="C698" s="92">
        <v>23.47887804695382</v>
      </c>
      <c r="D698" s="92">
        <v>-1842.0684590674518</v>
      </c>
      <c r="E698" s="91">
        <v>1</v>
      </c>
      <c r="H698"/>
      <c r="I698"/>
    </row>
    <row r="699" spans="2:9" x14ac:dyDescent="0.5">
      <c r="B699" s="91">
        <v>689</v>
      </c>
      <c r="C699" s="92">
        <v>21.341259891485635</v>
      </c>
      <c r="D699" s="92">
        <v>-2242.5375168880273</v>
      </c>
      <c r="E699" s="91">
        <v>1</v>
      </c>
      <c r="H699"/>
      <c r="I699"/>
    </row>
    <row r="700" spans="2:9" x14ac:dyDescent="0.5">
      <c r="B700" s="91">
        <v>690</v>
      </c>
      <c r="C700" s="92">
        <v>26.029427886980972</v>
      </c>
      <c r="D700" s="92">
        <v>-1455.6762456126771</v>
      </c>
      <c r="E700" s="91">
        <v>1</v>
      </c>
      <c r="H700"/>
      <c r="I700"/>
    </row>
    <row r="701" spans="2:9" x14ac:dyDescent="0.5">
      <c r="B701" s="91">
        <v>691</v>
      </c>
      <c r="C701" s="92">
        <v>37.670435185610636</v>
      </c>
      <c r="D701" s="92">
        <v>71.310580802325561</v>
      </c>
      <c r="E701" s="91">
        <v>0</v>
      </c>
      <c r="H701"/>
      <c r="I701"/>
    </row>
    <row r="702" spans="2:9" x14ac:dyDescent="0.5">
      <c r="B702" s="91">
        <v>692</v>
      </c>
      <c r="C702" s="92">
        <v>50.82997072649087</v>
      </c>
      <c r="D702" s="92">
        <v>1724.1486233751227</v>
      </c>
      <c r="E702" s="91">
        <v>0</v>
      </c>
      <c r="H702"/>
      <c r="I702"/>
    </row>
    <row r="703" spans="2:9" x14ac:dyDescent="0.5">
      <c r="B703" s="91">
        <v>693</v>
      </c>
      <c r="C703" s="92">
        <v>48.249136297871324</v>
      </c>
      <c r="D703" s="92">
        <v>1402.608707368656</v>
      </c>
      <c r="E703" s="91">
        <v>0</v>
      </c>
      <c r="H703"/>
      <c r="I703"/>
    </row>
    <row r="704" spans="2:9" x14ac:dyDescent="0.5">
      <c r="B704" s="91">
        <v>694</v>
      </c>
      <c r="C704" s="92">
        <v>79.876435183086315</v>
      </c>
      <c r="D704" s="92">
        <v>5292.9028488182776</v>
      </c>
      <c r="E704" s="91">
        <v>0</v>
      </c>
      <c r="H704"/>
      <c r="I704"/>
    </row>
    <row r="705" spans="2:9" x14ac:dyDescent="0.5">
      <c r="B705" s="91">
        <v>695</v>
      </c>
      <c r="C705" s="92">
        <v>18.034310689290258</v>
      </c>
      <c r="D705" s="92">
        <v>-2862.0732500946124</v>
      </c>
      <c r="E705" s="91">
        <v>1</v>
      </c>
      <c r="H705"/>
      <c r="I705"/>
    </row>
    <row r="706" spans="2:9" x14ac:dyDescent="0.5">
      <c r="B706" s="91">
        <v>696</v>
      </c>
      <c r="C706" s="92">
        <v>142.97128448674198</v>
      </c>
      <c r="D706" s="92">
        <v>13014.023622402199</v>
      </c>
      <c r="E706" s="91">
        <v>0</v>
      </c>
      <c r="H706"/>
      <c r="I706"/>
    </row>
    <row r="707" spans="2:9" x14ac:dyDescent="0.5">
      <c r="B707" s="91">
        <v>697</v>
      </c>
      <c r="C707" s="92">
        <v>32.577446884366879</v>
      </c>
      <c r="D707" s="92">
        <v>-585.74237104458211</v>
      </c>
      <c r="E707" s="91">
        <v>1</v>
      </c>
      <c r="H707"/>
      <c r="I707"/>
    </row>
    <row r="708" spans="2:9" x14ac:dyDescent="0.5">
      <c r="B708" s="91">
        <v>698</v>
      </c>
      <c r="C708" s="92">
        <v>44.320510372812997</v>
      </c>
      <c r="D708" s="92">
        <v>910.58036350961493</v>
      </c>
      <c r="E708" s="91">
        <v>0</v>
      </c>
      <c r="H708"/>
      <c r="I708"/>
    </row>
    <row r="709" spans="2:9" x14ac:dyDescent="0.5">
      <c r="B709" s="91">
        <v>699</v>
      </c>
      <c r="C709" s="92">
        <v>26.363969414572644</v>
      </c>
      <c r="D709" s="92">
        <v>-1409.9160874543684</v>
      </c>
      <c r="E709" s="91">
        <v>1</v>
      </c>
      <c r="H709"/>
      <c r="I709"/>
    </row>
    <row r="710" spans="2:9" x14ac:dyDescent="0.5">
      <c r="B710" s="91">
        <v>700</v>
      </c>
      <c r="C710" s="92">
        <v>194.27621140343209</v>
      </c>
      <c r="D710" s="92">
        <v>19263.500597199476</v>
      </c>
      <c r="E710" s="91">
        <v>0</v>
      </c>
      <c r="H710"/>
      <c r="I710"/>
    </row>
    <row r="711" spans="2:9" x14ac:dyDescent="0.5">
      <c r="B711" s="91">
        <v>701</v>
      </c>
      <c r="C711" s="92">
        <v>64.077465276299208</v>
      </c>
      <c r="D711" s="92">
        <v>3358.1410535338809</v>
      </c>
      <c r="E711" s="91">
        <v>0</v>
      </c>
      <c r="H711"/>
      <c r="I711"/>
    </row>
    <row r="712" spans="2:9" x14ac:dyDescent="0.5">
      <c r="B712" s="91">
        <v>702</v>
      </c>
      <c r="C712" s="92">
        <v>17.415012616051669</v>
      </c>
      <c r="D712" s="92">
        <v>-2978.0947739881699</v>
      </c>
      <c r="E712" s="91">
        <v>1</v>
      </c>
      <c r="H712"/>
      <c r="I712"/>
    </row>
    <row r="713" spans="2:9" x14ac:dyDescent="0.5">
      <c r="B713" s="91">
        <v>703</v>
      </c>
      <c r="C713" s="92">
        <v>100.77222692650628</v>
      </c>
      <c r="D713" s="92">
        <v>7851.8278791153698</v>
      </c>
      <c r="E713" s="91">
        <v>0</v>
      </c>
      <c r="H713"/>
      <c r="I713"/>
    </row>
    <row r="714" spans="2:9" x14ac:dyDescent="0.5">
      <c r="B714" s="91">
        <v>704</v>
      </c>
      <c r="C714" s="92">
        <v>32.895708897269472</v>
      </c>
      <c r="D714" s="92">
        <v>-544.49562128322987</v>
      </c>
      <c r="E714" s="91">
        <v>1</v>
      </c>
      <c r="H714"/>
      <c r="I714"/>
    </row>
    <row r="715" spans="2:9" x14ac:dyDescent="0.5">
      <c r="B715" s="91">
        <v>705</v>
      </c>
      <c r="C715" s="92">
        <v>25.11865072896709</v>
      </c>
      <c r="D715" s="92">
        <v>-1581.2750048964401</v>
      </c>
      <c r="E715" s="91">
        <v>1</v>
      </c>
      <c r="H715"/>
      <c r="I715"/>
    </row>
    <row r="716" spans="2:9" x14ac:dyDescent="0.5">
      <c r="B716" s="91">
        <v>706</v>
      </c>
      <c r="C716" s="92">
        <v>116.65974963344911</v>
      </c>
      <c r="D716" s="92">
        <v>9797.4339620727933</v>
      </c>
      <c r="E716" s="91">
        <v>0</v>
      </c>
      <c r="H716"/>
      <c r="I716"/>
    </row>
    <row r="717" spans="2:9" x14ac:dyDescent="0.5">
      <c r="B717" s="91">
        <v>707</v>
      </c>
      <c r="C717" s="92">
        <v>38.187266454073132</v>
      </c>
      <c r="D717" s="92">
        <v>137.30595067556305</v>
      </c>
      <c r="E717" s="91">
        <v>0</v>
      </c>
      <c r="H717"/>
      <c r="I717"/>
    </row>
    <row r="718" spans="2:9" x14ac:dyDescent="0.5">
      <c r="B718" s="91">
        <v>708</v>
      </c>
      <c r="C718" s="92">
        <v>10.366262850907686</v>
      </c>
      <c r="D718" s="92">
        <v>-4298.6328551413781</v>
      </c>
      <c r="E718" s="91">
        <v>1</v>
      </c>
      <c r="H718"/>
      <c r="I718"/>
    </row>
    <row r="719" spans="2:9" x14ac:dyDescent="0.5">
      <c r="B719" s="91">
        <v>709</v>
      </c>
      <c r="C719" s="92">
        <v>56.649746087232138</v>
      </c>
      <c r="D719" s="92">
        <v>2447.0637761201556</v>
      </c>
      <c r="E719" s="91">
        <v>0</v>
      </c>
      <c r="H719"/>
      <c r="I719"/>
    </row>
    <row r="720" spans="2:9" x14ac:dyDescent="0.5">
      <c r="B720" s="91">
        <v>710</v>
      </c>
      <c r="C720" s="92">
        <v>33.391999255764574</v>
      </c>
      <c r="D720" s="92">
        <v>-480.17640191071683</v>
      </c>
      <c r="E720" s="91">
        <v>1</v>
      </c>
      <c r="H720"/>
      <c r="I720"/>
    </row>
    <row r="721" spans="2:9" x14ac:dyDescent="0.5">
      <c r="B721" s="91">
        <v>711</v>
      </c>
      <c r="C721" s="92">
        <v>17.661764126940376</v>
      </c>
      <c r="D721" s="92">
        <v>-2931.867460270505</v>
      </c>
      <c r="E721" s="91">
        <v>1</v>
      </c>
      <c r="H721"/>
      <c r="I721"/>
    </row>
    <row r="722" spans="2:9" x14ac:dyDescent="0.5">
      <c r="B722" s="91">
        <v>712</v>
      </c>
      <c r="C722" s="92">
        <v>12.085488232172132</v>
      </c>
      <c r="D722" s="92">
        <v>-3976.5470013816844</v>
      </c>
      <c r="E722" s="91">
        <v>1</v>
      </c>
      <c r="H722"/>
      <c r="I722"/>
    </row>
    <row r="723" spans="2:9" x14ac:dyDescent="0.5">
      <c r="B723" s="91">
        <v>713</v>
      </c>
      <c r="C723" s="92">
        <v>26.733158672381112</v>
      </c>
      <c r="D723" s="92">
        <v>-1359.4166503612125</v>
      </c>
      <c r="E723" s="91">
        <v>1</v>
      </c>
      <c r="H723"/>
      <c r="I723"/>
    </row>
    <row r="724" spans="2:9" x14ac:dyDescent="0.5">
      <c r="B724" s="91">
        <v>714</v>
      </c>
      <c r="C724" s="92">
        <v>20.282728024702745</v>
      </c>
      <c r="D724" s="92">
        <v>-2440.8466762106168</v>
      </c>
      <c r="E724" s="91">
        <v>1</v>
      </c>
      <c r="H724"/>
      <c r="I724"/>
    </row>
    <row r="725" spans="2:9" x14ac:dyDescent="0.5">
      <c r="B725" s="91">
        <v>715</v>
      </c>
      <c r="C725" s="92">
        <v>23.978539282662055</v>
      </c>
      <c r="D725" s="92">
        <v>-1748.4601297305805</v>
      </c>
      <c r="E725" s="91">
        <v>1</v>
      </c>
      <c r="H725"/>
      <c r="I725"/>
    </row>
    <row r="726" spans="2:9" x14ac:dyDescent="0.5">
      <c r="B726" s="91">
        <v>716</v>
      </c>
      <c r="C726" s="92">
        <v>37.627594161667275</v>
      </c>
      <c r="D726" s="92">
        <v>65.807882477086409</v>
      </c>
      <c r="E726" s="91">
        <v>0</v>
      </c>
      <c r="H726"/>
      <c r="I726"/>
    </row>
    <row r="727" spans="2:9" x14ac:dyDescent="0.5">
      <c r="B727" s="91">
        <v>717</v>
      </c>
      <c r="C727" s="92">
        <v>32.930189844864657</v>
      </c>
      <c r="D727" s="92">
        <v>-540.02689124529047</v>
      </c>
      <c r="E727" s="91">
        <v>1</v>
      </c>
      <c r="H727"/>
      <c r="I727"/>
    </row>
    <row r="728" spans="2:9" x14ac:dyDescent="0.5">
      <c r="B728" s="91">
        <v>718</v>
      </c>
      <c r="C728" s="92">
        <v>66.972668973744831</v>
      </c>
      <c r="D728" s="92">
        <v>3712.6913524731513</v>
      </c>
      <c r="E728" s="91">
        <v>0</v>
      </c>
      <c r="H728"/>
      <c r="I728"/>
    </row>
    <row r="729" spans="2:9" x14ac:dyDescent="0.5">
      <c r="B729" s="91">
        <v>719</v>
      </c>
      <c r="C729" s="92">
        <v>44.019374823293489</v>
      </c>
      <c r="D729" s="92">
        <v>872.83807275177958</v>
      </c>
      <c r="E729" s="91">
        <v>0</v>
      </c>
      <c r="H729"/>
      <c r="I729"/>
    </row>
    <row r="730" spans="2:9" x14ac:dyDescent="0.5">
      <c r="B730" s="91">
        <v>720</v>
      </c>
      <c r="C730" s="92">
        <v>132.56825718322284</v>
      </c>
      <c r="D730" s="92">
        <v>11745.609875369086</v>
      </c>
      <c r="E730" s="91">
        <v>0</v>
      </c>
      <c r="H730"/>
      <c r="I730"/>
    </row>
    <row r="731" spans="2:9" x14ac:dyDescent="0.5">
      <c r="B731" s="91">
        <v>721</v>
      </c>
      <c r="C731" s="92">
        <v>35.29171617907177</v>
      </c>
      <c r="D731" s="92">
        <v>-234.22303834740183</v>
      </c>
      <c r="E731" s="91">
        <v>1</v>
      </c>
      <c r="H731"/>
      <c r="I731"/>
    </row>
    <row r="732" spans="2:9" x14ac:dyDescent="0.5">
      <c r="B732" s="91">
        <v>722</v>
      </c>
      <c r="C732" s="92">
        <v>39.578764133563681</v>
      </c>
      <c r="D732" s="92">
        <v>312.92453230334451</v>
      </c>
      <c r="E732" s="91">
        <v>0</v>
      </c>
      <c r="H732"/>
      <c r="I732"/>
    </row>
    <row r="733" spans="2:9" x14ac:dyDescent="0.5">
      <c r="B733" s="91">
        <v>723</v>
      </c>
      <c r="C733" s="92">
        <v>25.36985867814462</v>
      </c>
      <c r="D733" s="92">
        <v>-1546.1260693587242</v>
      </c>
      <c r="E733" s="91">
        <v>1</v>
      </c>
      <c r="H733"/>
      <c r="I733"/>
    </row>
    <row r="734" spans="2:9" x14ac:dyDescent="0.5">
      <c r="B734" s="91">
        <v>724</v>
      </c>
      <c r="C734" s="92">
        <v>24.330985362629153</v>
      </c>
      <c r="D734" s="92">
        <v>-1692.3801291587808</v>
      </c>
      <c r="E734" s="91">
        <v>1</v>
      </c>
      <c r="H734"/>
      <c r="I734"/>
    </row>
    <row r="735" spans="2:9" x14ac:dyDescent="0.5">
      <c r="B735" s="91">
        <v>725</v>
      </c>
      <c r="C735" s="92">
        <v>61.480076929566223</v>
      </c>
      <c r="D735" s="92">
        <v>3040.0615983273078</v>
      </c>
      <c r="E735" s="91">
        <v>0</v>
      </c>
      <c r="H735"/>
      <c r="I735"/>
    </row>
    <row r="736" spans="2:9" x14ac:dyDescent="0.5">
      <c r="B736" s="91">
        <v>726</v>
      </c>
      <c r="C736" s="92">
        <v>21.88308769486968</v>
      </c>
      <c r="D736" s="92">
        <v>-2141.0295514138688</v>
      </c>
      <c r="E736" s="91">
        <v>1</v>
      </c>
      <c r="H736"/>
      <c r="I736"/>
    </row>
    <row r="737" spans="2:9" x14ac:dyDescent="0.5">
      <c r="B737" s="91">
        <v>727</v>
      </c>
      <c r="C737" s="92">
        <v>32.635429207733722</v>
      </c>
      <c r="D737" s="92">
        <v>-578.22786323171943</v>
      </c>
      <c r="E737" s="91">
        <v>1</v>
      </c>
      <c r="H737"/>
      <c r="I737"/>
    </row>
    <row r="738" spans="2:9" x14ac:dyDescent="0.5">
      <c r="B738" s="91">
        <v>728</v>
      </c>
      <c r="C738" s="92">
        <v>37.068785345760709</v>
      </c>
      <c r="D738" s="92">
        <v>-5.9680942008539475</v>
      </c>
      <c r="E738" s="91">
        <v>1</v>
      </c>
      <c r="H738"/>
      <c r="I738"/>
    </row>
    <row r="739" spans="2:9" x14ac:dyDescent="0.5">
      <c r="B739" s="91">
        <v>729</v>
      </c>
      <c r="C739" s="92">
        <v>80.623346527638333</v>
      </c>
      <c r="D739" s="92">
        <v>5384.3705547782038</v>
      </c>
      <c r="E739" s="91">
        <v>0</v>
      </c>
      <c r="H739"/>
      <c r="I739"/>
    </row>
    <row r="740" spans="2:9" x14ac:dyDescent="0.5">
      <c r="B740" s="91">
        <v>730</v>
      </c>
      <c r="C740" s="92">
        <v>37.804313670787046</v>
      </c>
      <c r="D740" s="92">
        <v>88.506549720801914</v>
      </c>
      <c r="E740" s="91">
        <v>0</v>
      </c>
      <c r="H740"/>
      <c r="I740"/>
    </row>
    <row r="741" spans="2:9" x14ac:dyDescent="0.5">
      <c r="B741" s="91">
        <v>731</v>
      </c>
      <c r="C741" s="92">
        <v>11.020239386864136</v>
      </c>
      <c r="D741" s="92">
        <v>-4176.1145435704875</v>
      </c>
      <c r="E741" s="91">
        <v>1</v>
      </c>
      <c r="H741"/>
      <c r="I741"/>
    </row>
    <row r="742" spans="2:9" x14ac:dyDescent="0.5">
      <c r="B742" s="91">
        <v>732</v>
      </c>
      <c r="C742" s="92">
        <v>42.299744872953205</v>
      </c>
      <c r="D742" s="92">
        <v>656.33493472891746</v>
      </c>
      <c r="E742" s="91">
        <v>0</v>
      </c>
      <c r="H742"/>
      <c r="I742"/>
    </row>
    <row r="743" spans="2:9" x14ac:dyDescent="0.5">
      <c r="B743" s="91">
        <v>733</v>
      </c>
      <c r="C743" s="92">
        <v>86.683328377846181</v>
      </c>
      <c r="D743" s="92">
        <v>6126.4835806953033</v>
      </c>
      <c r="E743" s="91">
        <v>0</v>
      </c>
      <c r="H743"/>
      <c r="I743"/>
    </row>
    <row r="744" spans="2:9" x14ac:dyDescent="0.5">
      <c r="B744" s="91">
        <v>734</v>
      </c>
      <c r="C744" s="92">
        <v>13.860089685777353</v>
      </c>
      <c r="D744" s="92">
        <v>-3644.0867954677547</v>
      </c>
      <c r="E744" s="91">
        <v>1</v>
      </c>
      <c r="H744"/>
      <c r="I744"/>
    </row>
    <row r="745" spans="2:9" x14ac:dyDescent="0.5">
      <c r="B745" s="91">
        <v>735</v>
      </c>
      <c r="C745" s="92">
        <v>9.2648702268694478</v>
      </c>
      <c r="D745" s="92">
        <v>-4504.9717025687478</v>
      </c>
      <c r="E745" s="91">
        <v>1</v>
      </c>
      <c r="H745"/>
      <c r="I745"/>
    </row>
    <row r="746" spans="2:9" x14ac:dyDescent="0.5">
      <c r="B746" s="91">
        <v>736</v>
      </c>
      <c r="C746" s="92">
        <v>32.053176530858757</v>
      </c>
      <c r="D746" s="92">
        <v>-653.68779714563448</v>
      </c>
      <c r="E746" s="91">
        <v>1</v>
      </c>
      <c r="H746"/>
      <c r="I746"/>
    </row>
    <row r="747" spans="2:9" x14ac:dyDescent="0.5">
      <c r="B747" s="91">
        <v>737</v>
      </c>
      <c r="C747" s="92">
        <v>12.131522779930901</v>
      </c>
      <c r="D747" s="92">
        <v>-3967.9227239722741</v>
      </c>
      <c r="E747" s="91">
        <v>1</v>
      </c>
      <c r="H747"/>
      <c r="I747"/>
    </row>
    <row r="748" spans="2:9" x14ac:dyDescent="0.5">
      <c r="B748" s="91">
        <v>738</v>
      </c>
      <c r="C748" s="92">
        <v>23.62483621349341</v>
      </c>
      <c r="D748" s="92">
        <v>-1814.7241322587527</v>
      </c>
      <c r="E748" s="91">
        <v>1</v>
      </c>
      <c r="H748"/>
      <c r="I748"/>
    </row>
    <row r="749" spans="2:9" x14ac:dyDescent="0.5">
      <c r="B749" s="91">
        <v>739</v>
      </c>
      <c r="C749" s="92">
        <v>40.773481694876587</v>
      </c>
      <c r="D749" s="92">
        <v>463.70782620031395</v>
      </c>
      <c r="E749" s="91">
        <v>0</v>
      </c>
      <c r="H749"/>
      <c r="I749"/>
    </row>
    <row r="750" spans="2:9" x14ac:dyDescent="0.5">
      <c r="B750" s="91">
        <v>740</v>
      </c>
      <c r="C750" s="92">
        <v>34.209248728219734</v>
      </c>
      <c r="D750" s="92">
        <v>-374.26088854006468</v>
      </c>
      <c r="E750" s="91">
        <v>1</v>
      </c>
      <c r="H750"/>
      <c r="I750"/>
    </row>
    <row r="751" spans="2:9" x14ac:dyDescent="0.5">
      <c r="B751" s="91">
        <v>741</v>
      </c>
      <c r="C751" s="92">
        <v>24.859068965665184</v>
      </c>
      <c r="D751" s="92">
        <v>-1617.5956018159964</v>
      </c>
      <c r="E751" s="91">
        <v>1</v>
      </c>
      <c r="H751"/>
      <c r="I751"/>
    </row>
    <row r="752" spans="2:9" x14ac:dyDescent="0.5">
      <c r="B752" s="91">
        <v>742</v>
      </c>
      <c r="C752" s="92">
        <v>11.997372095596775</v>
      </c>
      <c r="D752" s="92">
        <v>-3993.054994683881</v>
      </c>
      <c r="E752" s="91">
        <v>1</v>
      </c>
      <c r="H752"/>
      <c r="I752"/>
    </row>
    <row r="753" spans="2:9" x14ac:dyDescent="0.5">
      <c r="B753" s="91">
        <v>743</v>
      </c>
      <c r="C753" s="92">
        <v>102.29260845550834</v>
      </c>
      <c r="D753" s="92">
        <v>8038.0157200900894</v>
      </c>
      <c r="E753" s="91">
        <v>0</v>
      </c>
      <c r="H753"/>
      <c r="I753"/>
    </row>
    <row r="754" spans="2:9" x14ac:dyDescent="0.5">
      <c r="B754" s="91">
        <v>744</v>
      </c>
      <c r="C754" s="92">
        <v>52.295989342753515</v>
      </c>
      <c r="D754" s="92">
        <v>1906.7963351034359</v>
      </c>
      <c r="E754" s="91">
        <v>0</v>
      </c>
      <c r="H754"/>
      <c r="I754"/>
    </row>
    <row r="755" spans="2:9" x14ac:dyDescent="0.5">
      <c r="B755" s="91">
        <v>745</v>
      </c>
      <c r="C755" s="92">
        <v>72.653583929158316</v>
      </c>
      <c r="D755" s="92">
        <v>4408.383368018548</v>
      </c>
      <c r="E755" s="91">
        <v>0</v>
      </c>
      <c r="H755"/>
      <c r="I755"/>
    </row>
    <row r="756" spans="2:9" x14ac:dyDescent="0.5">
      <c r="B756" s="91">
        <v>746</v>
      </c>
      <c r="C756" s="92">
        <v>36.325862135681206</v>
      </c>
      <c r="D756" s="92">
        <v>-101.39257119959004</v>
      </c>
      <c r="E756" s="91">
        <v>1</v>
      </c>
      <c r="H756"/>
      <c r="I756"/>
    </row>
    <row r="757" spans="2:9" x14ac:dyDescent="0.5">
      <c r="B757" s="91">
        <v>747</v>
      </c>
      <c r="C757" s="92">
        <v>13.88818786420326</v>
      </c>
      <c r="D757" s="92">
        <v>-3638.8227818683604</v>
      </c>
      <c r="E757" s="91">
        <v>1</v>
      </c>
      <c r="H757"/>
      <c r="I757"/>
    </row>
    <row r="758" spans="2:9" x14ac:dyDescent="0.5">
      <c r="B758" s="91">
        <v>748</v>
      </c>
      <c r="C758" s="92">
        <v>31.654979276059503</v>
      </c>
      <c r="D758" s="92">
        <v>-705.29415247082738</v>
      </c>
      <c r="E758" s="91">
        <v>1</v>
      </c>
      <c r="H758"/>
      <c r="I758"/>
    </row>
    <row r="759" spans="2:9" x14ac:dyDescent="0.5">
      <c r="B759" s="91">
        <v>749</v>
      </c>
      <c r="C759" s="92">
        <v>68.880602110918971</v>
      </c>
      <c r="D759" s="92">
        <v>3946.3392525287004</v>
      </c>
      <c r="E759" s="91">
        <v>0</v>
      </c>
      <c r="H759"/>
      <c r="I759"/>
    </row>
    <row r="760" spans="2:9" x14ac:dyDescent="0.5">
      <c r="B760" s="91">
        <v>750</v>
      </c>
      <c r="C760" s="92">
        <v>26.831880333277031</v>
      </c>
      <c r="D760" s="92">
        <v>-1345.9130388700792</v>
      </c>
      <c r="E760" s="91">
        <v>1</v>
      </c>
      <c r="H760"/>
      <c r="I760"/>
    </row>
    <row r="761" spans="2:9" x14ac:dyDescent="0.5">
      <c r="B761" s="91">
        <v>751</v>
      </c>
      <c r="C761" s="92">
        <v>27.517785510456356</v>
      </c>
      <c r="D761" s="92">
        <v>-1252.8916661967826</v>
      </c>
      <c r="E761" s="91">
        <v>1</v>
      </c>
      <c r="H761"/>
      <c r="I761"/>
    </row>
    <row r="762" spans="2:9" x14ac:dyDescent="0.5">
      <c r="B762" s="91">
        <v>752</v>
      </c>
      <c r="C762" s="92">
        <v>32.049012376553385</v>
      </c>
      <c r="D762" s="92">
        <v>-654.22747145057247</v>
      </c>
      <c r="E762" s="91">
        <v>1</v>
      </c>
      <c r="H762"/>
      <c r="I762"/>
    </row>
    <row r="763" spans="2:9" x14ac:dyDescent="0.5">
      <c r="B763" s="91">
        <v>753</v>
      </c>
      <c r="C763" s="92">
        <v>22.062644147898656</v>
      </c>
      <c r="D763" s="92">
        <v>-2107.3908010195682</v>
      </c>
      <c r="E763" s="91">
        <v>1</v>
      </c>
      <c r="H763"/>
      <c r="I763"/>
    </row>
    <row r="764" spans="2:9" x14ac:dyDescent="0.5">
      <c r="B764" s="91">
        <v>754</v>
      </c>
      <c r="C764" s="92">
        <v>21.450327804960104</v>
      </c>
      <c r="D764" s="92">
        <v>-2222.1043424991194</v>
      </c>
      <c r="E764" s="91">
        <v>1</v>
      </c>
      <c r="H764"/>
      <c r="I764"/>
    </row>
    <row r="765" spans="2:9" x14ac:dyDescent="0.5">
      <c r="B765" s="91">
        <v>755</v>
      </c>
      <c r="C765" s="92">
        <v>34.411505789655699</v>
      </c>
      <c r="D765" s="92">
        <v>-348.04837789692698</v>
      </c>
      <c r="E765" s="91">
        <v>1</v>
      </c>
      <c r="H765"/>
      <c r="I765"/>
    </row>
    <row r="766" spans="2:9" x14ac:dyDescent="0.5">
      <c r="B766" s="91">
        <v>756</v>
      </c>
      <c r="C766" s="92">
        <v>24.714248309677867</v>
      </c>
      <c r="D766" s="92">
        <v>-1637.8588614719663</v>
      </c>
      <c r="E766" s="91">
        <v>1</v>
      </c>
      <c r="H766"/>
      <c r="I766"/>
    </row>
    <row r="767" spans="2:9" x14ac:dyDescent="0.5">
      <c r="B767" s="91">
        <v>757</v>
      </c>
      <c r="C767" s="92">
        <v>24.875439926760915</v>
      </c>
      <c r="D767" s="92">
        <v>-1615.304982199347</v>
      </c>
      <c r="E767" s="91">
        <v>1</v>
      </c>
      <c r="H767"/>
      <c r="I767"/>
    </row>
    <row r="768" spans="2:9" x14ac:dyDescent="0.5">
      <c r="B768" s="91">
        <v>758</v>
      </c>
      <c r="C768" s="92">
        <v>18.381344803269847</v>
      </c>
      <c r="D768" s="92">
        <v>-2797.0586335685061</v>
      </c>
      <c r="E768" s="91">
        <v>1</v>
      </c>
      <c r="H768"/>
      <c r="I768"/>
    </row>
    <row r="769" spans="2:9" x14ac:dyDescent="0.5">
      <c r="B769" s="91">
        <v>759</v>
      </c>
      <c r="C769" s="92">
        <v>37.436322745447285</v>
      </c>
      <c r="D769" s="92">
        <v>41.240101298669813</v>
      </c>
      <c r="E769" s="91">
        <v>0</v>
      </c>
      <c r="H769"/>
      <c r="I769"/>
    </row>
    <row r="770" spans="2:9" x14ac:dyDescent="0.5">
      <c r="B770" s="91">
        <v>760</v>
      </c>
      <c r="C770" s="92">
        <v>29.954401912635259</v>
      </c>
      <c r="D770" s="92">
        <v>-927.54106796970052</v>
      </c>
      <c r="E770" s="91">
        <v>1</v>
      </c>
      <c r="H770"/>
      <c r="I770"/>
    </row>
    <row r="771" spans="2:9" x14ac:dyDescent="0.5">
      <c r="B771" s="91">
        <v>761</v>
      </c>
      <c r="C771" s="92">
        <v>42.036034363297034</v>
      </c>
      <c r="D771" s="92">
        <v>623.05247486659675</v>
      </c>
      <c r="E771" s="91">
        <v>0</v>
      </c>
      <c r="H771"/>
      <c r="I771"/>
    </row>
    <row r="772" spans="2:9" x14ac:dyDescent="0.5">
      <c r="B772" s="91">
        <v>762</v>
      </c>
      <c r="C772" s="92">
        <v>211.06203533372573</v>
      </c>
      <c r="D772" s="92">
        <v>21308.189605834334</v>
      </c>
      <c r="E772" s="91">
        <v>0</v>
      </c>
      <c r="H772"/>
      <c r="I772"/>
    </row>
    <row r="773" spans="2:9" x14ac:dyDescent="0.5">
      <c r="B773" s="91">
        <v>763</v>
      </c>
      <c r="C773" s="92">
        <v>34.84723440625153</v>
      </c>
      <c r="D773" s="92">
        <v>-291.57795892144827</v>
      </c>
      <c r="E773" s="91">
        <v>1</v>
      </c>
      <c r="H773"/>
      <c r="I773"/>
    </row>
    <row r="774" spans="2:9" x14ac:dyDescent="0.5">
      <c r="B774" s="91">
        <v>764</v>
      </c>
      <c r="C774" s="92">
        <v>62.744323845599041</v>
      </c>
      <c r="D774" s="92">
        <v>3194.8828713202779</v>
      </c>
      <c r="E774" s="91">
        <v>0</v>
      </c>
      <c r="H774"/>
      <c r="I774"/>
    </row>
    <row r="775" spans="2:9" x14ac:dyDescent="0.5">
      <c r="B775" s="91">
        <v>765</v>
      </c>
      <c r="C775" s="92">
        <v>24.652556209800025</v>
      </c>
      <c r="D775" s="92">
        <v>-1646.4908002656719</v>
      </c>
      <c r="E775" s="91">
        <v>1</v>
      </c>
      <c r="H775"/>
      <c r="I775"/>
    </row>
    <row r="776" spans="2:9" x14ac:dyDescent="0.5">
      <c r="B776" s="91">
        <v>766</v>
      </c>
      <c r="C776" s="92">
        <v>83.992528511801282</v>
      </c>
      <c r="D776" s="92">
        <v>5796.9648329354541</v>
      </c>
      <c r="E776" s="91">
        <v>0</v>
      </c>
      <c r="H776"/>
      <c r="I776"/>
    </row>
    <row r="777" spans="2:9" x14ac:dyDescent="0.5">
      <c r="B777" s="91">
        <v>767</v>
      </c>
      <c r="C777" s="92">
        <v>47.238171686456198</v>
      </c>
      <c r="D777" s="92">
        <v>1276.2602767849298</v>
      </c>
      <c r="E777" s="91">
        <v>0</v>
      </c>
      <c r="H777"/>
      <c r="I777"/>
    </row>
    <row r="778" spans="2:9" x14ac:dyDescent="0.5">
      <c r="B778" s="91">
        <v>768</v>
      </c>
      <c r="C778" s="92">
        <v>35.723181846276646</v>
      </c>
      <c r="D778" s="92">
        <v>-178.8036018870306</v>
      </c>
      <c r="E778" s="91">
        <v>1</v>
      </c>
      <c r="H778"/>
      <c r="I778"/>
    </row>
    <row r="779" spans="2:9" x14ac:dyDescent="0.5">
      <c r="B779" s="91">
        <v>769</v>
      </c>
      <c r="C779" s="92">
        <v>23.421675016258462</v>
      </c>
      <c r="D779" s="92">
        <v>-1852.7850801573554</v>
      </c>
      <c r="E779" s="91">
        <v>1</v>
      </c>
      <c r="H779"/>
      <c r="I779"/>
    </row>
    <row r="780" spans="2:9" x14ac:dyDescent="0.5">
      <c r="B780" s="91">
        <v>770</v>
      </c>
      <c r="C780" s="92">
        <v>58.835777733790238</v>
      </c>
      <c r="D780" s="92">
        <v>2716.2373813389067</v>
      </c>
      <c r="E780" s="91">
        <v>0</v>
      </c>
      <c r="H780"/>
      <c r="I780"/>
    </row>
    <row r="781" spans="2:9" x14ac:dyDescent="0.5">
      <c r="B781" s="91">
        <v>771</v>
      </c>
      <c r="C781" s="92">
        <v>21.66510900045812</v>
      </c>
      <c r="D781" s="92">
        <v>-2181.8664624181338</v>
      </c>
      <c r="E781" s="91">
        <v>1</v>
      </c>
      <c r="H781"/>
      <c r="I781"/>
    </row>
    <row r="782" spans="2:9" x14ac:dyDescent="0.5">
      <c r="B782" s="91">
        <v>772</v>
      </c>
      <c r="C782" s="92">
        <v>34.796994918512354</v>
      </c>
      <c r="D782" s="92">
        <v>-298.08899540996089</v>
      </c>
      <c r="E782" s="91">
        <v>1</v>
      </c>
      <c r="H782"/>
      <c r="I782"/>
    </row>
    <row r="783" spans="2:9" x14ac:dyDescent="0.5">
      <c r="B783" s="91">
        <v>773</v>
      </c>
      <c r="C783" s="92">
        <v>16.691299854732133</v>
      </c>
      <c r="D783" s="92">
        <v>-3113.677720323542</v>
      </c>
      <c r="E783" s="91">
        <v>1</v>
      </c>
      <c r="H783"/>
      <c r="I783"/>
    </row>
    <row r="784" spans="2:9" x14ac:dyDescent="0.5">
      <c r="B784" s="91">
        <v>774</v>
      </c>
      <c r="C784" s="92">
        <v>43.069725671352749</v>
      </c>
      <c r="D784" s="92">
        <v>753.5129161863224</v>
      </c>
      <c r="E784" s="91">
        <v>0</v>
      </c>
      <c r="H784"/>
      <c r="I784"/>
    </row>
    <row r="785" spans="2:9" x14ac:dyDescent="0.5">
      <c r="B785" s="91">
        <v>775</v>
      </c>
      <c r="C785" s="92">
        <v>22.334007116470385</v>
      </c>
      <c r="D785" s="92">
        <v>-2056.5526884814035</v>
      </c>
      <c r="E785" s="91">
        <v>1</v>
      </c>
      <c r="H785"/>
      <c r="I785"/>
    </row>
    <row r="786" spans="2:9" x14ac:dyDescent="0.5">
      <c r="B786" s="91">
        <v>776</v>
      </c>
      <c r="C786" s="92">
        <v>41.889150448277107</v>
      </c>
      <c r="D786" s="92">
        <v>604.51450301084799</v>
      </c>
      <c r="E786" s="91">
        <v>0</v>
      </c>
      <c r="H786"/>
      <c r="I786"/>
    </row>
    <row r="787" spans="2:9" x14ac:dyDescent="0.5">
      <c r="B787" s="91">
        <v>777</v>
      </c>
      <c r="C787" s="92">
        <v>27.676038116418361</v>
      </c>
      <c r="D787" s="92">
        <v>-1231.7194091752767</v>
      </c>
      <c r="E787" s="91">
        <v>1</v>
      </c>
      <c r="H787"/>
      <c r="I787"/>
    </row>
    <row r="788" spans="2:9" x14ac:dyDescent="0.5">
      <c r="B788" s="91">
        <v>778</v>
      </c>
      <c r="C788" s="92">
        <v>37.305403896176244</v>
      </c>
      <c r="D788" s="92">
        <v>24.424281639961336</v>
      </c>
      <c r="E788" s="91">
        <v>0</v>
      </c>
      <c r="H788"/>
      <c r="I788"/>
    </row>
    <row r="789" spans="2:9" x14ac:dyDescent="0.5">
      <c r="B789" s="91">
        <v>779</v>
      </c>
      <c r="C789" s="92">
        <v>14.806575973338054</v>
      </c>
      <c r="D789" s="92">
        <v>-3466.768657123017</v>
      </c>
      <c r="E789" s="91">
        <v>1</v>
      </c>
      <c r="H789"/>
      <c r="I789"/>
    </row>
    <row r="790" spans="2:9" x14ac:dyDescent="0.5">
      <c r="B790" s="91">
        <v>780</v>
      </c>
      <c r="C790" s="92">
        <v>40.106813523120138</v>
      </c>
      <c r="D790" s="92">
        <v>379.56875757957533</v>
      </c>
      <c r="E790" s="91">
        <v>0</v>
      </c>
      <c r="H790"/>
      <c r="I790"/>
    </row>
    <row r="791" spans="2:9" x14ac:dyDescent="0.5">
      <c r="B791" s="91">
        <v>781</v>
      </c>
      <c r="C791" s="92">
        <v>89.264515620741662</v>
      </c>
      <c r="D791" s="92">
        <v>6442.5790282778862</v>
      </c>
      <c r="E791" s="91">
        <v>0</v>
      </c>
      <c r="H791"/>
      <c r="I791"/>
    </row>
    <row r="792" spans="2:9" x14ac:dyDescent="0.5">
      <c r="B792" s="91">
        <v>782</v>
      </c>
      <c r="C792" s="92">
        <v>18.099453415330075</v>
      </c>
      <c r="D792" s="92">
        <v>-2849.869177980846</v>
      </c>
      <c r="E792" s="91">
        <v>1</v>
      </c>
      <c r="H792"/>
      <c r="I792"/>
    </row>
    <row r="793" spans="2:9" x14ac:dyDescent="0.5">
      <c r="B793" s="91">
        <v>783</v>
      </c>
      <c r="C793" s="92">
        <v>78.907281341733182</v>
      </c>
      <c r="D793" s="92">
        <v>5174.2190461991167</v>
      </c>
      <c r="E793" s="91">
        <v>0</v>
      </c>
      <c r="H793"/>
      <c r="I793"/>
    </row>
    <row r="794" spans="2:9" x14ac:dyDescent="0.5">
      <c r="B794" s="91">
        <v>784</v>
      </c>
      <c r="C794" s="92">
        <v>72.907285091428605</v>
      </c>
      <c r="D794" s="92">
        <v>4439.4519325563479</v>
      </c>
      <c r="E794" s="91">
        <v>0</v>
      </c>
      <c r="H794"/>
      <c r="I794"/>
    </row>
    <row r="795" spans="2:9" x14ac:dyDescent="0.5">
      <c r="B795" s="91">
        <v>785</v>
      </c>
      <c r="C795" s="92">
        <v>63.884911862644991</v>
      </c>
      <c r="D795" s="92">
        <v>3334.5607194685736</v>
      </c>
      <c r="E795" s="91">
        <v>0</v>
      </c>
      <c r="H795"/>
      <c r="I795"/>
    </row>
    <row r="796" spans="2:9" x14ac:dyDescent="0.5">
      <c r="B796" s="91">
        <v>786</v>
      </c>
      <c r="C796" s="92">
        <v>57.21834731756261</v>
      </c>
      <c r="D796" s="92">
        <v>2517.5476238687138</v>
      </c>
      <c r="E796" s="91">
        <v>0</v>
      </c>
      <c r="H796"/>
      <c r="I796"/>
    </row>
    <row r="797" spans="2:9" x14ac:dyDescent="0.5">
      <c r="B797" s="91">
        <v>787</v>
      </c>
      <c r="C797" s="92">
        <v>25.804401079768343</v>
      </c>
      <c r="D797" s="92">
        <v>-1486.4564670160937</v>
      </c>
      <c r="E797" s="91">
        <v>1</v>
      </c>
      <c r="H797"/>
      <c r="I797"/>
    </row>
    <row r="798" spans="2:9" x14ac:dyDescent="0.5">
      <c r="B798" s="91">
        <v>788</v>
      </c>
      <c r="C798" s="92">
        <v>36.673231144653606</v>
      </c>
      <c r="D798" s="92">
        <v>-56.774896644486226</v>
      </c>
      <c r="E798" s="91">
        <v>1</v>
      </c>
      <c r="H798"/>
      <c r="I798"/>
    </row>
    <row r="799" spans="2:9" x14ac:dyDescent="0.5">
      <c r="B799" s="91">
        <v>789</v>
      </c>
      <c r="C799" s="92">
        <v>15.202193720982612</v>
      </c>
      <c r="D799" s="92">
        <v>-3392.652208284374</v>
      </c>
      <c r="E799" s="91">
        <v>1</v>
      </c>
      <c r="H799"/>
      <c r="I799"/>
    </row>
    <row r="800" spans="2:9" x14ac:dyDescent="0.5">
      <c r="B800" s="91">
        <v>790</v>
      </c>
      <c r="C800" s="92">
        <v>17.9875947140101</v>
      </c>
      <c r="D800" s="92">
        <v>-2870.8251885817344</v>
      </c>
      <c r="E800" s="91">
        <v>1</v>
      </c>
      <c r="H800"/>
      <c r="I800"/>
    </row>
    <row r="801" spans="2:9" x14ac:dyDescent="0.5">
      <c r="B801" s="91">
        <v>791</v>
      </c>
      <c r="C801" s="92">
        <v>37.618953612693794</v>
      </c>
      <c r="D801" s="92">
        <v>64.698050591919824</v>
      </c>
      <c r="E801" s="91">
        <v>0</v>
      </c>
      <c r="H801"/>
      <c r="I801"/>
    </row>
    <row r="802" spans="2:9" x14ac:dyDescent="0.5">
      <c r="B802" s="91">
        <v>792</v>
      </c>
      <c r="C802" s="92">
        <v>38.185976205777557</v>
      </c>
      <c r="D802" s="92">
        <v>137.14311060837741</v>
      </c>
      <c r="E802" s="91">
        <v>0</v>
      </c>
      <c r="H802"/>
      <c r="I802"/>
    </row>
    <row r="803" spans="2:9" x14ac:dyDescent="0.5">
      <c r="B803" s="91">
        <v>793</v>
      </c>
      <c r="C803" s="92">
        <v>26.260287724913102</v>
      </c>
      <c r="D803" s="92">
        <v>-1424.0981549277142</v>
      </c>
      <c r="E803" s="91">
        <v>1</v>
      </c>
      <c r="H803"/>
      <c r="I803"/>
    </row>
    <row r="804" spans="2:9" x14ac:dyDescent="0.5">
      <c r="B804" s="91">
        <v>794</v>
      </c>
      <c r="C804" s="92">
        <v>8.8750644759758828</v>
      </c>
      <c r="D804" s="92">
        <v>-4577.9993110750011</v>
      </c>
      <c r="E804" s="91">
        <v>1</v>
      </c>
      <c r="H804"/>
      <c r="I804"/>
    </row>
    <row r="805" spans="2:9" x14ac:dyDescent="0.5">
      <c r="B805" s="91">
        <v>795</v>
      </c>
      <c r="C805" s="92">
        <v>70.504584378928072</v>
      </c>
      <c r="D805" s="92">
        <v>4145.2141707607761</v>
      </c>
      <c r="E805" s="91">
        <v>0</v>
      </c>
      <c r="H805"/>
      <c r="I805"/>
    </row>
    <row r="806" spans="2:9" x14ac:dyDescent="0.5">
      <c r="B806" s="91">
        <v>796</v>
      </c>
      <c r="C806" s="92">
        <v>23.849871722154333</v>
      </c>
      <c r="D806" s="92">
        <v>-1772.565172343915</v>
      </c>
      <c r="E806" s="91">
        <v>1</v>
      </c>
      <c r="H806"/>
      <c r="I806"/>
    </row>
    <row r="807" spans="2:9" x14ac:dyDescent="0.5">
      <c r="B807" s="91">
        <v>797</v>
      </c>
      <c r="C807" s="92">
        <v>14.582464206995997</v>
      </c>
      <c r="D807" s="92">
        <v>-3508.7545598362412</v>
      </c>
      <c r="E807" s="91">
        <v>1</v>
      </c>
      <c r="H807"/>
      <c r="I807"/>
    </row>
    <row r="808" spans="2:9" x14ac:dyDescent="0.5">
      <c r="B808" s="91">
        <v>798</v>
      </c>
      <c r="C808" s="92">
        <v>56.78911466561059</v>
      </c>
      <c r="D808" s="92">
        <v>2464.3399147131918</v>
      </c>
      <c r="E808" s="91">
        <v>0</v>
      </c>
      <c r="H808"/>
      <c r="I808"/>
    </row>
    <row r="809" spans="2:9" x14ac:dyDescent="0.5">
      <c r="B809" s="91">
        <v>799</v>
      </c>
      <c r="C809" s="92">
        <v>25.089338105666339</v>
      </c>
      <c r="D809" s="92">
        <v>-1585.3764177307587</v>
      </c>
      <c r="E809" s="91">
        <v>1</v>
      </c>
      <c r="H809"/>
      <c r="I809"/>
    </row>
    <row r="810" spans="2:9" x14ac:dyDescent="0.5">
      <c r="B810" s="91">
        <v>800</v>
      </c>
      <c r="C810" s="92">
        <v>26.453222710875703</v>
      </c>
      <c r="D810" s="92">
        <v>-1397.707603250986</v>
      </c>
      <c r="E810" s="91">
        <v>1</v>
      </c>
      <c r="H810"/>
      <c r="I810"/>
    </row>
    <row r="811" spans="2:9" x14ac:dyDescent="0.5">
      <c r="B811" s="91">
        <v>801</v>
      </c>
      <c r="C811" s="92">
        <v>35.688729958531802</v>
      </c>
      <c r="D811" s="92">
        <v>-183.22876094124769</v>
      </c>
      <c r="E811" s="91">
        <v>1</v>
      </c>
      <c r="H811"/>
      <c r="I811"/>
    </row>
    <row r="812" spans="2:9" x14ac:dyDescent="0.5">
      <c r="B812" s="91">
        <v>802</v>
      </c>
      <c r="C812" s="92">
        <v>82.359765576646268</v>
      </c>
      <c r="D812" s="92">
        <v>5597.0146231222661</v>
      </c>
      <c r="E812" s="91">
        <v>0</v>
      </c>
      <c r="H812"/>
      <c r="I812"/>
    </row>
    <row r="813" spans="2:9" x14ac:dyDescent="0.5">
      <c r="B813" s="91">
        <v>803</v>
      </c>
      <c r="C813" s="92">
        <v>83.946404744466534</v>
      </c>
      <c r="D813" s="92">
        <v>5791.3164581730252</v>
      </c>
      <c r="E813" s="91">
        <v>0</v>
      </c>
      <c r="H813"/>
      <c r="I813"/>
    </row>
    <row r="814" spans="2:9" x14ac:dyDescent="0.5">
      <c r="B814" s="91">
        <v>804</v>
      </c>
      <c r="C814" s="92">
        <v>15.928160512181993</v>
      </c>
      <c r="D814" s="92">
        <v>-3256.6469839008973</v>
      </c>
      <c r="E814" s="91">
        <v>1</v>
      </c>
      <c r="H814"/>
      <c r="I814"/>
    </row>
    <row r="815" spans="2:9" x14ac:dyDescent="0.5">
      <c r="B815" s="91">
        <v>805</v>
      </c>
      <c r="C815" s="92">
        <v>27.880608825727499</v>
      </c>
      <c r="D815" s="92">
        <v>-1204.3503582188287</v>
      </c>
      <c r="E815" s="91">
        <v>1</v>
      </c>
      <c r="H815"/>
      <c r="I815"/>
    </row>
    <row r="816" spans="2:9" x14ac:dyDescent="0.5">
      <c r="B816" s="91">
        <v>806</v>
      </c>
      <c r="C816" s="92">
        <v>87.90948203134127</v>
      </c>
      <c r="D816" s="92">
        <v>6276.6399046789029</v>
      </c>
      <c r="E816" s="91">
        <v>0</v>
      </c>
      <c r="H816"/>
      <c r="I816"/>
    </row>
    <row r="817" spans="2:9" x14ac:dyDescent="0.5">
      <c r="B817" s="91">
        <v>807</v>
      </c>
      <c r="C817" s="92">
        <v>20.927466256334903</v>
      </c>
      <c r="D817" s="92">
        <v>-2320.0591017309812</v>
      </c>
      <c r="E817" s="91">
        <v>1</v>
      </c>
      <c r="H817"/>
      <c r="I817"/>
    </row>
    <row r="818" spans="2:9" x14ac:dyDescent="0.5">
      <c r="B818" s="91">
        <v>808</v>
      </c>
      <c r="C818" s="92">
        <v>92.168032644487099</v>
      </c>
      <c r="D818" s="92">
        <v>6798.1473876484079</v>
      </c>
      <c r="E818" s="91">
        <v>0</v>
      </c>
      <c r="H818"/>
      <c r="I818"/>
    </row>
    <row r="819" spans="2:9" x14ac:dyDescent="0.5">
      <c r="B819" s="91">
        <v>809</v>
      </c>
      <c r="C819" s="92">
        <v>16.896970524044949</v>
      </c>
      <c r="D819" s="92">
        <v>-3075.1466389185985</v>
      </c>
      <c r="E819" s="91">
        <v>1</v>
      </c>
      <c r="H819"/>
      <c r="I819"/>
    </row>
    <row r="820" spans="2:9" x14ac:dyDescent="0.5">
      <c r="B820" s="91">
        <v>810</v>
      </c>
      <c r="C820" s="92">
        <v>42.372590994173635</v>
      </c>
      <c r="D820" s="92">
        <v>665.52872116088724</v>
      </c>
      <c r="E820" s="91">
        <v>0</v>
      </c>
      <c r="H820"/>
      <c r="I820"/>
    </row>
    <row r="821" spans="2:9" x14ac:dyDescent="0.5">
      <c r="B821" s="91">
        <v>811</v>
      </c>
      <c r="C821" s="92">
        <v>23.349447739111287</v>
      </c>
      <c r="D821" s="92">
        <v>-1866.3163975042271</v>
      </c>
      <c r="E821" s="91">
        <v>1</v>
      </c>
      <c r="H821"/>
      <c r="I821"/>
    </row>
    <row r="822" spans="2:9" x14ac:dyDescent="0.5">
      <c r="B822" s="91">
        <v>812</v>
      </c>
      <c r="C822" s="92">
        <v>16.625100952697043</v>
      </c>
      <c r="D822" s="92">
        <v>-3126.0796602392074</v>
      </c>
      <c r="E822" s="91">
        <v>1</v>
      </c>
      <c r="H822"/>
      <c r="I822"/>
    </row>
    <row r="823" spans="2:9" x14ac:dyDescent="0.5">
      <c r="B823" s="91">
        <v>813</v>
      </c>
      <c r="C823" s="92">
        <v>19.026625252274819</v>
      </c>
      <c r="D823" s="92">
        <v>-2676.1694781400615</v>
      </c>
      <c r="E823" s="91">
        <v>1</v>
      </c>
      <c r="H823"/>
      <c r="I823"/>
    </row>
    <row r="824" spans="2:9" x14ac:dyDescent="0.5">
      <c r="B824" s="91">
        <v>814</v>
      </c>
      <c r="C824" s="92">
        <v>40.107214228677471</v>
      </c>
      <c r="D824" s="92">
        <v>379.61932995397945</v>
      </c>
      <c r="E824" s="91">
        <v>0</v>
      </c>
      <c r="H824"/>
      <c r="I824"/>
    </row>
    <row r="825" spans="2:9" x14ac:dyDescent="0.5">
      <c r="B825" s="91">
        <v>815</v>
      </c>
      <c r="C825" s="92">
        <v>30.63566760766864</v>
      </c>
      <c r="D825" s="92">
        <v>-837.39692192013717</v>
      </c>
      <c r="E825" s="91">
        <v>1</v>
      </c>
      <c r="H825"/>
      <c r="I825"/>
    </row>
    <row r="826" spans="2:9" x14ac:dyDescent="0.5">
      <c r="B826" s="91">
        <v>816</v>
      </c>
      <c r="C826" s="92">
        <v>59.316185244358195</v>
      </c>
      <c r="D826" s="92">
        <v>2775.0686914242101</v>
      </c>
      <c r="E826" s="91">
        <v>0</v>
      </c>
      <c r="H826"/>
      <c r="I826"/>
    </row>
    <row r="827" spans="2:9" x14ac:dyDescent="0.5">
      <c r="B827" s="91">
        <v>817</v>
      </c>
      <c r="C827" s="92">
        <v>26.840535315620496</v>
      </c>
      <c r="D827" s="92">
        <v>-1344.7291698187676</v>
      </c>
      <c r="E827" s="91">
        <v>1</v>
      </c>
      <c r="H827"/>
      <c r="I827"/>
    </row>
    <row r="828" spans="2:9" x14ac:dyDescent="0.5">
      <c r="B828" s="91">
        <v>818</v>
      </c>
      <c r="C828" s="92">
        <v>44.828810819482904</v>
      </c>
      <c r="D828" s="92">
        <v>974.28729974203111</v>
      </c>
      <c r="E828" s="91">
        <v>0</v>
      </c>
      <c r="H828"/>
      <c r="I828"/>
    </row>
    <row r="829" spans="2:9" x14ac:dyDescent="0.5">
      <c r="B829" s="91">
        <v>819</v>
      </c>
      <c r="C829" s="92">
        <v>28.08421031771762</v>
      </c>
      <c r="D829" s="92">
        <v>-1177.1109766480001</v>
      </c>
      <c r="E829" s="91">
        <v>1</v>
      </c>
      <c r="H829"/>
      <c r="I829"/>
    </row>
    <row r="830" spans="2:9" x14ac:dyDescent="0.5">
      <c r="B830" s="91">
        <v>820</v>
      </c>
      <c r="C830" s="92">
        <v>23.249004233380017</v>
      </c>
      <c r="D830" s="92">
        <v>-1885.1338443908471</v>
      </c>
      <c r="E830" s="91">
        <v>1</v>
      </c>
      <c r="H830"/>
      <c r="I830"/>
    </row>
    <row r="831" spans="2:9" x14ac:dyDescent="0.5">
      <c r="B831" s="91">
        <v>821</v>
      </c>
      <c r="C831" s="92">
        <v>105.78392459219955</v>
      </c>
      <c r="D831" s="92">
        <v>8465.5667007162519</v>
      </c>
      <c r="E831" s="91">
        <v>0</v>
      </c>
      <c r="H831"/>
      <c r="I831"/>
    </row>
    <row r="832" spans="2:9" x14ac:dyDescent="0.5">
      <c r="B832" s="91">
        <v>822</v>
      </c>
      <c r="C832" s="92">
        <v>30.547088879466692</v>
      </c>
      <c r="D832" s="92">
        <v>-849.11476385770879</v>
      </c>
      <c r="E832" s="91">
        <v>1</v>
      </c>
      <c r="H832"/>
      <c r="I832"/>
    </row>
    <row r="833" spans="2:9" x14ac:dyDescent="0.5">
      <c r="B833" s="91">
        <v>823</v>
      </c>
      <c r="C833" s="92">
        <v>25.576182449896521</v>
      </c>
      <c r="D833" s="92">
        <v>-1517.6732808830827</v>
      </c>
      <c r="E833" s="91">
        <v>1</v>
      </c>
      <c r="H833"/>
      <c r="I833"/>
    </row>
    <row r="834" spans="2:9" x14ac:dyDescent="0.5">
      <c r="B834" s="91">
        <v>824</v>
      </c>
      <c r="C834" s="92">
        <v>77.281603243334033</v>
      </c>
      <c r="D834" s="92">
        <v>4975.1364544371027</v>
      </c>
      <c r="E834" s="91">
        <v>0</v>
      </c>
      <c r="H834"/>
      <c r="I834"/>
    </row>
    <row r="835" spans="2:9" x14ac:dyDescent="0.5">
      <c r="B835" s="91">
        <v>825</v>
      </c>
      <c r="C835" s="92">
        <v>41.985063809504751</v>
      </c>
      <c r="D835" s="92">
        <v>616.61956700500377</v>
      </c>
      <c r="E835" s="91">
        <v>0</v>
      </c>
      <c r="H835"/>
      <c r="I835"/>
    </row>
    <row r="836" spans="2:9" x14ac:dyDescent="0.5">
      <c r="B836" s="91">
        <v>826</v>
      </c>
      <c r="C836" s="92">
        <v>26.913219818374202</v>
      </c>
      <c r="D836" s="92">
        <v>-1334.7870428559004</v>
      </c>
      <c r="E836" s="91">
        <v>1</v>
      </c>
      <c r="H836"/>
      <c r="I836"/>
    </row>
    <row r="837" spans="2:9" x14ac:dyDescent="0.5">
      <c r="B837" s="91">
        <v>827</v>
      </c>
      <c r="C837" s="92">
        <v>22.5821197197908</v>
      </c>
      <c r="D837" s="92">
        <v>-2010.070382822199</v>
      </c>
      <c r="E837" s="91">
        <v>1</v>
      </c>
      <c r="H837"/>
      <c r="I837"/>
    </row>
    <row r="838" spans="2:9" x14ac:dyDescent="0.5">
      <c r="B838" s="91">
        <v>828</v>
      </c>
      <c r="C838" s="92">
        <v>64.143192936012298</v>
      </c>
      <c r="D838" s="92">
        <v>3366.1901456998003</v>
      </c>
      <c r="E838" s="91">
        <v>0</v>
      </c>
      <c r="H838"/>
      <c r="I838"/>
    </row>
    <row r="839" spans="2:9" x14ac:dyDescent="0.5">
      <c r="B839" s="91">
        <v>829</v>
      </c>
      <c r="C839" s="92">
        <v>8.9990939035405635</v>
      </c>
      <c r="D839" s="92">
        <v>-4554.7631929349145</v>
      </c>
      <c r="E839" s="91">
        <v>1</v>
      </c>
      <c r="H839"/>
      <c r="I839"/>
    </row>
    <row r="840" spans="2:9" x14ac:dyDescent="0.5">
      <c r="B840" s="91">
        <v>830</v>
      </c>
      <c r="C840" s="92">
        <v>53.138636458382543</v>
      </c>
      <c r="D840" s="92">
        <v>2011.7797000872065</v>
      </c>
      <c r="E840" s="91">
        <v>0</v>
      </c>
      <c r="H840"/>
      <c r="I840"/>
    </row>
    <row r="841" spans="2:9" x14ac:dyDescent="0.5">
      <c r="B841" s="91">
        <v>831</v>
      </c>
      <c r="C841" s="92">
        <v>36.332407467088764</v>
      </c>
      <c r="D841" s="92">
        <v>-100.55185870349865</v>
      </c>
      <c r="E841" s="91">
        <v>1</v>
      </c>
      <c r="H841"/>
      <c r="I841"/>
    </row>
    <row r="842" spans="2:9" x14ac:dyDescent="0.5">
      <c r="B842" s="91">
        <v>832</v>
      </c>
      <c r="C842" s="92">
        <v>16.755054788611126</v>
      </c>
      <c r="D842" s="92">
        <v>-3101.733642174403</v>
      </c>
      <c r="E842" s="91">
        <v>1</v>
      </c>
      <c r="H842"/>
      <c r="I842"/>
    </row>
    <row r="843" spans="2:9" x14ac:dyDescent="0.5">
      <c r="B843" s="91">
        <v>833</v>
      </c>
      <c r="C843" s="92">
        <v>36.433249683441773</v>
      </c>
      <c r="D843" s="92">
        <v>-87.599220228454527</v>
      </c>
      <c r="E843" s="91">
        <v>1</v>
      </c>
      <c r="H843"/>
      <c r="I843"/>
    </row>
    <row r="844" spans="2:9" x14ac:dyDescent="0.5">
      <c r="B844" s="91">
        <v>834</v>
      </c>
      <c r="C844" s="92">
        <v>88.466011261882272</v>
      </c>
      <c r="D844" s="92">
        <v>6344.7931766683123</v>
      </c>
      <c r="E844" s="91">
        <v>0</v>
      </c>
      <c r="H844"/>
      <c r="I844"/>
    </row>
    <row r="845" spans="2:9" x14ac:dyDescent="0.5">
      <c r="B845" s="91">
        <v>835</v>
      </c>
      <c r="C845" s="92">
        <v>18.761347157145387</v>
      </c>
      <c r="D845" s="92">
        <v>-2725.8676286470459</v>
      </c>
      <c r="E845" s="91">
        <v>1</v>
      </c>
      <c r="H845"/>
      <c r="I845"/>
    </row>
    <row r="846" spans="2:9" x14ac:dyDescent="0.5">
      <c r="B846" s="91">
        <v>836</v>
      </c>
      <c r="C846" s="92">
        <v>49.738179466156446</v>
      </c>
      <c r="D846" s="92">
        <v>1588.1249923154967</v>
      </c>
      <c r="E846" s="91">
        <v>0</v>
      </c>
      <c r="H846"/>
      <c r="I846"/>
    </row>
    <row r="847" spans="2:9" x14ac:dyDescent="0.5">
      <c r="B847" s="91">
        <v>837</v>
      </c>
      <c r="C847" s="92">
        <v>23.711526103346753</v>
      </c>
      <c r="D847" s="92">
        <v>-1798.4833371367015</v>
      </c>
      <c r="E847" s="91">
        <v>1</v>
      </c>
      <c r="H847"/>
      <c r="I847"/>
    </row>
    <row r="848" spans="2:9" x14ac:dyDescent="0.5">
      <c r="B848" s="91">
        <v>838</v>
      </c>
      <c r="C848" s="92">
        <v>44.991216037441554</v>
      </c>
      <c r="D848" s="92">
        <v>994.64207009898587</v>
      </c>
      <c r="E848" s="91">
        <v>0</v>
      </c>
      <c r="H848"/>
      <c r="I848"/>
    </row>
    <row r="849" spans="2:9" x14ac:dyDescent="0.5">
      <c r="B849" s="91">
        <v>839</v>
      </c>
      <c r="C849" s="92">
        <v>91.936769445771716</v>
      </c>
      <c r="D849" s="92">
        <v>6769.8266044473758</v>
      </c>
      <c r="E849" s="91">
        <v>0</v>
      </c>
      <c r="H849"/>
      <c r="I849"/>
    </row>
    <row r="850" spans="2:9" x14ac:dyDescent="0.5">
      <c r="B850" s="91">
        <v>840</v>
      </c>
      <c r="C850" s="92">
        <v>8.8089466052155085</v>
      </c>
      <c r="D850" s="92">
        <v>-4590.386070300814</v>
      </c>
      <c r="E850" s="91">
        <v>1</v>
      </c>
      <c r="H850"/>
      <c r="I850"/>
    </row>
    <row r="851" spans="2:9" x14ac:dyDescent="0.5">
      <c r="B851" s="91">
        <v>841</v>
      </c>
      <c r="C851" s="92">
        <v>12.403757285935242</v>
      </c>
      <c r="D851" s="92">
        <v>-3916.9213344832647</v>
      </c>
      <c r="E851" s="91">
        <v>1</v>
      </c>
      <c r="H851"/>
      <c r="I851"/>
    </row>
    <row r="852" spans="2:9" x14ac:dyDescent="0.5">
      <c r="B852" s="91">
        <v>842</v>
      </c>
      <c r="C852" s="92">
        <v>43.987689163101081</v>
      </c>
      <c r="D852" s="92">
        <v>868.86680665003871</v>
      </c>
      <c r="E852" s="91">
        <v>0</v>
      </c>
      <c r="H852"/>
      <c r="I852"/>
    </row>
    <row r="853" spans="2:9" x14ac:dyDescent="0.5">
      <c r="B853" s="91">
        <v>843</v>
      </c>
      <c r="C853" s="92">
        <v>19.049549172374054</v>
      </c>
      <c r="D853" s="92">
        <v>-2671.874828667605</v>
      </c>
      <c r="E853" s="91">
        <v>1</v>
      </c>
      <c r="H853"/>
      <c r="I853"/>
    </row>
    <row r="854" spans="2:9" x14ac:dyDescent="0.5">
      <c r="B854" s="91">
        <v>844</v>
      </c>
      <c r="C854" s="92">
        <v>59.205265807938048</v>
      </c>
      <c r="D854" s="92">
        <v>2761.4853572444313</v>
      </c>
      <c r="E854" s="91">
        <v>0</v>
      </c>
      <c r="H854"/>
      <c r="I854"/>
    </row>
    <row r="855" spans="2:9" x14ac:dyDescent="0.5">
      <c r="B855" s="91">
        <v>845</v>
      </c>
      <c r="C855" s="92">
        <v>18.459290899029206</v>
      </c>
      <c r="D855" s="92">
        <v>-2782.4559322162131</v>
      </c>
      <c r="E855" s="91">
        <v>1</v>
      </c>
      <c r="H855"/>
      <c r="I855"/>
    </row>
    <row r="856" spans="2:9" x14ac:dyDescent="0.5">
      <c r="B856" s="91">
        <v>846</v>
      </c>
      <c r="C856" s="92">
        <v>25.456203930406339</v>
      </c>
      <c r="D856" s="92">
        <v>-1534.0845051247904</v>
      </c>
      <c r="E856" s="91">
        <v>1</v>
      </c>
      <c r="H856"/>
      <c r="I856"/>
    </row>
    <row r="857" spans="2:9" x14ac:dyDescent="0.5">
      <c r="B857" s="91">
        <v>847</v>
      </c>
      <c r="C857" s="92">
        <v>23.112655196870186</v>
      </c>
      <c r="D857" s="92">
        <v>-1910.6779622896188</v>
      </c>
      <c r="E857" s="91">
        <v>1</v>
      </c>
      <c r="H857"/>
      <c r="I857"/>
    </row>
    <row r="858" spans="2:9" x14ac:dyDescent="0.5">
      <c r="B858" s="91">
        <v>848</v>
      </c>
      <c r="C858" s="92">
        <v>123.55271015519428</v>
      </c>
      <c r="D858" s="92">
        <v>10641.554607441387</v>
      </c>
      <c r="E858" s="91">
        <v>0</v>
      </c>
      <c r="H858"/>
      <c r="I858"/>
    </row>
    <row r="859" spans="2:9" x14ac:dyDescent="0.5">
      <c r="B859" s="91">
        <v>849</v>
      </c>
      <c r="C859" s="92">
        <v>43.501852757325473</v>
      </c>
      <c r="D859" s="92">
        <v>807.97536119704523</v>
      </c>
      <c r="E859" s="91">
        <v>0</v>
      </c>
      <c r="H859"/>
      <c r="I859"/>
    </row>
    <row r="860" spans="2:9" x14ac:dyDescent="0.5">
      <c r="B860" s="91">
        <v>850</v>
      </c>
      <c r="C860" s="92">
        <v>17.602214431059146</v>
      </c>
      <c r="D860" s="92">
        <v>-2943.0237140392396</v>
      </c>
      <c r="E860" s="91">
        <v>1</v>
      </c>
      <c r="H860"/>
      <c r="I860"/>
    </row>
    <row r="861" spans="2:9" x14ac:dyDescent="0.5">
      <c r="B861" s="91">
        <v>851</v>
      </c>
      <c r="C861" s="92">
        <v>25.636740363484272</v>
      </c>
      <c r="D861" s="92">
        <v>-1509.3898856243179</v>
      </c>
      <c r="E861" s="91">
        <v>1</v>
      </c>
      <c r="H861"/>
      <c r="I861"/>
    </row>
    <row r="862" spans="2:9" x14ac:dyDescent="0.5">
      <c r="B862" s="91">
        <v>852</v>
      </c>
      <c r="C862" s="92">
        <v>21.763124812637344</v>
      </c>
      <c r="D862" s="92">
        <v>-2163.5038283552994</v>
      </c>
      <c r="E862" s="91">
        <v>1</v>
      </c>
      <c r="H862"/>
      <c r="I862"/>
    </row>
    <row r="863" spans="2:9" x14ac:dyDescent="0.5">
      <c r="B863" s="91">
        <v>853</v>
      </c>
      <c r="C863" s="92">
        <v>30.942548849494166</v>
      </c>
      <c r="D863" s="92">
        <v>-797.62511983609591</v>
      </c>
      <c r="E863" s="91">
        <v>1</v>
      </c>
      <c r="H863"/>
      <c r="I863"/>
    </row>
    <row r="864" spans="2:9" x14ac:dyDescent="0.5">
      <c r="B864" s="91">
        <v>854</v>
      </c>
      <c r="C864" s="92">
        <v>34.556069677099885</v>
      </c>
      <c r="D864" s="92">
        <v>-329.31290131410333</v>
      </c>
      <c r="E864" s="91">
        <v>1</v>
      </c>
      <c r="H864"/>
      <c r="I864"/>
    </row>
    <row r="865" spans="2:9" x14ac:dyDescent="0.5">
      <c r="B865" s="91">
        <v>855</v>
      </c>
      <c r="C865" s="92">
        <v>36.546801721078026</v>
      </c>
      <c r="D865" s="92">
        <v>-73.014073800709355</v>
      </c>
      <c r="E865" s="91">
        <v>1</v>
      </c>
      <c r="H865"/>
      <c r="I865"/>
    </row>
    <row r="866" spans="2:9" x14ac:dyDescent="0.5">
      <c r="B866" s="91">
        <v>856</v>
      </c>
      <c r="C866" s="92">
        <v>32.154842877216673</v>
      </c>
      <c r="D866" s="92">
        <v>-640.5118409291465</v>
      </c>
      <c r="E866" s="91">
        <v>1</v>
      </c>
      <c r="H866"/>
      <c r="I866"/>
    </row>
    <row r="867" spans="2:9" x14ac:dyDescent="0.5">
      <c r="B867" s="91">
        <v>857</v>
      </c>
      <c r="C867" s="92">
        <v>21.407686772065869</v>
      </c>
      <c r="D867" s="92">
        <v>-2230.0928666534305</v>
      </c>
      <c r="E867" s="91">
        <v>1</v>
      </c>
      <c r="H867"/>
      <c r="I867"/>
    </row>
    <row r="868" spans="2:9" x14ac:dyDescent="0.5">
      <c r="B868" s="91">
        <v>858</v>
      </c>
      <c r="C868" s="92">
        <v>95.995759684989281</v>
      </c>
      <c r="D868" s="92">
        <v>7266.8956721526538</v>
      </c>
      <c r="E868" s="91">
        <v>0</v>
      </c>
      <c r="H868"/>
      <c r="I868"/>
    </row>
    <row r="869" spans="2:9" x14ac:dyDescent="0.5">
      <c r="B869" s="91">
        <v>859</v>
      </c>
      <c r="C869" s="92">
        <v>44.274911452315095</v>
      </c>
      <c r="D869" s="92">
        <v>904.86530356926153</v>
      </c>
      <c r="E869" s="91">
        <v>0</v>
      </c>
      <c r="H869"/>
      <c r="I869"/>
    </row>
    <row r="870" spans="2:9" x14ac:dyDescent="0.5">
      <c r="B870" s="91">
        <v>860</v>
      </c>
      <c r="C870" s="92">
        <v>46.395764607076963</v>
      </c>
      <c r="D870" s="92">
        <v>1170.6786774781701</v>
      </c>
      <c r="E870" s="91">
        <v>0</v>
      </c>
      <c r="H870"/>
      <c r="I870"/>
    </row>
    <row r="871" spans="2:9" x14ac:dyDescent="0.5">
      <c r="B871" s="91">
        <v>861</v>
      </c>
      <c r="C871" s="92">
        <v>40.473196991680702</v>
      </c>
      <c r="D871" s="92">
        <v>425.80939888918221</v>
      </c>
      <c r="E871" s="91">
        <v>0</v>
      </c>
      <c r="H871"/>
      <c r="I871"/>
    </row>
    <row r="872" spans="2:9" x14ac:dyDescent="0.5">
      <c r="B872" s="91">
        <v>862</v>
      </c>
      <c r="C872" s="92">
        <v>42.395762289232863</v>
      </c>
      <c r="D872" s="92">
        <v>668.45313133616662</v>
      </c>
      <c r="E872" s="91">
        <v>0</v>
      </c>
      <c r="H872"/>
      <c r="I872"/>
    </row>
    <row r="873" spans="2:9" x14ac:dyDescent="0.5">
      <c r="B873" s="91">
        <v>863</v>
      </c>
      <c r="C873" s="92">
        <v>12.926414668654051</v>
      </c>
      <c r="D873" s="92">
        <v>-3819.0048244251225</v>
      </c>
      <c r="E873" s="91">
        <v>1</v>
      </c>
      <c r="H873"/>
      <c r="I873"/>
    </row>
    <row r="874" spans="2:9" x14ac:dyDescent="0.5">
      <c r="B874" s="91">
        <v>864</v>
      </c>
      <c r="C874" s="92">
        <v>6.6529203516264666</v>
      </c>
      <c r="D874" s="92">
        <v>-4994.3037672957298</v>
      </c>
      <c r="E874" s="91">
        <v>1</v>
      </c>
      <c r="H874"/>
      <c r="I874"/>
    </row>
    <row r="875" spans="2:9" x14ac:dyDescent="0.5">
      <c r="B875" s="91">
        <v>865</v>
      </c>
      <c r="C875" s="92">
        <v>31.194660568483219</v>
      </c>
      <c r="D875" s="92">
        <v>-764.95144668796456</v>
      </c>
      <c r="E875" s="91">
        <v>1</v>
      </c>
      <c r="H875"/>
      <c r="I875"/>
    </row>
    <row r="876" spans="2:9" x14ac:dyDescent="0.5">
      <c r="B876" s="91">
        <v>866</v>
      </c>
      <c r="C876" s="92">
        <v>18.452738431588411</v>
      </c>
      <c r="D876" s="92">
        <v>-2783.683494985411</v>
      </c>
      <c r="E876" s="91">
        <v>1</v>
      </c>
      <c r="H876"/>
      <c r="I876"/>
    </row>
    <row r="877" spans="2:9" x14ac:dyDescent="0.5">
      <c r="B877" s="91">
        <v>867</v>
      </c>
      <c r="C877" s="92">
        <v>30.229819893733662</v>
      </c>
      <c r="D877" s="92">
        <v>-891.09684774496691</v>
      </c>
      <c r="E877" s="91">
        <v>1</v>
      </c>
      <c r="H877"/>
      <c r="I877"/>
    </row>
    <row r="878" spans="2:9" x14ac:dyDescent="0.5">
      <c r="B878" s="91">
        <v>868</v>
      </c>
      <c r="C878" s="92">
        <v>51.009375254236154</v>
      </c>
      <c r="D878" s="92">
        <v>1746.5001993393555</v>
      </c>
      <c r="E878" s="91">
        <v>0</v>
      </c>
      <c r="H878"/>
      <c r="I878"/>
    </row>
    <row r="879" spans="2:9" x14ac:dyDescent="0.5">
      <c r="B879" s="91">
        <v>869</v>
      </c>
      <c r="C879" s="92">
        <v>21.880884920715328</v>
      </c>
      <c r="D879" s="92">
        <v>-2141.4422270303849</v>
      </c>
      <c r="E879" s="91">
        <v>1</v>
      </c>
      <c r="H879"/>
      <c r="I879"/>
    </row>
    <row r="880" spans="2:9" x14ac:dyDescent="0.5">
      <c r="B880" s="91">
        <v>870</v>
      </c>
      <c r="C880" s="92">
        <v>29.554660860993053</v>
      </c>
      <c r="D880" s="92">
        <v>-980.43612899953973</v>
      </c>
      <c r="E880" s="91">
        <v>1</v>
      </c>
      <c r="H880"/>
      <c r="I880"/>
    </row>
    <row r="881" spans="2:9" x14ac:dyDescent="0.5">
      <c r="B881" s="91">
        <v>871</v>
      </c>
      <c r="C881" s="92">
        <v>28.475938997748806</v>
      </c>
      <c r="D881" s="92">
        <v>-1124.702485515116</v>
      </c>
      <c r="E881" s="91">
        <v>1</v>
      </c>
      <c r="H881"/>
      <c r="I881"/>
    </row>
    <row r="882" spans="2:9" x14ac:dyDescent="0.5">
      <c r="B882" s="91">
        <v>872</v>
      </c>
      <c r="C882" s="92">
        <v>69.410221119828535</v>
      </c>
      <c r="D882" s="92">
        <v>4011.1970648126785</v>
      </c>
      <c r="E882" s="91">
        <v>0</v>
      </c>
      <c r="H882"/>
      <c r="I882"/>
    </row>
    <row r="883" spans="2:9" x14ac:dyDescent="0.5">
      <c r="B883" s="91">
        <v>873</v>
      </c>
      <c r="C883" s="92">
        <v>56.851112826079515</v>
      </c>
      <c r="D883" s="92">
        <v>2472.0252109631524</v>
      </c>
      <c r="E883" s="91">
        <v>0</v>
      </c>
      <c r="H883"/>
      <c r="I883"/>
    </row>
    <row r="884" spans="2:9" x14ac:dyDescent="0.5">
      <c r="B884" s="91">
        <v>874</v>
      </c>
      <c r="C884" s="92">
        <v>25.306574412740844</v>
      </c>
      <c r="D884" s="92">
        <v>-1554.980783441267</v>
      </c>
      <c r="E884" s="91">
        <v>1</v>
      </c>
      <c r="H884"/>
      <c r="I884"/>
    </row>
    <row r="885" spans="2:9" x14ac:dyDescent="0.5">
      <c r="B885" s="91">
        <v>875</v>
      </c>
      <c r="C885" s="92">
        <v>29.155027991412528</v>
      </c>
      <c r="D885" s="92">
        <v>-1033.848710141734</v>
      </c>
      <c r="E885" s="91">
        <v>1</v>
      </c>
      <c r="H885"/>
      <c r="I885"/>
    </row>
    <row r="886" spans="2:9" x14ac:dyDescent="0.5">
      <c r="B886" s="91">
        <v>876</v>
      </c>
      <c r="C886" s="92">
        <v>59.130331088390051</v>
      </c>
      <c r="D886" s="92">
        <v>2752.3087569105369</v>
      </c>
      <c r="E886" s="91">
        <v>0</v>
      </c>
      <c r="H886"/>
      <c r="I886"/>
    </row>
    <row r="887" spans="2:9" x14ac:dyDescent="0.5">
      <c r="B887" s="91">
        <v>877</v>
      </c>
      <c r="C887" s="92">
        <v>36.281392523454358</v>
      </c>
      <c r="D887" s="92">
        <v>-107.10445290083481</v>
      </c>
      <c r="E887" s="91">
        <v>1</v>
      </c>
      <c r="H887"/>
      <c r="I887"/>
    </row>
    <row r="888" spans="2:9" x14ac:dyDescent="0.5">
      <c r="B888" s="91">
        <v>878</v>
      </c>
      <c r="C888" s="92">
        <v>50.388488024764015</v>
      </c>
      <c r="D888" s="92">
        <v>1669.1453619270446</v>
      </c>
      <c r="E888" s="91">
        <v>0</v>
      </c>
      <c r="H888"/>
      <c r="I888"/>
    </row>
    <row r="889" spans="2:9" x14ac:dyDescent="0.5">
      <c r="B889" s="91">
        <v>879</v>
      </c>
      <c r="C889" s="92">
        <v>27.990665970158435</v>
      </c>
      <c r="D889" s="92">
        <v>-1189.6260626233152</v>
      </c>
      <c r="E889" s="91">
        <v>1</v>
      </c>
      <c r="H889"/>
      <c r="I889"/>
    </row>
    <row r="890" spans="2:9" x14ac:dyDescent="0.5">
      <c r="B890" s="91">
        <v>880</v>
      </c>
      <c r="C890" s="92">
        <v>25.529976074645663</v>
      </c>
      <c r="D890" s="92">
        <v>-1523.9936054616867</v>
      </c>
      <c r="E890" s="91">
        <v>1</v>
      </c>
      <c r="H890"/>
      <c r="I890"/>
    </row>
    <row r="891" spans="2:9" x14ac:dyDescent="0.5">
      <c r="B891" s="91">
        <v>881</v>
      </c>
      <c r="C891" s="92">
        <v>35.697784374224838</v>
      </c>
      <c r="D891" s="92">
        <v>-182.06577010947007</v>
      </c>
      <c r="E891" s="91">
        <v>1</v>
      </c>
      <c r="H891"/>
      <c r="I891"/>
    </row>
    <row r="892" spans="2:9" x14ac:dyDescent="0.5">
      <c r="B892" s="91">
        <v>882</v>
      </c>
      <c r="C892" s="92">
        <v>16.024276822773238</v>
      </c>
      <c r="D892" s="92">
        <v>-3238.6402092834574</v>
      </c>
      <c r="E892" s="91">
        <v>1</v>
      </c>
      <c r="H892"/>
      <c r="I892"/>
    </row>
    <row r="893" spans="2:9" x14ac:dyDescent="0.5">
      <c r="B893" s="91">
        <v>883</v>
      </c>
      <c r="C893" s="92">
        <v>66.382178307216392</v>
      </c>
      <c r="D893" s="92">
        <v>3640.3791201686604</v>
      </c>
      <c r="E893" s="91">
        <v>0</v>
      </c>
      <c r="H893"/>
      <c r="I893"/>
    </row>
    <row r="894" spans="2:9" x14ac:dyDescent="0.5">
      <c r="B894" s="91">
        <v>884</v>
      </c>
      <c r="C894" s="92">
        <v>11.994699313816271</v>
      </c>
      <c r="D894" s="92">
        <v>-3993.555723216085</v>
      </c>
      <c r="E894" s="91">
        <v>1</v>
      </c>
      <c r="H894"/>
      <c r="I894"/>
    </row>
    <row r="895" spans="2:9" x14ac:dyDescent="0.5">
      <c r="B895" s="91">
        <v>885</v>
      </c>
      <c r="C895" s="92">
        <v>8.8673259022659163</v>
      </c>
      <c r="D895" s="92">
        <v>-4579.4490832499687</v>
      </c>
      <c r="E895" s="91">
        <v>1</v>
      </c>
      <c r="H895"/>
      <c r="I895"/>
    </row>
    <row r="896" spans="2:9" x14ac:dyDescent="0.5">
      <c r="B896" s="91">
        <v>886</v>
      </c>
      <c r="C896" s="92">
        <v>31.7222469706529</v>
      </c>
      <c r="D896" s="92">
        <v>-696.57626075446319</v>
      </c>
      <c r="E896" s="91">
        <v>1</v>
      </c>
      <c r="H896"/>
      <c r="I896"/>
    </row>
    <row r="897" spans="2:9" x14ac:dyDescent="0.5">
      <c r="B897" s="91">
        <v>887</v>
      </c>
      <c r="C897" s="92">
        <v>5.8273840624553719</v>
      </c>
      <c r="D897" s="92">
        <v>-5148.9626988150658</v>
      </c>
      <c r="E897" s="91">
        <v>1</v>
      </c>
      <c r="H897"/>
      <c r="I897"/>
    </row>
    <row r="898" spans="2:9" x14ac:dyDescent="0.5">
      <c r="B898" s="91">
        <v>888</v>
      </c>
      <c r="C898" s="92">
        <v>25.362071295753132</v>
      </c>
      <c r="D898" s="92">
        <v>-1547.2156774009143</v>
      </c>
      <c r="E898" s="91">
        <v>1</v>
      </c>
      <c r="H898"/>
      <c r="I898"/>
    </row>
    <row r="899" spans="2:9" x14ac:dyDescent="0.5">
      <c r="B899" s="91">
        <v>889</v>
      </c>
      <c r="C899" s="92">
        <v>33.095419545084745</v>
      </c>
      <c r="D899" s="92">
        <v>-518.6131257884399</v>
      </c>
      <c r="E899" s="91">
        <v>1</v>
      </c>
      <c r="H899"/>
      <c r="I899"/>
    </row>
    <row r="900" spans="2:9" x14ac:dyDescent="0.5">
      <c r="B900" s="91">
        <v>890</v>
      </c>
      <c r="C900" s="92">
        <v>10.182551097523344</v>
      </c>
      <c r="D900" s="92">
        <v>-4333.0500744189158</v>
      </c>
      <c r="E900" s="91">
        <v>1</v>
      </c>
      <c r="H900"/>
      <c r="I900"/>
    </row>
    <row r="901" spans="2:9" x14ac:dyDescent="0.5">
      <c r="B901" s="91">
        <v>891</v>
      </c>
      <c r="C901" s="92">
        <v>35.985557765863867</v>
      </c>
      <c r="D901" s="92">
        <v>-145.1028309809858</v>
      </c>
      <c r="E901" s="91">
        <v>1</v>
      </c>
      <c r="H901"/>
      <c r="I901"/>
    </row>
    <row r="902" spans="2:9" x14ac:dyDescent="0.5">
      <c r="B902" s="91">
        <v>892</v>
      </c>
      <c r="C902" s="92">
        <v>14.717847222026036</v>
      </c>
      <c r="D902" s="92">
        <v>-3483.3914198688458</v>
      </c>
      <c r="E902" s="91">
        <v>1</v>
      </c>
      <c r="H902"/>
      <c r="I902"/>
    </row>
    <row r="903" spans="2:9" x14ac:dyDescent="0.5">
      <c r="B903" s="91">
        <v>893</v>
      </c>
      <c r="C903" s="92">
        <v>30.59486442432155</v>
      </c>
      <c r="D903" s="92">
        <v>-842.7929453943558</v>
      </c>
      <c r="E903" s="91">
        <v>1</v>
      </c>
      <c r="H903"/>
      <c r="I903"/>
    </row>
    <row r="904" spans="2:9" x14ac:dyDescent="0.5">
      <c r="B904" s="91">
        <v>894</v>
      </c>
      <c r="C904" s="92">
        <v>22.50713306248856</v>
      </c>
      <c r="D904" s="92">
        <v>-2024.118652351593</v>
      </c>
      <c r="E904" s="91">
        <v>1</v>
      </c>
      <c r="H904"/>
      <c r="I904"/>
    </row>
    <row r="905" spans="2:9" x14ac:dyDescent="0.5">
      <c r="B905" s="91">
        <v>895</v>
      </c>
      <c r="C905" s="92">
        <v>20.792280875726142</v>
      </c>
      <c r="D905" s="92">
        <v>-2345.3852161565242</v>
      </c>
      <c r="E905" s="91">
        <v>1</v>
      </c>
      <c r="H905"/>
      <c r="I905"/>
    </row>
    <row r="906" spans="2:9" x14ac:dyDescent="0.5">
      <c r="B906" s="91">
        <v>896</v>
      </c>
      <c r="C906" s="92">
        <v>24.877851204784871</v>
      </c>
      <c r="D906" s="92">
        <v>-1614.9675969529603</v>
      </c>
      <c r="E906" s="91">
        <v>1</v>
      </c>
      <c r="H906"/>
      <c r="I906"/>
    </row>
    <row r="907" spans="2:9" x14ac:dyDescent="0.5">
      <c r="B907" s="91">
        <v>897</v>
      </c>
      <c r="C907" s="92">
        <v>54.2262957767405</v>
      </c>
      <c r="D907" s="92">
        <v>2146.652708399442</v>
      </c>
      <c r="E907" s="91">
        <v>0</v>
      </c>
      <c r="H907"/>
      <c r="I907"/>
    </row>
    <row r="908" spans="2:9" x14ac:dyDescent="0.5">
      <c r="B908" s="91">
        <v>898</v>
      </c>
      <c r="C908" s="92">
        <v>20.217515043197505</v>
      </c>
      <c r="D908" s="92">
        <v>-2453.0639102354444</v>
      </c>
      <c r="E908" s="91">
        <v>1</v>
      </c>
      <c r="H908"/>
      <c r="I908"/>
    </row>
    <row r="909" spans="2:9" x14ac:dyDescent="0.5">
      <c r="B909" s="91">
        <v>899</v>
      </c>
      <c r="C909" s="92">
        <v>75.534099763668635</v>
      </c>
      <c r="D909" s="92">
        <v>4761.1349727246334</v>
      </c>
      <c r="E909" s="91">
        <v>0</v>
      </c>
      <c r="H909"/>
      <c r="I909"/>
    </row>
    <row r="910" spans="2:9" x14ac:dyDescent="0.5">
      <c r="B910" s="91">
        <v>900</v>
      </c>
      <c r="C910" s="92">
        <v>39.323556459768859</v>
      </c>
      <c r="D910" s="92">
        <v>280.71520105330472</v>
      </c>
      <c r="E910" s="91">
        <v>0</v>
      </c>
      <c r="H910"/>
      <c r="I910"/>
    </row>
    <row r="911" spans="2:9" x14ac:dyDescent="0.5">
      <c r="B911" s="91">
        <v>901</v>
      </c>
      <c r="C911" s="92">
        <v>36.219908587502637</v>
      </c>
      <c r="D911" s="92">
        <v>-115.00173266328693</v>
      </c>
      <c r="E911" s="91">
        <v>1</v>
      </c>
      <c r="H911"/>
      <c r="I911"/>
    </row>
    <row r="912" spans="2:9" x14ac:dyDescent="0.5">
      <c r="B912" s="91">
        <v>902</v>
      </c>
      <c r="C912" s="92">
        <v>4.8690676445463472</v>
      </c>
      <c r="D912" s="92">
        <v>-5328.497136241268</v>
      </c>
      <c r="E912" s="91">
        <v>1</v>
      </c>
      <c r="H912"/>
      <c r="I912"/>
    </row>
    <row r="913" spans="2:9" x14ac:dyDescent="0.5">
      <c r="B913" s="91">
        <v>903</v>
      </c>
      <c r="C913" s="92">
        <v>44.127901526662569</v>
      </c>
      <c r="D913" s="92">
        <v>886.44007490689114</v>
      </c>
      <c r="E913" s="91">
        <v>0</v>
      </c>
      <c r="H913"/>
      <c r="I913"/>
    </row>
    <row r="914" spans="2:9" x14ac:dyDescent="0.5">
      <c r="B914" s="91">
        <v>904</v>
      </c>
      <c r="C914" s="92">
        <v>37.944427028547601</v>
      </c>
      <c r="D914" s="92">
        <v>106.50335437495569</v>
      </c>
      <c r="E914" s="91">
        <v>0</v>
      </c>
      <c r="H914"/>
      <c r="I914"/>
    </row>
    <row r="915" spans="2:9" x14ac:dyDescent="0.5">
      <c r="B915" s="91">
        <v>905</v>
      </c>
      <c r="C915" s="92">
        <v>55.400115195151869</v>
      </c>
      <c r="D915" s="92">
        <v>2292.1594445060837</v>
      </c>
      <c r="E915" s="91">
        <v>0</v>
      </c>
      <c r="H915"/>
      <c r="I915"/>
    </row>
    <row r="916" spans="2:9" x14ac:dyDescent="0.5">
      <c r="B916" s="91">
        <v>906</v>
      </c>
      <c r="C916" s="92">
        <v>24.255076783191392</v>
      </c>
      <c r="D916" s="92">
        <v>-1703.2409842123543</v>
      </c>
      <c r="E916" s="91">
        <v>1</v>
      </c>
      <c r="H916"/>
      <c r="I916"/>
    </row>
    <row r="917" spans="2:9" x14ac:dyDescent="0.5">
      <c r="B917" s="91">
        <v>907</v>
      </c>
      <c r="C917" s="92">
        <v>35.193972173185735</v>
      </c>
      <c r="D917" s="92">
        <v>-246.77772840808558</v>
      </c>
      <c r="E917" s="91">
        <v>1</v>
      </c>
      <c r="H917"/>
      <c r="I917"/>
    </row>
    <row r="918" spans="2:9" x14ac:dyDescent="0.5">
      <c r="B918" s="91">
        <v>908</v>
      </c>
      <c r="C918" s="92">
        <v>8.2327681811323679</v>
      </c>
      <c r="D918" s="92">
        <v>-4698.3294043517835</v>
      </c>
      <c r="E918" s="91">
        <v>1</v>
      </c>
      <c r="H918"/>
      <c r="I918"/>
    </row>
    <row r="919" spans="2:9" x14ac:dyDescent="0.5">
      <c r="B919" s="91">
        <v>909</v>
      </c>
      <c r="C919" s="92">
        <v>21.197249377933389</v>
      </c>
      <c r="D919" s="92">
        <v>-2269.5169633953456</v>
      </c>
      <c r="E919" s="91">
        <v>1</v>
      </c>
      <c r="H919"/>
      <c r="I919"/>
    </row>
    <row r="920" spans="2:9" x14ac:dyDescent="0.5">
      <c r="B920" s="91">
        <v>910</v>
      </c>
      <c r="C920" s="92">
        <v>20.704738588961749</v>
      </c>
      <c r="D920" s="92">
        <v>-2361.78570237541</v>
      </c>
      <c r="E920" s="91">
        <v>1</v>
      </c>
      <c r="H920"/>
      <c r="I920"/>
    </row>
    <row r="921" spans="2:9" x14ac:dyDescent="0.5">
      <c r="B921" s="91">
        <v>911</v>
      </c>
      <c r="C921" s="92">
        <v>22.317074003969658</v>
      </c>
      <c r="D921" s="92">
        <v>-2059.7249985554872</v>
      </c>
      <c r="E921" s="91">
        <v>1</v>
      </c>
      <c r="H921"/>
      <c r="I921"/>
    </row>
    <row r="922" spans="2:9" x14ac:dyDescent="0.5">
      <c r="B922" s="91">
        <v>912</v>
      </c>
      <c r="C922" s="92">
        <v>96.96777057521183</v>
      </c>
      <c r="D922" s="92">
        <v>7385.9293525823532</v>
      </c>
      <c r="E922" s="91">
        <v>0</v>
      </c>
      <c r="H922"/>
      <c r="I922"/>
    </row>
    <row r="923" spans="2:9" x14ac:dyDescent="0.5">
      <c r="B923" s="91">
        <v>913</v>
      </c>
      <c r="C923" s="92">
        <v>18.66840065134835</v>
      </c>
      <c r="D923" s="92">
        <v>-2743.2805606569273</v>
      </c>
      <c r="E923" s="91">
        <v>1</v>
      </c>
      <c r="H923"/>
      <c r="I923"/>
    </row>
    <row r="924" spans="2:9" x14ac:dyDescent="0.5">
      <c r="B924" s="91">
        <v>914</v>
      </c>
      <c r="C924" s="92">
        <v>38.334832966717251</v>
      </c>
      <c r="D924" s="92">
        <v>155.93007202933097</v>
      </c>
      <c r="E924" s="91">
        <v>0</v>
      </c>
      <c r="H924"/>
      <c r="I924"/>
    </row>
    <row r="925" spans="2:9" x14ac:dyDescent="0.5">
      <c r="B925" s="91">
        <v>915</v>
      </c>
      <c r="C925" s="92">
        <v>14.81140568685432</v>
      </c>
      <c r="D925" s="92">
        <v>-3465.8638412575388</v>
      </c>
      <c r="E925" s="91">
        <v>1</v>
      </c>
      <c r="H925"/>
      <c r="I925"/>
    </row>
    <row r="926" spans="2:9" x14ac:dyDescent="0.5">
      <c r="B926" s="91">
        <v>916</v>
      </c>
      <c r="C926" s="92">
        <v>11.739735088555394</v>
      </c>
      <c r="D926" s="92">
        <v>-4041.3216363222132</v>
      </c>
      <c r="E926" s="91">
        <v>1</v>
      </c>
      <c r="H926"/>
      <c r="I926"/>
    </row>
    <row r="927" spans="2:9" x14ac:dyDescent="0.5">
      <c r="B927" s="91">
        <v>917</v>
      </c>
      <c r="C927" s="92">
        <v>20.359571433481776</v>
      </c>
      <c r="D927" s="92">
        <v>-2426.4505561951037</v>
      </c>
      <c r="E927" s="91">
        <v>1</v>
      </c>
      <c r="H927"/>
      <c r="I927"/>
    </row>
    <row r="928" spans="2:9" x14ac:dyDescent="0.5">
      <c r="B928" s="91">
        <v>918</v>
      </c>
      <c r="C928" s="92">
        <v>123.50262541655317</v>
      </c>
      <c r="D928" s="92">
        <v>10635.421167133489</v>
      </c>
      <c r="E928" s="91">
        <v>0</v>
      </c>
      <c r="H928"/>
      <c r="I928"/>
    </row>
    <row r="929" spans="2:9" x14ac:dyDescent="0.5">
      <c r="B929" s="91">
        <v>919</v>
      </c>
      <c r="C929" s="92">
        <v>39.104134697905018</v>
      </c>
      <c r="D929" s="92">
        <v>253.02234955612886</v>
      </c>
      <c r="E929" s="91">
        <v>0</v>
      </c>
      <c r="H929"/>
      <c r="I929"/>
    </row>
    <row r="930" spans="2:9" x14ac:dyDescent="0.5">
      <c r="B930" s="91">
        <v>920</v>
      </c>
      <c r="C930" s="92">
        <v>11.104574389035548</v>
      </c>
      <c r="D930" s="92">
        <v>-4160.314921559192</v>
      </c>
      <c r="E930" s="91">
        <v>1</v>
      </c>
      <c r="H930"/>
      <c r="I930"/>
    </row>
    <row r="931" spans="2:9" x14ac:dyDescent="0.5">
      <c r="B931" s="91">
        <v>921</v>
      </c>
      <c r="C931" s="92">
        <v>56.88167814167457</v>
      </c>
      <c r="D931" s="92">
        <v>2475.8140895935003</v>
      </c>
      <c r="E931" s="91">
        <v>0</v>
      </c>
      <c r="H931"/>
      <c r="I931"/>
    </row>
    <row r="932" spans="2:9" x14ac:dyDescent="0.5">
      <c r="B932" s="91">
        <v>922</v>
      </c>
      <c r="C932" s="92">
        <v>18.560629704883905</v>
      </c>
      <c r="D932" s="92">
        <v>-2763.4707565909607</v>
      </c>
      <c r="E932" s="91">
        <v>1</v>
      </c>
      <c r="H932"/>
      <c r="I932"/>
    </row>
    <row r="933" spans="2:9" x14ac:dyDescent="0.5">
      <c r="B933" s="91">
        <v>923</v>
      </c>
      <c r="C933" s="92">
        <v>12.43971339725999</v>
      </c>
      <c r="D933" s="92">
        <v>-3910.1851875300413</v>
      </c>
      <c r="E933" s="91">
        <v>1</v>
      </c>
      <c r="H933"/>
      <c r="I933"/>
    </row>
    <row r="934" spans="2:9" x14ac:dyDescent="0.5">
      <c r="B934" s="91">
        <v>924</v>
      </c>
      <c r="C934" s="92">
        <v>23.919813558685433</v>
      </c>
      <c r="D934" s="92">
        <v>-1759.4620176452142</v>
      </c>
      <c r="E934" s="91">
        <v>1</v>
      </c>
      <c r="H934"/>
      <c r="I934"/>
    </row>
    <row r="935" spans="2:9" x14ac:dyDescent="0.5">
      <c r="B935" s="91">
        <v>925</v>
      </c>
      <c r="C935" s="92">
        <v>5.5006817687731546</v>
      </c>
      <c r="D935" s="92">
        <v>-5210.168279149445</v>
      </c>
      <c r="E935" s="91">
        <v>1</v>
      </c>
      <c r="H935"/>
      <c r="I935"/>
    </row>
    <row r="936" spans="2:9" x14ac:dyDescent="0.5">
      <c r="B936" s="91">
        <v>926</v>
      </c>
      <c r="C936" s="92">
        <v>75.9849626597358</v>
      </c>
      <c r="D936" s="92">
        <v>4816.3482120287536</v>
      </c>
      <c r="E936" s="91">
        <v>0</v>
      </c>
      <c r="H936"/>
      <c r="I936"/>
    </row>
    <row r="937" spans="2:9" x14ac:dyDescent="0.5">
      <c r="B937" s="91">
        <v>927</v>
      </c>
      <c r="C937" s="92">
        <v>29.984351892963915</v>
      </c>
      <c r="D937" s="92">
        <v>-923.57798729330102</v>
      </c>
      <c r="E937" s="91">
        <v>1</v>
      </c>
      <c r="H937"/>
      <c r="I937"/>
    </row>
    <row r="938" spans="2:9" x14ac:dyDescent="0.5">
      <c r="B938" s="91">
        <v>928</v>
      </c>
      <c r="C938" s="92">
        <v>40.007437809344466</v>
      </c>
      <c r="D938" s="92">
        <v>367.02671589401461</v>
      </c>
      <c r="E938" s="91">
        <v>0</v>
      </c>
      <c r="H938"/>
      <c r="I938"/>
    </row>
    <row r="939" spans="2:9" x14ac:dyDescent="0.5">
      <c r="B939" s="91">
        <v>929</v>
      </c>
      <c r="C939" s="92">
        <v>25.830446286344529</v>
      </c>
      <c r="D939" s="92">
        <v>-1482.8938815853041</v>
      </c>
      <c r="E939" s="91">
        <v>1</v>
      </c>
      <c r="H939"/>
      <c r="I939"/>
    </row>
    <row r="940" spans="2:9" x14ac:dyDescent="0.5">
      <c r="B940" s="91">
        <v>930</v>
      </c>
      <c r="C940" s="92">
        <v>31.025439968354949</v>
      </c>
      <c r="D940" s="92">
        <v>-786.88243268374777</v>
      </c>
      <c r="E940" s="91">
        <v>1</v>
      </c>
      <c r="H940"/>
      <c r="I940"/>
    </row>
    <row r="941" spans="2:9" x14ac:dyDescent="0.5">
      <c r="B941" s="91">
        <v>931</v>
      </c>
      <c r="C941" s="92">
        <v>13.9819186950721</v>
      </c>
      <c r="D941" s="92">
        <v>-3621.2629115843415</v>
      </c>
      <c r="E941" s="91">
        <v>1</v>
      </c>
      <c r="H941"/>
      <c r="I941"/>
    </row>
    <row r="942" spans="2:9" x14ac:dyDescent="0.5">
      <c r="B942" s="91">
        <v>932</v>
      </c>
      <c r="C942" s="92">
        <v>35.997960638061109</v>
      </c>
      <c r="D942" s="92">
        <v>-143.50974898186865</v>
      </c>
      <c r="E942" s="91">
        <v>1</v>
      </c>
      <c r="H942"/>
      <c r="I942"/>
    </row>
    <row r="943" spans="2:9" x14ac:dyDescent="0.5">
      <c r="B943" s="91">
        <v>933</v>
      </c>
      <c r="C943" s="92">
        <v>24.741789696593621</v>
      </c>
      <c r="D943" s="92">
        <v>-1634.0052794635526</v>
      </c>
      <c r="E943" s="91">
        <v>1</v>
      </c>
      <c r="H943"/>
      <c r="I943"/>
    </row>
    <row r="944" spans="2:9" x14ac:dyDescent="0.5">
      <c r="B944" s="91">
        <v>934</v>
      </c>
      <c r="C944" s="92">
        <v>55.341479163283687</v>
      </c>
      <c r="D944" s="92">
        <v>2284.8909179494754</v>
      </c>
      <c r="E944" s="91">
        <v>0</v>
      </c>
      <c r="H944"/>
      <c r="I944"/>
    </row>
    <row r="945" spans="2:9" x14ac:dyDescent="0.5">
      <c r="B945" s="91">
        <v>935</v>
      </c>
      <c r="C945" s="92">
        <v>22.865256154043688</v>
      </c>
      <c r="D945" s="92">
        <v>-1957.0265869647037</v>
      </c>
      <c r="E945" s="91">
        <v>1</v>
      </c>
      <c r="H945"/>
      <c r="I945"/>
    </row>
    <row r="946" spans="2:9" x14ac:dyDescent="0.5">
      <c r="B946" s="91">
        <v>936</v>
      </c>
      <c r="C946" s="92">
        <v>31.395246265716594</v>
      </c>
      <c r="D946" s="92">
        <v>-738.95554480813939</v>
      </c>
      <c r="E946" s="91">
        <v>1</v>
      </c>
      <c r="H946"/>
      <c r="I946"/>
    </row>
    <row r="947" spans="2:9" x14ac:dyDescent="0.5">
      <c r="B947" s="91">
        <v>937</v>
      </c>
      <c r="C947" s="92">
        <v>23.621435856590157</v>
      </c>
      <c r="D947" s="92">
        <v>-1815.3611673259454</v>
      </c>
      <c r="E947" s="91">
        <v>1</v>
      </c>
      <c r="H947"/>
      <c r="I947"/>
    </row>
    <row r="948" spans="2:9" x14ac:dyDescent="0.5">
      <c r="B948" s="91">
        <v>938</v>
      </c>
      <c r="C948" s="92">
        <v>19.674441671990206</v>
      </c>
      <c r="D948" s="92">
        <v>-2554.8052248563408</v>
      </c>
      <c r="E948" s="91">
        <v>1</v>
      </c>
      <c r="H948"/>
      <c r="I948"/>
    </row>
    <row r="949" spans="2:9" x14ac:dyDescent="0.5">
      <c r="B949" s="91">
        <v>939</v>
      </c>
      <c r="C949" s="92">
        <v>26.515492424879294</v>
      </c>
      <c r="D949" s="92">
        <v>-1389.1900599080416</v>
      </c>
      <c r="E949" s="91">
        <v>1</v>
      </c>
      <c r="H949"/>
      <c r="I949"/>
    </row>
    <row r="950" spans="2:9" x14ac:dyDescent="0.5">
      <c r="B950" s="91">
        <v>940</v>
      </c>
      <c r="C950" s="92">
        <v>15.658821385834543</v>
      </c>
      <c r="D950" s="92">
        <v>-3307.1059425725671</v>
      </c>
      <c r="E950" s="91">
        <v>1</v>
      </c>
      <c r="H950"/>
      <c r="I950"/>
    </row>
    <row r="951" spans="2:9" x14ac:dyDescent="0.5">
      <c r="B951" s="91">
        <v>941</v>
      </c>
      <c r="C951" s="92">
        <v>43.035503014817728</v>
      </c>
      <c r="D951" s="92">
        <v>749.19373226758569</v>
      </c>
      <c r="E951" s="91">
        <v>0</v>
      </c>
      <c r="H951"/>
      <c r="I951"/>
    </row>
    <row r="952" spans="2:9" x14ac:dyDescent="0.5">
      <c r="B952" s="91">
        <v>942</v>
      </c>
      <c r="C952" s="92">
        <v>144.67581927350042</v>
      </c>
      <c r="D952" s="92">
        <v>13221.653796398656</v>
      </c>
      <c r="E952" s="91">
        <v>0</v>
      </c>
      <c r="H952"/>
      <c r="I952"/>
    </row>
    <row r="953" spans="2:9" x14ac:dyDescent="0.5">
      <c r="B953" s="91">
        <v>943</v>
      </c>
      <c r="C953" s="92">
        <v>12.600720064949423</v>
      </c>
      <c r="D953" s="92">
        <v>-3880.0216205021893</v>
      </c>
      <c r="E953" s="91">
        <v>1</v>
      </c>
      <c r="H953"/>
      <c r="I953"/>
    </row>
    <row r="954" spans="2:9" x14ac:dyDescent="0.5">
      <c r="B954" s="91">
        <v>944</v>
      </c>
      <c r="C954" s="92">
        <v>20.903854748172567</v>
      </c>
      <c r="D954" s="92">
        <v>-2324.4825664191462</v>
      </c>
      <c r="E954" s="91">
        <v>1</v>
      </c>
      <c r="H954"/>
      <c r="I954"/>
    </row>
    <row r="955" spans="2:9" x14ac:dyDescent="0.5">
      <c r="B955" s="91">
        <v>945</v>
      </c>
      <c r="C955" s="92">
        <v>50.551747710369519</v>
      </c>
      <c r="D955" s="92">
        <v>1689.4854910785743</v>
      </c>
      <c r="E955" s="91">
        <v>0</v>
      </c>
      <c r="H955"/>
      <c r="I955"/>
    </row>
    <row r="956" spans="2:9" x14ac:dyDescent="0.5">
      <c r="B956" s="91">
        <v>946</v>
      </c>
      <c r="C956" s="92">
        <v>17.148402156543881</v>
      </c>
      <c r="D956" s="92">
        <v>-3028.0425344200657</v>
      </c>
      <c r="E956" s="91">
        <v>1</v>
      </c>
      <c r="H956"/>
      <c r="I956"/>
    </row>
    <row r="957" spans="2:9" x14ac:dyDescent="0.5">
      <c r="B957" s="91">
        <v>947</v>
      </c>
      <c r="C957" s="92">
        <v>51.281979319434633</v>
      </c>
      <c r="D957" s="92">
        <v>1780.4632801379266</v>
      </c>
      <c r="E957" s="91">
        <v>0</v>
      </c>
      <c r="H957"/>
      <c r="I957"/>
    </row>
    <row r="958" spans="2:9" x14ac:dyDescent="0.5">
      <c r="B958" s="91">
        <v>948</v>
      </c>
      <c r="C958" s="92">
        <v>48.257938059665044</v>
      </c>
      <c r="D958" s="92">
        <v>1403.7052975708311</v>
      </c>
      <c r="E958" s="91">
        <v>0</v>
      </c>
      <c r="H958"/>
      <c r="I958"/>
    </row>
    <row r="959" spans="2:9" x14ac:dyDescent="0.5">
      <c r="B959" s="91">
        <v>949</v>
      </c>
      <c r="C959" s="92">
        <v>27.927339420282209</v>
      </c>
      <c r="D959" s="92">
        <v>-1198.0983780213098</v>
      </c>
      <c r="E959" s="91">
        <v>1</v>
      </c>
      <c r="H959"/>
      <c r="I959"/>
    </row>
    <row r="960" spans="2:9" x14ac:dyDescent="0.5">
      <c r="B960" s="91">
        <v>950</v>
      </c>
      <c r="C960" s="92">
        <v>25.472491963947714</v>
      </c>
      <c r="D960" s="92">
        <v>-1531.8565515541025</v>
      </c>
      <c r="E960" s="91">
        <v>1</v>
      </c>
      <c r="H960"/>
      <c r="I960"/>
    </row>
    <row r="961" spans="2:9" x14ac:dyDescent="0.5">
      <c r="B961" s="91">
        <v>951</v>
      </c>
      <c r="C961" s="92">
        <v>29.555321892611708</v>
      </c>
      <c r="D961" s="92">
        <v>-980.3486591045471</v>
      </c>
      <c r="E961" s="91">
        <v>1</v>
      </c>
      <c r="H961"/>
      <c r="I961"/>
    </row>
    <row r="962" spans="2:9" x14ac:dyDescent="0.5">
      <c r="B962" s="91">
        <v>952</v>
      </c>
      <c r="C962" s="92">
        <v>44.110034004839406</v>
      </c>
      <c r="D962" s="92">
        <v>884.20068070435468</v>
      </c>
      <c r="E962" s="91">
        <v>0</v>
      </c>
      <c r="H962"/>
      <c r="I962"/>
    </row>
    <row r="963" spans="2:9" x14ac:dyDescent="0.5">
      <c r="B963" s="91">
        <v>953</v>
      </c>
      <c r="C963" s="92">
        <v>27.019031754750305</v>
      </c>
      <c r="D963" s="92">
        <v>-1320.3135902520817</v>
      </c>
      <c r="E963" s="91">
        <v>1</v>
      </c>
      <c r="H963"/>
      <c r="I963"/>
    </row>
    <row r="964" spans="2:9" x14ac:dyDescent="0.5">
      <c r="B964" s="91">
        <v>954</v>
      </c>
      <c r="C964" s="92">
        <v>13.142979113666311</v>
      </c>
      <c r="D964" s="92">
        <v>-3778.4328639795021</v>
      </c>
      <c r="E964" s="91">
        <v>1</v>
      </c>
      <c r="H964"/>
      <c r="I964"/>
    </row>
    <row r="965" spans="2:9" x14ac:dyDescent="0.5">
      <c r="B965" s="91">
        <v>955</v>
      </c>
      <c r="C965" s="92">
        <v>44.290067594956888</v>
      </c>
      <c r="D965" s="92">
        <v>906.76487186422503</v>
      </c>
      <c r="E965" s="91">
        <v>0</v>
      </c>
      <c r="H965"/>
      <c r="I965"/>
    </row>
    <row r="966" spans="2:9" x14ac:dyDescent="0.5">
      <c r="B966" s="91">
        <v>956</v>
      </c>
      <c r="C966" s="92">
        <v>28.794814417632477</v>
      </c>
      <c r="D966" s="92">
        <v>-1082.0408667280062</v>
      </c>
      <c r="E966" s="91">
        <v>1</v>
      </c>
      <c r="H966"/>
      <c r="I966"/>
    </row>
    <row r="967" spans="2:9" x14ac:dyDescent="0.5">
      <c r="B967" s="91">
        <v>957</v>
      </c>
      <c r="C967" s="92">
        <v>21.492314894610963</v>
      </c>
      <c r="D967" s="92">
        <v>-2214.2383304192285</v>
      </c>
      <c r="E967" s="91">
        <v>1</v>
      </c>
      <c r="H967"/>
      <c r="I967"/>
    </row>
    <row r="968" spans="2:9" x14ac:dyDescent="0.5">
      <c r="B968" s="91">
        <v>958</v>
      </c>
      <c r="C968" s="92">
        <v>30.397825991787826</v>
      </c>
      <c r="D968" s="92">
        <v>-868.86572393756239</v>
      </c>
      <c r="E968" s="91">
        <v>1</v>
      </c>
      <c r="H968"/>
      <c r="I968"/>
    </row>
    <row r="969" spans="2:9" x14ac:dyDescent="0.5">
      <c r="B969" s="91">
        <v>959</v>
      </c>
      <c r="C969" s="92">
        <v>69.130037765188419</v>
      </c>
      <c r="D969" s="92">
        <v>3976.8854575730534</v>
      </c>
      <c r="E969" s="91">
        <v>0</v>
      </c>
      <c r="H969"/>
      <c r="I969"/>
    </row>
    <row r="970" spans="2:9" x14ac:dyDescent="0.5">
      <c r="B970" s="91">
        <v>960</v>
      </c>
      <c r="C970" s="92">
        <v>26.180122934216548</v>
      </c>
      <c r="D970" s="92">
        <v>-1435.0634707359191</v>
      </c>
      <c r="E970" s="91">
        <v>1</v>
      </c>
      <c r="H970"/>
      <c r="I970"/>
    </row>
    <row r="971" spans="2:9" x14ac:dyDescent="0.5">
      <c r="B971" s="91">
        <v>961</v>
      </c>
      <c r="C971" s="92">
        <v>34.362992488684661</v>
      </c>
      <c r="D971" s="92">
        <v>-354.33570061885621</v>
      </c>
      <c r="E971" s="91">
        <v>1</v>
      </c>
      <c r="H971"/>
      <c r="I971"/>
    </row>
    <row r="972" spans="2:9" x14ac:dyDescent="0.5">
      <c r="B972" s="91">
        <v>962</v>
      </c>
      <c r="C972" s="92">
        <v>30.729150609287075</v>
      </c>
      <c r="D972" s="92">
        <v>-825.28152699904842</v>
      </c>
      <c r="E972" s="91">
        <v>1</v>
      </c>
      <c r="H972"/>
      <c r="I972"/>
    </row>
    <row r="973" spans="2:9" x14ac:dyDescent="0.5">
      <c r="B973" s="91">
        <v>963</v>
      </c>
      <c r="C973" s="92">
        <v>30.264615183008996</v>
      </c>
      <c r="D973" s="92">
        <v>-886.49261972733245</v>
      </c>
      <c r="E973" s="91">
        <v>1</v>
      </c>
      <c r="H973"/>
      <c r="I973"/>
    </row>
    <row r="974" spans="2:9" x14ac:dyDescent="0.5">
      <c r="B974" s="91">
        <v>964</v>
      </c>
      <c r="C974" s="92">
        <v>14.764975262835438</v>
      </c>
      <c r="D974" s="92">
        <v>-3474.5622835464424</v>
      </c>
      <c r="E974" s="91">
        <v>1</v>
      </c>
      <c r="H974"/>
      <c r="I974"/>
    </row>
    <row r="975" spans="2:9" x14ac:dyDescent="0.5">
      <c r="B975" s="91">
        <v>965</v>
      </c>
      <c r="C975" s="92">
        <v>33.166843339138509</v>
      </c>
      <c r="D975" s="92">
        <v>-509.35660367486975</v>
      </c>
      <c r="E975" s="91">
        <v>1</v>
      </c>
      <c r="H975"/>
      <c r="I975"/>
    </row>
    <row r="976" spans="2:9" x14ac:dyDescent="0.5">
      <c r="B976" s="91">
        <v>966</v>
      </c>
      <c r="C976" s="92">
        <v>140.52899827469855</v>
      </c>
      <c r="D976" s="92">
        <v>12716.527604664669</v>
      </c>
      <c r="E976" s="91">
        <v>0</v>
      </c>
      <c r="H976"/>
      <c r="I976"/>
    </row>
    <row r="977" spans="2:9" x14ac:dyDescent="0.5">
      <c r="B977" s="91">
        <v>967</v>
      </c>
      <c r="C977" s="92">
        <v>29.438673783496796</v>
      </c>
      <c r="D977" s="92">
        <v>-995.90038330964023</v>
      </c>
      <c r="E977" s="91">
        <v>1</v>
      </c>
      <c r="H977"/>
      <c r="I977"/>
    </row>
    <row r="978" spans="2:9" x14ac:dyDescent="0.5">
      <c r="B978" s="91">
        <v>968</v>
      </c>
      <c r="C978" s="92">
        <v>46.726756308026324</v>
      </c>
      <c r="D978" s="92">
        <v>1212.1629360972345</v>
      </c>
      <c r="E978" s="91">
        <v>0</v>
      </c>
      <c r="H978"/>
      <c r="I978"/>
    </row>
    <row r="979" spans="2:9" x14ac:dyDescent="0.5">
      <c r="B979" s="91">
        <v>969</v>
      </c>
      <c r="C979" s="92">
        <v>26.216866449110849</v>
      </c>
      <c r="D979" s="92">
        <v>-1430.0375205498258</v>
      </c>
      <c r="E979" s="91">
        <v>1</v>
      </c>
      <c r="H979"/>
      <c r="I979"/>
    </row>
    <row r="980" spans="2:9" x14ac:dyDescent="0.5">
      <c r="B980" s="91">
        <v>970</v>
      </c>
      <c r="C980" s="92">
        <v>69.761431434465791</v>
      </c>
      <c r="D980" s="92">
        <v>4054.2067232194609</v>
      </c>
      <c r="E980" s="91">
        <v>0</v>
      </c>
      <c r="H980"/>
      <c r="I980"/>
    </row>
    <row r="981" spans="2:9" x14ac:dyDescent="0.5">
      <c r="B981" s="91">
        <v>971</v>
      </c>
      <c r="C981" s="92">
        <v>67.290588528598278</v>
      </c>
      <c r="D981" s="92">
        <v>3751.6241824192371</v>
      </c>
      <c r="E981" s="91">
        <v>0</v>
      </c>
      <c r="H981"/>
      <c r="I981"/>
    </row>
    <row r="982" spans="2:9" x14ac:dyDescent="0.5">
      <c r="B982" s="91">
        <v>972</v>
      </c>
      <c r="C982" s="92">
        <v>30.885685104490495</v>
      </c>
      <c r="D982" s="92">
        <v>-804.99465991808415</v>
      </c>
      <c r="E982" s="91">
        <v>1</v>
      </c>
      <c r="H982"/>
      <c r="I982"/>
    </row>
    <row r="983" spans="2:9" x14ac:dyDescent="0.5">
      <c r="B983" s="91">
        <v>973</v>
      </c>
      <c r="C983" s="92">
        <v>32.769585083714233</v>
      </c>
      <c r="D983" s="92">
        <v>-560.84126470204603</v>
      </c>
      <c r="E983" s="91">
        <v>1</v>
      </c>
      <c r="H983"/>
      <c r="I983"/>
    </row>
    <row r="984" spans="2:9" x14ac:dyDescent="0.5">
      <c r="B984" s="91">
        <v>974</v>
      </c>
      <c r="C984" s="92">
        <v>60.348494032522865</v>
      </c>
      <c r="D984" s="92">
        <v>2901.4865285402452</v>
      </c>
      <c r="E984" s="91">
        <v>0</v>
      </c>
      <c r="H984"/>
      <c r="I984"/>
    </row>
    <row r="985" spans="2:9" x14ac:dyDescent="0.5">
      <c r="B985" s="91">
        <v>975</v>
      </c>
      <c r="C985" s="92">
        <v>88.095617855314927</v>
      </c>
      <c r="D985" s="92">
        <v>6299.4343326120388</v>
      </c>
      <c r="E985" s="91">
        <v>0</v>
      </c>
      <c r="H985"/>
      <c r="I985"/>
    </row>
    <row r="986" spans="2:9" x14ac:dyDescent="0.5">
      <c r="B986" s="91">
        <v>976</v>
      </c>
      <c r="C986" s="92">
        <v>28.152773799583684</v>
      </c>
      <c r="D986" s="92">
        <v>-1167.938024003503</v>
      </c>
      <c r="E986" s="91">
        <v>1</v>
      </c>
      <c r="H986"/>
      <c r="I986"/>
    </row>
    <row r="987" spans="2:9" x14ac:dyDescent="0.5">
      <c r="B987" s="91">
        <v>977</v>
      </c>
      <c r="C987" s="92">
        <v>10.94190679625652</v>
      </c>
      <c r="D987" s="92">
        <v>-4190.7896522549045</v>
      </c>
      <c r="E987" s="91">
        <v>1</v>
      </c>
      <c r="H987"/>
      <c r="I987"/>
    </row>
    <row r="988" spans="2:9" x14ac:dyDescent="0.5">
      <c r="B988" s="91">
        <v>978</v>
      </c>
      <c r="C988" s="92">
        <v>14.462105671019982</v>
      </c>
      <c r="D988" s="92">
        <v>-3531.3029599701385</v>
      </c>
      <c r="E988" s="91">
        <v>1</v>
      </c>
      <c r="H988"/>
      <c r="I988"/>
    </row>
    <row r="989" spans="2:9" x14ac:dyDescent="0.5">
      <c r="B989" s="91">
        <v>979</v>
      </c>
      <c r="C989" s="92">
        <v>39.849558546084573</v>
      </c>
      <c r="D989" s="92">
        <v>347.10103963108833</v>
      </c>
      <c r="E989" s="91">
        <v>0</v>
      </c>
      <c r="H989"/>
      <c r="I989"/>
    </row>
    <row r="990" spans="2:9" x14ac:dyDescent="0.5">
      <c r="B990" s="91">
        <v>980</v>
      </c>
      <c r="C990" s="92">
        <v>43.574440120611591</v>
      </c>
      <c r="D990" s="92">
        <v>817.07296981502702</v>
      </c>
      <c r="E990" s="91">
        <v>0</v>
      </c>
      <c r="H990"/>
      <c r="I990"/>
    </row>
    <row r="991" spans="2:9" x14ac:dyDescent="0.5">
      <c r="B991" s="91">
        <v>981</v>
      </c>
      <c r="C991" s="92">
        <v>44.728127485471234</v>
      </c>
      <c r="D991" s="92">
        <v>961.66833239393804</v>
      </c>
      <c r="E991" s="91">
        <v>0</v>
      </c>
      <c r="H991"/>
      <c r="I991"/>
    </row>
    <row r="992" spans="2:9" x14ac:dyDescent="0.5">
      <c r="B992" s="91">
        <v>982</v>
      </c>
      <c r="C992" s="92">
        <v>5.1280852014113938</v>
      </c>
      <c r="D992" s="92">
        <v>-5279.9718574437484</v>
      </c>
      <c r="E992" s="91">
        <v>1</v>
      </c>
      <c r="H992"/>
      <c r="I992"/>
    </row>
    <row r="993" spans="2:9" x14ac:dyDescent="0.5">
      <c r="B993" s="91">
        <v>983</v>
      </c>
      <c r="C993" s="92">
        <v>25.055128342596312</v>
      </c>
      <c r="D993" s="92">
        <v>-1590.1630367881796</v>
      </c>
      <c r="E993" s="91">
        <v>1</v>
      </c>
      <c r="H993"/>
      <c r="I993"/>
    </row>
    <row r="994" spans="2:9" x14ac:dyDescent="0.5">
      <c r="B994" s="91">
        <v>984</v>
      </c>
      <c r="C994" s="92">
        <v>123.98378642206151</v>
      </c>
      <c r="D994" s="92">
        <v>10694.344751160206</v>
      </c>
      <c r="E994" s="91">
        <v>0</v>
      </c>
      <c r="H994"/>
      <c r="I994"/>
    </row>
    <row r="995" spans="2:9" x14ac:dyDescent="0.5">
      <c r="B995" s="91">
        <v>985</v>
      </c>
      <c r="C995" s="92">
        <v>45.439527828101447</v>
      </c>
      <c r="D995" s="92">
        <v>1050.8304343762998</v>
      </c>
      <c r="E995" s="91">
        <v>0</v>
      </c>
      <c r="H995"/>
      <c r="I995"/>
    </row>
    <row r="996" spans="2:9" x14ac:dyDescent="0.5">
      <c r="B996" s="91">
        <v>986</v>
      </c>
      <c r="C996" s="92">
        <v>19.320802937615863</v>
      </c>
      <c r="D996" s="92">
        <v>-2621.0571746732335</v>
      </c>
      <c r="E996" s="91">
        <v>1</v>
      </c>
      <c r="H996"/>
      <c r="I996"/>
    </row>
    <row r="997" spans="2:9" x14ac:dyDescent="0.5">
      <c r="B997" s="91">
        <v>987</v>
      </c>
      <c r="C997" s="92">
        <v>138.80959121896132</v>
      </c>
      <c r="D997" s="92">
        <v>12507.085832676916</v>
      </c>
      <c r="E997" s="91">
        <v>0</v>
      </c>
      <c r="H997"/>
      <c r="I997"/>
    </row>
    <row r="998" spans="2:9" x14ac:dyDescent="0.5">
      <c r="B998" s="91">
        <v>988</v>
      </c>
      <c r="C998" s="92">
        <v>30.5901249039341</v>
      </c>
      <c r="D998" s="92">
        <v>-843.42009444276255</v>
      </c>
      <c r="E998" s="91">
        <v>1</v>
      </c>
      <c r="H998"/>
      <c r="I998"/>
    </row>
    <row r="999" spans="2:9" x14ac:dyDescent="0.5">
      <c r="B999" s="91">
        <v>989</v>
      </c>
      <c r="C999" s="92">
        <v>13.858390886880596</v>
      </c>
      <c r="D999" s="92">
        <v>-3644.4050545505902</v>
      </c>
      <c r="E999" s="91">
        <v>1</v>
      </c>
      <c r="H999"/>
      <c r="I999"/>
    </row>
    <row r="1000" spans="2:9" x14ac:dyDescent="0.5">
      <c r="B1000" s="91">
        <v>990</v>
      </c>
      <c r="C1000" s="92">
        <v>12.084365196959322</v>
      </c>
      <c r="D1000" s="92">
        <v>-3976.7573948293748</v>
      </c>
      <c r="E1000" s="91">
        <v>1</v>
      </c>
      <c r="H1000"/>
      <c r="I1000"/>
    </row>
    <row r="1001" spans="2:9" x14ac:dyDescent="0.5">
      <c r="B1001" s="91">
        <v>991</v>
      </c>
      <c r="C1001" s="92">
        <v>19.617240653890565</v>
      </c>
      <c r="D1001" s="92">
        <v>-2565.5214688993397</v>
      </c>
      <c r="E1001" s="91">
        <v>1</v>
      </c>
      <c r="H1001"/>
      <c r="I1001"/>
    </row>
    <row r="1002" spans="2:9" x14ac:dyDescent="0.5">
      <c r="B1002" s="91">
        <v>992</v>
      </c>
      <c r="C1002" s="92">
        <v>43.935523097898823</v>
      </c>
      <c r="D1002" s="92">
        <v>862.32866525923623</v>
      </c>
      <c r="E1002" s="91">
        <v>0</v>
      </c>
      <c r="H1002"/>
      <c r="I1002"/>
    </row>
    <row r="1003" spans="2:9" x14ac:dyDescent="0.5">
      <c r="B1003" s="91">
        <v>993</v>
      </c>
      <c r="C1003" s="92">
        <v>12.291340219341137</v>
      </c>
      <c r="D1003" s="92">
        <v>-3937.9819512387567</v>
      </c>
      <c r="E1003" s="91">
        <v>1</v>
      </c>
      <c r="H1003"/>
      <c r="I1003"/>
    </row>
    <row r="1004" spans="2:9" x14ac:dyDescent="0.5">
      <c r="B1004" s="91">
        <v>994</v>
      </c>
      <c r="C1004" s="92">
        <v>57.081931968810835</v>
      </c>
      <c r="D1004" s="92">
        <v>2500.6375678239906</v>
      </c>
      <c r="E1004" s="91">
        <v>0</v>
      </c>
      <c r="H1004"/>
      <c r="I1004"/>
    </row>
    <row r="1005" spans="2:9" x14ac:dyDescent="0.5">
      <c r="B1005" s="91">
        <v>995</v>
      </c>
      <c r="C1005" s="92">
        <v>7.0919850747804949</v>
      </c>
      <c r="D1005" s="92">
        <v>-4912.0478061204585</v>
      </c>
      <c r="E1005" s="91">
        <v>1</v>
      </c>
      <c r="H1005"/>
      <c r="I1005"/>
    </row>
    <row r="1006" spans="2:9" x14ac:dyDescent="0.5">
      <c r="B1006" s="91">
        <v>996</v>
      </c>
      <c r="C1006" s="92">
        <v>27.757220464980001</v>
      </c>
      <c r="D1006" s="92">
        <v>-1220.858206992172</v>
      </c>
      <c r="E1006" s="91">
        <v>1</v>
      </c>
      <c r="H1006"/>
      <c r="I1006"/>
    </row>
    <row r="1007" spans="2:9" x14ac:dyDescent="0.5">
      <c r="B1007" s="91">
        <v>997</v>
      </c>
      <c r="C1007" s="92">
        <v>13.786317465353154</v>
      </c>
      <c r="D1007" s="92">
        <v>-3657.9075480334259</v>
      </c>
      <c r="E1007" s="91">
        <v>1</v>
      </c>
      <c r="H1007"/>
      <c r="I1007"/>
    </row>
    <row r="1008" spans="2:9" x14ac:dyDescent="0.5">
      <c r="B1008" s="91">
        <v>998</v>
      </c>
      <c r="C1008" s="92">
        <v>34.342491288463457</v>
      </c>
      <c r="D1008" s="92">
        <v>-356.99265570947279</v>
      </c>
      <c r="E1008" s="91">
        <v>1</v>
      </c>
      <c r="H1008"/>
      <c r="I1008"/>
    </row>
    <row r="1009" spans="2:9" x14ac:dyDescent="0.5">
      <c r="B1009" s="91">
        <v>999</v>
      </c>
      <c r="C1009" s="92">
        <v>33.966673090505637</v>
      </c>
      <c r="D1009" s="92">
        <v>-405.69868576802361</v>
      </c>
      <c r="E1009" s="91">
        <v>1</v>
      </c>
      <c r="H1009"/>
      <c r="I1009"/>
    </row>
    <row r="1010" spans="2:9" x14ac:dyDescent="0.5">
      <c r="B1010" s="91">
        <v>1000</v>
      </c>
      <c r="C1010" s="92">
        <v>44.149209328308743</v>
      </c>
      <c r="D1010" s="92">
        <v>889.11065048796524</v>
      </c>
      <c r="E1010" s="91">
        <v>0</v>
      </c>
      <c r="H1010"/>
      <c r="I1010"/>
    </row>
    <row r="1011" spans="2:9" x14ac:dyDescent="0.5">
      <c r="H1011"/>
      <c r="I1011"/>
    </row>
    <row r="1012" spans="2:9" x14ac:dyDescent="0.5">
      <c r="H1012"/>
      <c r="I1012"/>
    </row>
    <row r="1013" spans="2:9" x14ac:dyDescent="0.5">
      <c r="H1013"/>
      <c r="I1013"/>
    </row>
    <row r="1014" spans="2:9" x14ac:dyDescent="0.5">
      <c r="H1014"/>
      <c r="I1014"/>
    </row>
    <row r="1015" spans="2:9" x14ac:dyDescent="0.5">
      <c r="H1015"/>
      <c r="I1015"/>
    </row>
    <row r="1016" spans="2:9" x14ac:dyDescent="0.5">
      <c r="H1016"/>
      <c r="I1016"/>
    </row>
    <row r="1017" spans="2:9" x14ac:dyDescent="0.5">
      <c r="H1017"/>
      <c r="I1017"/>
    </row>
    <row r="1018" spans="2:9" x14ac:dyDescent="0.5">
      <c r="H1018"/>
      <c r="I1018"/>
    </row>
    <row r="1019" spans="2:9" x14ac:dyDescent="0.5">
      <c r="H1019"/>
      <c r="I1019"/>
    </row>
    <row r="1020" spans="2:9" x14ac:dyDescent="0.5">
      <c r="H1020"/>
      <c r="I1020"/>
    </row>
    <row r="1021" spans="2:9" x14ac:dyDescent="0.5">
      <c r="H1021"/>
      <c r="I1021"/>
    </row>
    <row r="1022" spans="2:9" x14ac:dyDescent="0.5">
      <c r="H1022"/>
      <c r="I1022"/>
    </row>
    <row r="1023" spans="2:9" x14ac:dyDescent="0.5">
      <c r="H1023"/>
      <c r="I1023"/>
    </row>
    <row r="1024" spans="2:9" x14ac:dyDescent="0.5">
      <c r="H1024"/>
      <c r="I1024"/>
    </row>
    <row r="1025" spans="8:9" x14ac:dyDescent="0.5">
      <c r="H1025"/>
      <c r="I1025"/>
    </row>
    <row r="1026" spans="8:9" x14ac:dyDescent="0.5">
      <c r="H1026"/>
      <c r="I1026"/>
    </row>
    <row r="1027" spans="8:9" x14ac:dyDescent="0.5">
      <c r="H1027"/>
      <c r="I1027"/>
    </row>
    <row r="1028" spans="8:9" x14ac:dyDescent="0.5">
      <c r="H1028"/>
      <c r="I1028"/>
    </row>
    <row r="1029" spans="8:9" x14ac:dyDescent="0.5">
      <c r="H1029"/>
      <c r="I1029"/>
    </row>
    <row r="1030" spans="8:9" x14ac:dyDescent="0.5">
      <c r="H1030"/>
      <c r="I1030"/>
    </row>
    <row r="1031" spans="8:9" x14ac:dyDescent="0.5">
      <c r="H1031"/>
      <c r="I1031"/>
    </row>
    <row r="1032" spans="8:9" x14ac:dyDescent="0.5">
      <c r="H1032"/>
      <c r="I1032"/>
    </row>
    <row r="1033" spans="8:9" x14ac:dyDescent="0.5">
      <c r="H1033"/>
      <c r="I1033"/>
    </row>
    <row r="1034" spans="8:9" x14ac:dyDescent="0.5">
      <c r="H1034"/>
      <c r="I1034"/>
    </row>
    <row r="1035" spans="8:9" x14ac:dyDescent="0.5">
      <c r="H1035"/>
      <c r="I1035"/>
    </row>
    <row r="1036" spans="8:9" x14ac:dyDescent="0.5">
      <c r="H1036"/>
      <c r="I1036"/>
    </row>
    <row r="1037" spans="8:9" x14ac:dyDescent="0.5">
      <c r="H1037"/>
      <c r="I1037"/>
    </row>
    <row r="1038" spans="8:9" x14ac:dyDescent="0.5">
      <c r="H1038"/>
      <c r="I1038"/>
    </row>
    <row r="1039" spans="8:9" x14ac:dyDescent="0.5">
      <c r="H1039"/>
      <c r="I1039"/>
    </row>
    <row r="1040" spans="8:9" x14ac:dyDescent="0.5">
      <c r="H1040"/>
      <c r="I1040"/>
    </row>
    <row r="1041" spans="8:9" x14ac:dyDescent="0.5">
      <c r="H1041"/>
      <c r="I1041"/>
    </row>
    <row r="1042" spans="8:9" x14ac:dyDescent="0.5">
      <c r="H1042"/>
      <c r="I1042"/>
    </row>
    <row r="1043" spans="8:9" x14ac:dyDescent="0.5">
      <c r="H1043"/>
      <c r="I1043"/>
    </row>
  </sheetData>
  <pageMargins left="0.7" right="0.7" top="0.75" bottom="0.75" header="0.3" footer="0.3"/>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3B36F-85EA-486F-8449-1F01D63F4724}">
  <dimension ref="B2:X1010"/>
  <sheetViews>
    <sheetView topLeftCell="A2" zoomScale="93" zoomScaleNormal="81" workbookViewId="0">
      <selection activeCell="L28" sqref="L28"/>
    </sheetView>
  </sheetViews>
  <sheetFormatPr defaultRowHeight="16.8" x14ac:dyDescent="0.5"/>
  <cols>
    <col min="1" max="1" width="2.77734375" style="5" customWidth="1"/>
    <col min="2" max="2" width="52.5546875" style="5" customWidth="1"/>
    <col min="3" max="3" width="24.109375" style="5" bestFit="1" customWidth="1"/>
    <col min="4" max="4" width="10" style="5" bestFit="1" customWidth="1"/>
    <col min="5" max="5" width="7.44140625" style="5" customWidth="1"/>
    <col min="6" max="7" width="8.88671875" style="5"/>
    <col min="8" max="8" width="19.21875" style="5" bestFit="1" customWidth="1"/>
    <col min="9" max="9" width="24.6640625" style="5" customWidth="1"/>
    <col min="10" max="10" width="11.109375" style="5" customWidth="1"/>
    <col min="11" max="11" width="14" style="5" bestFit="1" customWidth="1"/>
    <col min="12" max="12" width="8.88671875" style="5"/>
    <col min="13" max="13" width="13" style="5" bestFit="1" customWidth="1"/>
    <col min="14" max="14" width="13.77734375" style="5" bestFit="1" customWidth="1"/>
    <col min="15" max="19" width="8.88671875" style="5"/>
    <col min="20" max="20" width="17.88671875" style="5" bestFit="1" customWidth="1"/>
    <col min="21" max="21" width="17.6640625" style="5" bestFit="1" customWidth="1"/>
    <col min="22" max="16384" width="8.88671875" style="5"/>
  </cols>
  <sheetData>
    <row r="2" spans="2:22" x14ac:dyDescent="0.5">
      <c r="B2" s="30" t="s">
        <v>98</v>
      </c>
    </row>
    <row r="3" spans="2:22" x14ac:dyDescent="0.5">
      <c r="B3" s="30"/>
    </row>
    <row r="4" spans="2:22" x14ac:dyDescent="0.5">
      <c r="B4" s="30"/>
    </row>
    <row r="5" spans="2:22" x14ac:dyDescent="0.5">
      <c r="B5" s="30" t="s">
        <v>99</v>
      </c>
    </row>
    <row r="6" spans="2:22" x14ac:dyDescent="0.5">
      <c r="B6" s="30"/>
    </row>
    <row r="7" spans="2:22" x14ac:dyDescent="0.5">
      <c r="B7" s="30" t="s">
        <v>131</v>
      </c>
      <c r="V7" s="22"/>
    </row>
    <row r="8" spans="2:22" x14ac:dyDescent="0.5">
      <c r="J8" s="38">
        <f>_xlfn.PERCENTILE.INC(NPV_MC_Uniform_1000_Trials,0.99)</f>
        <v>7686.2231801920016</v>
      </c>
      <c r="V8" s="22"/>
    </row>
    <row r="9" spans="2:22" x14ac:dyDescent="0.5">
      <c r="B9" s="30" t="s">
        <v>82</v>
      </c>
      <c r="C9" s="30" t="s">
        <v>84</v>
      </c>
      <c r="D9" s="30" t="s">
        <v>85</v>
      </c>
      <c r="E9" s="30" t="s">
        <v>81</v>
      </c>
      <c r="V9" s="22"/>
    </row>
    <row r="10" spans="2:22" x14ac:dyDescent="0.5">
      <c r="C10" s="31">
        <f ca="1">oil_price_base</f>
        <v>53.706954968820042</v>
      </c>
      <c r="D10" s="32">
        <f ca="1">npv_post_tax</f>
        <v>2082.2751860120857</v>
      </c>
      <c r="E10" s="33">
        <f ca="1">IF(npv_post_tax&lt;0,1,0)</f>
        <v>0</v>
      </c>
      <c r="I10" s="69" t="s">
        <v>83</v>
      </c>
      <c r="J10" s="69" t="s">
        <v>86</v>
      </c>
      <c r="K10" s="69" t="s">
        <v>87</v>
      </c>
      <c r="V10" s="22"/>
    </row>
    <row r="11" spans="2:22" x14ac:dyDescent="0.5">
      <c r="B11" s="85">
        <v>1</v>
      </c>
      <c r="C11" s="86">
        <v>76.85506556514963</v>
      </c>
      <c r="D11" s="87">
        <v>4922.9021120167172</v>
      </c>
      <c r="E11" s="85">
        <v>0</v>
      </c>
      <c r="I11" s="50" t="s">
        <v>88</v>
      </c>
      <c r="J11" s="38">
        <f>AVERAGE(Oil_Price_MC_Uniform_1000_Trials)</f>
        <v>60.365824733207901</v>
      </c>
      <c r="K11" s="38">
        <f>AVERAGE(NPV_MC_Uniform_1000_Trials)</f>
        <v>2863.0025779774737</v>
      </c>
      <c r="V11" s="22"/>
    </row>
    <row r="12" spans="2:22" x14ac:dyDescent="0.5">
      <c r="B12" s="85">
        <v>2</v>
      </c>
      <c r="C12" s="86">
        <v>88.688615525735756</v>
      </c>
      <c r="D12" s="87">
        <v>6372.0535757773778</v>
      </c>
      <c r="E12" s="85">
        <v>0</v>
      </c>
      <c r="I12" s="50" t="s">
        <v>89</v>
      </c>
      <c r="J12" s="38">
        <f>MEDIAN(Oil_Price_MC_Uniform_1000_Trials)</f>
        <v>60.757818526235333</v>
      </c>
      <c r="K12" s="38">
        <f>MEDIAN(NPV_MC_Uniform_1000_Trials)</f>
        <v>2951.6129226647636</v>
      </c>
      <c r="V12" s="22"/>
    </row>
    <row r="13" spans="2:22" x14ac:dyDescent="0.5">
      <c r="B13" s="85">
        <v>3</v>
      </c>
      <c r="C13" s="86">
        <v>52.510081064366432</v>
      </c>
      <c r="D13" s="87">
        <v>1933.4695046108322</v>
      </c>
      <c r="E13" s="85">
        <v>0</v>
      </c>
      <c r="I13" s="50" t="s">
        <v>206</v>
      </c>
      <c r="J13" s="38">
        <f>_xlfn.PERCENTILE.INC(Oil_Price_MC_Uniform_1000_Trials,0.99)</f>
        <v>99.419924198030998</v>
      </c>
      <c r="K13" s="38">
        <f>_xlfn.PERCENTILE.INC(NPV_MC_Uniform_1000_Trials,0.99)</f>
        <v>7686.2231801920016</v>
      </c>
      <c r="V13" s="22"/>
    </row>
    <row r="14" spans="2:22" x14ac:dyDescent="0.5">
      <c r="B14" s="85">
        <v>4</v>
      </c>
      <c r="C14" s="86">
        <v>27.700759230922365</v>
      </c>
      <c r="D14" s="87">
        <v>-1228.4120273665849</v>
      </c>
      <c r="E14" s="85">
        <v>1</v>
      </c>
      <c r="I14" s="50" t="s">
        <v>199</v>
      </c>
      <c r="J14" s="38">
        <f>_xlfn.PERCENTILE.INC(Oil_Price_MC_Uniform_1000_Trials,0.75)</f>
        <v>80.451244218364934</v>
      </c>
      <c r="K14" s="38">
        <f>_xlfn.PERCENTILE.INC(NPV_MC_Uniform_1000_Trials,0.75)</f>
        <v>5363.2946887675116</v>
      </c>
      <c r="V14" s="22"/>
    </row>
    <row r="15" spans="2:22" x14ac:dyDescent="0.5">
      <c r="B15" s="85">
        <v>5</v>
      </c>
      <c r="C15" s="86">
        <v>93.093363043534225</v>
      </c>
      <c r="D15" s="87">
        <v>6911.4645162114894</v>
      </c>
      <c r="E15" s="85">
        <v>0</v>
      </c>
      <c r="I15" s="50" t="s">
        <v>200</v>
      </c>
      <c r="J15" s="38">
        <f>_xlfn.PERCENTILE.INC(Oil_Price_MC_Uniform_1000_Trials,0.25)</f>
        <v>39.905133941266001</v>
      </c>
      <c r="K15" s="38">
        <f>_xlfn.PERCENTILE.INC(NPV_MC_Uniform_1000_Trials,0.25)</f>
        <v>354.11511677905708</v>
      </c>
      <c r="V15" s="22"/>
    </row>
    <row r="16" spans="2:22" x14ac:dyDescent="0.5">
      <c r="B16" s="85">
        <v>6</v>
      </c>
      <c r="C16" s="86">
        <v>90.089088407837167</v>
      </c>
      <c r="D16" s="87">
        <v>6543.5572525112411</v>
      </c>
      <c r="E16" s="85">
        <v>0</v>
      </c>
      <c r="I16" s="50" t="s">
        <v>205</v>
      </c>
      <c r="J16" s="38">
        <f>_xlfn.PERCENTILE.INC(Oil_Price_MC_Uniform_1000_Trials,0.01)</f>
        <v>20.937769144197411</v>
      </c>
      <c r="K16" s="38">
        <f>_xlfn.PERCENTILE.INC(NPV_MC_Uniform_1000_Trials,0.01)</f>
        <v>-2318.1289217385556</v>
      </c>
      <c r="V16" s="22"/>
    </row>
    <row r="17" spans="2:24" x14ac:dyDescent="0.5">
      <c r="B17" s="85">
        <v>7</v>
      </c>
      <c r="C17" s="86">
        <v>39.920332849286723</v>
      </c>
      <c r="D17" s="87">
        <v>356.03334539577128</v>
      </c>
      <c r="E17" s="85">
        <v>0</v>
      </c>
      <c r="I17" s="50" t="s">
        <v>90</v>
      </c>
      <c r="J17" s="38">
        <f>MAX(Oil_Price_MC_Uniform_1000_Trials)</f>
        <v>99.99329680380896</v>
      </c>
      <c r="K17" s="38">
        <f>MAX(NPV_MC_Uniform_1000_Trials)</f>
        <v>7756.4391131716129</v>
      </c>
      <c r="T17" s="22"/>
      <c r="U17" s="22"/>
      <c r="V17" s="22"/>
    </row>
    <row r="18" spans="2:24" x14ac:dyDescent="0.5">
      <c r="B18" s="85">
        <v>8</v>
      </c>
      <c r="C18" s="86">
        <v>36.679572453438141</v>
      </c>
      <c r="D18" s="87">
        <v>-55.960389753272374</v>
      </c>
      <c r="E18" s="85">
        <v>1</v>
      </c>
      <c r="I18" s="50" t="s">
        <v>91</v>
      </c>
      <c r="J18" s="38">
        <f>MIN(Oil_Price_MC_Uniform_1000_Trials)</f>
        <v>20.018144707695935</v>
      </c>
      <c r="K18" s="38">
        <f>MIN(NPV_MC_Uniform_1000_Trials)</f>
        <v>-2490.4146644903353</v>
      </c>
      <c r="T18" s="22"/>
      <c r="U18" s="22"/>
      <c r="V18" s="22"/>
    </row>
    <row r="19" spans="2:24" x14ac:dyDescent="0.5">
      <c r="B19" s="85">
        <v>9</v>
      </c>
      <c r="C19" s="86">
        <v>27.046028011524513</v>
      </c>
      <c r="D19" s="87">
        <v>-1316.6209157175833</v>
      </c>
      <c r="E19" s="85">
        <v>1</v>
      </c>
      <c r="I19" s="50"/>
      <c r="J19" s="36"/>
      <c r="K19" s="36"/>
      <c r="T19" s="22"/>
      <c r="U19" s="22"/>
      <c r="V19" s="22"/>
    </row>
    <row r="20" spans="2:24" x14ac:dyDescent="0.5">
      <c r="B20" s="85">
        <v>10</v>
      </c>
      <c r="C20" s="86">
        <v>47.240812454704333</v>
      </c>
      <c r="D20" s="87">
        <v>1276.591252796246</v>
      </c>
      <c r="E20" s="85">
        <v>0</v>
      </c>
      <c r="I20" s="50" t="s">
        <v>93</v>
      </c>
      <c r="J20" s="36">
        <f>COUNT(Oil_Price_MC_Uniform_1000_Trials)</f>
        <v>1000</v>
      </c>
      <c r="K20" s="36"/>
      <c r="T20" s="22"/>
      <c r="U20" s="22"/>
      <c r="V20" s="22"/>
    </row>
    <row r="21" spans="2:24" x14ac:dyDescent="0.5">
      <c r="B21" s="85">
        <v>11</v>
      </c>
      <c r="C21" s="86">
        <v>28.34624134574301</v>
      </c>
      <c r="D21" s="87">
        <v>-1142.0544400479323</v>
      </c>
      <c r="E21" s="85">
        <v>1</v>
      </c>
      <c r="I21" s="50" t="s">
        <v>170</v>
      </c>
      <c r="J21" s="58">
        <f>_xlfn.PERCENTRANK.INC(Oil_Price_MC_Uniform_1000_Trials, 30)</f>
        <v>0.125</v>
      </c>
      <c r="K21" s="36"/>
    </row>
    <row r="22" spans="2:24" x14ac:dyDescent="0.5">
      <c r="B22" s="85">
        <v>12</v>
      </c>
      <c r="C22" s="86">
        <v>77.43324481540516</v>
      </c>
      <c r="D22" s="87">
        <v>4993.706672745705</v>
      </c>
      <c r="E22" s="85">
        <v>0</v>
      </c>
      <c r="I22" s="50" t="s">
        <v>171</v>
      </c>
      <c r="J22" s="58">
        <f>_xlfn.PERCENTRANK.EXC(NPV_MC_Uniform_1000_Trials,0)</f>
        <v>0.221</v>
      </c>
      <c r="K22" s="36"/>
    </row>
    <row r="23" spans="2:24" x14ac:dyDescent="0.5">
      <c r="B23" s="85">
        <v>13</v>
      </c>
      <c r="C23" s="86">
        <v>46.639003040683193</v>
      </c>
      <c r="D23" s="87">
        <v>1201.1645357546013</v>
      </c>
      <c r="E23" s="85">
        <v>0</v>
      </c>
      <c r="I23" s="50" t="s">
        <v>92</v>
      </c>
      <c r="J23" s="58">
        <f>SUM(Prob_Loss_MC_Uniform_1000_Trials)/COUNT(Prob_Loss_MC_Uniform_1000_Trials)</f>
        <v>0.221</v>
      </c>
      <c r="K23" s="36"/>
    </row>
    <row r="24" spans="2:24" x14ac:dyDescent="0.5">
      <c r="B24" s="85">
        <v>14</v>
      </c>
      <c r="C24" s="86">
        <v>85.457449201584282</v>
      </c>
      <c r="D24" s="87">
        <v>5976.360869540109</v>
      </c>
      <c r="E24" s="85">
        <v>0</v>
      </c>
    </row>
    <row r="25" spans="2:24" x14ac:dyDescent="0.5">
      <c r="B25" s="85">
        <v>15</v>
      </c>
      <c r="C25" s="86">
        <v>73.896806795552195</v>
      </c>
      <c r="D25" s="87">
        <v>4560.6300093574546</v>
      </c>
      <c r="E25" s="85">
        <v>0</v>
      </c>
      <c r="I25" s="39" t="s">
        <v>95</v>
      </c>
    </row>
    <row r="26" spans="2:24" x14ac:dyDescent="0.5">
      <c r="B26" s="85">
        <v>16</v>
      </c>
      <c r="C26" s="86">
        <v>99.137982949724076</v>
      </c>
      <c r="D26" s="87">
        <v>7651.6962990752354</v>
      </c>
      <c r="E26" s="85">
        <v>0</v>
      </c>
    </row>
    <row r="27" spans="2:24" x14ac:dyDescent="0.5">
      <c r="B27" s="85">
        <v>17</v>
      </c>
      <c r="C27" s="86">
        <v>90.273606461661146</v>
      </c>
      <c r="D27" s="87">
        <v>6566.1535662699971</v>
      </c>
      <c r="E27" s="85">
        <v>0</v>
      </c>
      <c r="I27" s="70" t="s">
        <v>97</v>
      </c>
      <c r="J27" s="71" t="s">
        <v>87</v>
      </c>
      <c r="K27" s="71" t="s">
        <v>94</v>
      </c>
      <c r="L27" s="70" t="s">
        <v>96</v>
      </c>
      <c r="M27" s="70" t="s">
        <v>118</v>
      </c>
    </row>
    <row r="28" spans="2:24" x14ac:dyDescent="0.5">
      <c r="B28" s="85">
        <v>18</v>
      </c>
      <c r="C28" s="86">
        <v>90.252426036998685</v>
      </c>
      <c r="D28" s="87">
        <v>6563.5597847331856</v>
      </c>
      <c r="E28" s="85">
        <v>0</v>
      </c>
      <c r="I28" s="88">
        <v>1</v>
      </c>
      <c r="J28" s="89">
        <v>-1466</v>
      </c>
      <c r="K28" s="88">
        <v>81</v>
      </c>
      <c r="L28" s="72">
        <f t="shared" ref="L28:L37" si="0">K28/(SUM($K$28:$K$37))</f>
        <v>8.1000000000000003E-2</v>
      </c>
      <c r="M28" s="72">
        <f>SUM($L$28:L28)</f>
        <v>8.1000000000000003E-2</v>
      </c>
    </row>
    <row r="29" spans="2:24" x14ac:dyDescent="0.5">
      <c r="B29" s="85">
        <v>19</v>
      </c>
      <c r="C29" s="86">
        <v>87.707427818685943</v>
      </c>
      <c r="D29" s="87">
        <v>6251.8960907765904</v>
      </c>
      <c r="E29" s="85">
        <v>0</v>
      </c>
      <c r="I29" s="88">
        <v>2</v>
      </c>
      <c r="J29" s="89">
        <v>-441</v>
      </c>
      <c r="K29" s="88">
        <v>91</v>
      </c>
      <c r="L29" s="72">
        <f t="shared" si="0"/>
        <v>9.0999999999999998E-2</v>
      </c>
      <c r="M29" s="72">
        <f>SUM($L$28:L29)</f>
        <v>0.17199999999999999</v>
      </c>
    </row>
    <row r="30" spans="2:24" x14ac:dyDescent="0.5">
      <c r="B30" s="85">
        <v>20</v>
      </c>
      <c r="C30" s="86">
        <v>41.842409494132625</v>
      </c>
      <c r="D30" s="87">
        <v>598.61540580661267</v>
      </c>
      <c r="E30" s="85">
        <v>0</v>
      </c>
      <c r="I30" s="88">
        <v>3</v>
      </c>
      <c r="J30" s="90">
        <v>584</v>
      </c>
      <c r="K30" s="88">
        <v>103</v>
      </c>
      <c r="L30" s="72">
        <f t="shared" si="0"/>
        <v>0.10299999999999999</v>
      </c>
      <c r="M30" s="72">
        <f>SUM($L$28:L30)</f>
        <v>0.27499999999999997</v>
      </c>
      <c r="T30" s="22"/>
      <c r="U30" s="22"/>
      <c r="V30" s="22"/>
      <c r="W30" s="22"/>
      <c r="X30" s="22"/>
    </row>
    <row r="31" spans="2:24" x14ac:dyDescent="0.5">
      <c r="B31" s="85">
        <v>21</v>
      </c>
      <c r="C31" s="86">
        <v>30.848383768712544</v>
      </c>
      <c r="D31" s="87">
        <v>-809.82891220149486</v>
      </c>
      <c r="E31" s="85">
        <v>1</v>
      </c>
      <c r="I31" s="88">
        <v>4</v>
      </c>
      <c r="J31" s="89">
        <v>1609</v>
      </c>
      <c r="K31" s="88">
        <v>93</v>
      </c>
      <c r="L31" s="72">
        <f t="shared" si="0"/>
        <v>9.2999999999999999E-2</v>
      </c>
      <c r="M31" s="72">
        <f>SUM($L$28:L31)</f>
        <v>0.36799999999999999</v>
      </c>
      <c r="T31" s="22"/>
      <c r="U31" s="22"/>
      <c r="V31" s="22"/>
      <c r="W31" s="22"/>
      <c r="X31" s="22"/>
    </row>
    <row r="32" spans="2:24" x14ac:dyDescent="0.5">
      <c r="B32" s="85">
        <v>22</v>
      </c>
      <c r="C32" s="86">
        <v>21.488866637644605</v>
      </c>
      <c r="D32" s="87">
        <v>-2214.8843392561707</v>
      </c>
      <c r="E32" s="85">
        <v>1</v>
      </c>
      <c r="I32" s="88">
        <v>5</v>
      </c>
      <c r="J32" s="89">
        <v>2634</v>
      </c>
      <c r="K32" s="88">
        <v>99</v>
      </c>
      <c r="L32" s="72">
        <f t="shared" si="0"/>
        <v>9.9000000000000005E-2</v>
      </c>
      <c r="M32" s="72">
        <f>SUM($L$28:L32)</f>
        <v>0.46699999999999997</v>
      </c>
      <c r="T32" s="22"/>
      <c r="U32" s="22"/>
    </row>
    <row r="33" spans="2:21" x14ac:dyDescent="0.5">
      <c r="B33" s="85">
        <v>23</v>
      </c>
      <c r="C33" s="86">
        <v>41.569761525788273</v>
      </c>
      <c r="D33" s="87">
        <v>564.2049643160733</v>
      </c>
      <c r="E33" s="85">
        <v>0</v>
      </c>
      <c r="I33" s="88">
        <v>6</v>
      </c>
      <c r="J33" s="89">
        <v>3659</v>
      </c>
      <c r="K33" s="88">
        <v>107</v>
      </c>
      <c r="L33" s="72">
        <f t="shared" si="0"/>
        <v>0.107</v>
      </c>
      <c r="M33" s="72">
        <f>SUM($L$28:L33)</f>
        <v>0.57399999999999995</v>
      </c>
      <c r="T33" s="22"/>
      <c r="U33" s="22"/>
    </row>
    <row r="34" spans="2:21" x14ac:dyDescent="0.5">
      <c r="B34" s="85">
        <v>24</v>
      </c>
      <c r="C34" s="86">
        <v>61.764225407472928</v>
      </c>
      <c r="D34" s="87">
        <v>3074.8587795666949</v>
      </c>
      <c r="E34" s="85">
        <v>0</v>
      </c>
      <c r="I34" s="88">
        <v>7</v>
      </c>
      <c r="J34" s="89">
        <v>4684</v>
      </c>
      <c r="K34" s="88">
        <v>104</v>
      </c>
      <c r="L34" s="72">
        <f t="shared" si="0"/>
        <v>0.104</v>
      </c>
      <c r="M34" s="72">
        <f>SUM($L$28:L34)</f>
        <v>0.67799999999999994</v>
      </c>
      <c r="T34" s="22"/>
      <c r="U34" s="22"/>
    </row>
    <row r="35" spans="2:21" x14ac:dyDescent="0.5">
      <c r="B35" s="85">
        <v>25</v>
      </c>
      <c r="C35" s="86">
        <v>93.887129266324422</v>
      </c>
      <c r="D35" s="87">
        <v>7008.6701296978426</v>
      </c>
      <c r="E35" s="85">
        <v>0</v>
      </c>
      <c r="I35" s="88">
        <v>8</v>
      </c>
      <c r="J35" s="89">
        <v>5709</v>
      </c>
      <c r="K35" s="88">
        <v>98</v>
      </c>
      <c r="L35" s="72">
        <f t="shared" si="0"/>
        <v>9.8000000000000004E-2</v>
      </c>
      <c r="M35" s="72">
        <f>SUM($L$28:L35)</f>
        <v>0.77599999999999991</v>
      </c>
      <c r="T35" s="22"/>
      <c r="U35" s="22"/>
    </row>
    <row r="36" spans="2:21" x14ac:dyDescent="0.5">
      <c r="B36" s="85">
        <v>26</v>
      </c>
      <c r="C36" s="86">
        <v>29.066558647269282</v>
      </c>
      <c r="D36" s="87">
        <v>-1045.6848229269774</v>
      </c>
      <c r="E36" s="85">
        <v>1</v>
      </c>
      <c r="I36" s="88">
        <v>9</v>
      </c>
      <c r="J36" s="89">
        <v>6734</v>
      </c>
      <c r="K36" s="88">
        <v>113</v>
      </c>
      <c r="L36" s="72">
        <f t="shared" si="0"/>
        <v>0.113</v>
      </c>
      <c r="M36" s="72">
        <f>SUM($L$28:L36)</f>
        <v>0.8889999999999999</v>
      </c>
      <c r="T36" s="77"/>
      <c r="U36" s="22"/>
    </row>
    <row r="37" spans="2:21" x14ac:dyDescent="0.5">
      <c r="B37" s="85">
        <v>27</v>
      </c>
      <c r="C37" s="86">
        <v>57.258171973797275</v>
      </c>
      <c r="D37" s="87">
        <v>2522.4842910036955</v>
      </c>
      <c r="E37" s="85">
        <v>0</v>
      </c>
      <c r="I37" s="88">
        <v>10</v>
      </c>
      <c r="J37" s="89">
        <v>7759</v>
      </c>
      <c r="K37" s="88">
        <v>111</v>
      </c>
      <c r="L37" s="72">
        <f t="shared" si="0"/>
        <v>0.111</v>
      </c>
      <c r="M37" s="72">
        <f>SUM($L$28:L37)</f>
        <v>0.99999999999999989</v>
      </c>
      <c r="T37" s="77"/>
      <c r="U37" s="22"/>
    </row>
    <row r="38" spans="2:21" x14ac:dyDescent="0.5">
      <c r="B38" s="85">
        <v>28</v>
      </c>
      <c r="C38" s="86">
        <v>25.665820978654487</v>
      </c>
      <c r="D38" s="87">
        <v>-1505.4121027789131</v>
      </c>
      <c r="E38" s="85">
        <v>1</v>
      </c>
      <c r="T38" s="77"/>
      <c r="U38" s="22"/>
    </row>
    <row r="39" spans="2:21" x14ac:dyDescent="0.5">
      <c r="B39" s="85">
        <v>29</v>
      </c>
      <c r="C39" s="86">
        <v>47.854047582057966</v>
      </c>
      <c r="D39" s="87">
        <v>1353.3855603550439</v>
      </c>
      <c r="E39" s="85">
        <v>0</v>
      </c>
      <c r="T39" s="77"/>
      <c r="U39" s="22"/>
    </row>
    <row r="40" spans="2:21" x14ac:dyDescent="0.5">
      <c r="B40" s="85">
        <v>30</v>
      </c>
      <c r="C40" s="86">
        <v>63.782152248551689</v>
      </c>
      <c r="D40" s="87">
        <v>3321.9766474297694</v>
      </c>
      <c r="E40" s="85">
        <v>0</v>
      </c>
      <c r="T40" s="77"/>
      <c r="U40" s="22"/>
    </row>
    <row r="41" spans="2:21" x14ac:dyDescent="0.5">
      <c r="B41" s="85">
        <v>31</v>
      </c>
      <c r="C41" s="86">
        <v>50.878967201131324</v>
      </c>
      <c r="D41" s="87">
        <v>1730.2529755822225</v>
      </c>
      <c r="E41" s="85">
        <v>0</v>
      </c>
      <c r="T41" s="77"/>
      <c r="U41" s="22"/>
    </row>
    <row r="42" spans="2:21" x14ac:dyDescent="0.5">
      <c r="B42" s="85">
        <v>32</v>
      </c>
      <c r="C42" s="86">
        <v>78.047875458904429</v>
      </c>
      <c r="D42" s="87">
        <v>5068.9751170980544</v>
      </c>
      <c r="E42" s="85">
        <v>0</v>
      </c>
      <c r="T42" s="77"/>
      <c r="U42" s="22"/>
    </row>
    <row r="43" spans="2:21" x14ac:dyDescent="0.5">
      <c r="B43" s="85">
        <v>33</v>
      </c>
      <c r="C43" s="86">
        <v>76.762081619377739</v>
      </c>
      <c r="D43" s="87">
        <v>4911.5151806588074</v>
      </c>
      <c r="E43" s="85">
        <v>0</v>
      </c>
      <c r="T43" s="77"/>
      <c r="U43" s="22"/>
    </row>
    <row r="44" spans="2:21" x14ac:dyDescent="0.5">
      <c r="B44" s="85">
        <v>34</v>
      </c>
      <c r="C44" s="86">
        <v>45.049974190583768</v>
      </c>
      <c r="D44" s="87">
        <v>1002.0064191564957</v>
      </c>
      <c r="E44" s="85">
        <v>0</v>
      </c>
      <c r="T44" s="22"/>
      <c r="U44" s="22"/>
    </row>
    <row r="45" spans="2:21" x14ac:dyDescent="0.5">
      <c r="B45" s="85">
        <v>35</v>
      </c>
      <c r="C45" s="86">
        <v>41.800720891694674</v>
      </c>
      <c r="D45" s="87">
        <v>593.35395741319701</v>
      </c>
      <c r="E45" s="85">
        <v>0</v>
      </c>
      <c r="T45" s="22"/>
      <c r="U45" s="22"/>
    </row>
    <row r="46" spans="2:21" x14ac:dyDescent="0.5">
      <c r="B46" s="85">
        <v>36</v>
      </c>
      <c r="C46" s="86">
        <v>88.022108557236251</v>
      </c>
      <c r="D46" s="87">
        <v>6290.4322911903573</v>
      </c>
      <c r="E46" s="85">
        <v>0</v>
      </c>
      <c r="H46" s="30"/>
      <c r="I46" s="30"/>
      <c r="T46" s="22"/>
      <c r="U46" s="22"/>
    </row>
    <row r="47" spans="2:21" x14ac:dyDescent="0.5">
      <c r="B47" s="85">
        <v>37</v>
      </c>
      <c r="C47" s="86">
        <v>73.000662323333074</v>
      </c>
      <c r="D47" s="87">
        <v>4450.8870262304354</v>
      </c>
      <c r="E47" s="85">
        <v>0</v>
      </c>
      <c r="T47" s="22"/>
      <c r="U47" s="22"/>
    </row>
    <row r="48" spans="2:21" x14ac:dyDescent="0.5">
      <c r="B48" s="85">
        <v>38</v>
      </c>
      <c r="C48" s="86">
        <v>80.530416149312089</v>
      </c>
      <c r="D48" s="87">
        <v>5372.9901833572985</v>
      </c>
      <c r="E48" s="85">
        <v>0</v>
      </c>
      <c r="T48" s="22"/>
      <c r="U48" s="22"/>
    </row>
    <row r="49" spans="2:21" x14ac:dyDescent="0.5">
      <c r="B49" s="85">
        <v>39</v>
      </c>
      <c r="C49" s="86">
        <v>21.890115232258172</v>
      </c>
      <c r="D49" s="87">
        <v>-2139.7129873354943</v>
      </c>
      <c r="E49" s="85">
        <v>1</v>
      </c>
      <c r="T49" s="22"/>
      <c r="U49" s="22"/>
    </row>
    <row r="50" spans="2:21" x14ac:dyDescent="0.5">
      <c r="B50" s="85">
        <v>40</v>
      </c>
      <c r="C50" s="86">
        <v>76.535400690477374</v>
      </c>
      <c r="D50" s="87">
        <v>4883.7555480027822</v>
      </c>
      <c r="E50" s="85">
        <v>0</v>
      </c>
      <c r="T50" s="22"/>
      <c r="U50" s="22"/>
    </row>
    <row r="51" spans="2:21" x14ac:dyDescent="0.5">
      <c r="B51" s="85">
        <v>41</v>
      </c>
      <c r="C51" s="86">
        <v>93.714681330255729</v>
      </c>
      <c r="D51" s="87">
        <v>6987.5519377935716</v>
      </c>
      <c r="E51" s="85">
        <v>0</v>
      </c>
      <c r="T51" s="22"/>
      <c r="U51" s="22"/>
    </row>
    <row r="52" spans="2:21" x14ac:dyDescent="0.5">
      <c r="B52" s="85">
        <v>42</v>
      </c>
      <c r="C52" s="86">
        <v>41.140526944597219</v>
      </c>
      <c r="D52" s="87">
        <v>510.03198979701716</v>
      </c>
      <c r="E52" s="85">
        <v>0</v>
      </c>
      <c r="T52" s="22"/>
      <c r="U52" s="22"/>
    </row>
    <row r="53" spans="2:21" x14ac:dyDescent="0.5">
      <c r="B53" s="85">
        <v>43</v>
      </c>
      <c r="C53" s="86">
        <v>76.598396684389542</v>
      </c>
      <c r="D53" s="87">
        <v>4891.4701169269783</v>
      </c>
      <c r="E53" s="85">
        <v>0</v>
      </c>
      <c r="T53" s="22"/>
      <c r="U53" s="22"/>
    </row>
    <row r="54" spans="2:21" x14ac:dyDescent="0.5">
      <c r="B54" s="85">
        <v>44</v>
      </c>
      <c r="C54" s="86">
        <v>77.552924442705432</v>
      </c>
      <c r="D54" s="87">
        <v>5008.3627909572451</v>
      </c>
      <c r="E54" s="85">
        <v>0</v>
      </c>
      <c r="T54" s="22"/>
      <c r="U54" s="22"/>
    </row>
    <row r="55" spans="2:21" x14ac:dyDescent="0.5">
      <c r="B55" s="85">
        <v>45</v>
      </c>
      <c r="C55" s="86">
        <v>37.760501717366679</v>
      </c>
      <c r="D55" s="87">
        <v>82.879140744059427</v>
      </c>
      <c r="E55" s="85">
        <v>0</v>
      </c>
      <c r="T55" s="22"/>
      <c r="U55" s="22"/>
    </row>
    <row r="56" spans="2:21" x14ac:dyDescent="0.5">
      <c r="B56" s="85">
        <v>46</v>
      </c>
      <c r="C56" s="86">
        <v>60.667911378551445</v>
      </c>
      <c r="D56" s="87">
        <v>2940.6027798840578</v>
      </c>
      <c r="E56" s="85">
        <v>0</v>
      </c>
      <c r="T56" s="22"/>
      <c r="U56" s="22"/>
    </row>
    <row r="57" spans="2:21" x14ac:dyDescent="0.5">
      <c r="B57" s="85">
        <v>47</v>
      </c>
      <c r="C57" s="86">
        <v>99.734399679194127</v>
      </c>
      <c r="D57" s="87">
        <v>7724.7342445270733</v>
      </c>
      <c r="E57" s="85">
        <v>0</v>
      </c>
      <c r="T57" s="22"/>
      <c r="U57" s="22"/>
    </row>
    <row r="58" spans="2:21" x14ac:dyDescent="0.5">
      <c r="B58" s="85">
        <v>48</v>
      </c>
      <c r="C58" s="86">
        <v>56.754995435678751</v>
      </c>
      <c r="D58" s="87">
        <v>2460.1104926164139</v>
      </c>
      <c r="E58" s="85">
        <v>0</v>
      </c>
      <c r="T58" s="22"/>
      <c r="U58" s="22"/>
    </row>
    <row r="59" spans="2:21" x14ac:dyDescent="0.5">
      <c r="B59" s="85">
        <v>49</v>
      </c>
      <c r="C59" s="86">
        <v>53.258071335290751</v>
      </c>
      <c r="D59" s="87">
        <v>2026.6315398242118</v>
      </c>
      <c r="E59" s="85">
        <v>0</v>
      </c>
      <c r="T59" s="22"/>
      <c r="U59" s="22"/>
    </row>
    <row r="60" spans="2:21" x14ac:dyDescent="0.5">
      <c r="B60" s="85">
        <v>50</v>
      </c>
      <c r="C60" s="86">
        <v>46.77870506262677</v>
      </c>
      <c r="D60" s="87">
        <v>1218.6738412486386</v>
      </c>
      <c r="E60" s="85">
        <v>0</v>
      </c>
      <c r="T60" s="22"/>
      <c r="U60" s="22"/>
    </row>
    <row r="61" spans="2:21" x14ac:dyDescent="0.5">
      <c r="B61" s="85">
        <v>51</v>
      </c>
      <c r="C61" s="86">
        <v>79.059125174119103</v>
      </c>
      <c r="D61" s="87">
        <v>5192.8140335611497</v>
      </c>
      <c r="E61" s="85">
        <v>0</v>
      </c>
      <c r="T61" s="22"/>
      <c r="U61" s="22"/>
    </row>
    <row r="62" spans="2:21" x14ac:dyDescent="0.5">
      <c r="B62" s="85">
        <v>52</v>
      </c>
      <c r="C62" s="86">
        <v>99.417438421354404</v>
      </c>
      <c r="D62" s="87">
        <v>7685.9187688427901</v>
      </c>
      <c r="E62" s="85">
        <v>0</v>
      </c>
      <c r="T62" s="22"/>
      <c r="U62" s="22"/>
    </row>
    <row r="63" spans="2:21" x14ac:dyDescent="0.5">
      <c r="B63" s="85">
        <v>53</v>
      </c>
      <c r="C63" s="86">
        <v>75.846673088431643</v>
      </c>
      <c r="D63" s="87">
        <v>4799.4130965861586</v>
      </c>
      <c r="E63" s="85">
        <v>0</v>
      </c>
      <c r="T63" s="22"/>
      <c r="U63" s="22"/>
    </row>
    <row r="64" spans="2:21" x14ac:dyDescent="0.5">
      <c r="B64" s="85">
        <v>54</v>
      </c>
      <c r="C64" s="86">
        <v>20.505285333051138</v>
      </c>
      <c r="D64" s="87">
        <v>-2399.1519912373587</v>
      </c>
      <c r="E64" s="85">
        <v>1</v>
      </c>
      <c r="T64" s="22"/>
      <c r="U64" s="22"/>
    </row>
    <row r="65" spans="2:21" x14ac:dyDescent="0.5">
      <c r="B65" s="85">
        <v>55</v>
      </c>
      <c r="C65" s="86">
        <v>89.306886846022891</v>
      </c>
      <c r="D65" s="87">
        <v>6447.7678620042116</v>
      </c>
      <c r="E65" s="85">
        <v>0</v>
      </c>
      <c r="T65" s="22"/>
      <c r="U65" s="22"/>
    </row>
    <row r="66" spans="2:21" x14ac:dyDescent="0.5">
      <c r="B66" s="85">
        <v>56</v>
      </c>
      <c r="C66" s="86">
        <v>77.910567462753761</v>
      </c>
      <c r="D66" s="87">
        <v>5052.1602065876386</v>
      </c>
      <c r="E66" s="85">
        <v>0</v>
      </c>
      <c r="T66" s="22"/>
      <c r="U66" s="22"/>
    </row>
    <row r="67" spans="2:21" x14ac:dyDescent="0.5">
      <c r="B67" s="85">
        <v>57</v>
      </c>
      <c r="C67" s="86">
        <v>89.640282996799016</v>
      </c>
      <c r="D67" s="87">
        <v>6488.5959754206078</v>
      </c>
      <c r="E67" s="85">
        <v>0</v>
      </c>
      <c r="T67" s="22"/>
      <c r="U67" s="22"/>
    </row>
    <row r="68" spans="2:21" x14ac:dyDescent="0.5">
      <c r="B68" s="85">
        <v>58</v>
      </c>
      <c r="C68" s="86">
        <v>87.972837063802416</v>
      </c>
      <c r="D68" s="87">
        <v>6284.3984419169656</v>
      </c>
      <c r="E68" s="85">
        <v>0</v>
      </c>
      <c r="T68" s="22"/>
      <c r="U68" s="22"/>
    </row>
    <row r="69" spans="2:21" x14ac:dyDescent="0.5">
      <c r="B69" s="85">
        <v>59</v>
      </c>
      <c r="C69" s="86">
        <v>36.023642885859147</v>
      </c>
      <c r="D69" s="87">
        <v>-140.21100285167688</v>
      </c>
      <c r="E69" s="85">
        <v>1</v>
      </c>
      <c r="T69" s="22"/>
      <c r="U69" s="22"/>
    </row>
    <row r="70" spans="2:21" x14ac:dyDescent="0.5">
      <c r="B70" s="85">
        <v>60</v>
      </c>
      <c r="C70" s="86">
        <v>40.514522595023273</v>
      </c>
      <c r="D70" s="87">
        <v>431.02503377733598</v>
      </c>
      <c r="E70" s="85">
        <v>0</v>
      </c>
      <c r="T70" s="22"/>
      <c r="U70" s="22"/>
    </row>
    <row r="71" spans="2:21" x14ac:dyDescent="0.5">
      <c r="B71" s="85">
        <v>61</v>
      </c>
      <c r="C71" s="86">
        <v>21.349752197718672</v>
      </c>
      <c r="D71" s="87">
        <v>-2240.9465377568072</v>
      </c>
      <c r="E71" s="85">
        <v>1</v>
      </c>
      <c r="T71" s="22"/>
      <c r="U71" s="22"/>
    </row>
    <row r="72" spans="2:21" x14ac:dyDescent="0.5">
      <c r="B72" s="85">
        <v>62</v>
      </c>
      <c r="C72" s="86">
        <v>54.059720607291808</v>
      </c>
      <c r="D72" s="87">
        <v>2126.0040388999259</v>
      </c>
      <c r="E72" s="85">
        <v>0</v>
      </c>
      <c r="T72" s="22"/>
      <c r="U72" s="22"/>
    </row>
    <row r="73" spans="2:21" x14ac:dyDescent="0.5">
      <c r="B73" s="85">
        <v>63</v>
      </c>
      <c r="C73" s="86">
        <v>49.392991559746179</v>
      </c>
      <c r="D73" s="87">
        <v>1545.1188663886303</v>
      </c>
      <c r="E73" s="85">
        <v>0</v>
      </c>
      <c r="T73" s="22"/>
      <c r="U73" s="22"/>
    </row>
    <row r="74" spans="2:21" x14ac:dyDescent="0.5">
      <c r="B74" s="85">
        <v>64</v>
      </c>
      <c r="C74" s="86">
        <v>24.697337725160509</v>
      </c>
      <c r="D74" s="87">
        <v>-1640.2249850243925</v>
      </c>
      <c r="E74" s="85">
        <v>1</v>
      </c>
      <c r="T74" s="22"/>
      <c r="U74" s="22"/>
    </row>
    <row r="75" spans="2:21" x14ac:dyDescent="0.5">
      <c r="B75" s="85">
        <v>65</v>
      </c>
      <c r="C75" s="86">
        <v>29.119126649713554</v>
      </c>
      <c r="D75" s="87">
        <v>-1038.6518691750211</v>
      </c>
      <c r="E75" s="85">
        <v>1</v>
      </c>
      <c r="T75" s="22"/>
      <c r="U75" s="22"/>
    </row>
    <row r="76" spans="2:21" x14ac:dyDescent="0.5">
      <c r="B76" s="85">
        <v>66</v>
      </c>
      <c r="C76" s="86">
        <v>57.393058503189508</v>
      </c>
      <c r="D76" s="87">
        <v>2539.2048344951108</v>
      </c>
      <c r="E76" s="85">
        <v>0</v>
      </c>
      <c r="T76" s="22"/>
      <c r="U76" s="22"/>
    </row>
    <row r="77" spans="2:21" x14ac:dyDescent="0.5">
      <c r="B77" s="85">
        <v>67</v>
      </c>
      <c r="C77" s="86">
        <v>36.187693634104825</v>
      </c>
      <c r="D77" s="87">
        <v>-119.13956957269751</v>
      </c>
      <c r="E77" s="85">
        <v>1</v>
      </c>
      <c r="T77" s="22"/>
      <c r="U77" s="22"/>
    </row>
    <row r="78" spans="2:21" x14ac:dyDescent="0.5">
      <c r="B78" s="85">
        <v>68</v>
      </c>
      <c r="C78" s="86">
        <v>35.609770046991123</v>
      </c>
      <c r="D78" s="87">
        <v>-193.37073545544968</v>
      </c>
      <c r="E78" s="85">
        <v>1</v>
      </c>
      <c r="T78" s="22"/>
      <c r="U78" s="22"/>
    </row>
    <row r="79" spans="2:21" x14ac:dyDescent="0.5">
      <c r="B79" s="85">
        <v>69</v>
      </c>
      <c r="C79" s="86">
        <v>60.650947469429724</v>
      </c>
      <c r="D79" s="87">
        <v>2938.5253581621973</v>
      </c>
      <c r="E79" s="85">
        <v>0</v>
      </c>
      <c r="T79" s="22"/>
      <c r="U79" s="22"/>
    </row>
    <row r="80" spans="2:21" x14ac:dyDescent="0.5">
      <c r="B80" s="85">
        <v>70</v>
      </c>
      <c r="C80" s="86">
        <v>93.412877889117794</v>
      </c>
      <c r="D80" s="87">
        <v>6950.5927074738656</v>
      </c>
      <c r="E80" s="85">
        <v>0</v>
      </c>
      <c r="T80" s="22"/>
      <c r="U80" s="22"/>
    </row>
    <row r="81" spans="2:21" x14ac:dyDescent="0.5">
      <c r="B81" s="85">
        <v>71</v>
      </c>
      <c r="C81" s="86">
        <v>83.605444655710144</v>
      </c>
      <c r="D81" s="87">
        <v>5749.5620553648241</v>
      </c>
      <c r="E81" s="85">
        <v>0</v>
      </c>
      <c r="T81" s="22"/>
      <c r="U81" s="22"/>
    </row>
    <row r="82" spans="2:21" x14ac:dyDescent="0.5">
      <c r="B82" s="85">
        <v>72</v>
      </c>
      <c r="C82" s="86">
        <v>63.017530390444009</v>
      </c>
      <c r="D82" s="87">
        <v>3228.3400896266826</v>
      </c>
      <c r="E82" s="85">
        <v>0</v>
      </c>
      <c r="T82" s="22"/>
      <c r="U82" s="22"/>
    </row>
    <row r="83" spans="2:21" x14ac:dyDescent="0.5">
      <c r="B83" s="85">
        <v>73</v>
      </c>
      <c r="C83" s="86">
        <v>70.402047281660998</v>
      </c>
      <c r="D83" s="87">
        <v>4132.6573484133614</v>
      </c>
      <c r="E83" s="85">
        <v>0</v>
      </c>
      <c r="T83" s="22"/>
      <c r="U83" s="22"/>
    </row>
    <row r="84" spans="2:21" x14ac:dyDescent="0.5">
      <c r="B84" s="85">
        <v>74</v>
      </c>
      <c r="C84" s="86">
        <v>96.69009319900951</v>
      </c>
      <c r="D84" s="87">
        <v>7351.9246306251162</v>
      </c>
      <c r="E84" s="85">
        <v>0</v>
      </c>
      <c r="T84" s="22"/>
      <c r="U84" s="22"/>
    </row>
    <row r="85" spans="2:21" x14ac:dyDescent="0.5">
      <c r="B85" s="85">
        <v>75</v>
      </c>
      <c r="C85" s="86">
        <v>60.571615940129135</v>
      </c>
      <c r="D85" s="87">
        <v>2928.8103189566141</v>
      </c>
      <c r="E85" s="85">
        <v>0</v>
      </c>
      <c r="T85" s="22"/>
      <c r="U85" s="22"/>
    </row>
    <row r="86" spans="2:21" x14ac:dyDescent="0.5">
      <c r="B86" s="85">
        <v>76</v>
      </c>
      <c r="C86" s="86">
        <v>21.35152366598783</v>
      </c>
      <c r="D86" s="87">
        <v>-2240.6146645329127</v>
      </c>
      <c r="E86" s="85">
        <v>1</v>
      </c>
      <c r="T86" s="22"/>
      <c r="U86" s="22"/>
    </row>
    <row r="87" spans="2:21" x14ac:dyDescent="0.5">
      <c r="B87" s="85">
        <v>77</v>
      </c>
      <c r="C87" s="86">
        <v>25.805360316865649</v>
      </c>
      <c r="D87" s="87">
        <v>-1486.3252580699284</v>
      </c>
      <c r="E87" s="85">
        <v>1</v>
      </c>
      <c r="T87" s="22"/>
      <c r="U87" s="22"/>
    </row>
    <row r="88" spans="2:21" x14ac:dyDescent="0.5">
      <c r="B88" s="85">
        <v>78</v>
      </c>
      <c r="C88" s="86">
        <v>97.956188286206768</v>
      </c>
      <c r="D88" s="87">
        <v>7506.9722329915339</v>
      </c>
      <c r="E88" s="85">
        <v>0</v>
      </c>
      <c r="T88" s="22"/>
      <c r="U88" s="22"/>
    </row>
    <row r="89" spans="2:21" x14ac:dyDescent="0.5">
      <c r="B89" s="85">
        <v>79</v>
      </c>
      <c r="C89" s="86">
        <v>94.221534267775354</v>
      </c>
      <c r="D89" s="87">
        <v>7049.6217882411847</v>
      </c>
      <c r="E89" s="85">
        <v>0</v>
      </c>
      <c r="T89" s="22"/>
      <c r="U89" s="22"/>
    </row>
    <row r="90" spans="2:21" x14ac:dyDescent="0.5">
      <c r="B90" s="85">
        <v>80</v>
      </c>
      <c r="C90" s="86">
        <v>88.697789345589939</v>
      </c>
      <c r="D90" s="87">
        <v>6373.1770133353584</v>
      </c>
      <c r="E90" s="85">
        <v>0</v>
      </c>
      <c r="T90" s="22"/>
      <c r="U90" s="22"/>
    </row>
    <row r="91" spans="2:21" x14ac:dyDescent="0.5">
      <c r="B91" s="85">
        <v>81</v>
      </c>
      <c r="C91" s="86">
        <v>51.464083829808878</v>
      </c>
      <c r="D91" s="87">
        <v>1803.1512404041168</v>
      </c>
      <c r="E91" s="85">
        <v>0</v>
      </c>
      <c r="T91" s="22"/>
      <c r="U91" s="22"/>
    </row>
    <row r="92" spans="2:21" x14ac:dyDescent="0.5">
      <c r="B92" s="85">
        <v>82</v>
      </c>
      <c r="C92" s="86">
        <v>89.960074761278946</v>
      </c>
      <c r="D92" s="87">
        <v>6527.75807852054</v>
      </c>
      <c r="E92" s="85">
        <v>0</v>
      </c>
      <c r="T92" s="22"/>
      <c r="U92" s="22"/>
    </row>
    <row r="93" spans="2:21" x14ac:dyDescent="0.5">
      <c r="B93" s="85">
        <v>83</v>
      </c>
      <c r="C93" s="86">
        <v>88.278573198262251</v>
      </c>
      <c r="D93" s="87">
        <v>6321.8392748244778</v>
      </c>
      <c r="E93" s="85">
        <v>0</v>
      </c>
      <c r="T93" s="22"/>
      <c r="U93" s="22"/>
    </row>
    <row r="94" spans="2:21" x14ac:dyDescent="0.5">
      <c r="B94" s="85">
        <v>84</v>
      </c>
      <c r="C94" s="86">
        <v>39.64774373820849</v>
      </c>
      <c r="D94" s="87">
        <v>321.63033218179027</v>
      </c>
      <c r="E94" s="85">
        <v>0</v>
      </c>
      <c r="T94" s="22"/>
      <c r="U94" s="22"/>
    </row>
    <row r="95" spans="2:21" x14ac:dyDescent="0.5">
      <c r="B95" s="85">
        <v>85</v>
      </c>
      <c r="C95" s="86">
        <v>67.053350425469688</v>
      </c>
      <c r="D95" s="87">
        <v>3722.5717048825995</v>
      </c>
      <c r="E95" s="85">
        <v>0</v>
      </c>
      <c r="T95" s="22"/>
      <c r="U95" s="22"/>
    </row>
    <row r="96" spans="2:21" x14ac:dyDescent="0.5">
      <c r="B96" s="85">
        <v>86</v>
      </c>
      <c r="C96" s="86">
        <v>61.912795485031026</v>
      </c>
      <c r="D96" s="87">
        <v>3093.0528587805779</v>
      </c>
      <c r="E96" s="85">
        <v>0</v>
      </c>
      <c r="T96" s="22"/>
      <c r="U96" s="22"/>
    </row>
    <row r="97" spans="2:21" x14ac:dyDescent="0.5">
      <c r="B97" s="85">
        <v>87</v>
      </c>
      <c r="C97" s="86">
        <v>53.305009414828646</v>
      </c>
      <c r="D97" s="87">
        <v>2032.4499874027301</v>
      </c>
      <c r="E97" s="85">
        <v>0</v>
      </c>
      <c r="T97" s="22"/>
      <c r="U97" s="22"/>
    </row>
    <row r="98" spans="2:21" x14ac:dyDescent="0.5">
      <c r="B98" s="85">
        <v>88</v>
      </c>
      <c r="C98" s="86">
        <v>80.780917892748363</v>
      </c>
      <c r="D98" s="87">
        <v>5403.6669430265738</v>
      </c>
      <c r="E98" s="85">
        <v>0</v>
      </c>
      <c r="T98" s="22"/>
      <c r="U98" s="22"/>
    </row>
    <row r="99" spans="2:21" x14ac:dyDescent="0.5">
      <c r="B99" s="85">
        <v>89</v>
      </c>
      <c r="C99" s="86">
        <v>51.725885815732354</v>
      </c>
      <c r="D99" s="87">
        <v>1835.7685162861599</v>
      </c>
      <c r="E99" s="85">
        <v>0</v>
      </c>
      <c r="T99" s="22"/>
      <c r="U99" s="22"/>
    </row>
    <row r="100" spans="2:21" x14ac:dyDescent="0.5">
      <c r="B100" s="85">
        <v>90</v>
      </c>
      <c r="C100" s="86">
        <v>34.136701416958537</v>
      </c>
      <c r="D100" s="87">
        <v>-383.66301845861534</v>
      </c>
      <c r="E100" s="85">
        <v>1</v>
      </c>
      <c r="T100" s="22"/>
      <c r="U100" s="22"/>
    </row>
    <row r="101" spans="2:21" x14ac:dyDescent="0.5">
      <c r="B101" s="85">
        <v>91</v>
      </c>
      <c r="C101" s="86">
        <v>60.205415005014245</v>
      </c>
      <c r="D101" s="87">
        <v>2883.9648902458894</v>
      </c>
      <c r="E101" s="85">
        <v>0</v>
      </c>
      <c r="T101" s="22"/>
      <c r="U101" s="22"/>
    </row>
    <row r="102" spans="2:21" x14ac:dyDescent="0.5">
      <c r="B102" s="85">
        <v>92</v>
      </c>
      <c r="C102" s="86">
        <v>46.01129243765989</v>
      </c>
      <c r="D102" s="87">
        <v>1122.4915390629674</v>
      </c>
      <c r="E102" s="85">
        <v>0</v>
      </c>
      <c r="T102" s="22"/>
      <c r="U102" s="22"/>
    </row>
    <row r="103" spans="2:21" x14ac:dyDescent="0.5">
      <c r="B103" s="85">
        <v>93</v>
      </c>
      <c r="C103" s="86">
        <v>71.81700030218127</v>
      </c>
      <c r="D103" s="87">
        <v>4305.9342811739489</v>
      </c>
      <c r="E103" s="85">
        <v>0</v>
      </c>
      <c r="T103" s="22"/>
      <c r="U103" s="22"/>
    </row>
    <row r="104" spans="2:21" x14ac:dyDescent="0.5">
      <c r="B104" s="85">
        <v>94</v>
      </c>
      <c r="C104" s="86">
        <v>76.723186705831026</v>
      </c>
      <c r="D104" s="87">
        <v>4906.75206045508</v>
      </c>
      <c r="E104" s="85">
        <v>0</v>
      </c>
      <c r="T104" s="22"/>
      <c r="U104" s="22"/>
    </row>
    <row r="105" spans="2:21" x14ac:dyDescent="0.5">
      <c r="B105" s="85">
        <v>95</v>
      </c>
      <c r="C105" s="86">
        <v>91.44296674693291</v>
      </c>
      <c r="D105" s="87">
        <v>6709.3549026998289</v>
      </c>
      <c r="E105" s="85">
        <v>0</v>
      </c>
      <c r="T105" s="22"/>
      <c r="U105" s="22"/>
    </row>
    <row r="106" spans="2:21" x14ac:dyDescent="0.5">
      <c r="B106" s="85">
        <v>96</v>
      </c>
      <c r="C106" s="86">
        <v>55.000525249069909</v>
      </c>
      <c r="D106" s="87">
        <v>2242.6262472157327</v>
      </c>
      <c r="E106" s="85">
        <v>0</v>
      </c>
      <c r="T106" s="22"/>
      <c r="U106" s="22"/>
    </row>
    <row r="107" spans="2:21" x14ac:dyDescent="0.5">
      <c r="B107" s="85">
        <v>97</v>
      </c>
      <c r="C107" s="86">
        <v>34.609932170256592</v>
      </c>
      <c r="D107" s="87">
        <v>-322.33232340442561</v>
      </c>
      <c r="E107" s="85">
        <v>1</v>
      </c>
      <c r="T107" s="22"/>
      <c r="U107" s="22"/>
    </row>
    <row r="108" spans="2:21" x14ac:dyDescent="0.5">
      <c r="B108" s="85">
        <v>98</v>
      </c>
      <c r="C108" s="86">
        <v>84.177338673254866</v>
      </c>
      <c r="D108" s="87">
        <v>5819.5969185632093</v>
      </c>
      <c r="E108" s="85">
        <v>0</v>
      </c>
      <c r="T108" s="22"/>
      <c r="U108" s="22"/>
    </row>
    <row r="109" spans="2:21" x14ac:dyDescent="0.5">
      <c r="B109" s="85">
        <v>99</v>
      </c>
      <c r="C109" s="86">
        <v>76.231465178727134</v>
      </c>
      <c r="D109" s="87">
        <v>4846.5352216249239</v>
      </c>
      <c r="E109" s="85">
        <v>0</v>
      </c>
      <c r="T109" s="22"/>
      <c r="U109" s="22"/>
    </row>
    <row r="110" spans="2:21" x14ac:dyDescent="0.5">
      <c r="B110" s="85">
        <v>100</v>
      </c>
      <c r="C110" s="86">
        <v>97.591614289256995</v>
      </c>
      <c r="D110" s="87">
        <v>7462.3260411819292</v>
      </c>
      <c r="E110" s="85">
        <v>0</v>
      </c>
      <c r="T110" s="22"/>
      <c r="U110" s="22"/>
    </row>
    <row r="111" spans="2:21" x14ac:dyDescent="0.5">
      <c r="B111" s="85">
        <v>101</v>
      </c>
      <c r="C111" s="86">
        <v>59.375456388253909</v>
      </c>
      <c r="D111" s="87">
        <v>2782.3271105141152</v>
      </c>
      <c r="E111" s="85">
        <v>0</v>
      </c>
      <c r="T111" s="22"/>
      <c r="U111" s="22"/>
    </row>
    <row r="112" spans="2:21" x14ac:dyDescent="0.5">
      <c r="B112" s="85">
        <v>102</v>
      </c>
      <c r="C112" s="86">
        <v>76.346457015861915</v>
      </c>
      <c r="D112" s="87">
        <v>4860.6172671361546</v>
      </c>
      <c r="E112" s="85">
        <v>0</v>
      </c>
      <c r="T112" s="22"/>
      <c r="U112" s="22"/>
    </row>
    <row r="113" spans="2:21" x14ac:dyDescent="0.5">
      <c r="B113" s="85">
        <v>103</v>
      </c>
      <c r="C113" s="86">
        <v>82.25774035376304</v>
      </c>
      <c r="D113" s="87">
        <v>5584.5204855579514</v>
      </c>
      <c r="E113" s="85">
        <v>0</v>
      </c>
      <c r="T113" s="22"/>
      <c r="U113" s="22"/>
    </row>
    <row r="114" spans="2:21" x14ac:dyDescent="0.5">
      <c r="B114" s="85">
        <v>104</v>
      </c>
      <c r="C114" s="86">
        <v>52.009024330397011</v>
      </c>
      <c r="D114" s="87">
        <v>1871.0440586510244</v>
      </c>
      <c r="E114" s="85">
        <v>0</v>
      </c>
      <c r="T114" s="22"/>
      <c r="U114" s="22"/>
    </row>
    <row r="115" spans="2:21" x14ac:dyDescent="0.5">
      <c r="B115" s="85">
        <v>105</v>
      </c>
      <c r="C115" s="86">
        <v>73.232731479437192</v>
      </c>
      <c r="D115" s="87">
        <v>4479.3065079905236</v>
      </c>
      <c r="E115" s="85">
        <v>0</v>
      </c>
      <c r="T115" s="22"/>
      <c r="U115" s="22"/>
    </row>
    <row r="116" spans="2:21" x14ac:dyDescent="0.5">
      <c r="B116" s="85">
        <v>106</v>
      </c>
      <c r="C116" s="86">
        <v>70.074921601276827</v>
      </c>
      <c r="D116" s="87">
        <v>4092.5971247153716</v>
      </c>
      <c r="E116" s="85">
        <v>0</v>
      </c>
      <c r="T116" s="22"/>
      <c r="U116" s="22"/>
    </row>
    <row r="117" spans="2:21" x14ac:dyDescent="0.5">
      <c r="B117" s="85">
        <v>107</v>
      </c>
      <c r="C117" s="86">
        <v>83.484122462014497</v>
      </c>
      <c r="D117" s="87">
        <v>5734.7047863993603</v>
      </c>
      <c r="E117" s="85">
        <v>0</v>
      </c>
      <c r="T117" s="22"/>
      <c r="U117" s="22"/>
    </row>
    <row r="118" spans="2:21" x14ac:dyDescent="0.5">
      <c r="B118" s="85">
        <v>108</v>
      </c>
      <c r="C118" s="86">
        <v>73.966802559747705</v>
      </c>
      <c r="D118" s="87">
        <v>4569.2017789852353</v>
      </c>
      <c r="E118" s="85">
        <v>0</v>
      </c>
      <c r="T118" s="22"/>
      <c r="U118" s="22"/>
    </row>
    <row r="119" spans="2:21" x14ac:dyDescent="0.5">
      <c r="B119" s="85">
        <v>109</v>
      </c>
      <c r="C119" s="86">
        <v>22.949806135331279</v>
      </c>
      <c r="D119" s="87">
        <v>-1941.1866899941544</v>
      </c>
      <c r="E119" s="85">
        <v>1</v>
      </c>
      <c r="T119" s="22"/>
      <c r="U119" s="22"/>
    </row>
    <row r="120" spans="2:21" x14ac:dyDescent="0.5">
      <c r="B120" s="85">
        <v>110</v>
      </c>
      <c r="C120" s="86">
        <v>22.096202810135317</v>
      </c>
      <c r="D120" s="87">
        <v>-2101.1038007836946</v>
      </c>
      <c r="E120" s="85">
        <v>1</v>
      </c>
      <c r="T120" s="22"/>
      <c r="U120" s="22"/>
    </row>
    <row r="121" spans="2:21" x14ac:dyDescent="0.5">
      <c r="B121" s="85">
        <v>111</v>
      </c>
      <c r="C121" s="86">
        <v>43.991816973231046</v>
      </c>
      <c r="D121" s="87">
        <v>869.38415842191375</v>
      </c>
      <c r="E121" s="85">
        <v>0</v>
      </c>
      <c r="T121" s="22"/>
      <c r="U121" s="22"/>
    </row>
    <row r="122" spans="2:21" x14ac:dyDescent="0.5">
      <c r="B122" s="85">
        <v>112</v>
      </c>
      <c r="C122" s="86">
        <v>83.015304097445153</v>
      </c>
      <c r="D122" s="87">
        <v>5677.2926977601601</v>
      </c>
      <c r="E122" s="85">
        <v>0</v>
      </c>
      <c r="T122" s="22"/>
      <c r="U122" s="22"/>
    </row>
    <row r="123" spans="2:21" x14ac:dyDescent="0.5">
      <c r="B123" s="85">
        <v>113</v>
      </c>
      <c r="C123" s="86">
        <v>46.529749565619184</v>
      </c>
      <c r="D123" s="87">
        <v>1187.4714449562903</v>
      </c>
      <c r="E123" s="85">
        <v>0</v>
      </c>
      <c r="T123" s="22"/>
      <c r="U123" s="22"/>
    </row>
    <row r="124" spans="2:21" x14ac:dyDescent="0.5">
      <c r="B124" s="85">
        <v>114</v>
      </c>
      <c r="C124" s="86">
        <v>94.565138712630571</v>
      </c>
      <c r="D124" s="87">
        <v>7091.7000222347933</v>
      </c>
      <c r="E124" s="85">
        <v>0</v>
      </c>
      <c r="T124" s="22"/>
      <c r="U124" s="22"/>
    </row>
    <row r="125" spans="2:21" x14ac:dyDescent="0.5">
      <c r="B125" s="85">
        <v>115</v>
      </c>
      <c r="C125" s="86">
        <v>79.382196021844891</v>
      </c>
      <c r="D125" s="87">
        <v>5232.3776973340309</v>
      </c>
      <c r="E125" s="85">
        <v>0</v>
      </c>
      <c r="T125" s="22"/>
      <c r="U125" s="22"/>
    </row>
    <row r="126" spans="2:21" x14ac:dyDescent="0.5">
      <c r="B126" s="85">
        <v>116</v>
      </c>
      <c r="C126" s="86">
        <v>99.666016089013979</v>
      </c>
      <c r="D126" s="87">
        <v>7716.3599037640006</v>
      </c>
      <c r="E126" s="85">
        <v>0</v>
      </c>
      <c r="T126" s="22"/>
      <c r="U126" s="22"/>
    </row>
    <row r="127" spans="2:21" x14ac:dyDescent="0.5">
      <c r="B127" s="85">
        <v>117</v>
      </c>
      <c r="C127" s="86">
        <v>30.915888137968494</v>
      </c>
      <c r="D127" s="87">
        <v>-801.08034745415148</v>
      </c>
      <c r="E127" s="85">
        <v>1</v>
      </c>
      <c r="T127" s="22"/>
      <c r="U127" s="22"/>
    </row>
    <row r="128" spans="2:21" x14ac:dyDescent="0.5">
      <c r="B128" s="85">
        <v>118</v>
      </c>
      <c r="C128" s="86">
        <v>94.944993413107895</v>
      </c>
      <c r="D128" s="87">
        <v>7138.2175082847561</v>
      </c>
      <c r="E128" s="85">
        <v>0</v>
      </c>
      <c r="T128" s="22"/>
      <c r="U128" s="22"/>
    </row>
    <row r="129" spans="2:21" x14ac:dyDescent="0.5">
      <c r="B129" s="85">
        <v>119</v>
      </c>
      <c r="C129" s="86">
        <v>91.442361585212581</v>
      </c>
      <c r="D129" s="87">
        <v>6709.2807938317601</v>
      </c>
      <c r="E129" s="85">
        <v>0</v>
      </c>
      <c r="T129" s="22"/>
      <c r="U129" s="22"/>
    </row>
    <row r="130" spans="2:21" x14ac:dyDescent="0.5">
      <c r="B130" s="85">
        <v>120</v>
      </c>
      <c r="C130" s="86">
        <v>36.057601030420869</v>
      </c>
      <c r="D130" s="87">
        <v>-135.84926244474701</v>
      </c>
      <c r="E130" s="85">
        <v>1</v>
      </c>
      <c r="T130" s="22"/>
      <c r="U130" s="22"/>
    </row>
    <row r="131" spans="2:21" x14ac:dyDescent="0.5">
      <c r="B131" s="85">
        <v>121</v>
      </c>
      <c r="C131" s="86">
        <v>71.223016301928084</v>
      </c>
      <c r="D131" s="87">
        <v>4233.1942508124512</v>
      </c>
      <c r="E131" s="85">
        <v>0</v>
      </c>
      <c r="T131" s="22"/>
      <c r="U131" s="22"/>
    </row>
    <row r="132" spans="2:21" x14ac:dyDescent="0.5">
      <c r="B132" s="85">
        <v>122</v>
      </c>
      <c r="C132" s="86">
        <v>73.317103855176015</v>
      </c>
      <c r="D132" s="87">
        <v>4489.6388556131833</v>
      </c>
      <c r="E132" s="85">
        <v>0</v>
      </c>
      <c r="T132" s="22"/>
      <c r="U132" s="22"/>
    </row>
    <row r="133" spans="2:21" x14ac:dyDescent="0.5">
      <c r="B133" s="85">
        <v>123</v>
      </c>
      <c r="C133" s="86">
        <v>88.38951512577917</v>
      </c>
      <c r="D133" s="87">
        <v>6335.4253632923565</v>
      </c>
      <c r="E133" s="85">
        <v>0</v>
      </c>
      <c r="T133" s="22"/>
      <c r="U133" s="22"/>
    </row>
    <row r="134" spans="2:21" x14ac:dyDescent="0.5">
      <c r="B134" s="85">
        <v>124</v>
      </c>
      <c r="C134" s="86">
        <v>21.789247151817328</v>
      </c>
      <c r="D134" s="87">
        <v>-2158.609975572137</v>
      </c>
      <c r="E134" s="85">
        <v>1</v>
      </c>
      <c r="T134" s="22"/>
      <c r="U134" s="22"/>
    </row>
    <row r="135" spans="2:21" x14ac:dyDescent="0.5">
      <c r="B135" s="85">
        <v>125</v>
      </c>
      <c r="C135" s="86">
        <v>59.64939646213989</v>
      </c>
      <c r="D135" s="87">
        <v>2815.8741577126975</v>
      </c>
      <c r="E135" s="85">
        <v>0</v>
      </c>
      <c r="T135" s="22"/>
      <c r="U135" s="22"/>
    </row>
    <row r="136" spans="2:21" x14ac:dyDescent="0.5">
      <c r="B136" s="85">
        <v>126</v>
      </c>
      <c r="C136" s="86">
        <v>71.170137143695342</v>
      </c>
      <c r="D136" s="87">
        <v>4226.7186023544109</v>
      </c>
      <c r="E136" s="85">
        <v>0</v>
      </c>
      <c r="T136" s="22"/>
      <c r="U136" s="22"/>
    </row>
    <row r="137" spans="2:21" x14ac:dyDescent="0.5">
      <c r="B137" s="85">
        <v>127</v>
      </c>
      <c r="C137" s="86">
        <v>41.357507838409035</v>
      </c>
      <c r="D137" s="87">
        <v>537.41678344288914</v>
      </c>
      <c r="E137" s="85">
        <v>0</v>
      </c>
      <c r="T137" s="22"/>
      <c r="U137" s="22"/>
    </row>
    <row r="138" spans="2:21" x14ac:dyDescent="0.5">
      <c r="B138" s="85">
        <v>128</v>
      </c>
      <c r="C138" s="86">
        <v>33.076270141910399</v>
      </c>
      <c r="D138" s="87">
        <v>-521.09488801198609</v>
      </c>
      <c r="E138" s="85">
        <v>1</v>
      </c>
      <c r="T138" s="22"/>
      <c r="U138" s="22"/>
    </row>
    <row r="139" spans="2:21" x14ac:dyDescent="0.5">
      <c r="B139" s="85">
        <v>129</v>
      </c>
      <c r="C139" s="86">
        <v>57.461896622968148</v>
      </c>
      <c r="D139" s="87">
        <v>2547.7380125731029</v>
      </c>
      <c r="E139" s="85">
        <v>0</v>
      </c>
      <c r="T139" s="22"/>
      <c r="U139" s="22"/>
    </row>
    <row r="140" spans="2:21" x14ac:dyDescent="0.5">
      <c r="B140" s="85">
        <v>130</v>
      </c>
      <c r="C140" s="86">
        <v>86.635468957979</v>
      </c>
      <c r="D140" s="87">
        <v>6120.6226557331174</v>
      </c>
      <c r="E140" s="85">
        <v>0</v>
      </c>
      <c r="T140" s="22"/>
      <c r="U140" s="22"/>
    </row>
    <row r="141" spans="2:21" x14ac:dyDescent="0.5">
      <c r="B141" s="85">
        <v>131</v>
      </c>
      <c r="C141" s="86">
        <v>83.320686788452036</v>
      </c>
      <c r="D141" s="87">
        <v>5714.6902475363295</v>
      </c>
      <c r="E141" s="85">
        <v>0</v>
      </c>
      <c r="T141" s="22"/>
      <c r="U141" s="22"/>
    </row>
    <row r="142" spans="2:21" x14ac:dyDescent="0.5">
      <c r="B142" s="85">
        <v>132</v>
      </c>
      <c r="C142" s="86">
        <v>55.023281841527933</v>
      </c>
      <c r="D142" s="87">
        <v>2245.4471559871677</v>
      </c>
      <c r="E142" s="85">
        <v>0</v>
      </c>
      <c r="T142" s="22"/>
      <c r="U142" s="22"/>
    </row>
    <row r="143" spans="2:21" x14ac:dyDescent="0.5">
      <c r="B143" s="85">
        <v>133</v>
      </c>
      <c r="C143" s="86">
        <v>51.643893541432753</v>
      </c>
      <c r="D143" s="87">
        <v>1825.5532972472638</v>
      </c>
      <c r="E143" s="85">
        <v>0</v>
      </c>
      <c r="T143" s="22"/>
      <c r="U143" s="22"/>
    </row>
    <row r="144" spans="2:21" x14ac:dyDescent="0.5">
      <c r="B144" s="85">
        <v>134</v>
      </c>
      <c r="C144" s="86">
        <v>41.065894357061723</v>
      </c>
      <c r="D144" s="87">
        <v>500.6127364562613</v>
      </c>
      <c r="E144" s="85">
        <v>0</v>
      </c>
      <c r="T144" s="22"/>
      <c r="U144" s="22"/>
    </row>
    <row r="145" spans="2:21" x14ac:dyDescent="0.5">
      <c r="B145" s="85">
        <v>135</v>
      </c>
      <c r="C145" s="86">
        <v>49.860955802783593</v>
      </c>
      <c r="D145" s="87">
        <v>1603.4213989849434</v>
      </c>
      <c r="E145" s="85">
        <v>0</v>
      </c>
      <c r="T145" s="22"/>
      <c r="U145" s="22"/>
    </row>
    <row r="146" spans="2:21" x14ac:dyDescent="0.5">
      <c r="B146" s="85">
        <v>136</v>
      </c>
      <c r="C146" s="86">
        <v>74.232563451032917</v>
      </c>
      <c r="D146" s="87">
        <v>4601.7471931592609</v>
      </c>
      <c r="E146" s="85">
        <v>0</v>
      </c>
      <c r="T146" s="22"/>
      <c r="U146" s="22"/>
    </row>
    <row r="147" spans="2:21" x14ac:dyDescent="0.5">
      <c r="B147" s="85">
        <v>137</v>
      </c>
      <c r="C147" s="86">
        <v>20.451076508057689</v>
      </c>
      <c r="D147" s="87">
        <v>-2409.3076670839323</v>
      </c>
      <c r="E147" s="85">
        <v>1</v>
      </c>
      <c r="T147" s="22"/>
      <c r="U147" s="22"/>
    </row>
    <row r="148" spans="2:21" x14ac:dyDescent="0.5">
      <c r="B148" s="85">
        <v>138</v>
      </c>
      <c r="C148" s="86">
        <v>83.44341149350106</v>
      </c>
      <c r="D148" s="87">
        <v>5729.7192698122935</v>
      </c>
      <c r="E148" s="85">
        <v>0</v>
      </c>
      <c r="T148" s="22"/>
      <c r="U148" s="22"/>
    </row>
    <row r="149" spans="2:21" x14ac:dyDescent="0.5">
      <c r="B149" s="85">
        <v>139</v>
      </c>
      <c r="C149" s="86">
        <v>59.106207739750687</v>
      </c>
      <c r="D149" s="87">
        <v>2749.3545811891349</v>
      </c>
      <c r="E149" s="85">
        <v>0</v>
      </c>
      <c r="T149" s="22"/>
      <c r="U149" s="22"/>
    </row>
    <row r="150" spans="2:21" x14ac:dyDescent="0.5">
      <c r="B150" s="85">
        <v>140</v>
      </c>
      <c r="C150" s="86">
        <v>90.183319467558817</v>
      </c>
      <c r="D150" s="87">
        <v>6555.0969070174688</v>
      </c>
      <c r="E150" s="85">
        <v>0</v>
      </c>
      <c r="T150" s="22"/>
      <c r="U150" s="22"/>
    </row>
    <row r="151" spans="2:21" x14ac:dyDescent="0.5">
      <c r="B151" s="85">
        <v>141</v>
      </c>
      <c r="C151" s="86">
        <v>27.084012486377887</v>
      </c>
      <c r="D151" s="87">
        <v>-1311.4252212118408</v>
      </c>
      <c r="E151" s="85">
        <v>1</v>
      </c>
      <c r="T151" s="22"/>
      <c r="U151" s="22"/>
    </row>
    <row r="152" spans="2:21" x14ac:dyDescent="0.5">
      <c r="B152" s="85">
        <v>142</v>
      </c>
      <c r="C152" s="86">
        <v>99.746872224563049</v>
      </c>
      <c r="D152" s="87">
        <v>7726.2616481750383</v>
      </c>
      <c r="E152" s="85">
        <v>0</v>
      </c>
      <c r="T152" s="22"/>
      <c r="U152" s="22"/>
    </row>
    <row r="153" spans="2:21" x14ac:dyDescent="0.5">
      <c r="B153" s="85">
        <v>143</v>
      </c>
      <c r="C153" s="86">
        <v>38.296991074786114</v>
      </c>
      <c r="D153" s="87">
        <v>151.15411049880782</v>
      </c>
      <c r="E153" s="85">
        <v>0</v>
      </c>
      <c r="T153" s="22"/>
      <c r="U153" s="22"/>
    </row>
    <row r="154" spans="2:21" x14ac:dyDescent="0.5">
      <c r="B154" s="85">
        <v>144</v>
      </c>
      <c r="C154" s="86">
        <v>69.566468073328821</v>
      </c>
      <c r="D154" s="87">
        <v>4030.3312639437286</v>
      </c>
      <c r="E154" s="85">
        <v>0</v>
      </c>
      <c r="T154" s="22"/>
      <c r="U154" s="22"/>
    </row>
    <row r="155" spans="2:21" x14ac:dyDescent="0.5">
      <c r="B155" s="85">
        <v>145</v>
      </c>
      <c r="C155" s="86">
        <v>52.77946512806232</v>
      </c>
      <c r="D155" s="87">
        <v>1967.0314132143947</v>
      </c>
      <c r="E155" s="85">
        <v>0</v>
      </c>
      <c r="T155" s="22"/>
      <c r="U155" s="22"/>
    </row>
    <row r="156" spans="2:21" x14ac:dyDescent="0.5">
      <c r="B156" s="85">
        <v>146</v>
      </c>
      <c r="C156" s="86">
        <v>89.972878190053109</v>
      </c>
      <c r="D156" s="87">
        <v>6529.3260025679338</v>
      </c>
      <c r="E156" s="85">
        <v>0</v>
      </c>
      <c r="T156" s="22"/>
      <c r="U156" s="22"/>
    </row>
    <row r="157" spans="2:21" x14ac:dyDescent="0.5">
      <c r="B157" s="85">
        <v>147</v>
      </c>
      <c r="C157" s="86">
        <v>58.839259423524304</v>
      </c>
      <c r="D157" s="87">
        <v>2716.6637534581182</v>
      </c>
      <c r="E157" s="85">
        <v>0</v>
      </c>
      <c r="T157" s="22"/>
      <c r="U157" s="22"/>
    </row>
    <row r="158" spans="2:21" x14ac:dyDescent="0.5">
      <c r="B158" s="85">
        <v>148</v>
      </c>
      <c r="C158" s="86">
        <v>63.703953947485729</v>
      </c>
      <c r="D158" s="87">
        <v>3312.4003847840922</v>
      </c>
      <c r="E158" s="85">
        <v>0</v>
      </c>
      <c r="T158" s="22"/>
      <c r="U158" s="22"/>
    </row>
    <row r="159" spans="2:21" x14ac:dyDescent="0.5">
      <c r="B159" s="85">
        <v>149</v>
      </c>
      <c r="C159" s="86">
        <v>84.908479764444238</v>
      </c>
      <c r="D159" s="87">
        <v>5909.1333793920921</v>
      </c>
      <c r="E159" s="85">
        <v>0</v>
      </c>
      <c r="T159" s="22"/>
      <c r="U159" s="22"/>
    </row>
    <row r="160" spans="2:21" x14ac:dyDescent="0.5">
      <c r="B160" s="85">
        <v>150</v>
      </c>
      <c r="C160" s="86">
        <v>27.525138820624147</v>
      </c>
      <c r="D160" s="87">
        <v>-1251.9078835166499</v>
      </c>
      <c r="E160" s="85">
        <v>1</v>
      </c>
      <c r="T160" s="22"/>
      <c r="U160" s="22"/>
    </row>
    <row r="161" spans="2:21" x14ac:dyDescent="0.5">
      <c r="B161" s="85">
        <v>151</v>
      </c>
      <c r="C161" s="86">
        <v>52.628132276496949</v>
      </c>
      <c r="D161" s="87">
        <v>1948.1772194537455</v>
      </c>
      <c r="E161" s="85">
        <v>0</v>
      </c>
      <c r="T161" s="22"/>
      <c r="U161" s="22"/>
    </row>
    <row r="162" spans="2:21" x14ac:dyDescent="0.5">
      <c r="B162" s="85">
        <v>152</v>
      </c>
      <c r="C162" s="86">
        <v>97.883692730008363</v>
      </c>
      <c r="D162" s="87">
        <v>7498.0943356799917</v>
      </c>
      <c r="E162" s="85">
        <v>0</v>
      </c>
      <c r="T162" s="22"/>
      <c r="U162" s="22"/>
    </row>
    <row r="163" spans="2:21" x14ac:dyDescent="0.5">
      <c r="B163" s="85">
        <v>153</v>
      </c>
      <c r="C163" s="86">
        <v>83.238628651874734</v>
      </c>
      <c r="D163" s="87">
        <v>5704.641304562283</v>
      </c>
      <c r="E163" s="85">
        <v>0</v>
      </c>
      <c r="T163" s="22"/>
      <c r="U163" s="22"/>
    </row>
    <row r="164" spans="2:21" x14ac:dyDescent="0.5">
      <c r="B164" s="85">
        <v>154</v>
      </c>
      <c r="C164" s="86">
        <v>91.619719240123658</v>
      </c>
      <c r="D164" s="87">
        <v>6731.0002361022198</v>
      </c>
      <c r="E164" s="85">
        <v>0</v>
      </c>
      <c r="T164" s="22"/>
      <c r="U164" s="22"/>
    </row>
    <row r="165" spans="2:21" x14ac:dyDescent="0.5">
      <c r="B165" s="85">
        <v>155</v>
      </c>
      <c r="C165" s="86">
        <v>24.525586686148717</v>
      </c>
      <c r="D165" s="87">
        <v>-1664.5369422142451</v>
      </c>
      <c r="E165" s="85">
        <v>1</v>
      </c>
      <c r="T165" s="22"/>
      <c r="U165" s="22"/>
    </row>
    <row r="166" spans="2:21" x14ac:dyDescent="0.5">
      <c r="B166" s="85">
        <v>156</v>
      </c>
      <c r="C166" s="86">
        <v>95.161345370719573</v>
      </c>
      <c r="D166" s="87">
        <v>7164.7122420801679</v>
      </c>
      <c r="E166" s="85">
        <v>0</v>
      </c>
      <c r="T166" s="22"/>
      <c r="U166" s="22"/>
    </row>
    <row r="167" spans="2:21" x14ac:dyDescent="0.5">
      <c r="B167" s="85">
        <v>157</v>
      </c>
      <c r="C167" s="86">
        <v>50.831466701433534</v>
      </c>
      <c r="D167" s="87">
        <v>1724.3350032730648</v>
      </c>
      <c r="E167" s="85">
        <v>0</v>
      </c>
      <c r="T167" s="22"/>
      <c r="U167" s="22"/>
    </row>
    <row r="168" spans="2:21" x14ac:dyDescent="0.5">
      <c r="B168" s="85">
        <v>158</v>
      </c>
      <c r="C168" s="86">
        <v>49.407436041325994</v>
      </c>
      <c r="D168" s="87">
        <v>1546.9184693939328</v>
      </c>
      <c r="E168" s="85">
        <v>0</v>
      </c>
      <c r="T168" s="22"/>
      <c r="U168" s="22"/>
    </row>
    <row r="169" spans="2:21" x14ac:dyDescent="0.5">
      <c r="B169" s="85">
        <v>159</v>
      </c>
      <c r="C169" s="86">
        <v>79.651661405230129</v>
      </c>
      <c r="D169" s="87">
        <v>5265.3767682862108</v>
      </c>
      <c r="E169" s="85">
        <v>0</v>
      </c>
      <c r="T169" s="22"/>
      <c r="U169" s="22"/>
    </row>
    <row r="170" spans="2:21" x14ac:dyDescent="0.5">
      <c r="B170" s="85">
        <v>160</v>
      </c>
      <c r="C170" s="86">
        <v>80.154412564964005</v>
      </c>
      <c r="D170" s="87">
        <v>5326.9443098491693</v>
      </c>
      <c r="E170" s="85">
        <v>0</v>
      </c>
      <c r="T170" s="22"/>
      <c r="U170" s="22"/>
    </row>
    <row r="171" spans="2:21" x14ac:dyDescent="0.5">
      <c r="B171" s="85">
        <v>161</v>
      </c>
      <c r="C171" s="86">
        <v>51.13146866010873</v>
      </c>
      <c r="D171" s="87">
        <v>1761.711521318739</v>
      </c>
      <c r="E171" s="85">
        <v>0</v>
      </c>
      <c r="T171" s="22"/>
      <c r="U171" s="22"/>
    </row>
    <row r="172" spans="2:21" x14ac:dyDescent="0.5">
      <c r="B172" s="85">
        <v>162</v>
      </c>
      <c r="C172" s="86">
        <v>87.053207798452775</v>
      </c>
      <c r="D172" s="87">
        <v>6171.7794813821019</v>
      </c>
      <c r="E172" s="85">
        <v>0</v>
      </c>
      <c r="T172" s="22"/>
      <c r="U172" s="22"/>
    </row>
    <row r="173" spans="2:21" x14ac:dyDescent="0.5">
      <c r="B173" s="85">
        <v>163</v>
      </c>
      <c r="C173" s="86">
        <v>51.347220032442507</v>
      </c>
      <c r="D173" s="87">
        <v>1788.5914626931997</v>
      </c>
      <c r="E173" s="85">
        <v>0</v>
      </c>
      <c r="T173" s="22"/>
      <c r="U173" s="22"/>
    </row>
    <row r="174" spans="2:21" x14ac:dyDescent="0.5">
      <c r="B174" s="85">
        <v>164</v>
      </c>
      <c r="C174" s="86">
        <v>51.456718361679492</v>
      </c>
      <c r="D174" s="87">
        <v>1802.2335945538405</v>
      </c>
      <c r="E174" s="85">
        <v>0</v>
      </c>
      <c r="T174" s="22"/>
      <c r="U174" s="22"/>
    </row>
    <row r="175" spans="2:21" x14ac:dyDescent="0.5">
      <c r="B175" s="85">
        <v>165</v>
      </c>
      <c r="C175" s="86">
        <v>42.935795818940569</v>
      </c>
      <c r="D175" s="87">
        <v>736.60985478354905</v>
      </c>
      <c r="E175" s="85">
        <v>0</v>
      </c>
      <c r="T175" s="22"/>
      <c r="U175" s="22"/>
    </row>
    <row r="176" spans="2:21" x14ac:dyDescent="0.5">
      <c r="B176" s="85">
        <v>166</v>
      </c>
      <c r="C176" s="86">
        <v>28.709991972793183</v>
      </c>
      <c r="D176" s="87">
        <v>-1093.3890691314543</v>
      </c>
      <c r="E176" s="85">
        <v>1</v>
      </c>
      <c r="T176" s="22"/>
      <c r="U176" s="22"/>
    </row>
    <row r="177" spans="2:21" x14ac:dyDescent="0.5">
      <c r="B177" s="85">
        <v>167</v>
      </c>
      <c r="C177" s="86">
        <v>89.614802678330904</v>
      </c>
      <c r="D177" s="87">
        <v>6485.4756234612942</v>
      </c>
      <c r="E177" s="85">
        <v>0</v>
      </c>
      <c r="T177" s="22"/>
      <c r="U177" s="22"/>
    </row>
    <row r="178" spans="2:21" x14ac:dyDescent="0.5">
      <c r="B178" s="85">
        <v>168</v>
      </c>
      <c r="C178" s="86">
        <v>25.37606721147209</v>
      </c>
      <c r="D178" s="87">
        <v>-1545.2573733702989</v>
      </c>
      <c r="E178" s="85">
        <v>1</v>
      </c>
      <c r="T178" s="22"/>
      <c r="U178" s="22"/>
    </row>
    <row r="179" spans="2:21" x14ac:dyDescent="0.5">
      <c r="B179" s="85">
        <v>169</v>
      </c>
      <c r="C179" s="86">
        <v>69.520967469195654</v>
      </c>
      <c r="D179" s="87">
        <v>4024.7592025334848</v>
      </c>
      <c r="E179" s="85">
        <v>0</v>
      </c>
      <c r="T179" s="22"/>
      <c r="U179" s="22"/>
    </row>
    <row r="180" spans="2:21" x14ac:dyDescent="0.5">
      <c r="B180" s="85">
        <v>170</v>
      </c>
      <c r="C180" s="86">
        <v>42.572380376850781</v>
      </c>
      <c r="D180" s="87">
        <v>690.74380310259471</v>
      </c>
      <c r="E180" s="85">
        <v>0</v>
      </c>
      <c r="T180" s="22"/>
      <c r="U180" s="22"/>
    </row>
    <row r="181" spans="2:21" x14ac:dyDescent="0.5">
      <c r="B181" s="85">
        <v>171</v>
      </c>
      <c r="C181" s="86">
        <v>51.522644410536522</v>
      </c>
      <c r="D181" s="87">
        <v>1810.4471614440899</v>
      </c>
      <c r="E181" s="85">
        <v>0</v>
      </c>
      <c r="T181" s="22"/>
      <c r="U181" s="22"/>
    </row>
    <row r="182" spans="2:21" x14ac:dyDescent="0.5">
      <c r="B182" s="85">
        <v>172</v>
      </c>
      <c r="C182" s="86">
        <v>40.723809865186986</v>
      </c>
      <c r="D182" s="87">
        <v>457.43882812326507</v>
      </c>
      <c r="E182" s="85">
        <v>0</v>
      </c>
      <c r="T182" s="22"/>
      <c r="U182" s="22"/>
    </row>
    <row r="183" spans="2:21" x14ac:dyDescent="0.5">
      <c r="B183" s="85">
        <v>173</v>
      </c>
      <c r="C183" s="86">
        <v>26.49380177334919</v>
      </c>
      <c r="D183" s="87">
        <v>-1392.1570088895917</v>
      </c>
      <c r="E183" s="85">
        <v>1</v>
      </c>
      <c r="T183" s="22"/>
      <c r="U183" s="22"/>
    </row>
    <row r="184" spans="2:21" x14ac:dyDescent="0.5">
      <c r="B184" s="85">
        <v>174</v>
      </c>
      <c r="C184" s="86">
        <v>96.708565624345681</v>
      </c>
      <c r="D184" s="87">
        <v>7354.1867871465556</v>
      </c>
      <c r="E184" s="85">
        <v>0</v>
      </c>
      <c r="T184" s="22"/>
      <c r="U184" s="22"/>
    </row>
    <row r="185" spans="2:21" x14ac:dyDescent="0.5">
      <c r="B185" s="85">
        <v>175</v>
      </c>
      <c r="C185" s="86">
        <v>68.933417595814362</v>
      </c>
      <c r="D185" s="87">
        <v>3952.8071034694835</v>
      </c>
      <c r="E185" s="85">
        <v>0</v>
      </c>
      <c r="T185" s="22"/>
      <c r="U185" s="22"/>
    </row>
    <row r="186" spans="2:21" x14ac:dyDescent="0.5">
      <c r="B186" s="85">
        <v>176</v>
      </c>
      <c r="C186" s="86">
        <v>71.885980246891535</v>
      </c>
      <c r="D186" s="87">
        <v>4314.3816522654588</v>
      </c>
      <c r="E186" s="85">
        <v>0</v>
      </c>
      <c r="T186" s="22"/>
      <c r="U186" s="22"/>
    </row>
    <row r="187" spans="2:21" x14ac:dyDescent="0.5">
      <c r="B187" s="85">
        <v>177</v>
      </c>
      <c r="C187" s="86">
        <v>68.003072263009017</v>
      </c>
      <c r="D187" s="87">
        <v>3838.8758397888273</v>
      </c>
      <c r="E187" s="85">
        <v>0</v>
      </c>
      <c r="T187" s="22"/>
      <c r="U187" s="22"/>
    </row>
    <row r="188" spans="2:21" x14ac:dyDescent="0.5">
      <c r="B188" s="85">
        <v>178</v>
      </c>
      <c r="C188" s="86">
        <v>45.90756619804899</v>
      </c>
      <c r="D188" s="87">
        <v>1109.4911945308857</v>
      </c>
      <c r="E188" s="85">
        <v>0</v>
      </c>
      <c r="T188" s="22"/>
      <c r="U188" s="22"/>
    </row>
    <row r="189" spans="2:21" x14ac:dyDescent="0.5">
      <c r="B189" s="85">
        <v>179</v>
      </c>
      <c r="C189" s="86">
        <v>84.917229676534035</v>
      </c>
      <c r="D189" s="87">
        <v>5910.2049046702159</v>
      </c>
      <c r="E189" s="85">
        <v>0</v>
      </c>
      <c r="T189" s="22"/>
      <c r="U189" s="22"/>
    </row>
    <row r="190" spans="2:21" x14ac:dyDescent="0.5">
      <c r="B190" s="85">
        <v>180</v>
      </c>
      <c r="C190" s="86">
        <v>22.014024379693318</v>
      </c>
      <c r="D190" s="87">
        <v>-2116.4994029065979</v>
      </c>
      <c r="E190" s="85">
        <v>1</v>
      </c>
      <c r="T190" s="22"/>
      <c r="U190" s="22"/>
    </row>
    <row r="191" spans="2:21" x14ac:dyDescent="0.5">
      <c r="B191" s="85">
        <v>181</v>
      </c>
      <c r="C191" s="86">
        <v>88.097390731222816</v>
      </c>
      <c r="D191" s="87">
        <v>6299.6514412333336</v>
      </c>
      <c r="E191" s="85">
        <v>0</v>
      </c>
      <c r="T191" s="22"/>
      <c r="U191" s="22"/>
    </row>
    <row r="192" spans="2:21" x14ac:dyDescent="0.5">
      <c r="B192" s="85">
        <v>182</v>
      </c>
      <c r="C192" s="86">
        <v>96.714604177965114</v>
      </c>
      <c r="D192" s="87">
        <v>7354.9262760442862</v>
      </c>
      <c r="E192" s="85">
        <v>0</v>
      </c>
      <c r="T192" s="22"/>
      <c r="U192" s="22"/>
    </row>
    <row r="193" spans="2:21" x14ac:dyDescent="0.5">
      <c r="B193" s="85">
        <v>183</v>
      </c>
      <c r="C193" s="86">
        <v>44.754982919338588</v>
      </c>
      <c r="D193" s="87">
        <v>965.03421063404198</v>
      </c>
      <c r="E193" s="85">
        <v>0</v>
      </c>
      <c r="T193" s="22"/>
      <c r="U193" s="22"/>
    </row>
    <row r="194" spans="2:21" x14ac:dyDescent="0.5">
      <c r="B194" s="85">
        <v>184</v>
      </c>
      <c r="C194" s="86">
        <v>24.682851683430023</v>
      </c>
      <c r="D194" s="87">
        <v>-1642.2518673290674</v>
      </c>
      <c r="E194" s="85">
        <v>1</v>
      </c>
      <c r="T194" s="22"/>
      <c r="U194" s="22"/>
    </row>
    <row r="195" spans="2:21" x14ac:dyDescent="0.5">
      <c r="B195" s="85">
        <v>185</v>
      </c>
      <c r="C195" s="86">
        <v>63.468868300090513</v>
      </c>
      <c r="D195" s="87">
        <v>3283.6114996932624</v>
      </c>
      <c r="E195" s="85">
        <v>0</v>
      </c>
      <c r="T195" s="22"/>
      <c r="U195" s="22"/>
    </row>
    <row r="196" spans="2:21" x14ac:dyDescent="0.5">
      <c r="B196" s="85">
        <v>186</v>
      </c>
      <c r="C196" s="86">
        <v>57.311833280409601</v>
      </c>
      <c r="D196" s="87">
        <v>2529.1361502743007</v>
      </c>
      <c r="E196" s="85">
        <v>0</v>
      </c>
      <c r="T196" s="22"/>
      <c r="U196" s="22"/>
    </row>
    <row r="197" spans="2:21" x14ac:dyDescent="0.5">
      <c r="B197" s="85">
        <v>187</v>
      </c>
      <c r="C197" s="86">
        <v>41.918437216305392</v>
      </c>
      <c r="D197" s="87">
        <v>608.21073674332001</v>
      </c>
      <c r="E197" s="85">
        <v>0</v>
      </c>
      <c r="T197" s="22"/>
      <c r="U197" s="22"/>
    </row>
    <row r="198" spans="2:21" x14ac:dyDescent="0.5">
      <c r="B198" s="85">
        <v>188</v>
      </c>
      <c r="C198" s="86">
        <v>59.825777178393977</v>
      </c>
      <c r="D198" s="87">
        <v>2837.4739628421885</v>
      </c>
      <c r="E198" s="85">
        <v>0</v>
      </c>
      <c r="T198" s="22"/>
      <c r="U198" s="22"/>
    </row>
    <row r="199" spans="2:21" x14ac:dyDescent="0.5">
      <c r="B199" s="85">
        <v>189</v>
      </c>
      <c r="C199" s="86">
        <v>90.491965987446463</v>
      </c>
      <c r="D199" s="87">
        <v>6592.8941493977818</v>
      </c>
      <c r="E199" s="85">
        <v>0</v>
      </c>
      <c r="T199" s="22"/>
      <c r="U199" s="22"/>
    </row>
    <row r="200" spans="2:21" x14ac:dyDescent="0.5">
      <c r="B200" s="85">
        <v>190</v>
      </c>
      <c r="C200" s="86">
        <v>28.380299183155486</v>
      </c>
      <c r="D200" s="87">
        <v>-1137.4979192695851</v>
      </c>
      <c r="E200" s="85">
        <v>1</v>
      </c>
      <c r="T200" s="22"/>
      <c r="U200" s="22"/>
    </row>
    <row r="201" spans="2:21" x14ac:dyDescent="0.5">
      <c r="B201" s="85">
        <v>191</v>
      </c>
      <c r="C201" s="86">
        <v>22.99936863598613</v>
      </c>
      <c r="D201" s="87">
        <v>-1931.9014732262742</v>
      </c>
      <c r="E201" s="85">
        <v>1</v>
      </c>
      <c r="T201" s="22"/>
      <c r="U201" s="22"/>
    </row>
    <row r="202" spans="2:21" x14ac:dyDescent="0.5">
      <c r="B202" s="85">
        <v>192</v>
      </c>
      <c r="C202" s="86">
        <v>43.127634808583515</v>
      </c>
      <c r="D202" s="87">
        <v>760.82153099298068</v>
      </c>
      <c r="E202" s="85">
        <v>0</v>
      </c>
      <c r="T202" s="22"/>
      <c r="U202" s="22"/>
    </row>
    <row r="203" spans="2:21" x14ac:dyDescent="0.5">
      <c r="B203" s="85">
        <v>193</v>
      </c>
      <c r="C203" s="86">
        <v>63.915762843345135</v>
      </c>
      <c r="D203" s="87">
        <v>3338.3387695033439</v>
      </c>
      <c r="E203" s="85">
        <v>0</v>
      </c>
      <c r="T203" s="22"/>
      <c r="U203" s="22"/>
    </row>
    <row r="204" spans="2:21" x14ac:dyDescent="0.5">
      <c r="B204" s="85">
        <v>194</v>
      </c>
      <c r="C204" s="86">
        <v>89.898082907791405</v>
      </c>
      <c r="D204" s="87">
        <v>6520.1664779001094</v>
      </c>
      <c r="E204" s="85">
        <v>0</v>
      </c>
      <c r="T204" s="22"/>
      <c r="U204" s="22"/>
    </row>
    <row r="205" spans="2:21" x14ac:dyDescent="0.5">
      <c r="B205" s="85">
        <v>195</v>
      </c>
      <c r="C205" s="86">
        <v>63.48950081519655</v>
      </c>
      <c r="D205" s="87">
        <v>3286.138183534254</v>
      </c>
      <c r="E205" s="85">
        <v>0</v>
      </c>
      <c r="T205" s="22"/>
      <c r="U205" s="22"/>
    </row>
    <row r="206" spans="2:21" x14ac:dyDescent="0.5">
      <c r="B206" s="85">
        <v>196</v>
      </c>
      <c r="C206" s="86">
        <v>59.963991002364679</v>
      </c>
      <c r="D206" s="87">
        <v>2854.3998021707266</v>
      </c>
      <c r="E206" s="85">
        <v>0</v>
      </c>
      <c r="T206" s="22"/>
      <c r="U206" s="22"/>
    </row>
    <row r="207" spans="2:21" x14ac:dyDescent="0.5">
      <c r="B207" s="85">
        <v>197</v>
      </c>
      <c r="C207" s="86">
        <v>38.4616190953965</v>
      </c>
      <c r="D207" s="87">
        <v>171.93153607552244</v>
      </c>
      <c r="E207" s="85">
        <v>0</v>
      </c>
      <c r="T207" s="22"/>
      <c r="U207" s="22"/>
    </row>
    <row r="208" spans="2:21" x14ac:dyDescent="0.5">
      <c r="B208" s="85">
        <v>198</v>
      </c>
      <c r="C208" s="86">
        <v>87.049511438600391</v>
      </c>
      <c r="D208" s="87">
        <v>6171.3268204892593</v>
      </c>
      <c r="E208" s="85">
        <v>0</v>
      </c>
      <c r="T208" s="22"/>
      <c r="U208" s="22"/>
    </row>
    <row r="209" spans="2:21" x14ac:dyDescent="0.5">
      <c r="B209" s="85">
        <v>199</v>
      </c>
      <c r="C209" s="86">
        <v>28.745873910312927</v>
      </c>
      <c r="D209" s="87">
        <v>-1088.5885061392717</v>
      </c>
      <c r="E209" s="85">
        <v>1</v>
      </c>
      <c r="T209" s="22"/>
      <c r="U209" s="22"/>
    </row>
    <row r="210" spans="2:21" x14ac:dyDescent="0.5">
      <c r="B210" s="85">
        <v>200</v>
      </c>
      <c r="C210" s="86">
        <v>30.5377682974623</v>
      </c>
      <c r="D210" s="87">
        <v>-850.34809416474309</v>
      </c>
      <c r="E210" s="85">
        <v>1</v>
      </c>
      <c r="T210" s="22"/>
      <c r="U210" s="22"/>
    </row>
    <row r="211" spans="2:21" x14ac:dyDescent="0.5">
      <c r="B211" s="85">
        <v>201</v>
      </c>
      <c r="C211" s="86">
        <v>56.290643650495497</v>
      </c>
      <c r="D211" s="87">
        <v>2402.5494132821236</v>
      </c>
      <c r="E211" s="85">
        <v>0</v>
      </c>
      <c r="T211" s="22"/>
      <c r="U211" s="22"/>
    </row>
    <row r="212" spans="2:21" x14ac:dyDescent="0.5">
      <c r="B212" s="85">
        <v>202</v>
      </c>
      <c r="C212" s="86">
        <v>88.145371178517749</v>
      </c>
      <c r="D212" s="87">
        <v>6305.5271873670745</v>
      </c>
      <c r="E212" s="85">
        <v>0</v>
      </c>
      <c r="T212" s="22"/>
      <c r="U212" s="22"/>
    </row>
    <row r="213" spans="2:21" x14ac:dyDescent="0.5">
      <c r="B213" s="85">
        <v>203</v>
      </c>
      <c r="C213" s="86">
        <v>68.286866296839747</v>
      </c>
      <c r="D213" s="87">
        <v>3873.6296153593139</v>
      </c>
      <c r="E213" s="85">
        <v>0</v>
      </c>
      <c r="T213" s="22"/>
      <c r="U213" s="22"/>
    </row>
    <row r="214" spans="2:21" x14ac:dyDescent="0.5">
      <c r="B214" s="85">
        <v>204</v>
      </c>
      <c r="C214" s="86">
        <v>98.202285202954755</v>
      </c>
      <c r="D214" s="87">
        <v>7537.1095720250578</v>
      </c>
      <c r="E214" s="85">
        <v>0</v>
      </c>
      <c r="T214" s="22"/>
      <c r="U214" s="22"/>
    </row>
    <row r="215" spans="2:21" x14ac:dyDescent="0.5">
      <c r="B215" s="85">
        <v>205</v>
      </c>
      <c r="C215" s="86">
        <v>59.870534051630102</v>
      </c>
      <c r="D215" s="87">
        <v>2842.9549460280887</v>
      </c>
      <c r="E215" s="85">
        <v>0</v>
      </c>
      <c r="T215" s="22"/>
      <c r="U215" s="22"/>
    </row>
    <row r="216" spans="2:21" x14ac:dyDescent="0.5">
      <c r="B216" s="85">
        <v>206</v>
      </c>
      <c r="C216" s="86">
        <v>40.340355560881676</v>
      </c>
      <c r="D216" s="87">
        <v>409.04370534747881</v>
      </c>
      <c r="E216" s="85">
        <v>0</v>
      </c>
      <c r="T216" s="22"/>
      <c r="U216" s="22"/>
    </row>
    <row r="217" spans="2:21" x14ac:dyDescent="0.5">
      <c r="B217" s="85">
        <v>207</v>
      </c>
      <c r="C217" s="86">
        <v>20.657739586539748</v>
      </c>
      <c r="D217" s="87">
        <v>-2370.590664183158</v>
      </c>
      <c r="E217" s="85">
        <v>1</v>
      </c>
      <c r="T217" s="22"/>
      <c r="U217" s="22"/>
    </row>
    <row r="218" spans="2:21" x14ac:dyDescent="0.5">
      <c r="B218" s="85">
        <v>208</v>
      </c>
      <c r="C218" s="86">
        <v>76.456584980915807</v>
      </c>
      <c r="D218" s="87">
        <v>4874.1036767334763</v>
      </c>
      <c r="E218" s="85">
        <v>0</v>
      </c>
      <c r="T218" s="22"/>
      <c r="U218" s="22"/>
    </row>
    <row r="219" spans="2:21" x14ac:dyDescent="0.5">
      <c r="B219" s="85">
        <v>209</v>
      </c>
      <c r="C219" s="86">
        <v>57.387472969611977</v>
      </c>
      <c r="D219" s="87">
        <v>2538.5124513674073</v>
      </c>
      <c r="E219" s="85">
        <v>0</v>
      </c>
      <c r="T219" s="22"/>
      <c r="U219" s="22"/>
    </row>
    <row r="220" spans="2:21" x14ac:dyDescent="0.5">
      <c r="B220" s="85">
        <v>210</v>
      </c>
      <c r="C220" s="86">
        <v>88.646813441807467</v>
      </c>
      <c r="D220" s="87">
        <v>6366.9344398194708</v>
      </c>
      <c r="E220" s="85">
        <v>0</v>
      </c>
      <c r="T220" s="22"/>
      <c r="U220" s="22"/>
    </row>
    <row r="221" spans="2:21" x14ac:dyDescent="0.5">
      <c r="B221" s="85">
        <v>211</v>
      </c>
      <c r="C221" s="86">
        <v>59.72573000927477</v>
      </c>
      <c r="D221" s="87">
        <v>2825.2220602383964</v>
      </c>
      <c r="E221" s="85">
        <v>0</v>
      </c>
      <c r="T221" s="22"/>
      <c r="U221" s="22"/>
    </row>
    <row r="222" spans="2:21" x14ac:dyDescent="0.5">
      <c r="B222" s="85">
        <v>212</v>
      </c>
      <c r="C222" s="86">
        <v>48.569385885909391</v>
      </c>
      <c r="D222" s="87">
        <v>1442.5078285586746</v>
      </c>
      <c r="E222" s="85">
        <v>0</v>
      </c>
      <c r="T222" s="22"/>
      <c r="U222" s="22"/>
    </row>
    <row r="223" spans="2:21" x14ac:dyDescent="0.5">
      <c r="B223" s="85">
        <v>213</v>
      </c>
      <c r="C223" s="86">
        <v>50.191220491083605</v>
      </c>
      <c r="D223" s="87">
        <v>1644.5682772806924</v>
      </c>
      <c r="E223" s="85">
        <v>0</v>
      </c>
      <c r="T223" s="22"/>
      <c r="U223" s="22"/>
    </row>
    <row r="224" spans="2:21" x14ac:dyDescent="0.5">
      <c r="B224" s="85">
        <v>214</v>
      </c>
      <c r="C224" s="86">
        <v>62.01502235550138</v>
      </c>
      <c r="D224" s="87">
        <v>3105.5716903629195</v>
      </c>
      <c r="E224" s="85">
        <v>0</v>
      </c>
      <c r="T224" s="22"/>
      <c r="U224" s="22"/>
    </row>
    <row r="225" spans="2:21" x14ac:dyDescent="0.5">
      <c r="B225" s="85">
        <v>215</v>
      </c>
      <c r="C225" s="86">
        <v>29.707922009399248</v>
      </c>
      <c r="D225" s="87">
        <v>-960.15610580666328</v>
      </c>
      <c r="E225" s="85">
        <v>1</v>
      </c>
      <c r="T225" s="22"/>
      <c r="U225" s="22"/>
    </row>
    <row r="226" spans="2:21" x14ac:dyDescent="0.5">
      <c r="B226" s="85">
        <v>216</v>
      </c>
      <c r="C226" s="86">
        <v>23.866424378949141</v>
      </c>
      <c r="D226" s="87">
        <v>-1769.4641382073521</v>
      </c>
      <c r="E226" s="85">
        <v>1</v>
      </c>
      <c r="T226" s="22"/>
      <c r="U226" s="22"/>
    </row>
    <row r="227" spans="2:21" x14ac:dyDescent="0.5">
      <c r="B227" s="85">
        <v>217</v>
      </c>
      <c r="C227" s="86">
        <v>23.003376054550131</v>
      </c>
      <c r="D227" s="87">
        <v>-1931.150709048625</v>
      </c>
      <c r="E227" s="85">
        <v>1</v>
      </c>
      <c r="T227" s="22"/>
      <c r="U227" s="22"/>
    </row>
    <row r="228" spans="2:21" x14ac:dyDescent="0.5">
      <c r="B228" s="85">
        <v>218</v>
      </c>
      <c r="C228" s="86">
        <v>60.136970053659134</v>
      </c>
      <c r="D228" s="87">
        <v>2875.5830351158866</v>
      </c>
      <c r="E228" s="85">
        <v>0</v>
      </c>
      <c r="T228" s="22"/>
      <c r="U228" s="22"/>
    </row>
    <row r="229" spans="2:21" x14ac:dyDescent="0.5">
      <c r="B229" s="85">
        <v>219</v>
      </c>
      <c r="C229" s="86">
        <v>80.168247343144117</v>
      </c>
      <c r="D229" s="87">
        <v>5328.6385342465201</v>
      </c>
      <c r="E229" s="85">
        <v>0</v>
      </c>
      <c r="T229" s="22"/>
      <c r="U229" s="22"/>
    </row>
    <row r="230" spans="2:21" x14ac:dyDescent="0.5">
      <c r="B230" s="85">
        <v>220</v>
      </c>
      <c r="C230" s="86">
        <v>60.029589048794634</v>
      </c>
      <c r="D230" s="87">
        <v>2862.4330217304037</v>
      </c>
      <c r="E230" s="85">
        <v>0</v>
      </c>
      <c r="T230" s="22"/>
      <c r="U230" s="22"/>
    </row>
    <row r="231" spans="2:21" x14ac:dyDescent="0.5">
      <c r="B231" s="85">
        <v>221</v>
      </c>
      <c r="C231" s="86">
        <v>31.90431854307284</v>
      </c>
      <c r="D231" s="87">
        <v>-672.97978903680439</v>
      </c>
      <c r="E231" s="85">
        <v>1</v>
      </c>
      <c r="T231" s="22"/>
      <c r="U231" s="22"/>
    </row>
    <row r="232" spans="2:21" x14ac:dyDescent="0.5">
      <c r="B232" s="85">
        <v>222</v>
      </c>
      <c r="C232" s="86">
        <v>83.070190977433128</v>
      </c>
      <c r="D232" s="87">
        <v>5684.0142143583716</v>
      </c>
      <c r="E232" s="85">
        <v>0</v>
      </c>
      <c r="T232" s="22"/>
      <c r="U232" s="22"/>
    </row>
    <row r="233" spans="2:21" x14ac:dyDescent="0.5">
      <c r="B233" s="85">
        <v>223</v>
      </c>
      <c r="C233" s="86">
        <v>22.251916597169235</v>
      </c>
      <c r="D233" s="87">
        <v>-2071.9318210156389</v>
      </c>
      <c r="E233" s="85">
        <v>1</v>
      </c>
      <c r="T233" s="22"/>
      <c r="U233" s="22"/>
    </row>
    <row r="234" spans="2:21" x14ac:dyDescent="0.5">
      <c r="B234" s="85">
        <v>224</v>
      </c>
      <c r="C234" s="86">
        <v>34.816150936676529</v>
      </c>
      <c r="D234" s="87">
        <v>-295.60637588388039</v>
      </c>
      <c r="E234" s="85">
        <v>1</v>
      </c>
      <c r="T234" s="22"/>
      <c r="U234" s="22"/>
    </row>
    <row r="235" spans="2:21" x14ac:dyDescent="0.5">
      <c r="B235" s="85">
        <v>225</v>
      </c>
      <c r="C235" s="86">
        <v>39.149317176114309</v>
      </c>
      <c r="D235" s="87">
        <v>258.72475413394278</v>
      </c>
      <c r="E235" s="85">
        <v>0</v>
      </c>
      <c r="T235" s="22"/>
      <c r="U235" s="22"/>
    </row>
    <row r="236" spans="2:21" x14ac:dyDescent="0.5">
      <c r="B236" s="85">
        <v>226</v>
      </c>
      <c r="C236" s="86">
        <v>69.020247264248809</v>
      </c>
      <c r="D236" s="87">
        <v>3963.4403742570944</v>
      </c>
      <c r="E236" s="85">
        <v>0</v>
      </c>
      <c r="T236" s="22"/>
      <c r="U236" s="22"/>
    </row>
    <row r="237" spans="2:21" x14ac:dyDescent="0.5">
      <c r="B237" s="85">
        <v>227</v>
      </c>
      <c r="C237" s="86">
        <v>44.941496442148825</v>
      </c>
      <c r="D237" s="87">
        <v>988.41055268134937</v>
      </c>
      <c r="E237" s="85">
        <v>0</v>
      </c>
      <c r="T237" s="22"/>
      <c r="U237" s="22"/>
    </row>
    <row r="238" spans="2:21" x14ac:dyDescent="0.5">
      <c r="B238" s="85">
        <v>228</v>
      </c>
      <c r="C238" s="86">
        <v>78.980102016834209</v>
      </c>
      <c r="D238" s="87">
        <v>5183.1367579818161</v>
      </c>
      <c r="E238" s="85">
        <v>0</v>
      </c>
      <c r="T238" s="22"/>
      <c r="U238" s="22"/>
    </row>
    <row r="239" spans="2:21" x14ac:dyDescent="0.5">
      <c r="B239" s="85">
        <v>229</v>
      </c>
      <c r="C239" s="86">
        <v>30.960189708554047</v>
      </c>
      <c r="D239" s="87">
        <v>-795.33886489607971</v>
      </c>
      <c r="E239" s="85">
        <v>1</v>
      </c>
      <c r="T239" s="22"/>
      <c r="U239" s="22"/>
    </row>
    <row r="240" spans="2:21" x14ac:dyDescent="0.5">
      <c r="B240" s="85">
        <v>230</v>
      </c>
      <c r="C240" s="86">
        <v>27.945754325532526</v>
      </c>
      <c r="D240" s="87">
        <v>-1195.6346896376883</v>
      </c>
      <c r="E240" s="85">
        <v>1</v>
      </c>
      <c r="T240" s="22"/>
      <c r="U240" s="22"/>
    </row>
    <row r="241" spans="2:21" x14ac:dyDescent="0.5">
      <c r="B241" s="85">
        <v>231</v>
      </c>
      <c r="C241" s="86">
        <v>88.443606369060149</v>
      </c>
      <c r="D241" s="87">
        <v>6342.0494452152225</v>
      </c>
      <c r="E241" s="85">
        <v>0</v>
      </c>
      <c r="T241" s="22"/>
      <c r="U241" s="22"/>
    </row>
    <row r="242" spans="2:21" x14ac:dyDescent="0.5">
      <c r="B242" s="85">
        <v>232</v>
      </c>
      <c r="C242" s="86">
        <v>46.106190335963603</v>
      </c>
      <c r="D242" s="87">
        <v>1134.3853990731891</v>
      </c>
      <c r="E242" s="85">
        <v>0</v>
      </c>
      <c r="T242" s="22"/>
      <c r="U242" s="22"/>
    </row>
    <row r="243" spans="2:21" x14ac:dyDescent="0.5">
      <c r="B243" s="85">
        <v>233</v>
      </c>
      <c r="C243" s="86">
        <v>73.985826881647242</v>
      </c>
      <c r="D243" s="87">
        <v>4571.5315214563961</v>
      </c>
      <c r="E243" s="85">
        <v>0</v>
      </c>
      <c r="T243" s="22"/>
      <c r="U243" s="22"/>
    </row>
    <row r="244" spans="2:21" x14ac:dyDescent="0.5">
      <c r="B244" s="85">
        <v>234</v>
      </c>
      <c r="C244" s="86">
        <v>42.849284871952065</v>
      </c>
      <c r="D244" s="87">
        <v>725.69145367564386</v>
      </c>
      <c r="E244" s="85">
        <v>0</v>
      </c>
      <c r="T244" s="22"/>
      <c r="U244" s="22"/>
    </row>
    <row r="245" spans="2:21" x14ac:dyDescent="0.5">
      <c r="B245" s="85">
        <v>235</v>
      </c>
      <c r="C245" s="86">
        <v>92.860395485687434</v>
      </c>
      <c r="D245" s="87">
        <v>6882.935015040086</v>
      </c>
      <c r="E245" s="85">
        <v>0</v>
      </c>
      <c r="T245" s="22"/>
      <c r="U245" s="22"/>
    </row>
    <row r="246" spans="2:21" x14ac:dyDescent="0.5">
      <c r="B246" s="85">
        <v>236</v>
      </c>
      <c r="C246" s="86">
        <v>48.050872421900472</v>
      </c>
      <c r="D246" s="87">
        <v>1377.9074908474227</v>
      </c>
      <c r="E246" s="85">
        <v>0</v>
      </c>
      <c r="T246" s="22"/>
      <c r="U246" s="22"/>
    </row>
    <row r="247" spans="2:21" x14ac:dyDescent="0.5">
      <c r="B247" s="85">
        <v>237</v>
      </c>
      <c r="C247" s="86">
        <v>73.39667788268298</v>
      </c>
      <c r="D247" s="87">
        <v>4499.3835914551855</v>
      </c>
      <c r="E247" s="85">
        <v>0</v>
      </c>
      <c r="T247" s="22"/>
      <c r="U247" s="22"/>
    </row>
    <row r="248" spans="2:21" x14ac:dyDescent="0.5">
      <c r="B248" s="85">
        <v>238</v>
      </c>
      <c r="C248" s="86">
        <v>99.99329680380896</v>
      </c>
      <c r="D248" s="87">
        <v>7756.4391131716129</v>
      </c>
      <c r="E248" s="85">
        <v>0</v>
      </c>
      <c r="T248" s="22"/>
      <c r="U248" s="22"/>
    </row>
    <row r="249" spans="2:21" x14ac:dyDescent="0.5">
      <c r="B249" s="85">
        <v>239</v>
      </c>
      <c r="C249" s="86">
        <v>43.063850963896925</v>
      </c>
      <c r="D249" s="87">
        <v>752.77147923958773</v>
      </c>
      <c r="E249" s="85">
        <v>0</v>
      </c>
      <c r="T249" s="22"/>
      <c r="U249" s="22"/>
    </row>
    <row r="250" spans="2:21" x14ac:dyDescent="0.5">
      <c r="B250" s="85">
        <v>240</v>
      </c>
      <c r="C250" s="86">
        <v>71.481945104785297</v>
      </c>
      <c r="D250" s="87">
        <v>4264.9029988145385</v>
      </c>
      <c r="E250" s="85">
        <v>0</v>
      </c>
      <c r="T250" s="22"/>
      <c r="U250" s="22"/>
    </row>
    <row r="251" spans="2:21" x14ac:dyDescent="0.5">
      <c r="B251" s="85">
        <v>241</v>
      </c>
      <c r="C251" s="86">
        <v>76.891763200403844</v>
      </c>
      <c r="D251" s="87">
        <v>4927.3961507474705</v>
      </c>
      <c r="E251" s="85">
        <v>0</v>
      </c>
      <c r="T251" s="22"/>
      <c r="U251" s="22"/>
    </row>
    <row r="252" spans="2:21" x14ac:dyDescent="0.5">
      <c r="B252" s="85">
        <v>242</v>
      </c>
      <c r="C252" s="86">
        <v>89.978941105552252</v>
      </c>
      <c r="D252" s="87">
        <v>6530.0684748522017</v>
      </c>
      <c r="E252" s="85">
        <v>0</v>
      </c>
      <c r="T252" s="22"/>
      <c r="U252" s="22"/>
    </row>
    <row r="253" spans="2:21" x14ac:dyDescent="0.5">
      <c r="B253" s="85">
        <v>243</v>
      </c>
      <c r="C253" s="86">
        <v>63.116767221178833</v>
      </c>
      <c r="D253" s="87">
        <v>3240.4927571691637</v>
      </c>
      <c r="E253" s="85">
        <v>0</v>
      </c>
      <c r="T253" s="22"/>
      <c r="U253" s="22"/>
    </row>
    <row r="254" spans="2:21" x14ac:dyDescent="0.5">
      <c r="B254" s="85">
        <v>244</v>
      </c>
      <c r="C254" s="86">
        <v>61.286356063306769</v>
      </c>
      <c r="D254" s="87">
        <v>3016.3382965424753</v>
      </c>
      <c r="E254" s="85">
        <v>0</v>
      </c>
      <c r="T254" s="22"/>
      <c r="U254" s="22"/>
    </row>
    <row r="255" spans="2:21" x14ac:dyDescent="0.5">
      <c r="B255" s="85">
        <v>245</v>
      </c>
      <c r="C255" s="86">
        <v>95.805726066992648</v>
      </c>
      <c r="D255" s="87">
        <v>7243.6239154439072</v>
      </c>
      <c r="E255" s="85">
        <v>0</v>
      </c>
      <c r="T255" s="22"/>
      <c r="U255" s="22"/>
    </row>
    <row r="256" spans="2:21" x14ac:dyDescent="0.5">
      <c r="B256" s="85">
        <v>246</v>
      </c>
      <c r="C256" s="86">
        <v>55.62074240308587</v>
      </c>
      <c r="D256" s="87">
        <v>2319.5084084261425</v>
      </c>
      <c r="E256" s="85">
        <v>0</v>
      </c>
      <c r="T256" s="22"/>
      <c r="U256" s="22"/>
    </row>
    <row r="257" spans="2:21" x14ac:dyDescent="0.5">
      <c r="B257" s="85">
        <v>247</v>
      </c>
      <c r="C257" s="86">
        <v>69.049981138960675</v>
      </c>
      <c r="D257" s="87">
        <v>3967.0816220825996</v>
      </c>
      <c r="E257" s="85">
        <v>0</v>
      </c>
      <c r="T257" s="22"/>
      <c r="U257" s="22"/>
    </row>
    <row r="258" spans="2:21" x14ac:dyDescent="0.5">
      <c r="B258" s="85">
        <v>248</v>
      </c>
      <c r="C258" s="86">
        <v>97.948390653539363</v>
      </c>
      <c r="D258" s="87">
        <v>7506.0173250533853</v>
      </c>
      <c r="E258" s="85">
        <v>0</v>
      </c>
      <c r="T258" s="22"/>
      <c r="U258" s="22"/>
    </row>
    <row r="259" spans="2:21" x14ac:dyDescent="0.5">
      <c r="B259" s="85">
        <v>249</v>
      </c>
      <c r="C259" s="86">
        <v>57.971184531893691</v>
      </c>
      <c r="D259" s="87">
        <v>2610.3582065976839</v>
      </c>
      <c r="E259" s="85">
        <v>0</v>
      </c>
      <c r="T259" s="22"/>
      <c r="U259" s="22"/>
    </row>
    <row r="260" spans="2:21" x14ac:dyDescent="0.5">
      <c r="B260" s="85">
        <v>250</v>
      </c>
      <c r="C260" s="86">
        <v>80.67636144846135</v>
      </c>
      <c r="D260" s="87">
        <v>5390.8628288943992</v>
      </c>
      <c r="E260" s="85">
        <v>0</v>
      </c>
      <c r="T260" s="22"/>
      <c r="U260" s="22"/>
    </row>
    <row r="261" spans="2:21" x14ac:dyDescent="0.5">
      <c r="B261" s="85">
        <v>251</v>
      </c>
      <c r="C261" s="86">
        <v>84.753534019866407</v>
      </c>
      <c r="D261" s="87">
        <v>5890.1585279479932</v>
      </c>
      <c r="E261" s="85">
        <v>0</v>
      </c>
      <c r="T261" s="22"/>
      <c r="U261" s="22"/>
    </row>
    <row r="262" spans="2:21" x14ac:dyDescent="0.5">
      <c r="B262" s="85">
        <v>252</v>
      </c>
      <c r="C262" s="86">
        <v>32.846303001336935</v>
      </c>
      <c r="D262" s="87">
        <v>-550.89862429222694</v>
      </c>
      <c r="E262" s="85">
        <v>1</v>
      </c>
      <c r="T262" s="22"/>
      <c r="U262" s="22"/>
    </row>
    <row r="263" spans="2:21" x14ac:dyDescent="0.5">
      <c r="B263" s="85">
        <v>253</v>
      </c>
      <c r="C263" s="86">
        <v>75.109613751294191</v>
      </c>
      <c r="D263" s="87">
        <v>4709.1518798888219</v>
      </c>
      <c r="E263" s="85">
        <v>0</v>
      </c>
      <c r="T263" s="22"/>
      <c r="U263" s="22"/>
    </row>
    <row r="264" spans="2:21" x14ac:dyDescent="0.5">
      <c r="B264" s="85">
        <v>254</v>
      </c>
      <c r="C264" s="86">
        <v>85.568124937338965</v>
      </c>
      <c r="D264" s="87">
        <v>5989.9143598288101</v>
      </c>
      <c r="E264" s="85">
        <v>0</v>
      </c>
      <c r="T264" s="22"/>
      <c r="U264" s="22"/>
    </row>
    <row r="265" spans="2:21" x14ac:dyDescent="0.5">
      <c r="B265" s="85">
        <v>255</v>
      </c>
      <c r="C265" s="86">
        <v>24.314423597184938</v>
      </c>
      <c r="D265" s="87">
        <v>-1694.7497550331314</v>
      </c>
      <c r="E265" s="85">
        <v>1</v>
      </c>
      <c r="T265" s="22"/>
      <c r="U265" s="22"/>
    </row>
    <row r="266" spans="2:21" x14ac:dyDescent="0.5">
      <c r="B266" s="85">
        <v>256</v>
      </c>
      <c r="C266" s="86">
        <v>45.897427916850823</v>
      </c>
      <c r="D266" s="87">
        <v>1108.2205310128243</v>
      </c>
      <c r="E266" s="85">
        <v>0</v>
      </c>
      <c r="T266" s="22"/>
      <c r="U266" s="22"/>
    </row>
    <row r="267" spans="2:21" x14ac:dyDescent="0.5">
      <c r="B267" s="85">
        <v>257</v>
      </c>
      <c r="C267" s="86">
        <v>95.54689962443463</v>
      </c>
      <c r="D267" s="87">
        <v>7211.9277026132522</v>
      </c>
      <c r="E267" s="85">
        <v>0</v>
      </c>
      <c r="T267" s="22"/>
      <c r="U267" s="22"/>
    </row>
    <row r="268" spans="2:21" x14ac:dyDescent="0.5">
      <c r="B268" s="85">
        <v>258</v>
      </c>
      <c r="C268" s="86">
        <v>40.393272496466601</v>
      </c>
      <c r="D268" s="87">
        <v>415.72226278130501</v>
      </c>
      <c r="E268" s="85">
        <v>0</v>
      </c>
      <c r="T268" s="22"/>
      <c r="U268" s="22"/>
    </row>
    <row r="269" spans="2:21" x14ac:dyDescent="0.5">
      <c r="B269" s="85">
        <v>259</v>
      </c>
      <c r="C269" s="86">
        <v>77.588369908410783</v>
      </c>
      <c r="D269" s="87">
        <v>5012.7034874246337</v>
      </c>
      <c r="E269" s="85">
        <v>0</v>
      </c>
      <c r="T269" s="22"/>
      <c r="U269" s="22"/>
    </row>
    <row r="270" spans="2:21" x14ac:dyDescent="0.5">
      <c r="B270" s="85">
        <v>260</v>
      </c>
      <c r="C270" s="86">
        <v>32.25729194330431</v>
      </c>
      <c r="D270" s="87">
        <v>-627.23444425317439</v>
      </c>
      <c r="E270" s="85">
        <v>1</v>
      </c>
      <c r="T270" s="22"/>
      <c r="U270" s="22"/>
    </row>
    <row r="271" spans="2:21" x14ac:dyDescent="0.5">
      <c r="B271" s="85">
        <v>261</v>
      </c>
      <c r="C271" s="86">
        <v>22.604386993387315</v>
      </c>
      <c r="D271" s="87">
        <v>-2005.8987518624706</v>
      </c>
      <c r="E271" s="85">
        <v>1</v>
      </c>
      <c r="T271" s="22"/>
      <c r="U271" s="22"/>
    </row>
    <row r="272" spans="2:21" x14ac:dyDescent="0.5">
      <c r="B272" s="85">
        <v>262</v>
      </c>
      <c r="C272" s="86">
        <v>70.92441668679507</v>
      </c>
      <c r="D272" s="87">
        <v>4196.6273650689827</v>
      </c>
      <c r="E272" s="85">
        <v>0</v>
      </c>
      <c r="T272" s="22"/>
      <c r="U272" s="22"/>
    </row>
    <row r="273" spans="2:21" x14ac:dyDescent="0.5">
      <c r="B273" s="85">
        <v>263</v>
      </c>
      <c r="C273" s="86">
        <v>98.488982727485578</v>
      </c>
      <c r="D273" s="87">
        <v>7572.2189127312868</v>
      </c>
      <c r="E273" s="85">
        <v>0</v>
      </c>
      <c r="T273" s="22"/>
      <c r="U273" s="22"/>
    </row>
    <row r="274" spans="2:21" x14ac:dyDescent="0.5">
      <c r="B274" s="85">
        <v>264</v>
      </c>
      <c r="C274" s="86">
        <v>58.48699441404186</v>
      </c>
      <c r="D274" s="87">
        <v>2673.5249357894199</v>
      </c>
      <c r="E274" s="85">
        <v>0</v>
      </c>
      <c r="T274" s="22"/>
      <c r="U274" s="22"/>
    </row>
    <row r="275" spans="2:21" x14ac:dyDescent="0.5">
      <c r="B275" s="85">
        <v>265</v>
      </c>
      <c r="C275" s="86">
        <v>38.31789205904979</v>
      </c>
      <c r="D275" s="87">
        <v>153.79198856724696</v>
      </c>
      <c r="E275" s="85">
        <v>0</v>
      </c>
      <c r="T275" s="22"/>
      <c r="U275" s="22"/>
    </row>
    <row r="276" spans="2:21" x14ac:dyDescent="0.5">
      <c r="B276" s="85">
        <v>266</v>
      </c>
      <c r="C276" s="86">
        <v>89.838895894170236</v>
      </c>
      <c r="D276" s="87">
        <v>6512.91836150981</v>
      </c>
      <c r="E276" s="85">
        <v>0</v>
      </c>
      <c r="T276" s="22"/>
      <c r="U276" s="22"/>
    </row>
    <row r="277" spans="2:21" x14ac:dyDescent="0.5">
      <c r="B277" s="85">
        <v>267</v>
      </c>
      <c r="C277" s="86">
        <v>82.704363612302529</v>
      </c>
      <c r="D277" s="87">
        <v>5639.2145334994193</v>
      </c>
      <c r="E277" s="85">
        <v>0</v>
      </c>
      <c r="T277" s="22"/>
      <c r="U277" s="22"/>
    </row>
    <row r="278" spans="2:21" x14ac:dyDescent="0.5">
      <c r="B278" s="85">
        <v>268</v>
      </c>
      <c r="C278" s="86">
        <v>56.261464295511374</v>
      </c>
      <c r="D278" s="87">
        <v>2398.9323384247468</v>
      </c>
      <c r="E278" s="85">
        <v>0</v>
      </c>
      <c r="T278" s="22"/>
      <c r="U278" s="22"/>
    </row>
    <row r="279" spans="2:21" x14ac:dyDescent="0.5">
      <c r="B279" s="85">
        <v>269</v>
      </c>
      <c r="C279" s="86">
        <v>64.848643061921763</v>
      </c>
      <c r="D279" s="87">
        <v>3452.5804584949319</v>
      </c>
      <c r="E279" s="85">
        <v>0</v>
      </c>
      <c r="T279" s="22"/>
      <c r="U279" s="22"/>
    </row>
    <row r="280" spans="2:21" x14ac:dyDescent="0.5">
      <c r="B280" s="85">
        <v>270</v>
      </c>
      <c r="C280" s="86">
        <v>71.315560600197017</v>
      </c>
      <c r="D280" s="87">
        <v>4244.5273423822518</v>
      </c>
      <c r="E280" s="85">
        <v>0</v>
      </c>
      <c r="T280" s="22"/>
      <c r="U280" s="22"/>
    </row>
    <row r="281" spans="2:21" x14ac:dyDescent="0.5">
      <c r="B281" s="85">
        <v>271</v>
      </c>
      <c r="C281" s="86">
        <v>95.070116886771288</v>
      </c>
      <c r="D281" s="87">
        <v>7153.5402867928151</v>
      </c>
      <c r="E281" s="85">
        <v>0</v>
      </c>
      <c r="T281" s="22"/>
      <c r="U281" s="22"/>
    </row>
    <row r="282" spans="2:21" x14ac:dyDescent="0.5">
      <c r="B282" s="85">
        <v>272</v>
      </c>
      <c r="C282" s="86">
        <v>30.909115746704128</v>
      </c>
      <c r="D282" s="87">
        <v>-801.95804921069998</v>
      </c>
      <c r="E282" s="85">
        <v>1</v>
      </c>
      <c r="T282" s="22"/>
      <c r="U282" s="22"/>
    </row>
    <row r="283" spans="2:21" x14ac:dyDescent="0.5">
      <c r="B283" s="85">
        <v>273</v>
      </c>
      <c r="C283" s="86">
        <v>90.893675488815049</v>
      </c>
      <c r="D283" s="87">
        <v>6642.0880019486876</v>
      </c>
      <c r="E283" s="85">
        <v>0</v>
      </c>
      <c r="T283" s="22"/>
      <c r="U283" s="22"/>
    </row>
    <row r="284" spans="2:21" x14ac:dyDescent="0.5">
      <c r="B284" s="85">
        <v>274</v>
      </c>
      <c r="C284" s="86">
        <v>24.788322375913765</v>
      </c>
      <c r="D284" s="87">
        <v>-1627.4944419236735</v>
      </c>
      <c r="E284" s="85">
        <v>1</v>
      </c>
      <c r="T284" s="22"/>
      <c r="U284" s="22"/>
    </row>
    <row r="285" spans="2:21" x14ac:dyDescent="0.5">
      <c r="B285" s="85">
        <v>275</v>
      </c>
      <c r="C285" s="86">
        <v>95.584934696162222</v>
      </c>
      <c r="D285" s="87">
        <v>7216.5855255025672</v>
      </c>
      <c r="E285" s="85">
        <v>0</v>
      </c>
      <c r="T285" s="22"/>
      <c r="U285" s="22"/>
    </row>
    <row r="286" spans="2:21" x14ac:dyDescent="0.5">
      <c r="B286" s="85">
        <v>276</v>
      </c>
      <c r="C286" s="86">
        <v>84.368900383709757</v>
      </c>
      <c r="D286" s="87">
        <v>5843.0558074030578</v>
      </c>
      <c r="E286" s="85">
        <v>0</v>
      </c>
      <c r="T286" s="22"/>
      <c r="U286" s="22"/>
    </row>
    <row r="287" spans="2:21" x14ac:dyDescent="0.5">
      <c r="B287" s="85">
        <v>277</v>
      </c>
      <c r="C287" s="86">
        <v>31.509704436780748</v>
      </c>
      <c r="D287" s="87">
        <v>-724.12176839552615</v>
      </c>
      <c r="E287" s="85">
        <v>1</v>
      </c>
      <c r="T287" s="22"/>
      <c r="U287" s="22"/>
    </row>
    <row r="288" spans="2:21" x14ac:dyDescent="0.5">
      <c r="B288" s="85">
        <v>278</v>
      </c>
      <c r="C288" s="86">
        <v>66.987907074659461</v>
      </c>
      <c r="D288" s="87">
        <v>3714.5574295437605</v>
      </c>
      <c r="E288" s="85">
        <v>0</v>
      </c>
      <c r="T288" s="22"/>
      <c r="U288" s="22"/>
    </row>
    <row r="289" spans="2:21" x14ac:dyDescent="0.5">
      <c r="B289" s="85">
        <v>279</v>
      </c>
      <c r="C289" s="86">
        <v>78.083597298135189</v>
      </c>
      <c r="D289" s="87">
        <v>5073.3496586161855</v>
      </c>
      <c r="E289" s="85">
        <v>0</v>
      </c>
      <c r="T289" s="22"/>
      <c r="U289" s="22"/>
    </row>
    <row r="290" spans="2:21" x14ac:dyDescent="0.5">
      <c r="B290" s="85">
        <v>280</v>
      </c>
      <c r="C290" s="86">
        <v>68.839417543431722</v>
      </c>
      <c r="D290" s="87">
        <v>3941.2957384135539</v>
      </c>
      <c r="E290" s="85">
        <v>0</v>
      </c>
      <c r="T290" s="22"/>
      <c r="U290" s="22"/>
    </row>
    <row r="291" spans="2:21" x14ac:dyDescent="0.5">
      <c r="B291" s="85">
        <v>281</v>
      </c>
      <c r="C291" s="86">
        <v>51.553600718541347</v>
      </c>
      <c r="D291" s="87">
        <v>1814.3039329461142</v>
      </c>
      <c r="E291" s="85">
        <v>0</v>
      </c>
      <c r="T291" s="22"/>
      <c r="U291" s="22"/>
    </row>
    <row r="292" spans="2:21" x14ac:dyDescent="0.5">
      <c r="B292" s="85">
        <v>282</v>
      </c>
      <c r="C292" s="86">
        <v>28.460728958521564</v>
      </c>
      <c r="D292" s="87">
        <v>-1126.7374021464643</v>
      </c>
      <c r="E292" s="85">
        <v>1</v>
      </c>
      <c r="T292" s="22"/>
      <c r="U292" s="22"/>
    </row>
    <row r="293" spans="2:21" x14ac:dyDescent="0.5">
      <c r="B293" s="85">
        <v>283</v>
      </c>
      <c r="C293" s="86">
        <v>36.101981507932223</v>
      </c>
      <c r="D293" s="87">
        <v>-130.14882961667297</v>
      </c>
      <c r="E293" s="85">
        <v>1</v>
      </c>
      <c r="T293" s="22"/>
      <c r="U293" s="22"/>
    </row>
    <row r="294" spans="2:21" x14ac:dyDescent="0.5">
      <c r="B294" s="85">
        <v>284</v>
      </c>
      <c r="C294" s="86">
        <v>43.12238622087466</v>
      </c>
      <c r="D294" s="87">
        <v>760.15911556637684</v>
      </c>
      <c r="E294" s="85">
        <v>0</v>
      </c>
      <c r="T294" s="22"/>
      <c r="U294" s="22"/>
    </row>
    <row r="295" spans="2:21" x14ac:dyDescent="0.5">
      <c r="B295" s="85">
        <v>285</v>
      </c>
      <c r="C295" s="86">
        <v>89.633558341766559</v>
      </c>
      <c r="D295" s="87">
        <v>6487.772465677881</v>
      </c>
      <c r="E295" s="85">
        <v>0</v>
      </c>
      <c r="T295" s="22"/>
      <c r="U295" s="22"/>
    </row>
    <row r="296" spans="2:21" x14ac:dyDescent="0.5">
      <c r="B296" s="85">
        <v>286</v>
      </c>
      <c r="C296" s="86">
        <v>20.818875305003715</v>
      </c>
      <c r="D296" s="87">
        <v>-2340.4029203200012</v>
      </c>
      <c r="E296" s="85">
        <v>1</v>
      </c>
      <c r="T296" s="22"/>
      <c r="U296" s="22"/>
    </row>
    <row r="297" spans="2:21" x14ac:dyDescent="0.5">
      <c r="B297" s="85">
        <v>287</v>
      </c>
      <c r="C297" s="86">
        <v>26.635987552306215</v>
      </c>
      <c r="D297" s="87">
        <v>-1372.7081716113769</v>
      </c>
      <c r="E297" s="85">
        <v>1</v>
      </c>
      <c r="T297" s="22"/>
      <c r="U297" s="22"/>
    </row>
    <row r="298" spans="2:21" x14ac:dyDescent="0.5">
      <c r="B298" s="85">
        <v>288</v>
      </c>
      <c r="C298" s="86">
        <v>32.292559072396941</v>
      </c>
      <c r="D298" s="87">
        <v>-622.6638251107313</v>
      </c>
      <c r="E298" s="85">
        <v>1</v>
      </c>
      <c r="T298" s="22"/>
      <c r="U298" s="22"/>
    </row>
    <row r="299" spans="2:21" x14ac:dyDescent="0.5">
      <c r="B299" s="85">
        <v>289</v>
      </c>
      <c r="C299" s="86">
        <v>97.953516046253242</v>
      </c>
      <c r="D299" s="87">
        <v>7506.6449871140858</v>
      </c>
      <c r="E299" s="85">
        <v>0</v>
      </c>
      <c r="T299" s="22"/>
      <c r="U299" s="22"/>
    </row>
    <row r="300" spans="2:21" x14ac:dyDescent="0.5">
      <c r="B300" s="85">
        <v>290</v>
      </c>
      <c r="C300" s="86">
        <v>93.880198200309167</v>
      </c>
      <c r="D300" s="87">
        <v>7007.8213426056445</v>
      </c>
      <c r="E300" s="85">
        <v>0</v>
      </c>
      <c r="T300" s="22"/>
      <c r="U300" s="22"/>
    </row>
    <row r="301" spans="2:21" x14ac:dyDescent="0.5">
      <c r="B301" s="85">
        <v>291</v>
      </c>
      <c r="C301" s="86">
        <v>80.220864347288853</v>
      </c>
      <c r="D301" s="87">
        <v>5335.0820789840691</v>
      </c>
      <c r="E301" s="85">
        <v>0</v>
      </c>
      <c r="T301" s="22"/>
      <c r="U301" s="22"/>
    </row>
    <row r="302" spans="2:21" x14ac:dyDescent="0.5">
      <c r="B302" s="85">
        <v>292</v>
      </c>
      <c r="C302" s="86">
        <v>75.263063510286173</v>
      </c>
      <c r="D302" s="87">
        <v>4727.9435310499357</v>
      </c>
      <c r="E302" s="85">
        <v>0</v>
      </c>
      <c r="T302" s="22"/>
      <c r="U302" s="22"/>
    </row>
    <row r="303" spans="2:21" x14ac:dyDescent="0.5">
      <c r="B303" s="85">
        <v>293</v>
      </c>
      <c r="C303" s="86">
        <v>32.668791014876255</v>
      </c>
      <c r="D303" s="87">
        <v>-573.90417377143888</v>
      </c>
      <c r="E303" s="85">
        <v>1</v>
      </c>
      <c r="T303" s="22"/>
      <c r="U303" s="22"/>
    </row>
    <row r="304" spans="2:21" x14ac:dyDescent="0.5">
      <c r="B304" s="85">
        <v>294</v>
      </c>
      <c r="C304" s="86">
        <v>20.938686327746751</v>
      </c>
      <c r="D304" s="87">
        <v>-2317.9570932803658</v>
      </c>
      <c r="E304" s="85">
        <v>1</v>
      </c>
      <c r="T304" s="22"/>
      <c r="U304" s="22"/>
    </row>
    <row r="305" spans="2:21" x14ac:dyDescent="0.5">
      <c r="B305" s="85">
        <v>295</v>
      </c>
      <c r="C305" s="86">
        <v>39.3245971977029</v>
      </c>
      <c r="D305" s="87">
        <v>280.8465508374382</v>
      </c>
      <c r="E305" s="85">
        <v>0</v>
      </c>
      <c r="T305" s="22"/>
      <c r="U305" s="22"/>
    </row>
    <row r="306" spans="2:21" x14ac:dyDescent="0.5">
      <c r="B306" s="85">
        <v>296</v>
      </c>
      <c r="C306" s="86">
        <v>38.332058787776418</v>
      </c>
      <c r="D306" s="87">
        <v>155.57994757138101</v>
      </c>
      <c r="E306" s="85">
        <v>0</v>
      </c>
      <c r="T306" s="22"/>
      <c r="U306" s="22"/>
    </row>
    <row r="307" spans="2:21" x14ac:dyDescent="0.5">
      <c r="B307" s="85">
        <v>297</v>
      </c>
      <c r="C307" s="86">
        <v>30.339780872968944</v>
      </c>
      <c r="D307" s="87">
        <v>-876.54644646980046</v>
      </c>
      <c r="E307" s="85">
        <v>1</v>
      </c>
      <c r="T307" s="22"/>
      <c r="U307" s="22"/>
    </row>
    <row r="308" spans="2:21" x14ac:dyDescent="0.5">
      <c r="B308" s="85">
        <v>298</v>
      </c>
      <c r="C308" s="86">
        <v>74.626241407921128</v>
      </c>
      <c r="D308" s="87">
        <v>4649.957492636172</v>
      </c>
      <c r="E308" s="85">
        <v>0</v>
      </c>
      <c r="T308" s="22"/>
      <c r="U308" s="22"/>
    </row>
    <row r="309" spans="2:21" x14ac:dyDescent="0.5">
      <c r="B309" s="85">
        <v>299</v>
      </c>
      <c r="C309" s="86">
        <v>86.246215442984521</v>
      </c>
      <c r="D309" s="87">
        <v>6072.9541789947752</v>
      </c>
      <c r="E309" s="85">
        <v>0</v>
      </c>
      <c r="T309" s="22"/>
      <c r="U309" s="22"/>
    </row>
    <row r="310" spans="2:21" x14ac:dyDescent="0.5">
      <c r="B310" s="85">
        <v>300</v>
      </c>
      <c r="C310" s="86">
        <v>52.830719457413167</v>
      </c>
      <c r="D310" s="87">
        <v>1973.4170660759989</v>
      </c>
      <c r="E310" s="85">
        <v>0</v>
      </c>
      <c r="T310" s="22"/>
      <c r="U310" s="22"/>
    </row>
    <row r="311" spans="2:21" x14ac:dyDescent="0.5">
      <c r="B311" s="85">
        <v>301</v>
      </c>
      <c r="C311" s="86">
        <v>33.221836409469788</v>
      </c>
      <c r="D311" s="87">
        <v>-502.22950298862844</v>
      </c>
      <c r="E311" s="85">
        <v>1</v>
      </c>
      <c r="T311" s="22"/>
      <c r="U311" s="22"/>
    </row>
    <row r="312" spans="2:21" x14ac:dyDescent="0.5">
      <c r="B312" s="85">
        <v>302</v>
      </c>
      <c r="C312" s="86">
        <v>73.301094297459542</v>
      </c>
      <c r="D312" s="87">
        <v>4487.6783049689329</v>
      </c>
      <c r="E312" s="85">
        <v>0</v>
      </c>
      <c r="T312" s="22"/>
      <c r="U312" s="22"/>
    </row>
    <row r="313" spans="2:21" x14ac:dyDescent="0.5">
      <c r="B313" s="85">
        <v>303</v>
      </c>
      <c r="C313" s="86">
        <v>21.989218463347111</v>
      </c>
      <c r="D313" s="87">
        <v>-2121.1466323110303</v>
      </c>
      <c r="E313" s="85">
        <v>1</v>
      </c>
      <c r="T313" s="22"/>
      <c r="U313" s="22"/>
    </row>
    <row r="314" spans="2:21" x14ac:dyDescent="0.5">
      <c r="B314" s="85">
        <v>304</v>
      </c>
      <c r="C314" s="86">
        <v>64.618030016880184</v>
      </c>
      <c r="D314" s="87">
        <v>3424.3392939333762</v>
      </c>
      <c r="E314" s="85">
        <v>0</v>
      </c>
      <c r="T314" s="22"/>
      <c r="U314" s="22"/>
    </row>
    <row r="315" spans="2:21" x14ac:dyDescent="0.5">
      <c r="B315" s="85">
        <v>305</v>
      </c>
      <c r="C315" s="86">
        <v>66.344851332782426</v>
      </c>
      <c r="D315" s="87">
        <v>3635.80801176764</v>
      </c>
      <c r="E315" s="85">
        <v>0</v>
      </c>
      <c r="T315" s="22"/>
      <c r="U315" s="22"/>
    </row>
    <row r="316" spans="2:21" x14ac:dyDescent="0.5">
      <c r="B316" s="85">
        <v>306</v>
      </c>
      <c r="C316" s="86">
        <v>21.192857923686887</v>
      </c>
      <c r="D316" s="87">
        <v>-2270.3396741961774</v>
      </c>
      <c r="E316" s="85">
        <v>1</v>
      </c>
      <c r="T316" s="22"/>
      <c r="U316" s="22"/>
    </row>
    <row r="317" spans="2:21" x14ac:dyDescent="0.5">
      <c r="B317" s="85">
        <v>307</v>
      </c>
      <c r="C317" s="86">
        <v>43.630272564286145</v>
      </c>
      <c r="D317" s="87">
        <v>824.07063025813227</v>
      </c>
      <c r="E317" s="85">
        <v>0</v>
      </c>
      <c r="T317" s="22"/>
      <c r="U317" s="22"/>
    </row>
    <row r="318" spans="2:21" x14ac:dyDescent="0.5">
      <c r="B318" s="85">
        <v>308</v>
      </c>
      <c r="C318" s="86">
        <v>36.407465248968748</v>
      </c>
      <c r="D318" s="87">
        <v>-90.91109168557756</v>
      </c>
      <c r="E318" s="85">
        <v>1</v>
      </c>
      <c r="T318" s="22"/>
      <c r="U318" s="22"/>
    </row>
    <row r="319" spans="2:21" x14ac:dyDescent="0.5">
      <c r="B319" s="85">
        <v>309</v>
      </c>
      <c r="C319" s="86">
        <v>51.983359273006293</v>
      </c>
      <c r="D319" s="87">
        <v>1867.846511258522</v>
      </c>
      <c r="E319" s="85">
        <v>0</v>
      </c>
      <c r="T319" s="22"/>
      <c r="U319" s="22"/>
    </row>
    <row r="320" spans="2:21" x14ac:dyDescent="0.5">
      <c r="B320" s="85">
        <v>310</v>
      </c>
      <c r="C320" s="86">
        <v>63.549873474139488</v>
      </c>
      <c r="D320" s="87">
        <v>3293.5314955471058</v>
      </c>
      <c r="E320" s="85">
        <v>0</v>
      </c>
      <c r="T320" s="22"/>
      <c r="U320" s="22"/>
    </row>
    <row r="321" spans="2:21" x14ac:dyDescent="0.5">
      <c r="B321" s="85">
        <v>311</v>
      </c>
      <c r="C321" s="86">
        <v>94.180186665690428</v>
      </c>
      <c r="D321" s="87">
        <v>7044.5583087034365</v>
      </c>
      <c r="E321" s="85">
        <v>0</v>
      </c>
      <c r="T321" s="22"/>
      <c r="U321" s="22"/>
    </row>
    <row r="322" spans="2:21" x14ac:dyDescent="0.5">
      <c r="B322" s="85">
        <v>312</v>
      </c>
      <c r="C322" s="86">
        <v>42.55223957026314</v>
      </c>
      <c r="D322" s="87">
        <v>688.2018657800287</v>
      </c>
      <c r="E322" s="85">
        <v>0</v>
      </c>
      <c r="T322" s="22"/>
      <c r="U322" s="22"/>
    </row>
    <row r="323" spans="2:21" x14ac:dyDescent="0.5">
      <c r="B323" s="85">
        <v>313</v>
      </c>
      <c r="C323" s="86">
        <v>35.47967928306312</v>
      </c>
      <c r="D323" s="87">
        <v>-210.08019202077588</v>
      </c>
      <c r="E323" s="85">
        <v>1</v>
      </c>
      <c r="T323" s="22"/>
      <c r="U323" s="22"/>
    </row>
    <row r="324" spans="2:21" x14ac:dyDescent="0.5">
      <c r="B324" s="85">
        <v>314</v>
      </c>
      <c r="C324" s="86">
        <v>96.68487542998983</v>
      </c>
      <c r="D324" s="87">
        <v>7351.2856560454156</v>
      </c>
      <c r="E324" s="85">
        <v>0</v>
      </c>
      <c r="T324" s="22"/>
      <c r="U324" s="22"/>
    </row>
    <row r="325" spans="2:21" x14ac:dyDescent="0.5">
      <c r="B325" s="85">
        <v>315</v>
      </c>
      <c r="C325" s="86">
        <v>78.136663907681253</v>
      </c>
      <c r="D325" s="87">
        <v>5079.8482625986453</v>
      </c>
      <c r="E325" s="85">
        <v>0</v>
      </c>
      <c r="T325" s="22"/>
      <c r="U325" s="22"/>
    </row>
    <row r="326" spans="2:21" x14ac:dyDescent="0.5">
      <c r="B326" s="85">
        <v>316</v>
      </c>
      <c r="C326" s="86">
        <v>62.226373840590796</v>
      </c>
      <c r="D326" s="87">
        <v>3131.4540599819638</v>
      </c>
      <c r="E326" s="85">
        <v>0</v>
      </c>
      <c r="T326" s="22"/>
      <c r="U326" s="22"/>
    </row>
    <row r="327" spans="2:21" x14ac:dyDescent="0.5">
      <c r="B327" s="85">
        <v>317</v>
      </c>
      <c r="C327" s="86">
        <v>28.759050069733725</v>
      </c>
      <c r="D327" s="87">
        <v>-1086.8256976716475</v>
      </c>
      <c r="E327" s="85">
        <v>1</v>
      </c>
      <c r="T327" s="22"/>
      <c r="U327" s="22"/>
    </row>
    <row r="328" spans="2:21" x14ac:dyDescent="0.5">
      <c r="B328" s="85">
        <v>318</v>
      </c>
      <c r="C328" s="86">
        <v>97.419725988242448</v>
      </c>
      <c r="D328" s="87">
        <v>7441.2763828927273</v>
      </c>
      <c r="E328" s="85">
        <v>0</v>
      </c>
      <c r="T328" s="22"/>
      <c r="U328" s="22"/>
    </row>
    <row r="329" spans="2:21" x14ac:dyDescent="0.5">
      <c r="B329" s="85">
        <v>319</v>
      </c>
      <c r="C329" s="86">
        <v>71.255525097250157</v>
      </c>
      <c r="D329" s="87">
        <v>4237.1753189182173</v>
      </c>
      <c r="E329" s="85">
        <v>0</v>
      </c>
      <c r="T329" s="22"/>
      <c r="U329" s="22"/>
    </row>
    <row r="330" spans="2:21" x14ac:dyDescent="0.5">
      <c r="B330" s="85">
        <v>320</v>
      </c>
      <c r="C330" s="86">
        <v>66.344630202028839</v>
      </c>
      <c r="D330" s="87">
        <v>3635.7809318164573</v>
      </c>
      <c r="E330" s="85">
        <v>0</v>
      </c>
      <c r="T330" s="22"/>
      <c r="U330" s="22"/>
    </row>
    <row r="331" spans="2:21" x14ac:dyDescent="0.5">
      <c r="B331" s="85">
        <v>321</v>
      </c>
      <c r="C331" s="86">
        <v>30.611454830080483</v>
      </c>
      <c r="D331" s="87">
        <v>-840.597647909839</v>
      </c>
      <c r="E331" s="85">
        <v>1</v>
      </c>
      <c r="T331" s="22"/>
      <c r="U331" s="22"/>
    </row>
    <row r="332" spans="2:21" x14ac:dyDescent="0.5">
      <c r="B332" s="85">
        <v>322</v>
      </c>
      <c r="C332" s="86">
        <v>45.952022922159685</v>
      </c>
      <c r="D332" s="87">
        <v>1115.0630993099924</v>
      </c>
      <c r="E332" s="85">
        <v>0</v>
      </c>
      <c r="T332" s="22"/>
      <c r="U332" s="22"/>
    </row>
    <row r="333" spans="2:21" x14ac:dyDescent="0.5">
      <c r="B333" s="85">
        <v>323</v>
      </c>
      <c r="C333" s="86">
        <v>65.004829627686192</v>
      </c>
      <c r="D333" s="87">
        <v>3471.7072624676302</v>
      </c>
      <c r="E333" s="85">
        <v>0</v>
      </c>
      <c r="T333" s="22"/>
      <c r="U333" s="22"/>
    </row>
    <row r="334" spans="2:21" x14ac:dyDescent="0.5">
      <c r="B334" s="85">
        <v>324</v>
      </c>
      <c r="C334" s="86">
        <v>96.561889224014479</v>
      </c>
      <c r="D334" s="87">
        <v>7336.2246100359625</v>
      </c>
      <c r="E334" s="85">
        <v>0</v>
      </c>
      <c r="T334" s="22"/>
      <c r="U334" s="22"/>
    </row>
    <row r="335" spans="2:21" x14ac:dyDescent="0.5">
      <c r="B335" s="85">
        <v>325</v>
      </c>
      <c r="C335" s="86">
        <v>93.332796220079615</v>
      </c>
      <c r="D335" s="87">
        <v>6940.7858052092351</v>
      </c>
      <c r="E335" s="85">
        <v>0</v>
      </c>
      <c r="T335" s="22"/>
      <c r="U335" s="22"/>
    </row>
    <row r="336" spans="2:21" x14ac:dyDescent="0.5">
      <c r="B336" s="85">
        <v>326</v>
      </c>
      <c r="C336" s="86">
        <v>64.671321268887283</v>
      </c>
      <c r="D336" s="87">
        <v>3430.8654079151447</v>
      </c>
      <c r="E336" s="85">
        <v>0</v>
      </c>
      <c r="T336" s="22"/>
      <c r="U336" s="22"/>
    </row>
    <row r="337" spans="2:21" x14ac:dyDescent="0.5">
      <c r="B337" s="85">
        <v>327</v>
      </c>
      <c r="C337" s="86">
        <v>34.335588108469473</v>
      </c>
      <c r="D337" s="87">
        <v>-357.88730768245728</v>
      </c>
      <c r="E337" s="85">
        <v>1</v>
      </c>
      <c r="T337" s="22"/>
      <c r="U337" s="22"/>
    </row>
    <row r="338" spans="2:21" x14ac:dyDescent="0.5">
      <c r="B338" s="85">
        <v>328</v>
      </c>
      <c r="C338" s="86">
        <v>58.819883450493442</v>
      </c>
      <c r="D338" s="87">
        <v>2714.2909473455834</v>
      </c>
      <c r="E338" s="85">
        <v>0</v>
      </c>
      <c r="T338" s="22"/>
      <c r="U338" s="22"/>
    </row>
    <row r="339" spans="2:21" x14ac:dyDescent="0.5">
      <c r="B339" s="85">
        <v>329</v>
      </c>
      <c r="C339" s="86">
        <v>40.46799922844361</v>
      </c>
      <c r="D339" s="87">
        <v>425.15339793367292</v>
      </c>
      <c r="E339" s="85">
        <v>0</v>
      </c>
      <c r="T339" s="22"/>
      <c r="U339" s="22"/>
    </row>
    <row r="340" spans="2:21" x14ac:dyDescent="0.5">
      <c r="B340" s="85">
        <v>330</v>
      </c>
      <c r="C340" s="86">
        <v>65.671042418600294</v>
      </c>
      <c r="D340" s="87">
        <v>3553.2925216962508</v>
      </c>
      <c r="E340" s="85">
        <v>0</v>
      </c>
      <c r="T340" s="22"/>
      <c r="U340" s="22"/>
    </row>
    <row r="341" spans="2:21" x14ac:dyDescent="0.5">
      <c r="B341" s="85">
        <v>331</v>
      </c>
      <c r="C341" s="86">
        <v>98.72174165487047</v>
      </c>
      <c r="D341" s="87">
        <v>7600.7228647530073</v>
      </c>
      <c r="E341" s="85">
        <v>0</v>
      </c>
      <c r="T341" s="22"/>
      <c r="U341" s="22"/>
    </row>
    <row r="342" spans="2:21" x14ac:dyDescent="0.5">
      <c r="B342" s="85">
        <v>332</v>
      </c>
      <c r="C342" s="86">
        <v>57.089543572424802</v>
      </c>
      <c r="D342" s="87">
        <v>2501.5811027332225</v>
      </c>
      <c r="E342" s="85">
        <v>0</v>
      </c>
      <c r="T342" s="22"/>
      <c r="U342" s="22"/>
    </row>
    <row r="343" spans="2:21" x14ac:dyDescent="0.5">
      <c r="B343" s="85">
        <v>333</v>
      </c>
      <c r="C343" s="86">
        <v>80.088137370715259</v>
      </c>
      <c r="D343" s="87">
        <v>5318.8281659129461</v>
      </c>
      <c r="E343" s="85">
        <v>0</v>
      </c>
      <c r="T343" s="22"/>
      <c r="U343" s="22"/>
    </row>
    <row r="344" spans="2:21" x14ac:dyDescent="0.5">
      <c r="B344" s="85">
        <v>334</v>
      </c>
      <c r="C344" s="86">
        <v>43.487661222338104</v>
      </c>
      <c r="D344" s="87">
        <v>806.19669029403235</v>
      </c>
      <c r="E344" s="85">
        <v>0</v>
      </c>
      <c r="T344" s="22"/>
      <c r="U344" s="22"/>
    </row>
    <row r="345" spans="2:21" x14ac:dyDescent="0.5">
      <c r="B345" s="85">
        <v>335</v>
      </c>
      <c r="C345" s="86">
        <v>60.806313675831014</v>
      </c>
      <c r="D345" s="87">
        <v>2957.5516998918797</v>
      </c>
      <c r="E345" s="85">
        <v>0</v>
      </c>
      <c r="T345" s="22"/>
      <c r="U345" s="22"/>
    </row>
    <row r="346" spans="2:21" x14ac:dyDescent="0.5">
      <c r="B346" s="85">
        <v>336</v>
      </c>
      <c r="C346" s="86">
        <v>43.126180118419093</v>
      </c>
      <c r="D346" s="87">
        <v>760.63793699411963</v>
      </c>
      <c r="E346" s="85">
        <v>0</v>
      </c>
      <c r="T346" s="22"/>
      <c r="U346" s="22"/>
    </row>
    <row r="347" spans="2:21" x14ac:dyDescent="0.5">
      <c r="B347" s="85">
        <v>337</v>
      </c>
      <c r="C347" s="86">
        <v>90.387921639232275</v>
      </c>
      <c r="D347" s="87">
        <v>6580.152747197023</v>
      </c>
      <c r="E347" s="85">
        <v>0</v>
      </c>
      <c r="T347" s="22"/>
      <c r="U347" s="22"/>
    </row>
    <row r="348" spans="2:21" x14ac:dyDescent="0.5">
      <c r="B348" s="85">
        <v>338</v>
      </c>
      <c r="C348" s="86">
        <v>90.885995669546659</v>
      </c>
      <c r="D348" s="87">
        <v>6641.1475215880819</v>
      </c>
      <c r="E348" s="85">
        <v>0</v>
      </c>
      <c r="T348" s="22"/>
      <c r="U348" s="22"/>
    </row>
    <row r="349" spans="2:21" x14ac:dyDescent="0.5">
      <c r="B349" s="85">
        <v>339</v>
      </c>
      <c r="C349" s="86">
        <v>79.073830456951313</v>
      </c>
      <c r="D349" s="87">
        <v>5194.6148610568962</v>
      </c>
      <c r="E349" s="85">
        <v>0</v>
      </c>
      <c r="T349" s="22"/>
      <c r="U349" s="22"/>
    </row>
    <row r="350" spans="2:21" x14ac:dyDescent="0.5">
      <c r="B350" s="85">
        <v>340</v>
      </c>
      <c r="C350" s="86">
        <v>78.545122008318572</v>
      </c>
      <c r="D350" s="87">
        <v>5129.8685571336728</v>
      </c>
      <c r="E350" s="85">
        <v>0</v>
      </c>
      <c r="T350" s="22"/>
      <c r="U350" s="22"/>
    </row>
    <row r="351" spans="2:21" x14ac:dyDescent="0.5">
      <c r="B351" s="85">
        <v>341</v>
      </c>
      <c r="C351" s="86">
        <v>55.172041804055702</v>
      </c>
      <c r="D351" s="87">
        <v>2263.8874512074117</v>
      </c>
      <c r="E351" s="85">
        <v>0</v>
      </c>
      <c r="T351" s="22"/>
      <c r="U351" s="22"/>
    </row>
    <row r="352" spans="2:21" x14ac:dyDescent="0.5">
      <c r="B352" s="85">
        <v>342</v>
      </c>
      <c r="C352" s="86">
        <v>84.114216745582127</v>
      </c>
      <c r="D352" s="87">
        <v>5811.8669276317469</v>
      </c>
      <c r="E352" s="85">
        <v>0</v>
      </c>
      <c r="T352" s="22"/>
      <c r="U352" s="22"/>
    </row>
    <row r="353" spans="2:21" x14ac:dyDescent="0.5">
      <c r="B353" s="85">
        <v>343</v>
      </c>
      <c r="C353" s="86">
        <v>85.863831924328494</v>
      </c>
      <c r="D353" s="87">
        <v>6026.1270106789289</v>
      </c>
      <c r="E353" s="85">
        <v>0</v>
      </c>
      <c r="T353" s="22"/>
      <c r="U353" s="22"/>
    </row>
    <row r="354" spans="2:21" x14ac:dyDescent="0.5">
      <c r="B354" s="85">
        <v>344</v>
      </c>
      <c r="C354" s="86">
        <v>60.613079932141503</v>
      </c>
      <c r="D354" s="87">
        <v>2933.8880517517796</v>
      </c>
      <c r="E354" s="85">
        <v>0</v>
      </c>
      <c r="T354" s="22"/>
      <c r="U354" s="22"/>
    </row>
    <row r="355" spans="2:21" x14ac:dyDescent="0.5">
      <c r="B355" s="85">
        <v>345</v>
      </c>
      <c r="C355" s="86">
        <v>53.913010211716667</v>
      </c>
      <c r="D355" s="87">
        <v>2107.8178081405613</v>
      </c>
      <c r="E355" s="85">
        <v>0</v>
      </c>
      <c r="T355" s="22"/>
      <c r="U355" s="22"/>
    </row>
    <row r="356" spans="2:21" x14ac:dyDescent="0.5">
      <c r="B356" s="85">
        <v>346</v>
      </c>
      <c r="C356" s="86">
        <v>71.932769116840149</v>
      </c>
      <c r="D356" s="87">
        <v>4320.1114763334326</v>
      </c>
      <c r="E356" s="85">
        <v>0</v>
      </c>
      <c r="T356" s="22"/>
      <c r="U356" s="22"/>
    </row>
    <row r="357" spans="2:21" x14ac:dyDescent="0.5">
      <c r="B357" s="85">
        <v>347</v>
      </c>
      <c r="C357" s="86">
        <v>38.996785688485758</v>
      </c>
      <c r="D357" s="87">
        <v>239.47401163848377</v>
      </c>
      <c r="E357" s="85">
        <v>0</v>
      </c>
      <c r="T357" s="22"/>
      <c r="U357" s="22"/>
    </row>
    <row r="358" spans="2:21" x14ac:dyDescent="0.5">
      <c r="B358" s="85">
        <v>348</v>
      </c>
      <c r="C358" s="86">
        <v>32.097540087382448</v>
      </c>
      <c r="D358" s="87">
        <v>-647.93828121136426</v>
      </c>
      <c r="E358" s="85">
        <v>1</v>
      </c>
      <c r="T358" s="22"/>
      <c r="U358" s="22"/>
    </row>
    <row r="359" spans="2:21" x14ac:dyDescent="0.5">
      <c r="B359" s="85">
        <v>349</v>
      </c>
      <c r="C359" s="86">
        <v>21.304805716090893</v>
      </c>
      <c r="D359" s="87">
        <v>-2249.3669729518306</v>
      </c>
      <c r="E359" s="85">
        <v>1</v>
      </c>
      <c r="T359" s="22"/>
      <c r="U359" s="22"/>
    </row>
    <row r="360" spans="2:21" x14ac:dyDescent="0.5">
      <c r="B360" s="85">
        <v>350</v>
      </c>
      <c r="C360" s="86">
        <v>40.674737040500865</v>
      </c>
      <c r="D360" s="87">
        <v>451.24542946017772</v>
      </c>
      <c r="E360" s="85">
        <v>0</v>
      </c>
      <c r="T360" s="22"/>
      <c r="U360" s="22"/>
    </row>
    <row r="361" spans="2:21" x14ac:dyDescent="0.5">
      <c r="B361" s="85">
        <v>351</v>
      </c>
      <c r="C361" s="86">
        <v>33.936388432082495</v>
      </c>
      <c r="D361" s="87">
        <v>-409.6235768230228</v>
      </c>
      <c r="E361" s="85">
        <v>1</v>
      </c>
      <c r="T361" s="22"/>
      <c r="U361" s="22"/>
    </row>
    <row r="362" spans="2:21" x14ac:dyDescent="0.5">
      <c r="B362" s="85">
        <v>352</v>
      </c>
      <c r="C362" s="86">
        <v>39.230445360431133</v>
      </c>
      <c r="D362" s="87">
        <v>268.96380581886825</v>
      </c>
      <c r="E362" s="85">
        <v>0</v>
      </c>
      <c r="T362" s="22"/>
      <c r="U362" s="22"/>
    </row>
    <row r="363" spans="2:21" x14ac:dyDescent="0.5">
      <c r="B363" s="85">
        <v>353</v>
      </c>
      <c r="C363" s="86">
        <v>86.193425252645866</v>
      </c>
      <c r="D363" s="87">
        <v>6066.4894256573352</v>
      </c>
      <c r="E363" s="85">
        <v>0</v>
      </c>
      <c r="T363" s="22"/>
      <c r="U363" s="22"/>
    </row>
    <row r="364" spans="2:21" x14ac:dyDescent="0.5">
      <c r="B364" s="85">
        <v>354</v>
      </c>
      <c r="C364" s="86">
        <v>86.783163501197762</v>
      </c>
      <c r="D364" s="87">
        <v>6138.709515906764</v>
      </c>
      <c r="E364" s="85">
        <v>0</v>
      </c>
      <c r="T364" s="22"/>
      <c r="U364" s="22"/>
    </row>
    <row r="365" spans="2:21" x14ac:dyDescent="0.5">
      <c r="B365" s="85">
        <v>355</v>
      </c>
      <c r="C365" s="86">
        <v>55.19259513865898</v>
      </c>
      <c r="D365" s="87">
        <v>2266.4352439831341</v>
      </c>
      <c r="E365" s="85">
        <v>0</v>
      </c>
      <c r="T365" s="22"/>
      <c r="U365" s="22"/>
    </row>
    <row r="366" spans="2:21" x14ac:dyDescent="0.5">
      <c r="B366" s="85">
        <v>356</v>
      </c>
      <c r="C366" s="86">
        <v>25.571401535969677</v>
      </c>
      <c r="D366" s="87">
        <v>-1518.3272366983997</v>
      </c>
      <c r="E366" s="85">
        <v>1</v>
      </c>
      <c r="T366" s="22"/>
      <c r="U366" s="22"/>
    </row>
    <row r="367" spans="2:21" x14ac:dyDescent="0.5">
      <c r="B367" s="85">
        <v>357</v>
      </c>
      <c r="C367" s="86">
        <v>21.386267363057144</v>
      </c>
      <c r="D367" s="87">
        <v>-2234.1056556180333</v>
      </c>
      <c r="E367" s="85">
        <v>1</v>
      </c>
      <c r="T367" s="22"/>
      <c r="U367" s="22"/>
    </row>
    <row r="368" spans="2:21" x14ac:dyDescent="0.5">
      <c r="B368" s="85">
        <v>358</v>
      </c>
      <c r="C368" s="86">
        <v>59.043321688882514</v>
      </c>
      <c r="D368" s="87">
        <v>2741.6534760288691</v>
      </c>
      <c r="E368" s="85">
        <v>0</v>
      </c>
      <c r="T368" s="22"/>
      <c r="U368" s="22"/>
    </row>
    <row r="369" spans="2:21" x14ac:dyDescent="0.5">
      <c r="B369" s="85">
        <v>359</v>
      </c>
      <c r="C369" s="86">
        <v>96.693258924979844</v>
      </c>
      <c r="D369" s="87">
        <v>7352.3123094230314</v>
      </c>
      <c r="E369" s="85">
        <v>0</v>
      </c>
      <c r="T369" s="22"/>
      <c r="U369" s="22"/>
    </row>
    <row r="370" spans="2:21" x14ac:dyDescent="0.5">
      <c r="B370" s="85">
        <v>360</v>
      </c>
      <c r="C370" s="86">
        <v>92.847246815251864</v>
      </c>
      <c r="D370" s="87">
        <v>6881.3248122630912</v>
      </c>
      <c r="E370" s="85">
        <v>0</v>
      </c>
      <c r="T370" s="22"/>
      <c r="U370" s="22"/>
    </row>
    <row r="371" spans="2:21" x14ac:dyDescent="0.5">
      <c r="B371" s="85">
        <v>361</v>
      </c>
      <c r="C371" s="86">
        <v>68.676128428007758</v>
      </c>
      <c r="D371" s="87">
        <v>3921.2991472451436</v>
      </c>
      <c r="E371" s="85">
        <v>0</v>
      </c>
      <c r="T371" s="22"/>
      <c r="U371" s="22"/>
    </row>
    <row r="372" spans="2:21" x14ac:dyDescent="0.5">
      <c r="B372" s="85">
        <v>362</v>
      </c>
      <c r="C372" s="86">
        <v>26.992490472107562</v>
      </c>
      <c r="D372" s="87">
        <v>-1323.9440312923903</v>
      </c>
      <c r="E372" s="85">
        <v>1</v>
      </c>
      <c r="T372" s="22"/>
      <c r="U372" s="22"/>
    </row>
    <row r="373" spans="2:21" x14ac:dyDescent="0.5">
      <c r="B373" s="85">
        <v>363</v>
      </c>
      <c r="C373" s="86">
        <v>35.897182432672764</v>
      </c>
      <c r="D373" s="87">
        <v>-156.45416559394971</v>
      </c>
      <c r="E373" s="85">
        <v>1</v>
      </c>
      <c r="T373" s="22"/>
      <c r="U373" s="22"/>
    </row>
    <row r="374" spans="2:21" x14ac:dyDescent="0.5">
      <c r="B374" s="85">
        <v>364</v>
      </c>
      <c r="C374" s="86">
        <v>60.909073903004625</v>
      </c>
      <c r="D374" s="87">
        <v>2970.1358470092705</v>
      </c>
      <c r="E374" s="85">
        <v>0</v>
      </c>
      <c r="T374" s="22"/>
      <c r="U374" s="22"/>
    </row>
    <row r="375" spans="2:21" x14ac:dyDescent="0.5">
      <c r="B375" s="85">
        <v>365</v>
      </c>
      <c r="C375" s="86">
        <v>34.919043069919518</v>
      </c>
      <c r="D375" s="87">
        <v>-282.27155771447457</v>
      </c>
      <c r="E375" s="85">
        <v>1</v>
      </c>
      <c r="T375" s="22"/>
      <c r="U375" s="22"/>
    </row>
    <row r="376" spans="2:21" x14ac:dyDescent="0.5">
      <c r="B376" s="85">
        <v>366</v>
      </c>
      <c r="C376" s="86">
        <v>20.846967972812696</v>
      </c>
      <c r="D376" s="87">
        <v>-2335.1399390993611</v>
      </c>
      <c r="E376" s="85">
        <v>1</v>
      </c>
      <c r="T376" s="22"/>
      <c r="U376" s="22"/>
    </row>
    <row r="377" spans="2:21" x14ac:dyDescent="0.5">
      <c r="B377" s="85">
        <v>367</v>
      </c>
      <c r="C377" s="86">
        <v>23.401345132295177</v>
      </c>
      <c r="D377" s="87">
        <v>-1856.5937535893015</v>
      </c>
      <c r="E377" s="85">
        <v>1</v>
      </c>
      <c r="T377" s="22"/>
      <c r="U377" s="22"/>
    </row>
    <row r="378" spans="2:21" x14ac:dyDescent="0.5">
      <c r="B378" s="85">
        <v>368</v>
      </c>
      <c r="C378" s="86">
        <v>57.485357667313608</v>
      </c>
      <c r="D378" s="87">
        <v>2550.6462452491151</v>
      </c>
      <c r="E378" s="85">
        <v>0</v>
      </c>
      <c r="T378" s="22"/>
      <c r="U378" s="22"/>
    </row>
    <row r="379" spans="2:21" x14ac:dyDescent="0.5">
      <c r="B379" s="85">
        <v>369</v>
      </c>
      <c r="C379" s="86">
        <v>94.423898912430758</v>
      </c>
      <c r="D379" s="87">
        <v>7074.4036180380372</v>
      </c>
      <c r="E379" s="85">
        <v>0</v>
      </c>
      <c r="T379" s="22"/>
      <c r="U379" s="22"/>
    </row>
    <row r="380" spans="2:21" x14ac:dyDescent="0.5">
      <c r="B380" s="85">
        <v>370</v>
      </c>
      <c r="C380" s="86">
        <v>70.413547570163644</v>
      </c>
      <c r="D380" s="87">
        <v>4134.0656882583571</v>
      </c>
      <c r="E380" s="85">
        <v>0</v>
      </c>
      <c r="T380" s="22"/>
      <c r="U380" s="22"/>
    </row>
    <row r="381" spans="2:21" x14ac:dyDescent="0.5">
      <c r="B381" s="85">
        <v>371</v>
      </c>
      <c r="C381" s="86">
        <v>21.565191061186873</v>
      </c>
      <c r="D381" s="87">
        <v>-2200.5854477977118</v>
      </c>
      <c r="E381" s="85">
        <v>1</v>
      </c>
      <c r="T381" s="22"/>
      <c r="U381" s="22"/>
    </row>
    <row r="382" spans="2:21" x14ac:dyDescent="0.5">
      <c r="B382" s="85">
        <v>372</v>
      </c>
      <c r="C382" s="86">
        <v>65.485179517285658</v>
      </c>
      <c r="D382" s="87">
        <v>3530.5315162164079</v>
      </c>
      <c r="E382" s="85">
        <v>0</v>
      </c>
      <c r="T382" s="22"/>
      <c r="U382" s="22"/>
    </row>
    <row r="383" spans="2:21" x14ac:dyDescent="0.5">
      <c r="B383" s="85">
        <v>373</v>
      </c>
      <c r="C383" s="86">
        <v>86.924407212215243</v>
      </c>
      <c r="D383" s="87">
        <v>6156.0063990271865</v>
      </c>
      <c r="E383" s="85">
        <v>0</v>
      </c>
      <c r="T383" s="22"/>
      <c r="U383" s="22"/>
    </row>
    <row r="384" spans="2:21" x14ac:dyDescent="0.5">
      <c r="B384" s="85">
        <v>374</v>
      </c>
      <c r="C384" s="86">
        <v>92.473115223484811</v>
      </c>
      <c r="D384" s="87">
        <v>6835.5081853291504</v>
      </c>
      <c r="E384" s="85">
        <v>0</v>
      </c>
      <c r="T384" s="22"/>
      <c r="U384" s="22"/>
    </row>
    <row r="385" spans="2:21" x14ac:dyDescent="0.5">
      <c r="B385" s="85">
        <v>375</v>
      </c>
      <c r="C385" s="86">
        <v>88.524065248453141</v>
      </c>
      <c r="D385" s="87">
        <v>6351.9025411359935</v>
      </c>
      <c r="E385" s="85">
        <v>0</v>
      </c>
      <c r="T385" s="22"/>
      <c r="U385" s="22"/>
    </row>
    <row r="386" spans="2:21" x14ac:dyDescent="0.5">
      <c r="B386" s="85">
        <v>376</v>
      </c>
      <c r="C386" s="86">
        <v>67.657797579533863</v>
      </c>
      <c r="D386" s="87">
        <v>3796.593066265747</v>
      </c>
      <c r="E386" s="85">
        <v>0</v>
      </c>
      <c r="T386" s="22"/>
      <c r="U386" s="22"/>
    </row>
    <row r="387" spans="2:21" x14ac:dyDescent="0.5">
      <c r="B387" s="85">
        <v>377</v>
      </c>
      <c r="C387" s="86">
        <v>30.408899057619667</v>
      </c>
      <c r="D387" s="87">
        <v>-867.40049916128123</v>
      </c>
      <c r="E387" s="85">
        <v>1</v>
      </c>
      <c r="T387" s="22"/>
      <c r="U387" s="22"/>
    </row>
    <row r="388" spans="2:21" x14ac:dyDescent="0.5">
      <c r="B388" s="85">
        <v>378</v>
      </c>
      <c r="C388" s="86">
        <v>63.719825907361766</v>
      </c>
      <c r="D388" s="87">
        <v>3314.3440850231332</v>
      </c>
      <c r="E388" s="85">
        <v>0</v>
      </c>
      <c r="T388" s="22"/>
      <c r="U388" s="22"/>
    </row>
    <row r="389" spans="2:21" x14ac:dyDescent="0.5">
      <c r="B389" s="85">
        <v>379</v>
      </c>
      <c r="C389" s="86">
        <v>60.025875218958269</v>
      </c>
      <c r="D389" s="87">
        <v>2861.9782214412721</v>
      </c>
      <c r="E389" s="85">
        <v>0</v>
      </c>
      <c r="T389" s="22"/>
      <c r="U389" s="22"/>
    </row>
    <row r="390" spans="2:21" x14ac:dyDescent="0.5">
      <c r="B390" s="85">
        <v>380</v>
      </c>
      <c r="C390" s="86">
        <v>90.333718237897671</v>
      </c>
      <c r="D390" s="87">
        <v>6573.5149302573491</v>
      </c>
      <c r="E390" s="85">
        <v>0</v>
      </c>
      <c r="T390" s="22"/>
      <c r="U390" s="22"/>
    </row>
    <row r="391" spans="2:21" x14ac:dyDescent="0.5">
      <c r="B391" s="85">
        <v>381</v>
      </c>
      <c r="C391" s="86">
        <v>41.767794694533215</v>
      </c>
      <c r="D391" s="87">
        <v>589.19839745135107</v>
      </c>
      <c r="E391" s="85">
        <v>0</v>
      </c>
      <c r="T391" s="22"/>
      <c r="U391" s="22"/>
    </row>
    <row r="392" spans="2:21" x14ac:dyDescent="0.5">
      <c r="B392" s="85">
        <v>382</v>
      </c>
      <c r="C392" s="86">
        <v>71.339892810200155</v>
      </c>
      <c r="D392" s="87">
        <v>4247.5070955298734</v>
      </c>
      <c r="E392" s="85">
        <v>0</v>
      </c>
      <c r="T392" s="22"/>
      <c r="U392" s="22"/>
    </row>
    <row r="393" spans="2:21" x14ac:dyDescent="0.5">
      <c r="B393" s="85">
        <v>383</v>
      </c>
      <c r="C393" s="86">
        <v>58.332803909024449</v>
      </c>
      <c r="D393" s="87">
        <v>2654.6425719351068</v>
      </c>
      <c r="E393" s="85">
        <v>0</v>
      </c>
      <c r="T393" s="22"/>
      <c r="U393" s="22"/>
    </row>
    <row r="394" spans="2:21" x14ac:dyDescent="0.5">
      <c r="B394" s="85">
        <v>384</v>
      </c>
      <c r="C394" s="86">
        <v>79.826368802508568</v>
      </c>
      <c r="D394" s="87">
        <v>5286.7716566619847</v>
      </c>
      <c r="E394" s="85">
        <v>0</v>
      </c>
      <c r="T394" s="22"/>
      <c r="U394" s="22"/>
    </row>
    <row r="395" spans="2:21" x14ac:dyDescent="0.5">
      <c r="B395" s="85">
        <v>385</v>
      </c>
      <c r="C395" s="86">
        <v>87.756452989494903</v>
      </c>
      <c r="D395" s="87">
        <v>6257.8997750704475</v>
      </c>
      <c r="E395" s="85">
        <v>0</v>
      </c>
      <c r="T395" s="22"/>
      <c r="U395" s="22"/>
    </row>
    <row r="396" spans="2:21" x14ac:dyDescent="0.5">
      <c r="B396" s="85">
        <v>386</v>
      </c>
      <c r="C396" s="86">
        <v>60.880642693538661</v>
      </c>
      <c r="D396" s="87">
        <v>2966.654125213925</v>
      </c>
      <c r="E396" s="85">
        <v>0</v>
      </c>
      <c r="T396" s="22"/>
      <c r="U396" s="22"/>
    </row>
    <row r="397" spans="2:21" x14ac:dyDescent="0.5">
      <c r="B397" s="85">
        <v>387</v>
      </c>
      <c r="C397" s="86">
        <v>48.856240534825773</v>
      </c>
      <c r="D397" s="87">
        <v>1478.2463550971534</v>
      </c>
      <c r="E397" s="85">
        <v>0</v>
      </c>
      <c r="T397" s="22"/>
      <c r="U397" s="22"/>
    </row>
    <row r="398" spans="2:21" x14ac:dyDescent="0.5">
      <c r="B398" s="85">
        <v>388</v>
      </c>
      <c r="C398" s="86">
        <v>36.553849931297279</v>
      </c>
      <c r="D398" s="87">
        <v>-72.108769235143825</v>
      </c>
      <c r="E398" s="85">
        <v>1</v>
      </c>
      <c r="T398" s="22"/>
      <c r="U398" s="22"/>
    </row>
    <row r="399" spans="2:21" x14ac:dyDescent="0.5">
      <c r="B399" s="85">
        <v>389</v>
      </c>
      <c r="C399" s="86">
        <v>69.641465959958168</v>
      </c>
      <c r="D399" s="87">
        <v>4039.5155997981306</v>
      </c>
      <c r="E399" s="85">
        <v>0</v>
      </c>
      <c r="T399" s="22"/>
      <c r="U399" s="22"/>
    </row>
    <row r="400" spans="2:21" x14ac:dyDescent="0.5">
      <c r="B400" s="85">
        <v>390</v>
      </c>
      <c r="C400" s="86">
        <v>72.243634023513465</v>
      </c>
      <c r="D400" s="87">
        <v>4358.1803851594323</v>
      </c>
      <c r="E400" s="85">
        <v>0</v>
      </c>
      <c r="T400" s="22"/>
      <c r="U400" s="22"/>
    </row>
    <row r="401" spans="2:21" x14ac:dyDescent="0.5">
      <c r="B401" s="85">
        <v>391</v>
      </c>
      <c r="C401" s="86">
        <v>70.715606375877044</v>
      </c>
      <c r="D401" s="87">
        <v>4171.0561908462823</v>
      </c>
      <c r="E401" s="85">
        <v>0</v>
      </c>
      <c r="T401" s="22"/>
      <c r="U401" s="22"/>
    </row>
    <row r="402" spans="2:21" x14ac:dyDescent="0.5">
      <c r="B402" s="85">
        <v>392</v>
      </c>
      <c r="C402" s="86">
        <v>77.291644835514546</v>
      </c>
      <c r="D402" s="87">
        <v>4976.3661604894151</v>
      </c>
      <c r="E402" s="85">
        <v>0</v>
      </c>
      <c r="T402" s="22"/>
      <c r="U402" s="22"/>
    </row>
    <row r="403" spans="2:21" x14ac:dyDescent="0.5">
      <c r="B403" s="85">
        <v>393</v>
      </c>
      <c r="C403" s="86">
        <v>30.991511729846685</v>
      </c>
      <c r="D403" s="87">
        <v>-791.27953163637153</v>
      </c>
      <c r="E403" s="85">
        <v>1</v>
      </c>
      <c r="T403" s="22"/>
      <c r="U403" s="22"/>
    </row>
    <row r="404" spans="2:21" x14ac:dyDescent="0.5">
      <c r="B404" s="85">
        <v>394</v>
      </c>
      <c r="C404" s="86">
        <v>61.712602943906617</v>
      </c>
      <c r="D404" s="87">
        <v>3068.5370275236291</v>
      </c>
      <c r="E404" s="85">
        <v>0</v>
      </c>
      <c r="T404" s="22"/>
      <c r="U404" s="22"/>
    </row>
    <row r="405" spans="2:21" x14ac:dyDescent="0.5">
      <c r="B405" s="85">
        <v>395</v>
      </c>
      <c r="C405" s="86">
        <v>34.742174618013088</v>
      </c>
      <c r="D405" s="87">
        <v>-305.19370512983392</v>
      </c>
      <c r="E405" s="85">
        <v>1</v>
      </c>
      <c r="T405" s="22"/>
      <c r="U405" s="22"/>
    </row>
    <row r="406" spans="2:21" x14ac:dyDescent="0.5">
      <c r="B406" s="85">
        <v>396</v>
      </c>
      <c r="C406" s="86">
        <v>26.391594285649358</v>
      </c>
      <c r="D406" s="87">
        <v>-1406.1374281092242</v>
      </c>
      <c r="E406" s="85">
        <v>1</v>
      </c>
      <c r="T406" s="22"/>
      <c r="U406" s="22"/>
    </row>
    <row r="407" spans="2:21" x14ac:dyDescent="0.5">
      <c r="B407" s="85">
        <v>397</v>
      </c>
      <c r="C407" s="86">
        <v>27.413547334455508</v>
      </c>
      <c r="D407" s="87">
        <v>-1266.8374552112957</v>
      </c>
      <c r="E407" s="85">
        <v>1</v>
      </c>
      <c r="T407" s="22"/>
      <c r="U407" s="22"/>
    </row>
    <row r="408" spans="2:21" x14ac:dyDescent="0.5">
      <c r="B408" s="85">
        <v>398</v>
      </c>
      <c r="C408" s="86">
        <v>90.666268568557413</v>
      </c>
      <c r="D408" s="87">
        <v>6614.2394634747498</v>
      </c>
      <c r="E408" s="85">
        <v>0</v>
      </c>
      <c r="T408" s="22"/>
      <c r="U408" s="22"/>
    </row>
    <row r="409" spans="2:21" x14ac:dyDescent="0.5">
      <c r="B409" s="85">
        <v>399</v>
      </c>
      <c r="C409" s="86">
        <v>20.946077261897607</v>
      </c>
      <c r="D409" s="87">
        <v>-2316.5724491481869</v>
      </c>
      <c r="E409" s="85">
        <v>1</v>
      </c>
      <c r="T409" s="22"/>
      <c r="U409" s="22"/>
    </row>
    <row r="410" spans="2:21" x14ac:dyDescent="0.5">
      <c r="B410" s="85">
        <v>400</v>
      </c>
      <c r="C410" s="86">
        <v>72.176151979720345</v>
      </c>
      <c r="D410" s="87">
        <v>4349.9164489047935</v>
      </c>
      <c r="E410" s="85">
        <v>0</v>
      </c>
      <c r="T410" s="22"/>
      <c r="U410" s="22"/>
    </row>
    <row r="411" spans="2:21" x14ac:dyDescent="0.5">
      <c r="B411" s="85">
        <v>401</v>
      </c>
      <c r="C411" s="86">
        <v>57.958873297169042</v>
      </c>
      <c r="D411" s="87">
        <v>2608.8505572548111</v>
      </c>
      <c r="E411" s="85">
        <v>0</v>
      </c>
      <c r="T411" s="22"/>
      <c r="U411" s="22"/>
    </row>
    <row r="412" spans="2:21" x14ac:dyDescent="0.5">
      <c r="B412" s="85">
        <v>402</v>
      </c>
      <c r="C412" s="86">
        <v>34.338016423474841</v>
      </c>
      <c r="D412" s="87">
        <v>-357.57259811201658</v>
      </c>
      <c r="E412" s="85">
        <v>1</v>
      </c>
      <c r="T412" s="22"/>
      <c r="U412" s="22"/>
    </row>
    <row r="413" spans="2:21" x14ac:dyDescent="0.5">
      <c r="B413" s="85">
        <v>403</v>
      </c>
      <c r="C413" s="86">
        <v>25.696815765273247</v>
      </c>
      <c r="D413" s="87">
        <v>-1501.1724905909493</v>
      </c>
      <c r="E413" s="85">
        <v>1</v>
      </c>
      <c r="T413" s="22"/>
      <c r="U413" s="22"/>
    </row>
    <row r="414" spans="2:21" x14ac:dyDescent="0.5">
      <c r="B414" s="85">
        <v>404</v>
      </c>
      <c r="C414" s="86">
        <v>67.062028179330923</v>
      </c>
      <c r="D414" s="87">
        <v>3723.6343935729797</v>
      </c>
      <c r="E414" s="85">
        <v>0</v>
      </c>
      <c r="T414" s="22"/>
      <c r="U414" s="22"/>
    </row>
    <row r="415" spans="2:21" x14ac:dyDescent="0.5">
      <c r="B415" s="85">
        <v>405</v>
      </c>
      <c r="C415" s="86">
        <v>34.710669913225445</v>
      </c>
      <c r="D415" s="87">
        <v>-309.27671416641311</v>
      </c>
      <c r="E415" s="85">
        <v>1</v>
      </c>
      <c r="T415" s="22"/>
      <c r="U415" s="22"/>
    </row>
    <row r="416" spans="2:21" x14ac:dyDescent="0.5">
      <c r="B416" s="85">
        <v>406</v>
      </c>
      <c r="C416" s="86">
        <v>40.42789142591139</v>
      </c>
      <c r="D416" s="87">
        <v>420.09145963745237</v>
      </c>
      <c r="E416" s="85">
        <v>0</v>
      </c>
      <c r="T416" s="22"/>
      <c r="U416" s="22"/>
    </row>
    <row r="417" spans="2:21" x14ac:dyDescent="0.5">
      <c r="B417" s="85">
        <v>407</v>
      </c>
      <c r="C417" s="86">
        <v>29.647355588739252</v>
      </c>
      <c r="D417" s="87">
        <v>-968.17045535622333</v>
      </c>
      <c r="E417" s="85">
        <v>1</v>
      </c>
      <c r="T417" s="22"/>
      <c r="U417" s="22"/>
    </row>
    <row r="418" spans="2:21" x14ac:dyDescent="0.5">
      <c r="B418" s="85">
        <v>408</v>
      </c>
      <c r="C418" s="86">
        <v>24.456110239036182</v>
      </c>
      <c r="D418" s="87">
        <v>-1674.4775000183242</v>
      </c>
      <c r="E418" s="85">
        <v>1</v>
      </c>
      <c r="T418" s="22"/>
      <c r="U418" s="22"/>
    </row>
    <row r="419" spans="2:21" x14ac:dyDescent="0.5">
      <c r="B419" s="85">
        <v>409</v>
      </c>
      <c r="C419" s="86">
        <v>51.943336993838685</v>
      </c>
      <c r="D419" s="87">
        <v>1862.8602323484008</v>
      </c>
      <c r="E419" s="85">
        <v>0</v>
      </c>
      <c r="T419" s="22"/>
      <c r="U419" s="22"/>
    </row>
    <row r="420" spans="2:21" x14ac:dyDescent="0.5">
      <c r="B420" s="85">
        <v>410</v>
      </c>
      <c r="C420" s="86">
        <v>72.5492765188243</v>
      </c>
      <c r="D420" s="87">
        <v>4395.6097508985704</v>
      </c>
      <c r="E420" s="85">
        <v>0</v>
      </c>
      <c r="T420" s="22"/>
      <c r="U420" s="22"/>
    </row>
    <row r="421" spans="2:21" x14ac:dyDescent="0.5">
      <c r="B421" s="85">
        <v>411</v>
      </c>
      <c r="C421" s="86">
        <v>90.552070730672924</v>
      </c>
      <c r="D421" s="87">
        <v>6600.2546521138447</v>
      </c>
      <c r="E421" s="85">
        <v>0</v>
      </c>
      <c r="T421" s="22"/>
      <c r="U421" s="22"/>
    </row>
    <row r="422" spans="2:21" x14ac:dyDescent="0.5">
      <c r="B422" s="85">
        <v>412</v>
      </c>
      <c r="C422" s="86">
        <v>92.108534408564367</v>
      </c>
      <c r="D422" s="87">
        <v>6790.8611585822537</v>
      </c>
      <c r="E422" s="85">
        <v>0</v>
      </c>
      <c r="T422" s="22"/>
      <c r="U422" s="22"/>
    </row>
    <row r="423" spans="2:21" x14ac:dyDescent="0.5">
      <c r="B423" s="85">
        <v>413</v>
      </c>
      <c r="C423" s="86">
        <v>78.957372964611082</v>
      </c>
      <c r="D423" s="87">
        <v>5180.3533295593452</v>
      </c>
      <c r="E423" s="85">
        <v>0</v>
      </c>
      <c r="T423" s="22"/>
      <c r="U423" s="22"/>
    </row>
    <row r="424" spans="2:21" x14ac:dyDescent="0.5">
      <c r="B424" s="85">
        <v>414</v>
      </c>
      <c r="C424" s="86">
        <v>25.239047700286974</v>
      </c>
      <c r="D424" s="87">
        <v>-1564.4290993519935</v>
      </c>
      <c r="E424" s="85">
        <v>1</v>
      </c>
      <c r="T424" s="22"/>
      <c r="U424" s="22"/>
    </row>
    <row r="425" spans="2:21" x14ac:dyDescent="0.5">
      <c r="B425" s="85">
        <v>415</v>
      </c>
      <c r="C425" s="86">
        <v>66.268294997583894</v>
      </c>
      <c r="D425" s="87">
        <v>3626.4328263344755</v>
      </c>
      <c r="E425" s="85">
        <v>0</v>
      </c>
      <c r="T425" s="22"/>
      <c r="U425" s="22"/>
    </row>
    <row r="426" spans="2:21" x14ac:dyDescent="0.5">
      <c r="B426" s="85">
        <v>416</v>
      </c>
      <c r="C426" s="86">
        <v>39.153895195363788</v>
      </c>
      <c r="D426" s="87">
        <v>259.30253824318555</v>
      </c>
      <c r="E426" s="85">
        <v>0</v>
      </c>
      <c r="T426" s="22"/>
      <c r="U426" s="22"/>
    </row>
    <row r="427" spans="2:21" x14ac:dyDescent="0.5">
      <c r="B427" s="85">
        <v>417</v>
      </c>
      <c r="C427" s="86">
        <v>91.52934190904918</v>
      </c>
      <c r="D427" s="87">
        <v>6719.9325140700657</v>
      </c>
      <c r="E427" s="85">
        <v>0</v>
      </c>
      <c r="T427" s="22"/>
      <c r="U427" s="22"/>
    </row>
    <row r="428" spans="2:21" x14ac:dyDescent="0.5">
      <c r="B428" s="85">
        <v>418</v>
      </c>
      <c r="C428" s="86">
        <v>71.113410684244798</v>
      </c>
      <c r="D428" s="87">
        <v>4219.77180853341</v>
      </c>
      <c r="E428" s="85">
        <v>0</v>
      </c>
      <c r="T428" s="22"/>
      <c r="U428" s="22"/>
    </row>
    <row r="429" spans="2:21" x14ac:dyDescent="0.5">
      <c r="B429" s="85">
        <v>419</v>
      </c>
      <c r="C429" s="86">
        <v>69.579240443878632</v>
      </c>
      <c r="D429" s="87">
        <v>4031.8953845617675</v>
      </c>
      <c r="E429" s="85">
        <v>0</v>
      </c>
      <c r="T429" s="22"/>
      <c r="U429" s="22"/>
    </row>
    <row r="430" spans="2:21" x14ac:dyDescent="0.5">
      <c r="B430" s="85">
        <v>420</v>
      </c>
      <c r="C430" s="86">
        <v>44.403449331915716</v>
      </c>
      <c r="D430" s="87">
        <v>920.9753710555583</v>
      </c>
      <c r="E430" s="85">
        <v>0</v>
      </c>
      <c r="T430" s="22"/>
      <c r="U430" s="22"/>
    </row>
    <row r="431" spans="2:21" x14ac:dyDescent="0.5">
      <c r="B431" s="85">
        <v>421</v>
      </c>
      <c r="C431" s="86">
        <v>60.505566531648896</v>
      </c>
      <c r="D431" s="87">
        <v>2920.7218250305773</v>
      </c>
      <c r="E431" s="85">
        <v>0</v>
      </c>
      <c r="T431" s="22"/>
      <c r="U431" s="22"/>
    </row>
    <row r="432" spans="2:21" x14ac:dyDescent="0.5">
      <c r="B432" s="85">
        <v>422</v>
      </c>
      <c r="C432" s="86">
        <v>29.51606517010136</v>
      </c>
      <c r="D432" s="87">
        <v>-985.5463653237623</v>
      </c>
      <c r="E432" s="85">
        <v>1</v>
      </c>
      <c r="T432" s="22"/>
      <c r="U432" s="22"/>
    </row>
    <row r="433" spans="2:21" x14ac:dyDescent="0.5">
      <c r="B433" s="85">
        <v>423</v>
      </c>
      <c r="C433" s="86">
        <v>75.734421149451322</v>
      </c>
      <c r="D433" s="87">
        <v>4785.6665824610545</v>
      </c>
      <c r="E433" s="85">
        <v>0</v>
      </c>
      <c r="T433" s="22"/>
      <c r="U433" s="22"/>
    </row>
    <row r="434" spans="2:21" x14ac:dyDescent="0.5">
      <c r="B434" s="85">
        <v>424</v>
      </c>
      <c r="C434" s="86">
        <v>72.121653688226047</v>
      </c>
      <c r="D434" s="87">
        <v>4343.2425193439722</v>
      </c>
      <c r="E434" s="85">
        <v>0</v>
      </c>
      <c r="T434" s="22"/>
      <c r="U434" s="22"/>
    </row>
    <row r="435" spans="2:21" x14ac:dyDescent="0.5">
      <c r="B435" s="85">
        <v>425</v>
      </c>
      <c r="C435" s="86">
        <v>34.76308417926009</v>
      </c>
      <c r="D435" s="87">
        <v>-302.48382645939785</v>
      </c>
      <c r="E435" s="85">
        <v>1</v>
      </c>
      <c r="T435" s="22"/>
      <c r="U435" s="22"/>
    </row>
    <row r="436" spans="2:21" x14ac:dyDescent="0.5">
      <c r="B436" s="85">
        <v>426</v>
      </c>
      <c r="C436" s="86">
        <v>63.515915767396706</v>
      </c>
      <c r="D436" s="87">
        <v>3289.3729919200323</v>
      </c>
      <c r="E436" s="85">
        <v>0</v>
      </c>
      <c r="T436" s="22"/>
      <c r="U436" s="22"/>
    </row>
    <row r="437" spans="2:21" x14ac:dyDescent="0.5">
      <c r="B437" s="85">
        <v>427</v>
      </c>
      <c r="C437" s="86">
        <v>42.484437614580422</v>
      </c>
      <c r="D437" s="87">
        <v>679.64469499628115</v>
      </c>
      <c r="E437" s="85">
        <v>0</v>
      </c>
      <c r="T437" s="22"/>
      <c r="U437" s="22"/>
    </row>
    <row r="438" spans="2:21" x14ac:dyDescent="0.5">
      <c r="B438" s="85">
        <v>428</v>
      </c>
      <c r="C438" s="86">
        <v>74.64497939711535</v>
      </c>
      <c r="D438" s="87">
        <v>4652.2521704428473</v>
      </c>
      <c r="E438" s="85">
        <v>0</v>
      </c>
      <c r="T438" s="22"/>
      <c r="U438" s="22"/>
    </row>
    <row r="439" spans="2:21" x14ac:dyDescent="0.5">
      <c r="B439" s="85">
        <v>429</v>
      </c>
      <c r="C439" s="86">
        <v>28.828751752862516</v>
      </c>
      <c r="D439" s="87">
        <v>-1077.5004676631852</v>
      </c>
      <c r="E439" s="85">
        <v>1</v>
      </c>
      <c r="T439" s="22"/>
      <c r="U439" s="22"/>
    </row>
    <row r="440" spans="2:21" x14ac:dyDescent="0.5">
      <c r="B440" s="85">
        <v>430</v>
      </c>
      <c r="C440" s="86">
        <v>51.425013779631101</v>
      </c>
      <c r="D440" s="87">
        <v>1798.2835973995043</v>
      </c>
      <c r="E440" s="85">
        <v>0</v>
      </c>
      <c r="T440" s="22"/>
      <c r="U440" s="22"/>
    </row>
    <row r="441" spans="2:21" x14ac:dyDescent="0.5">
      <c r="B441" s="85">
        <v>431</v>
      </c>
      <c r="C441" s="86">
        <v>27.959062173858467</v>
      </c>
      <c r="D441" s="87">
        <v>-1193.854262810293</v>
      </c>
      <c r="E441" s="85">
        <v>1</v>
      </c>
      <c r="T441" s="22"/>
      <c r="U441" s="22"/>
    </row>
    <row r="442" spans="2:21" x14ac:dyDescent="0.5">
      <c r="B442" s="85">
        <v>432</v>
      </c>
      <c r="C442" s="86">
        <v>60.601126884022761</v>
      </c>
      <c r="D442" s="87">
        <v>2932.4242663927475</v>
      </c>
      <c r="E442" s="85">
        <v>0</v>
      </c>
      <c r="T442" s="22"/>
      <c r="U442" s="22"/>
    </row>
    <row r="443" spans="2:21" x14ac:dyDescent="0.5">
      <c r="B443" s="85">
        <v>433</v>
      </c>
      <c r="C443" s="86">
        <v>71.894957203565937</v>
      </c>
      <c r="D443" s="87">
        <v>4315.4809817099749</v>
      </c>
      <c r="E443" s="85">
        <v>0</v>
      </c>
      <c r="T443" s="22"/>
      <c r="U443" s="22"/>
    </row>
    <row r="444" spans="2:21" x14ac:dyDescent="0.5">
      <c r="B444" s="85">
        <v>434</v>
      </c>
      <c r="C444" s="86">
        <v>88.566759653025372</v>
      </c>
      <c r="D444" s="87">
        <v>6357.1309518061908</v>
      </c>
      <c r="E444" s="85">
        <v>0</v>
      </c>
      <c r="T444" s="22"/>
      <c r="U444" s="22"/>
    </row>
    <row r="445" spans="2:21" x14ac:dyDescent="0.5">
      <c r="B445" s="85">
        <v>435</v>
      </c>
      <c r="C445" s="86">
        <v>99.05182398543468</v>
      </c>
      <c r="D445" s="87">
        <v>7641.1451635637477</v>
      </c>
      <c r="E445" s="85">
        <v>0</v>
      </c>
      <c r="T445" s="22"/>
      <c r="U445" s="22"/>
    </row>
    <row r="446" spans="2:21" x14ac:dyDescent="0.5">
      <c r="B446" s="85">
        <v>436</v>
      </c>
      <c r="C446" s="86">
        <v>33.37197875590018</v>
      </c>
      <c r="D446" s="87">
        <v>-482.77105824583072</v>
      </c>
      <c r="E446" s="85">
        <v>1</v>
      </c>
      <c r="T446" s="22"/>
      <c r="U446" s="22"/>
    </row>
    <row r="447" spans="2:21" x14ac:dyDescent="0.5">
      <c r="B447" s="85">
        <v>437</v>
      </c>
      <c r="C447" s="86">
        <v>97.517851962072882</v>
      </c>
      <c r="D447" s="87">
        <v>7453.29301349664</v>
      </c>
      <c r="E447" s="85">
        <v>0</v>
      </c>
      <c r="T447" s="22"/>
      <c r="U447" s="22"/>
    </row>
    <row r="448" spans="2:21" x14ac:dyDescent="0.5">
      <c r="B448" s="85">
        <v>438</v>
      </c>
      <c r="C448" s="86">
        <v>44.090483313765255</v>
      </c>
      <c r="D448" s="87">
        <v>881.75032946480655</v>
      </c>
      <c r="E448" s="85">
        <v>0</v>
      </c>
      <c r="T448" s="22"/>
      <c r="U448" s="22"/>
    </row>
    <row r="449" spans="2:21" x14ac:dyDescent="0.5">
      <c r="B449" s="85">
        <v>439</v>
      </c>
      <c r="C449" s="86">
        <v>83.790164657670147</v>
      </c>
      <c r="D449" s="87">
        <v>5772.1830999472022</v>
      </c>
      <c r="E449" s="85">
        <v>0</v>
      </c>
      <c r="T449" s="22"/>
      <c r="U449" s="22"/>
    </row>
    <row r="450" spans="2:21" x14ac:dyDescent="0.5">
      <c r="B450" s="85">
        <v>440</v>
      </c>
      <c r="C450" s="86">
        <v>43.839178542213389</v>
      </c>
      <c r="D450" s="87">
        <v>850.25349100825144</v>
      </c>
      <c r="E450" s="85">
        <v>0</v>
      </c>
      <c r="T450" s="22"/>
      <c r="U450" s="22"/>
    </row>
    <row r="451" spans="2:21" x14ac:dyDescent="0.5">
      <c r="B451" s="85">
        <v>441</v>
      </c>
      <c r="C451" s="86">
        <v>79.593315773920551</v>
      </c>
      <c r="D451" s="87">
        <v>5258.231688635733</v>
      </c>
      <c r="E451" s="85">
        <v>0</v>
      </c>
      <c r="T451" s="22"/>
      <c r="U451" s="22"/>
    </row>
    <row r="452" spans="2:21" x14ac:dyDescent="0.5">
      <c r="B452" s="85">
        <v>442</v>
      </c>
      <c r="C452" s="86">
        <v>25.903735801303476</v>
      </c>
      <c r="D452" s="87">
        <v>-1472.8689982172809</v>
      </c>
      <c r="E452" s="85">
        <v>1</v>
      </c>
      <c r="T452" s="22"/>
      <c r="U452" s="22"/>
    </row>
    <row r="453" spans="2:21" x14ac:dyDescent="0.5">
      <c r="B453" s="85">
        <v>443</v>
      </c>
      <c r="C453" s="86">
        <v>87.514122079280241</v>
      </c>
      <c r="D453" s="87">
        <v>6228.223625950217</v>
      </c>
      <c r="E453" s="85">
        <v>0</v>
      </c>
      <c r="T453" s="22"/>
      <c r="U453" s="22"/>
    </row>
    <row r="454" spans="2:21" x14ac:dyDescent="0.5">
      <c r="B454" s="85">
        <v>444</v>
      </c>
      <c r="C454" s="86">
        <v>30.563540833485739</v>
      </c>
      <c r="D454" s="87">
        <v>-846.93778676635884</v>
      </c>
      <c r="E454" s="85">
        <v>1</v>
      </c>
      <c r="T454" s="22"/>
      <c r="U454" s="22"/>
    </row>
    <row r="455" spans="2:21" x14ac:dyDescent="0.5">
      <c r="B455" s="85">
        <v>445</v>
      </c>
      <c r="C455" s="86">
        <v>36.043625265602664</v>
      </c>
      <c r="D455" s="87">
        <v>-137.64437401259204</v>
      </c>
      <c r="E455" s="85">
        <v>1</v>
      </c>
      <c r="T455" s="22"/>
      <c r="U455" s="22"/>
    </row>
    <row r="456" spans="2:21" x14ac:dyDescent="0.5">
      <c r="B456" s="85">
        <v>446</v>
      </c>
      <c r="C456" s="86">
        <v>91.177230857780216</v>
      </c>
      <c r="D456" s="87">
        <v>6676.8125503185074</v>
      </c>
      <c r="E456" s="85">
        <v>0</v>
      </c>
      <c r="T456" s="22"/>
      <c r="U456" s="22"/>
    </row>
    <row r="457" spans="2:21" x14ac:dyDescent="0.5">
      <c r="B457" s="85">
        <v>447</v>
      </c>
      <c r="C457" s="86">
        <v>42.596816958080687</v>
      </c>
      <c r="D457" s="87">
        <v>693.82790291726246</v>
      </c>
      <c r="E457" s="85">
        <v>0</v>
      </c>
      <c r="T457" s="22"/>
      <c r="U457" s="22"/>
    </row>
    <row r="458" spans="2:21" x14ac:dyDescent="0.5">
      <c r="B458" s="85">
        <v>448</v>
      </c>
      <c r="C458" s="86">
        <v>52.916332440112271</v>
      </c>
      <c r="D458" s="87">
        <v>1984.0833804125043</v>
      </c>
      <c r="E458" s="85">
        <v>0</v>
      </c>
      <c r="T458" s="22"/>
      <c r="U458" s="22"/>
    </row>
    <row r="459" spans="2:21" x14ac:dyDescent="0.5">
      <c r="B459" s="85">
        <v>449</v>
      </c>
      <c r="C459" s="86">
        <v>85.154735075573342</v>
      </c>
      <c r="D459" s="87">
        <v>5939.2901156014423</v>
      </c>
      <c r="E459" s="85">
        <v>0</v>
      </c>
      <c r="T459" s="22"/>
      <c r="U459" s="22"/>
    </row>
    <row r="460" spans="2:21" x14ac:dyDescent="0.5">
      <c r="B460" s="85">
        <v>450</v>
      </c>
      <c r="C460" s="86">
        <v>53.585843705478482</v>
      </c>
      <c r="D460" s="87">
        <v>2067.2622254508838</v>
      </c>
      <c r="E460" s="85">
        <v>0</v>
      </c>
      <c r="T460" s="22"/>
      <c r="U460" s="22"/>
    </row>
    <row r="461" spans="2:21" x14ac:dyDescent="0.5">
      <c r="B461" s="85">
        <v>451</v>
      </c>
      <c r="C461" s="86">
        <v>38.3242014529621</v>
      </c>
      <c r="D461" s="87">
        <v>154.58828656051145</v>
      </c>
      <c r="E461" s="85">
        <v>0</v>
      </c>
      <c r="T461" s="22"/>
      <c r="U461" s="22"/>
    </row>
    <row r="462" spans="2:21" x14ac:dyDescent="0.5">
      <c r="B462" s="85">
        <v>452</v>
      </c>
      <c r="C462" s="86">
        <v>50.020367448285725</v>
      </c>
      <c r="D462" s="87">
        <v>1623.2821101320069</v>
      </c>
      <c r="E462" s="85">
        <v>0</v>
      </c>
      <c r="T462" s="22"/>
      <c r="U462" s="22"/>
    </row>
    <row r="463" spans="2:21" x14ac:dyDescent="0.5">
      <c r="B463" s="85">
        <v>453</v>
      </c>
      <c r="C463" s="86">
        <v>91.090799586616427</v>
      </c>
      <c r="D463" s="87">
        <v>6666.2280677634972</v>
      </c>
      <c r="E463" s="85">
        <v>0</v>
      </c>
      <c r="T463" s="22"/>
      <c r="U463" s="22"/>
    </row>
    <row r="464" spans="2:21" x14ac:dyDescent="0.5">
      <c r="B464" s="85">
        <v>454</v>
      </c>
      <c r="C464" s="86">
        <v>28.379589538225236</v>
      </c>
      <c r="D464" s="87">
        <v>-1137.592861054372</v>
      </c>
      <c r="E464" s="85">
        <v>1</v>
      </c>
      <c r="T464" s="22"/>
      <c r="U464" s="22"/>
    </row>
    <row r="465" spans="2:21" x14ac:dyDescent="0.5">
      <c r="B465" s="85">
        <v>455</v>
      </c>
      <c r="C465" s="86">
        <v>22.855184443178285</v>
      </c>
      <c r="D465" s="87">
        <v>-1958.9134574287248</v>
      </c>
      <c r="E465" s="85">
        <v>1</v>
      </c>
      <c r="T465" s="22"/>
      <c r="U465" s="22"/>
    </row>
    <row r="466" spans="2:21" x14ac:dyDescent="0.5">
      <c r="B466" s="85">
        <v>456</v>
      </c>
      <c r="C466" s="86">
        <v>50.544674279729392</v>
      </c>
      <c r="D466" s="87">
        <v>1688.6042294723736</v>
      </c>
      <c r="E466" s="85">
        <v>0</v>
      </c>
      <c r="T466" s="22"/>
      <c r="U466" s="22"/>
    </row>
    <row r="467" spans="2:21" x14ac:dyDescent="0.5">
      <c r="B467" s="85">
        <v>457</v>
      </c>
      <c r="C467" s="86">
        <v>84.007246750418162</v>
      </c>
      <c r="D467" s="87">
        <v>5798.7672470129428</v>
      </c>
      <c r="E467" s="85">
        <v>0</v>
      </c>
      <c r="T467" s="22"/>
      <c r="U467" s="22"/>
    </row>
    <row r="468" spans="2:21" x14ac:dyDescent="0.5">
      <c r="B468" s="85">
        <v>458</v>
      </c>
      <c r="C468" s="86">
        <v>61.282677655956263</v>
      </c>
      <c r="D468" s="87">
        <v>3015.8878341356703</v>
      </c>
      <c r="E468" s="85">
        <v>0</v>
      </c>
      <c r="T468" s="22"/>
      <c r="U468" s="22"/>
    </row>
    <row r="469" spans="2:21" x14ac:dyDescent="0.5">
      <c r="B469" s="85">
        <v>459</v>
      </c>
      <c r="C469" s="86">
        <v>36.831256431421977</v>
      </c>
      <c r="D469" s="87">
        <v>-36.477401374639946</v>
      </c>
      <c r="E469" s="85">
        <v>1</v>
      </c>
      <c r="T469" s="22"/>
      <c r="U469" s="22"/>
    </row>
    <row r="470" spans="2:21" x14ac:dyDescent="0.5">
      <c r="B470" s="85">
        <v>460</v>
      </c>
      <c r="C470" s="86">
        <v>39.152768086527097</v>
      </c>
      <c r="D470" s="87">
        <v>259.16028773270597</v>
      </c>
      <c r="E470" s="85">
        <v>0</v>
      </c>
      <c r="T470" s="22"/>
      <c r="U470" s="22"/>
    </row>
    <row r="471" spans="2:21" x14ac:dyDescent="0.5">
      <c r="B471" s="85">
        <v>461</v>
      </c>
      <c r="C471" s="86">
        <v>87.780096293197147</v>
      </c>
      <c r="D471" s="87">
        <v>6260.7951638829627</v>
      </c>
      <c r="E471" s="85">
        <v>0</v>
      </c>
      <c r="T471" s="22"/>
      <c r="U471" s="22"/>
    </row>
    <row r="472" spans="2:21" x14ac:dyDescent="0.5">
      <c r="B472" s="85">
        <v>462</v>
      </c>
      <c r="C472" s="86">
        <v>31.701600640974739</v>
      </c>
      <c r="D472" s="87">
        <v>-699.25202461945889</v>
      </c>
      <c r="E472" s="85">
        <v>1</v>
      </c>
      <c r="T472" s="22"/>
      <c r="U472" s="22"/>
    </row>
    <row r="473" spans="2:21" x14ac:dyDescent="0.5">
      <c r="B473" s="85">
        <v>463</v>
      </c>
      <c r="C473" s="86">
        <v>69.067817593795212</v>
      </c>
      <c r="D473" s="87">
        <v>3969.2658968537266</v>
      </c>
      <c r="E473" s="85">
        <v>0</v>
      </c>
      <c r="T473" s="22"/>
      <c r="U473" s="22"/>
    </row>
    <row r="474" spans="2:21" x14ac:dyDescent="0.5">
      <c r="B474" s="85">
        <v>464</v>
      </c>
      <c r="C474" s="86">
        <v>74.113946544340649</v>
      </c>
      <c r="D474" s="87">
        <v>4587.2212170546773</v>
      </c>
      <c r="E474" s="85">
        <v>0</v>
      </c>
      <c r="T474" s="22"/>
      <c r="U474" s="22"/>
    </row>
    <row r="475" spans="2:21" x14ac:dyDescent="0.5">
      <c r="B475" s="85">
        <v>465</v>
      </c>
      <c r="C475" s="86">
        <v>53.212373705383918</v>
      </c>
      <c r="D475" s="87">
        <v>2020.9664452516577</v>
      </c>
      <c r="E475" s="85">
        <v>0</v>
      </c>
      <c r="T475" s="22"/>
      <c r="U475" s="22"/>
    </row>
    <row r="476" spans="2:21" x14ac:dyDescent="0.5">
      <c r="B476" s="85">
        <v>466</v>
      </c>
      <c r="C476" s="86">
        <v>42.551234971258978</v>
      </c>
      <c r="D476" s="87">
        <v>688.07507702944974</v>
      </c>
      <c r="E476" s="85">
        <v>0</v>
      </c>
      <c r="T476" s="22"/>
      <c r="U476" s="22"/>
    </row>
    <row r="477" spans="2:21" x14ac:dyDescent="0.5">
      <c r="B477" s="85">
        <v>467</v>
      </c>
      <c r="C477" s="86">
        <v>94.334612741867346</v>
      </c>
      <c r="D477" s="87">
        <v>7063.4695208992662</v>
      </c>
      <c r="E477" s="85">
        <v>0</v>
      </c>
      <c r="T477" s="22"/>
      <c r="U477" s="22"/>
    </row>
    <row r="478" spans="2:21" x14ac:dyDescent="0.5">
      <c r="B478" s="85">
        <v>468</v>
      </c>
      <c r="C478" s="86">
        <v>77.147540987671505</v>
      </c>
      <c r="D478" s="87">
        <v>4958.7190214034408</v>
      </c>
      <c r="E478" s="85">
        <v>0</v>
      </c>
      <c r="T478" s="22"/>
      <c r="U478" s="22"/>
    </row>
    <row r="479" spans="2:21" x14ac:dyDescent="0.5">
      <c r="B479" s="85">
        <v>469</v>
      </c>
      <c r="C479" s="86">
        <v>52.301907861956579</v>
      </c>
      <c r="D479" s="87">
        <v>1907.5337090885043</v>
      </c>
      <c r="E479" s="85">
        <v>0</v>
      </c>
      <c r="T479" s="22"/>
      <c r="U479" s="22"/>
    </row>
    <row r="480" spans="2:21" x14ac:dyDescent="0.5">
      <c r="B480" s="85">
        <v>470</v>
      </c>
      <c r="C480" s="86">
        <v>93.774552039162202</v>
      </c>
      <c r="D480" s="87">
        <v>6994.8837803714259</v>
      </c>
      <c r="E480" s="85">
        <v>0</v>
      </c>
      <c r="T480" s="22"/>
      <c r="U480" s="22"/>
    </row>
    <row r="481" spans="2:21" x14ac:dyDescent="0.5">
      <c r="B481" s="85">
        <v>471</v>
      </c>
      <c r="C481" s="86">
        <v>73.076904935005587</v>
      </c>
      <c r="D481" s="87">
        <v>4460.2237926846392</v>
      </c>
      <c r="E481" s="85">
        <v>0</v>
      </c>
      <c r="T481" s="22"/>
      <c r="U481" s="22"/>
    </row>
    <row r="482" spans="2:21" x14ac:dyDescent="0.5">
      <c r="B482" s="85">
        <v>472</v>
      </c>
      <c r="C482" s="86">
        <v>20.492592242197574</v>
      </c>
      <c r="D482" s="87">
        <v>-2401.5299604373085</v>
      </c>
      <c r="E482" s="85">
        <v>1</v>
      </c>
      <c r="T482" s="22"/>
      <c r="U482" s="22"/>
    </row>
    <row r="483" spans="2:21" x14ac:dyDescent="0.5">
      <c r="B483" s="85">
        <v>473</v>
      </c>
      <c r="C483" s="86">
        <v>47.015224410505027</v>
      </c>
      <c r="D483" s="87">
        <v>1248.3175748155261</v>
      </c>
      <c r="E483" s="85">
        <v>0</v>
      </c>
      <c r="T483" s="22"/>
      <c r="U483" s="22"/>
    </row>
    <row r="484" spans="2:21" x14ac:dyDescent="0.5">
      <c r="B484" s="85">
        <v>474</v>
      </c>
      <c r="C484" s="86">
        <v>71.517321234577068</v>
      </c>
      <c r="D484" s="87">
        <v>4269.2352043184364</v>
      </c>
      <c r="E484" s="85">
        <v>0</v>
      </c>
      <c r="T484" s="22"/>
      <c r="U484" s="22"/>
    </row>
    <row r="485" spans="2:21" x14ac:dyDescent="0.5">
      <c r="B485" s="85">
        <v>475</v>
      </c>
      <c r="C485" s="86">
        <v>93.174632394056857</v>
      </c>
      <c r="D485" s="87">
        <v>6921.4168634497237</v>
      </c>
      <c r="E485" s="85">
        <v>0</v>
      </c>
      <c r="T485" s="22"/>
      <c r="U485" s="22"/>
    </row>
    <row r="486" spans="2:21" x14ac:dyDescent="0.5">
      <c r="B486" s="85">
        <v>476</v>
      </c>
      <c r="C486" s="86">
        <v>64.133801498538162</v>
      </c>
      <c r="D486" s="87">
        <v>3365.0400584134168</v>
      </c>
      <c r="E486" s="85">
        <v>0</v>
      </c>
      <c r="T486" s="22"/>
      <c r="U486" s="22"/>
    </row>
    <row r="487" spans="2:21" x14ac:dyDescent="0.5">
      <c r="B487" s="85">
        <v>477</v>
      </c>
      <c r="C487" s="86">
        <v>50.993332049272446</v>
      </c>
      <c r="D487" s="87">
        <v>1744.5014152564634</v>
      </c>
      <c r="E487" s="85">
        <v>0</v>
      </c>
      <c r="T487" s="22"/>
      <c r="U487" s="22"/>
    </row>
    <row r="488" spans="2:21" x14ac:dyDescent="0.5">
      <c r="B488" s="85">
        <v>478</v>
      </c>
      <c r="C488" s="86">
        <v>96.746658778646307</v>
      </c>
      <c r="D488" s="87">
        <v>7358.8517229010722</v>
      </c>
      <c r="E488" s="85">
        <v>0</v>
      </c>
      <c r="T488" s="22"/>
      <c r="U488" s="22"/>
    </row>
    <row r="489" spans="2:21" x14ac:dyDescent="0.5">
      <c r="B489" s="85">
        <v>479</v>
      </c>
      <c r="C489" s="86">
        <v>88.376626482499759</v>
      </c>
      <c r="D489" s="87">
        <v>6333.8470037690977</v>
      </c>
      <c r="E489" s="85">
        <v>0</v>
      </c>
      <c r="T489" s="22"/>
      <c r="U489" s="22"/>
    </row>
    <row r="490" spans="2:21" x14ac:dyDescent="0.5">
      <c r="B490" s="85">
        <v>480</v>
      </c>
      <c r="C490" s="86">
        <v>39.859537217203837</v>
      </c>
      <c r="D490" s="87">
        <v>348.36043092891435</v>
      </c>
      <c r="E490" s="85">
        <v>0</v>
      </c>
      <c r="T490" s="22"/>
      <c r="U490" s="22"/>
    </row>
    <row r="491" spans="2:21" x14ac:dyDescent="0.5">
      <c r="B491" s="85">
        <v>481</v>
      </c>
      <c r="C491" s="86">
        <v>70.534581850712868</v>
      </c>
      <c r="D491" s="87">
        <v>4148.8876990165272</v>
      </c>
      <c r="E491" s="85">
        <v>0</v>
      </c>
      <c r="T491" s="22"/>
      <c r="U491" s="22"/>
    </row>
    <row r="492" spans="2:21" x14ac:dyDescent="0.5">
      <c r="B492" s="85">
        <v>482</v>
      </c>
      <c r="C492" s="86">
        <v>25.490517738163785</v>
      </c>
      <c r="D492" s="87">
        <v>-1529.3909016690454</v>
      </c>
      <c r="E492" s="85">
        <v>1</v>
      </c>
      <c r="T492" s="22"/>
      <c r="U492" s="22"/>
    </row>
    <row r="493" spans="2:21" x14ac:dyDescent="0.5">
      <c r="B493" s="85">
        <v>483</v>
      </c>
      <c r="C493" s="86">
        <v>79.904311585887228</v>
      </c>
      <c r="D493" s="87">
        <v>5296.3166282891771</v>
      </c>
      <c r="E493" s="85">
        <v>0</v>
      </c>
      <c r="T493" s="22"/>
      <c r="U493" s="22"/>
    </row>
    <row r="494" spans="2:21" x14ac:dyDescent="0.5">
      <c r="B494" s="85">
        <v>484</v>
      </c>
      <c r="C494" s="86">
        <v>87.10944587364861</v>
      </c>
      <c r="D494" s="87">
        <v>6178.6664670508626</v>
      </c>
      <c r="E494" s="85">
        <v>0</v>
      </c>
      <c r="T494" s="22"/>
      <c r="U494" s="22"/>
    </row>
    <row r="495" spans="2:21" x14ac:dyDescent="0.5">
      <c r="B495" s="85">
        <v>485</v>
      </c>
      <c r="C495" s="86">
        <v>81.912293456667641</v>
      </c>
      <c r="D495" s="87">
        <v>5542.2166225375786</v>
      </c>
      <c r="E495" s="85">
        <v>0</v>
      </c>
      <c r="T495" s="22"/>
      <c r="U495" s="22"/>
    </row>
    <row r="496" spans="2:21" x14ac:dyDescent="0.5">
      <c r="B496" s="85">
        <v>486</v>
      </c>
      <c r="C496" s="86">
        <v>69.095400710464844</v>
      </c>
      <c r="D496" s="87">
        <v>3972.6437601348221</v>
      </c>
      <c r="E496" s="85">
        <v>0</v>
      </c>
      <c r="T496" s="22"/>
      <c r="U496" s="22"/>
    </row>
    <row r="497" spans="2:21" x14ac:dyDescent="0.5">
      <c r="B497" s="85">
        <v>487</v>
      </c>
      <c r="C497" s="86">
        <v>65.442504246664015</v>
      </c>
      <c r="D497" s="87">
        <v>3525.3054487139493</v>
      </c>
      <c r="E497" s="85">
        <v>0</v>
      </c>
      <c r="T497" s="22"/>
      <c r="U497" s="22"/>
    </row>
    <row r="498" spans="2:21" x14ac:dyDescent="0.5">
      <c r="B498" s="85">
        <v>488</v>
      </c>
      <c r="C498" s="86">
        <v>90.129192614330648</v>
      </c>
      <c r="D498" s="87">
        <v>6548.4684642555267</v>
      </c>
      <c r="E498" s="85">
        <v>0</v>
      </c>
      <c r="T498" s="22"/>
      <c r="U498" s="22"/>
    </row>
    <row r="499" spans="2:21" x14ac:dyDescent="0.5">
      <c r="B499" s="85">
        <v>489</v>
      </c>
      <c r="C499" s="86">
        <v>22.524886292470711</v>
      </c>
      <c r="D499" s="87">
        <v>-2020.7926985248832</v>
      </c>
      <c r="E499" s="85">
        <v>1</v>
      </c>
      <c r="T499" s="22"/>
      <c r="U499" s="22"/>
    </row>
    <row r="500" spans="2:21" x14ac:dyDescent="0.5">
      <c r="B500" s="85">
        <v>490</v>
      </c>
      <c r="C500" s="86">
        <v>84.914589945328373</v>
      </c>
      <c r="D500" s="87">
        <v>5909.8816398550616</v>
      </c>
      <c r="E500" s="85">
        <v>0</v>
      </c>
      <c r="T500" s="22"/>
      <c r="U500" s="22"/>
    </row>
    <row r="501" spans="2:21" x14ac:dyDescent="0.5">
      <c r="B501" s="85">
        <v>491</v>
      </c>
      <c r="C501" s="86">
        <v>30.746091877891022</v>
      </c>
      <c r="D501" s="87">
        <v>-823.08593896649006</v>
      </c>
      <c r="E501" s="85">
        <v>1</v>
      </c>
      <c r="T501" s="22"/>
      <c r="U501" s="22"/>
    </row>
    <row r="502" spans="2:21" x14ac:dyDescent="0.5">
      <c r="B502" s="85">
        <v>492</v>
      </c>
      <c r="C502" s="86">
        <v>34.759140298801292</v>
      </c>
      <c r="D502" s="87">
        <v>-302.9949532787416</v>
      </c>
      <c r="E502" s="85">
        <v>1</v>
      </c>
      <c r="T502" s="22"/>
      <c r="U502" s="22"/>
    </row>
    <row r="503" spans="2:21" x14ac:dyDescent="0.5">
      <c r="B503" s="85">
        <v>493</v>
      </c>
      <c r="C503" s="86">
        <v>90.44469417245412</v>
      </c>
      <c r="D503" s="87">
        <v>6587.1051832702087</v>
      </c>
      <c r="E503" s="85">
        <v>0</v>
      </c>
      <c r="T503" s="22"/>
      <c r="U503" s="22"/>
    </row>
    <row r="504" spans="2:21" x14ac:dyDescent="0.5">
      <c r="B504" s="85">
        <v>494</v>
      </c>
      <c r="C504" s="86">
        <v>47.860656209488191</v>
      </c>
      <c r="D504" s="87">
        <v>1354.2089132541178</v>
      </c>
      <c r="E504" s="85">
        <v>0</v>
      </c>
      <c r="T504" s="22"/>
      <c r="U504" s="22"/>
    </row>
    <row r="505" spans="2:21" x14ac:dyDescent="0.5">
      <c r="B505" s="85">
        <v>495</v>
      </c>
      <c r="C505" s="86">
        <v>76.983607126383617</v>
      </c>
      <c r="D505" s="87">
        <v>4938.6434738427724</v>
      </c>
      <c r="E505" s="85">
        <v>0</v>
      </c>
      <c r="T505" s="22"/>
      <c r="U505" s="22"/>
    </row>
    <row r="506" spans="2:21" x14ac:dyDescent="0.5">
      <c r="B506" s="85">
        <v>496</v>
      </c>
      <c r="C506" s="86">
        <v>77.572659824420739</v>
      </c>
      <c r="D506" s="87">
        <v>5010.7796107109007</v>
      </c>
      <c r="E506" s="85">
        <v>0</v>
      </c>
      <c r="T506" s="22"/>
      <c r="U506" s="22"/>
    </row>
    <row r="507" spans="2:21" x14ac:dyDescent="0.5">
      <c r="B507" s="85">
        <v>497</v>
      </c>
      <c r="C507" s="86">
        <v>35.934447140273335</v>
      </c>
      <c r="D507" s="87">
        <v>-151.66771500921897</v>
      </c>
      <c r="E507" s="85">
        <v>1</v>
      </c>
      <c r="T507" s="22"/>
      <c r="U507" s="22"/>
    </row>
    <row r="508" spans="2:21" x14ac:dyDescent="0.5">
      <c r="B508" s="85">
        <v>498</v>
      </c>
      <c r="C508" s="86">
        <v>36.711592652402445</v>
      </c>
      <c r="D508" s="87">
        <v>-51.847567999813997</v>
      </c>
      <c r="E508" s="85">
        <v>1</v>
      </c>
      <c r="T508" s="22"/>
      <c r="U508" s="22"/>
    </row>
    <row r="509" spans="2:21" x14ac:dyDescent="0.5">
      <c r="B509" s="85">
        <v>499</v>
      </c>
      <c r="C509" s="86">
        <v>36.827259515359721</v>
      </c>
      <c r="D509" s="87">
        <v>-36.990783672667838</v>
      </c>
      <c r="E509" s="85">
        <v>1</v>
      </c>
      <c r="T509" s="22"/>
      <c r="U509" s="22"/>
    </row>
    <row r="510" spans="2:21" x14ac:dyDescent="0.5">
      <c r="B510" s="85">
        <v>500</v>
      </c>
      <c r="C510" s="86">
        <v>86.42306139173246</v>
      </c>
      <c r="D510" s="87">
        <v>6094.6109570826529</v>
      </c>
      <c r="E510" s="85">
        <v>0</v>
      </c>
      <c r="T510" s="22"/>
      <c r="U510" s="22"/>
    </row>
    <row r="511" spans="2:21" x14ac:dyDescent="0.5">
      <c r="B511" s="85">
        <v>501</v>
      </c>
      <c r="C511" s="86">
        <v>34.732487981998233</v>
      </c>
      <c r="D511" s="87">
        <v>-306.44909294093367</v>
      </c>
      <c r="E511" s="85">
        <v>1</v>
      </c>
      <c r="T511" s="22"/>
      <c r="U511" s="22"/>
    </row>
    <row r="512" spans="2:21" x14ac:dyDescent="0.5">
      <c r="B512" s="85">
        <v>502</v>
      </c>
      <c r="C512" s="86">
        <v>41.372512755839963</v>
      </c>
      <c r="D512" s="87">
        <v>539.31052883355835</v>
      </c>
      <c r="E512" s="85">
        <v>0</v>
      </c>
      <c r="T512" s="22"/>
      <c r="U512" s="22"/>
    </row>
    <row r="513" spans="2:21" x14ac:dyDescent="0.5">
      <c r="B513" s="85">
        <v>503</v>
      </c>
      <c r="C513" s="86">
        <v>75.748626925599609</v>
      </c>
      <c r="D513" s="87">
        <v>4787.4062397378393</v>
      </c>
      <c r="E513" s="85">
        <v>0</v>
      </c>
      <c r="T513" s="22"/>
      <c r="U513" s="22"/>
    </row>
    <row r="514" spans="2:21" x14ac:dyDescent="0.5">
      <c r="B514" s="85">
        <v>504</v>
      </c>
      <c r="C514" s="86">
        <v>78.408784569942867</v>
      </c>
      <c r="D514" s="87">
        <v>5113.1725023533581</v>
      </c>
      <c r="E514" s="85">
        <v>0</v>
      </c>
      <c r="T514" s="22"/>
      <c r="U514" s="22"/>
    </row>
    <row r="515" spans="2:21" x14ac:dyDescent="0.5">
      <c r="B515" s="85">
        <v>505</v>
      </c>
      <c r="C515" s="86">
        <v>86.183313907091147</v>
      </c>
      <c r="D515" s="87">
        <v>6065.2511775187777</v>
      </c>
      <c r="E515" s="85">
        <v>0</v>
      </c>
      <c r="T515" s="22"/>
      <c r="U515" s="22"/>
    </row>
    <row r="516" spans="2:21" x14ac:dyDescent="0.5">
      <c r="B516" s="85">
        <v>506</v>
      </c>
      <c r="C516" s="86">
        <v>77.085052614294924</v>
      </c>
      <c r="D516" s="87">
        <v>4951.0666163307178</v>
      </c>
      <c r="E516" s="85">
        <v>0</v>
      </c>
      <c r="T516" s="22"/>
      <c r="U516" s="22"/>
    </row>
    <row r="517" spans="2:21" x14ac:dyDescent="0.5">
      <c r="B517" s="85">
        <v>507</v>
      </c>
      <c r="C517" s="86">
        <v>99.942272412512722</v>
      </c>
      <c r="D517" s="87">
        <v>7750.1906018135933</v>
      </c>
      <c r="E517" s="85">
        <v>0</v>
      </c>
      <c r="T517" s="22"/>
      <c r="U517" s="22"/>
    </row>
    <row r="518" spans="2:21" x14ac:dyDescent="0.5">
      <c r="B518" s="85">
        <v>508</v>
      </c>
      <c r="C518" s="86">
        <v>30.912830720360631</v>
      </c>
      <c r="D518" s="87">
        <v>-801.47658870782016</v>
      </c>
      <c r="E518" s="85">
        <v>1</v>
      </c>
      <c r="T518" s="22"/>
      <c r="U518" s="22"/>
    </row>
    <row r="519" spans="2:21" x14ac:dyDescent="0.5">
      <c r="B519" s="85">
        <v>509</v>
      </c>
      <c r="C519" s="86">
        <v>62.310385355491924</v>
      </c>
      <c r="D519" s="87">
        <v>3141.7422161309819</v>
      </c>
      <c r="E519" s="85">
        <v>0</v>
      </c>
      <c r="T519" s="22"/>
      <c r="U519" s="22"/>
    </row>
    <row r="520" spans="2:21" x14ac:dyDescent="0.5">
      <c r="B520" s="85">
        <v>510</v>
      </c>
      <c r="C520" s="86">
        <v>72.575438092330728</v>
      </c>
      <c r="D520" s="87">
        <v>4398.8135302097162</v>
      </c>
      <c r="E520" s="85">
        <v>0</v>
      </c>
      <c r="T520" s="22"/>
      <c r="U520" s="22"/>
    </row>
    <row r="521" spans="2:21" x14ac:dyDescent="0.5">
      <c r="B521" s="85">
        <v>511</v>
      </c>
      <c r="C521" s="86">
        <v>99.047705249699533</v>
      </c>
      <c r="D521" s="87">
        <v>7640.6407779872043</v>
      </c>
      <c r="E521" s="85">
        <v>0</v>
      </c>
      <c r="T521" s="22"/>
      <c r="U521" s="22"/>
    </row>
    <row r="522" spans="2:21" x14ac:dyDescent="0.5">
      <c r="B522" s="85">
        <v>512</v>
      </c>
      <c r="C522" s="86">
        <v>62.758350172190234</v>
      </c>
      <c r="D522" s="87">
        <v>3196.6005529778122</v>
      </c>
      <c r="E522" s="85">
        <v>0</v>
      </c>
      <c r="T522" s="22"/>
      <c r="U522" s="22"/>
    </row>
    <row r="523" spans="2:21" x14ac:dyDescent="0.5">
      <c r="B523" s="85">
        <v>513</v>
      </c>
      <c r="C523" s="86">
        <v>84.534932761404121</v>
      </c>
      <c r="D523" s="87">
        <v>5863.3883419314825</v>
      </c>
      <c r="E523" s="85">
        <v>0</v>
      </c>
      <c r="T523" s="22"/>
      <c r="U523" s="22"/>
    </row>
    <row r="524" spans="2:21" x14ac:dyDescent="0.5">
      <c r="B524" s="85">
        <v>514</v>
      </c>
      <c r="C524" s="86">
        <v>57.150495062594885</v>
      </c>
      <c r="D524" s="87">
        <v>2509.1366536607138</v>
      </c>
      <c r="E524" s="85">
        <v>0</v>
      </c>
      <c r="T524" s="22"/>
      <c r="U524" s="22"/>
    </row>
    <row r="525" spans="2:21" x14ac:dyDescent="0.5">
      <c r="B525" s="85">
        <v>515</v>
      </c>
      <c r="C525" s="86">
        <v>57.88269599076628</v>
      </c>
      <c r="D525" s="87">
        <v>2599.5217881663639</v>
      </c>
      <c r="E525" s="85">
        <v>0</v>
      </c>
      <c r="T525" s="22"/>
      <c r="U525" s="22"/>
    </row>
    <row r="526" spans="2:21" x14ac:dyDescent="0.5">
      <c r="B526" s="85">
        <v>516</v>
      </c>
      <c r="C526" s="86">
        <v>25.912480644260079</v>
      </c>
      <c r="D526" s="87">
        <v>-1471.6728376101221</v>
      </c>
      <c r="E526" s="85">
        <v>1</v>
      </c>
      <c r="T526" s="22"/>
      <c r="U526" s="22"/>
    </row>
    <row r="527" spans="2:21" x14ac:dyDescent="0.5">
      <c r="B527" s="85">
        <v>517</v>
      </c>
      <c r="C527" s="86">
        <v>40.716875968903722</v>
      </c>
      <c r="D527" s="87">
        <v>456.56371273617555</v>
      </c>
      <c r="E527" s="85">
        <v>0</v>
      </c>
      <c r="T527" s="22"/>
      <c r="U527" s="22"/>
    </row>
    <row r="528" spans="2:21" x14ac:dyDescent="0.5">
      <c r="B528" s="85">
        <v>518</v>
      </c>
      <c r="C528" s="86">
        <v>35.265981337149924</v>
      </c>
      <c r="D528" s="87">
        <v>-237.52853990896227</v>
      </c>
      <c r="E528" s="85">
        <v>1</v>
      </c>
      <c r="T528" s="22"/>
      <c r="U528" s="22"/>
    </row>
    <row r="529" spans="2:21" x14ac:dyDescent="0.5">
      <c r="B529" s="85">
        <v>519</v>
      </c>
      <c r="C529" s="86">
        <v>50.500262988939411</v>
      </c>
      <c r="D529" s="87">
        <v>1683.0711342253494</v>
      </c>
      <c r="E529" s="85">
        <v>0</v>
      </c>
      <c r="T529" s="22"/>
      <c r="U529" s="22"/>
    </row>
    <row r="530" spans="2:21" x14ac:dyDescent="0.5">
      <c r="B530" s="85">
        <v>520</v>
      </c>
      <c r="C530" s="86">
        <v>92.352653872967096</v>
      </c>
      <c r="D530" s="87">
        <v>6820.7563363057598</v>
      </c>
      <c r="E530" s="85">
        <v>0</v>
      </c>
      <c r="T530" s="22"/>
      <c r="U530" s="22"/>
    </row>
    <row r="531" spans="2:21" x14ac:dyDescent="0.5">
      <c r="B531" s="85">
        <v>521</v>
      </c>
      <c r="C531" s="86">
        <v>43.30500827637578</v>
      </c>
      <c r="D531" s="87">
        <v>783.20753802066235</v>
      </c>
      <c r="E531" s="85">
        <v>0</v>
      </c>
      <c r="T531" s="22"/>
      <c r="U531" s="22"/>
    </row>
    <row r="532" spans="2:21" x14ac:dyDescent="0.5">
      <c r="B532" s="85">
        <v>522</v>
      </c>
      <c r="C532" s="86">
        <v>63.611876595468033</v>
      </c>
      <c r="D532" s="87">
        <v>3301.1244760415689</v>
      </c>
      <c r="E532" s="85">
        <v>0</v>
      </c>
      <c r="T532" s="22"/>
      <c r="U532" s="22"/>
    </row>
    <row r="533" spans="2:21" x14ac:dyDescent="0.5">
      <c r="B533" s="85">
        <v>523</v>
      </c>
      <c r="C533" s="86">
        <v>72.068797644901551</v>
      </c>
      <c r="D533" s="87">
        <v>4336.76970156677</v>
      </c>
      <c r="E533" s="85">
        <v>0</v>
      </c>
      <c r="T533" s="22"/>
      <c r="U533" s="22"/>
    </row>
    <row r="534" spans="2:21" x14ac:dyDescent="0.5">
      <c r="B534" s="85">
        <v>524</v>
      </c>
      <c r="C534" s="86">
        <v>99.153679759100456</v>
      </c>
      <c r="D534" s="87">
        <v>7653.6185501630234</v>
      </c>
      <c r="E534" s="85">
        <v>0</v>
      </c>
      <c r="T534" s="22"/>
      <c r="U534" s="22"/>
    </row>
    <row r="535" spans="2:21" x14ac:dyDescent="0.5">
      <c r="B535" s="85">
        <v>525</v>
      </c>
      <c r="C535" s="86">
        <v>27.362522569107021</v>
      </c>
      <c r="D535" s="87">
        <v>-1273.6639427743473</v>
      </c>
      <c r="E535" s="85">
        <v>1</v>
      </c>
      <c r="T535" s="22"/>
      <c r="U535" s="22"/>
    </row>
    <row r="536" spans="2:21" x14ac:dyDescent="0.5">
      <c r="B536" s="85">
        <v>526</v>
      </c>
      <c r="C536" s="86">
        <v>82.686186027496746</v>
      </c>
      <c r="D536" s="87">
        <v>5636.9884835214625</v>
      </c>
      <c r="E536" s="85">
        <v>0</v>
      </c>
      <c r="T536" s="22"/>
      <c r="U536" s="22"/>
    </row>
    <row r="537" spans="2:21" x14ac:dyDescent="0.5">
      <c r="B537" s="85">
        <v>527</v>
      </c>
      <c r="C537" s="86">
        <v>78.153508240109858</v>
      </c>
      <c r="D537" s="87">
        <v>5081.9110408077431</v>
      </c>
      <c r="E537" s="85">
        <v>0</v>
      </c>
      <c r="T537" s="22"/>
      <c r="U537" s="22"/>
    </row>
    <row r="538" spans="2:21" x14ac:dyDescent="0.5">
      <c r="B538" s="85">
        <v>528</v>
      </c>
      <c r="C538" s="86">
        <v>54.958959474437961</v>
      </c>
      <c r="D538" s="87">
        <v>2237.4737509240763</v>
      </c>
      <c r="E538" s="85">
        <v>0</v>
      </c>
      <c r="T538" s="22"/>
      <c r="U538" s="22"/>
    </row>
    <row r="539" spans="2:21" x14ac:dyDescent="0.5">
      <c r="B539" s="85">
        <v>529</v>
      </c>
      <c r="C539" s="86">
        <v>47.61128069123167</v>
      </c>
      <c r="D539" s="87">
        <v>1323.0232330850795</v>
      </c>
      <c r="E539" s="85">
        <v>0</v>
      </c>
      <c r="T539" s="22"/>
      <c r="U539" s="22"/>
    </row>
    <row r="540" spans="2:21" x14ac:dyDescent="0.5">
      <c r="B540" s="85">
        <v>530</v>
      </c>
      <c r="C540" s="86">
        <v>61.345648468388859</v>
      </c>
      <c r="D540" s="87">
        <v>3023.5993193040968</v>
      </c>
      <c r="E540" s="85">
        <v>0</v>
      </c>
      <c r="T540" s="22"/>
      <c r="U540" s="22"/>
    </row>
    <row r="541" spans="2:21" x14ac:dyDescent="0.5">
      <c r="B541" s="85">
        <v>531</v>
      </c>
      <c r="C541" s="86">
        <v>85.036465209992599</v>
      </c>
      <c r="D541" s="87">
        <v>5924.8066385893917</v>
      </c>
      <c r="E541" s="85">
        <v>0</v>
      </c>
      <c r="T541" s="22"/>
      <c r="U541" s="22"/>
    </row>
    <row r="542" spans="2:21" x14ac:dyDescent="0.5">
      <c r="B542" s="85">
        <v>532</v>
      </c>
      <c r="C542" s="86">
        <v>70.715102573745384</v>
      </c>
      <c r="D542" s="87">
        <v>4170.9944946013702</v>
      </c>
      <c r="E542" s="85">
        <v>0</v>
      </c>
      <c r="T542" s="22"/>
      <c r="U542" s="22"/>
    </row>
    <row r="543" spans="2:21" x14ac:dyDescent="0.5">
      <c r="B543" s="85">
        <v>533</v>
      </c>
      <c r="C543" s="86">
        <v>82.314684157978107</v>
      </c>
      <c r="D543" s="87">
        <v>5591.4938956931373</v>
      </c>
      <c r="E543" s="85">
        <v>0</v>
      </c>
      <c r="T543" s="22"/>
      <c r="U543" s="22"/>
    </row>
    <row r="544" spans="2:21" x14ac:dyDescent="0.5">
      <c r="B544" s="85">
        <v>534</v>
      </c>
      <c r="C544" s="86">
        <v>60.61846850128579</v>
      </c>
      <c r="D544" s="87">
        <v>2934.547942730313</v>
      </c>
      <c r="E544" s="85">
        <v>0</v>
      </c>
      <c r="T544" s="22"/>
      <c r="U544" s="22"/>
    </row>
    <row r="545" spans="2:21" x14ac:dyDescent="0.5">
      <c r="B545" s="85">
        <v>535</v>
      </c>
      <c r="C545" s="86">
        <v>44.60966726032899</v>
      </c>
      <c r="D545" s="87">
        <v>946.82132988064791</v>
      </c>
      <c r="E545" s="85">
        <v>0</v>
      </c>
      <c r="T545" s="22"/>
      <c r="U545" s="22"/>
    </row>
    <row r="546" spans="2:21" x14ac:dyDescent="0.5">
      <c r="B546" s="85">
        <v>536</v>
      </c>
      <c r="C546" s="86">
        <v>75.002040491963356</v>
      </c>
      <c r="D546" s="87">
        <v>4695.9783227787411</v>
      </c>
      <c r="E546" s="85">
        <v>0</v>
      </c>
      <c r="T546" s="22"/>
      <c r="U546" s="22"/>
    </row>
    <row r="547" spans="2:21" x14ac:dyDescent="0.5">
      <c r="B547" s="85">
        <v>537</v>
      </c>
      <c r="C547" s="86">
        <v>21.649022690499685</v>
      </c>
      <c r="D547" s="87">
        <v>-2184.8801294645073</v>
      </c>
      <c r="E547" s="85">
        <v>1</v>
      </c>
      <c r="T547" s="22"/>
      <c r="U547" s="22"/>
    </row>
    <row r="548" spans="2:21" x14ac:dyDescent="0.5">
      <c r="B548" s="85">
        <v>538</v>
      </c>
      <c r="C548" s="86">
        <v>70.305098213983555</v>
      </c>
      <c r="D548" s="87">
        <v>4120.7848432223618</v>
      </c>
      <c r="E548" s="85">
        <v>0</v>
      </c>
      <c r="T548" s="22"/>
      <c r="U548" s="22"/>
    </row>
    <row r="549" spans="2:21" x14ac:dyDescent="0.5">
      <c r="B549" s="85">
        <v>539</v>
      </c>
      <c r="C549" s="86">
        <v>75.804522609268432</v>
      </c>
      <c r="D549" s="87">
        <v>4794.2512957080571</v>
      </c>
      <c r="E549" s="85">
        <v>0</v>
      </c>
      <c r="T549" s="22"/>
      <c r="U549" s="22"/>
    </row>
    <row r="550" spans="2:21" x14ac:dyDescent="0.5">
      <c r="B550" s="85">
        <v>540</v>
      </c>
      <c r="C550" s="86">
        <v>36.996674688657087</v>
      </c>
      <c r="D550" s="87">
        <v>-15.23031894600873</v>
      </c>
      <c r="E550" s="85">
        <v>1</v>
      </c>
      <c r="T550" s="22"/>
      <c r="U550" s="22"/>
    </row>
    <row r="551" spans="2:21" x14ac:dyDescent="0.5">
      <c r="B551" s="85">
        <v>541</v>
      </c>
      <c r="C551" s="86">
        <v>56.132428520915809</v>
      </c>
      <c r="D551" s="87">
        <v>2382.9370549016608</v>
      </c>
      <c r="E551" s="85">
        <v>0</v>
      </c>
      <c r="T551" s="22"/>
      <c r="U551" s="22"/>
    </row>
    <row r="552" spans="2:21" x14ac:dyDescent="0.5">
      <c r="B552" s="85">
        <v>542</v>
      </c>
      <c r="C552" s="86">
        <v>64.538160036274789</v>
      </c>
      <c r="D552" s="87">
        <v>3414.5583153014049</v>
      </c>
      <c r="E552" s="85">
        <v>0</v>
      </c>
      <c r="T552" s="22"/>
      <c r="U552" s="22"/>
    </row>
    <row r="553" spans="2:21" x14ac:dyDescent="0.5">
      <c r="B553" s="85">
        <v>543</v>
      </c>
      <c r="C553" s="86">
        <v>85.820600722973396</v>
      </c>
      <c r="D553" s="87">
        <v>6020.8328631971908</v>
      </c>
      <c r="E553" s="85">
        <v>0</v>
      </c>
      <c r="T553" s="22"/>
      <c r="U553" s="22"/>
    </row>
    <row r="554" spans="2:21" x14ac:dyDescent="0.5">
      <c r="B554" s="85">
        <v>544</v>
      </c>
      <c r="C554" s="86">
        <v>85.963186530092656</v>
      </c>
      <c r="D554" s="87">
        <v>6038.2941011001512</v>
      </c>
      <c r="E554" s="85">
        <v>0</v>
      </c>
      <c r="T554" s="22"/>
      <c r="U554" s="22"/>
    </row>
    <row r="555" spans="2:21" x14ac:dyDescent="0.5">
      <c r="B555" s="85">
        <v>545</v>
      </c>
      <c r="C555" s="86">
        <v>96.895991109052119</v>
      </c>
      <c r="D555" s="87">
        <v>7377.1391485607564</v>
      </c>
      <c r="E555" s="85">
        <v>0</v>
      </c>
      <c r="T555" s="22"/>
      <c r="U555" s="22"/>
    </row>
    <row r="556" spans="2:21" x14ac:dyDescent="0.5">
      <c r="B556" s="85">
        <v>546</v>
      </c>
      <c r="C556" s="86">
        <v>25.73764998077861</v>
      </c>
      <c r="D556" s="87">
        <v>-1495.5869952019382</v>
      </c>
      <c r="E556" s="85">
        <v>1</v>
      </c>
      <c r="T556" s="22"/>
      <c r="U556" s="22"/>
    </row>
    <row r="557" spans="2:21" x14ac:dyDescent="0.5">
      <c r="B557" s="85">
        <v>547</v>
      </c>
      <c r="C557" s="86">
        <v>85.788683608276386</v>
      </c>
      <c r="D557" s="87">
        <v>6016.9242530475522</v>
      </c>
      <c r="E557" s="85">
        <v>0</v>
      </c>
      <c r="T557" s="22"/>
      <c r="U557" s="22"/>
    </row>
    <row r="558" spans="2:21" x14ac:dyDescent="0.5">
      <c r="B558" s="85">
        <v>548</v>
      </c>
      <c r="C558" s="86">
        <v>38.94421886964561</v>
      </c>
      <c r="D558" s="87">
        <v>232.83964185011916</v>
      </c>
      <c r="E558" s="85">
        <v>0</v>
      </c>
      <c r="T558" s="22"/>
      <c r="U558" s="22"/>
    </row>
    <row r="559" spans="2:21" x14ac:dyDescent="0.5">
      <c r="B559" s="85">
        <v>549</v>
      </c>
      <c r="C559" s="86">
        <v>98.567331292000461</v>
      </c>
      <c r="D559" s="87">
        <v>7581.813576828572</v>
      </c>
      <c r="E559" s="85">
        <v>0</v>
      </c>
      <c r="T559" s="22"/>
      <c r="U559" s="22"/>
    </row>
    <row r="560" spans="2:21" x14ac:dyDescent="0.5">
      <c r="B560" s="85">
        <v>550</v>
      </c>
      <c r="C560" s="86">
        <v>41.595747746757411</v>
      </c>
      <c r="D560" s="87">
        <v>567.48464155573379</v>
      </c>
      <c r="E560" s="85">
        <v>0</v>
      </c>
      <c r="T560" s="22"/>
      <c r="U560" s="22"/>
    </row>
    <row r="561" spans="2:21" x14ac:dyDescent="0.5">
      <c r="B561" s="85">
        <v>551</v>
      </c>
      <c r="C561" s="86">
        <v>60.193244279368159</v>
      </c>
      <c r="D561" s="87">
        <v>2882.4744478221196</v>
      </c>
      <c r="E561" s="85">
        <v>0</v>
      </c>
      <c r="T561" s="22"/>
      <c r="U561" s="22"/>
    </row>
    <row r="562" spans="2:21" x14ac:dyDescent="0.5">
      <c r="B562" s="85">
        <v>552</v>
      </c>
      <c r="C562" s="86">
        <v>40.901008720449205</v>
      </c>
      <c r="D562" s="87">
        <v>479.80279759722811</v>
      </c>
      <c r="E562" s="85">
        <v>0</v>
      </c>
      <c r="T562" s="22"/>
      <c r="U562" s="22"/>
    </row>
    <row r="563" spans="2:21" x14ac:dyDescent="0.5">
      <c r="B563" s="85">
        <v>553</v>
      </c>
      <c r="C563" s="86">
        <v>42.1697340320381</v>
      </c>
      <c r="D563" s="87">
        <v>639.92648517540806</v>
      </c>
      <c r="E563" s="85">
        <v>0</v>
      </c>
      <c r="T563" s="22"/>
      <c r="U563" s="22"/>
    </row>
    <row r="564" spans="2:21" x14ac:dyDescent="0.5">
      <c r="B564" s="85">
        <v>554</v>
      </c>
      <c r="C564" s="86">
        <v>47.627348958634471</v>
      </c>
      <c r="D564" s="87">
        <v>1325.0371209215009</v>
      </c>
      <c r="E564" s="85">
        <v>0</v>
      </c>
      <c r="T564" s="22"/>
      <c r="U564" s="22"/>
    </row>
    <row r="565" spans="2:21" x14ac:dyDescent="0.5">
      <c r="B565" s="85">
        <v>555</v>
      </c>
      <c r="C565" s="86">
        <v>59.907730580516834</v>
      </c>
      <c r="D565" s="87">
        <v>2847.5100799027559</v>
      </c>
      <c r="E565" s="85">
        <v>0</v>
      </c>
      <c r="T565" s="22"/>
      <c r="U565" s="22"/>
    </row>
    <row r="566" spans="2:21" x14ac:dyDescent="0.5">
      <c r="B566" s="85">
        <v>556</v>
      </c>
      <c r="C566" s="86">
        <v>99.224532963164279</v>
      </c>
      <c r="D566" s="87">
        <v>7662.2953229592877</v>
      </c>
      <c r="E566" s="85">
        <v>0</v>
      </c>
      <c r="T566" s="22"/>
      <c r="U566" s="22"/>
    </row>
    <row r="567" spans="2:21" x14ac:dyDescent="0.5">
      <c r="B567" s="85">
        <v>557</v>
      </c>
      <c r="C567" s="86">
        <v>61.123504134982227</v>
      </c>
      <c r="D567" s="87">
        <v>2996.3952438580495</v>
      </c>
      <c r="E567" s="85">
        <v>0</v>
      </c>
      <c r="T567" s="22"/>
      <c r="U567" s="22"/>
    </row>
    <row r="568" spans="2:21" x14ac:dyDescent="0.5">
      <c r="B568" s="85">
        <v>558</v>
      </c>
      <c r="C568" s="86">
        <v>88.975563242590056</v>
      </c>
      <c r="D568" s="87">
        <v>6407.1935553513194</v>
      </c>
      <c r="E568" s="85">
        <v>0</v>
      </c>
      <c r="T568" s="22"/>
      <c r="U568" s="22"/>
    </row>
    <row r="569" spans="2:21" x14ac:dyDescent="0.5">
      <c r="B569" s="85">
        <v>559</v>
      </c>
      <c r="C569" s="86">
        <v>65.168030309360717</v>
      </c>
      <c r="D569" s="87">
        <v>3491.6930239274716</v>
      </c>
      <c r="E569" s="85">
        <v>0</v>
      </c>
      <c r="T569" s="22"/>
      <c r="U569" s="22"/>
    </row>
    <row r="570" spans="2:21" x14ac:dyDescent="0.5">
      <c r="B570" s="85">
        <v>560</v>
      </c>
      <c r="C570" s="86">
        <v>33.166067316066929</v>
      </c>
      <c r="D570" s="87">
        <v>-509.45717624760829</v>
      </c>
      <c r="E570" s="85">
        <v>1</v>
      </c>
      <c r="T570" s="22"/>
      <c r="U570" s="22"/>
    </row>
    <row r="571" spans="2:21" x14ac:dyDescent="0.5">
      <c r="B571" s="85">
        <v>561</v>
      </c>
      <c r="C571" s="86">
        <v>40.821465339067977</v>
      </c>
      <c r="D571" s="87">
        <v>469.76376122516371</v>
      </c>
      <c r="E571" s="85">
        <v>0</v>
      </c>
      <c r="T571" s="22"/>
      <c r="U571" s="22"/>
    </row>
    <row r="572" spans="2:21" x14ac:dyDescent="0.5">
      <c r="B572" s="85">
        <v>562</v>
      </c>
      <c r="C572" s="86">
        <v>40.245239112334971</v>
      </c>
      <c r="D572" s="87">
        <v>397.03921836237686</v>
      </c>
      <c r="E572" s="85">
        <v>0</v>
      </c>
      <c r="T572" s="22"/>
      <c r="U572" s="22"/>
    </row>
    <row r="573" spans="2:21" x14ac:dyDescent="0.5">
      <c r="B573" s="85">
        <v>563</v>
      </c>
      <c r="C573" s="86">
        <v>48.378581760832056</v>
      </c>
      <c r="D573" s="87">
        <v>1418.7360043491419</v>
      </c>
      <c r="E573" s="85">
        <v>0</v>
      </c>
      <c r="T573" s="22"/>
      <c r="U573" s="22"/>
    </row>
    <row r="574" spans="2:21" x14ac:dyDescent="0.5">
      <c r="B574" s="85">
        <v>564</v>
      </c>
      <c r="C574" s="86">
        <v>76.169481438209402</v>
      </c>
      <c r="D574" s="87">
        <v>4838.9446145290131</v>
      </c>
      <c r="E574" s="85">
        <v>0</v>
      </c>
      <c r="T574" s="22"/>
      <c r="U574" s="22"/>
    </row>
    <row r="575" spans="2:21" x14ac:dyDescent="0.5">
      <c r="B575" s="85">
        <v>565</v>
      </c>
      <c r="C575" s="86">
        <v>69.165318176193836</v>
      </c>
      <c r="D575" s="87">
        <v>3981.2059412335666</v>
      </c>
      <c r="E575" s="85">
        <v>0</v>
      </c>
      <c r="T575" s="22"/>
      <c r="U575" s="22"/>
    </row>
    <row r="576" spans="2:21" x14ac:dyDescent="0.5">
      <c r="B576" s="85">
        <v>566</v>
      </c>
      <c r="C576" s="86">
        <v>76.957868385525501</v>
      </c>
      <c r="D576" s="87">
        <v>4935.4914751514152</v>
      </c>
      <c r="E576" s="85">
        <v>0</v>
      </c>
      <c r="T576" s="22"/>
      <c r="U576" s="22"/>
    </row>
    <row r="577" spans="2:21" x14ac:dyDescent="0.5">
      <c r="B577" s="85">
        <v>567</v>
      </c>
      <c r="C577" s="86">
        <v>73.865445766782628</v>
      </c>
      <c r="D577" s="87">
        <v>4556.7894981923509</v>
      </c>
      <c r="E577" s="85">
        <v>0</v>
      </c>
      <c r="T577" s="22"/>
      <c r="U577" s="22"/>
    </row>
    <row r="578" spans="2:21" x14ac:dyDescent="0.5">
      <c r="B578" s="85">
        <v>568</v>
      </c>
      <c r="C578" s="86">
        <v>38.42171608712782</v>
      </c>
      <c r="D578" s="87">
        <v>166.89544451883847</v>
      </c>
      <c r="E578" s="85">
        <v>0</v>
      </c>
      <c r="T578" s="22"/>
      <c r="U578" s="22"/>
    </row>
    <row r="579" spans="2:21" x14ac:dyDescent="0.5">
      <c r="B579" s="85">
        <v>569</v>
      </c>
      <c r="C579" s="86">
        <v>56.951279835429752</v>
      </c>
      <c r="D579" s="87">
        <v>2484.4419203543143</v>
      </c>
      <c r="E579" s="85">
        <v>0</v>
      </c>
      <c r="T579" s="22"/>
      <c r="U579" s="22"/>
    </row>
    <row r="580" spans="2:21" x14ac:dyDescent="0.5">
      <c r="B580" s="85">
        <v>570</v>
      </c>
      <c r="C580" s="86">
        <v>39.113702456719828</v>
      </c>
      <c r="D580" s="87">
        <v>254.22988030316486</v>
      </c>
      <c r="E580" s="85">
        <v>0</v>
      </c>
      <c r="T580" s="22"/>
      <c r="U580" s="22"/>
    </row>
    <row r="581" spans="2:21" x14ac:dyDescent="0.5">
      <c r="B581" s="85">
        <v>571</v>
      </c>
      <c r="C581" s="86">
        <v>44.060716010647056</v>
      </c>
      <c r="D581" s="87">
        <v>878.01949724935889</v>
      </c>
      <c r="E581" s="85">
        <v>0</v>
      </c>
      <c r="T581" s="22"/>
      <c r="U581" s="22"/>
    </row>
    <row r="582" spans="2:21" x14ac:dyDescent="0.5">
      <c r="B582" s="85">
        <v>572</v>
      </c>
      <c r="C582" s="86">
        <v>64.219159892997595</v>
      </c>
      <c r="D582" s="87">
        <v>3375.4931551330947</v>
      </c>
      <c r="E582" s="85">
        <v>0</v>
      </c>
      <c r="T582" s="22"/>
      <c r="U582" s="22"/>
    </row>
    <row r="583" spans="2:21" x14ac:dyDescent="0.5">
      <c r="B583" s="85">
        <v>573</v>
      </c>
      <c r="C583" s="86">
        <v>56.68187096316526</v>
      </c>
      <c r="D583" s="87">
        <v>2451.0459779576286</v>
      </c>
      <c r="E583" s="85">
        <v>0</v>
      </c>
      <c r="T583" s="22"/>
      <c r="U583" s="22"/>
    </row>
    <row r="584" spans="2:21" x14ac:dyDescent="0.5">
      <c r="B584" s="85">
        <v>574</v>
      </c>
      <c r="C584" s="86">
        <v>55.336386205898876</v>
      </c>
      <c r="D584" s="87">
        <v>2284.2595946006127</v>
      </c>
      <c r="E584" s="85">
        <v>0</v>
      </c>
      <c r="T584" s="22"/>
      <c r="U584" s="22"/>
    </row>
    <row r="585" spans="2:21" x14ac:dyDescent="0.5">
      <c r="B585" s="85">
        <v>575</v>
      </c>
      <c r="C585" s="86">
        <v>88.674499052651655</v>
      </c>
      <c r="D585" s="87">
        <v>6370.3248546665445</v>
      </c>
      <c r="E585" s="85">
        <v>0</v>
      </c>
      <c r="T585" s="22"/>
      <c r="U585" s="22"/>
    </row>
    <row r="586" spans="2:21" x14ac:dyDescent="0.5">
      <c r="B586" s="85">
        <v>576</v>
      </c>
      <c r="C586" s="86">
        <v>91.787232680543482</v>
      </c>
      <c r="D586" s="87">
        <v>6751.5141434413126</v>
      </c>
      <c r="E586" s="85">
        <v>0</v>
      </c>
      <c r="T586" s="22"/>
      <c r="U586" s="22"/>
    </row>
    <row r="587" spans="2:21" x14ac:dyDescent="0.5">
      <c r="B587" s="85">
        <v>577</v>
      </c>
      <c r="C587" s="86">
        <v>73.872460871778216</v>
      </c>
      <c r="D587" s="87">
        <v>4557.6485768041493</v>
      </c>
      <c r="E587" s="85">
        <v>0</v>
      </c>
      <c r="T587" s="22"/>
      <c r="U587" s="22"/>
    </row>
    <row r="588" spans="2:21" x14ac:dyDescent="0.5">
      <c r="B588" s="85">
        <v>578</v>
      </c>
      <c r="C588" s="86">
        <v>87.648787527665235</v>
      </c>
      <c r="D588" s="87">
        <v>6244.7149267259847</v>
      </c>
      <c r="E588" s="85">
        <v>0</v>
      </c>
      <c r="T588" s="22"/>
      <c r="U588" s="22"/>
    </row>
    <row r="589" spans="2:21" x14ac:dyDescent="0.5">
      <c r="B589" s="85">
        <v>579</v>
      </c>
      <c r="C589" s="86">
        <v>44.266005534221875</v>
      </c>
      <c r="D589" s="87">
        <v>903.74909609832014</v>
      </c>
      <c r="E589" s="85">
        <v>0</v>
      </c>
      <c r="T589" s="22"/>
      <c r="U589" s="22"/>
    </row>
    <row r="590" spans="2:21" x14ac:dyDescent="0.5">
      <c r="B590" s="85">
        <v>580</v>
      </c>
      <c r="C590" s="86">
        <v>26.59772156067887</v>
      </c>
      <c r="D590" s="87">
        <v>-1377.9423733009476</v>
      </c>
      <c r="E590" s="85">
        <v>1</v>
      </c>
      <c r="T590" s="22"/>
      <c r="U590" s="22"/>
    </row>
    <row r="591" spans="2:21" x14ac:dyDescent="0.5">
      <c r="B591" s="85">
        <v>581</v>
      </c>
      <c r="C591" s="86">
        <v>24.739102401055604</v>
      </c>
      <c r="D591" s="87">
        <v>-1634.3812849918243</v>
      </c>
      <c r="E591" s="85">
        <v>1</v>
      </c>
      <c r="T591" s="22"/>
      <c r="U591" s="22"/>
    </row>
    <row r="592" spans="2:21" x14ac:dyDescent="0.5">
      <c r="B592" s="85">
        <v>582</v>
      </c>
      <c r="C592" s="86">
        <v>43.591516572428446</v>
      </c>
      <c r="D592" s="87">
        <v>819.21321665938763</v>
      </c>
      <c r="E592" s="85">
        <v>0</v>
      </c>
      <c r="T592" s="22"/>
      <c r="U592" s="22"/>
    </row>
    <row r="593" spans="2:21" x14ac:dyDescent="0.5">
      <c r="B593" s="85">
        <v>583</v>
      </c>
      <c r="C593" s="86">
        <v>91.036253249708224</v>
      </c>
      <c r="D593" s="87">
        <v>6659.5482545006471</v>
      </c>
      <c r="E593" s="85">
        <v>0</v>
      </c>
      <c r="T593" s="22"/>
      <c r="U593" s="22"/>
    </row>
    <row r="594" spans="2:21" x14ac:dyDescent="0.5">
      <c r="B594" s="85">
        <v>584</v>
      </c>
      <c r="C594" s="86">
        <v>30.562202810623553</v>
      </c>
      <c r="D594" s="87">
        <v>-847.11483838681079</v>
      </c>
      <c r="E594" s="85">
        <v>1</v>
      </c>
      <c r="T594" s="22"/>
      <c r="U594" s="22"/>
    </row>
    <row r="595" spans="2:21" x14ac:dyDescent="0.5">
      <c r="B595" s="85">
        <v>585</v>
      </c>
      <c r="C595" s="86">
        <v>87.380603428328385</v>
      </c>
      <c r="D595" s="87">
        <v>6211.8727634355291</v>
      </c>
      <c r="E595" s="85">
        <v>0</v>
      </c>
      <c r="T595" s="22"/>
      <c r="U595" s="22"/>
    </row>
    <row r="596" spans="2:21" x14ac:dyDescent="0.5">
      <c r="B596" s="85">
        <v>586</v>
      </c>
      <c r="C596" s="86">
        <v>41.281678114632243</v>
      </c>
      <c r="D596" s="87">
        <v>527.84644155070453</v>
      </c>
      <c r="E596" s="85">
        <v>0</v>
      </c>
      <c r="T596" s="22"/>
      <c r="U596" s="22"/>
    </row>
    <row r="597" spans="2:21" x14ac:dyDescent="0.5">
      <c r="B597" s="85">
        <v>587</v>
      </c>
      <c r="C597" s="86">
        <v>38.888255864746554</v>
      </c>
      <c r="D597" s="87">
        <v>225.77664513164876</v>
      </c>
      <c r="E597" s="85">
        <v>0</v>
      </c>
      <c r="T597" s="22"/>
      <c r="U597" s="22"/>
    </row>
    <row r="598" spans="2:21" x14ac:dyDescent="0.5">
      <c r="B598" s="85">
        <v>588</v>
      </c>
      <c r="C598" s="86">
        <v>39.051410877188772</v>
      </c>
      <c r="D598" s="87">
        <v>246.36816482505964</v>
      </c>
      <c r="E598" s="85">
        <v>0</v>
      </c>
      <c r="T598" s="22"/>
      <c r="U598" s="22"/>
    </row>
    <row r="599" spans="2:21" x14ac:dyDescent="0.5">
      <c r="B599" s="85">
        <v>589</v>
      </c>
      <c r="C599" s="86">
        <v>97.504309043960774</v>
      </c>
      <c r="D599" s="87">
        <v>7451.6345306515832</v>
      </c>
      <c r="E599" s="85">
        <v>0</v>
      </c>
      <c r="T599" s="22"/>
      <c r="U599" s="22"/>
    </row>
    <row r="600" spans="2:21" x14ac:dyDescent="0.5">
      <c r="B600" s="85">
        <v>590</v>
      </c>
      <c r="C600" s="86">
        <v>51.50205807732965</v>
      </c>
      <c r="D600" s="87">
        <v>1807.882360007465</v>
      </c>
      <c r="E600" s="85">
        <v>0</v>
      </c>
      <c r="T600" s="22"/>
      <c r="U600" s="22"/>
    </row>
    <row r="601" spans="2:21" x14ac:dyDescent="0.5">
      <c r="B601" s="85">
        <v>591</v>
      </c>
      <c r="C601" s="86">
        <v>57.903578568722402</v>
      </c>
      <c r="D601" s="87">
        <v>2602.0790950195919</v>
      </c>
      <c r="E601" s="85">
        <v>0</v>
      </c>
      <c r="T601" s="22"/>
      <c r="U601" s="22"/>
    </row>
    <row r="602" spans="2:21" x14ac:dyDescent="0.5">
      <c r="B602" s="85">
        <v>592</v>
      </c>
      <c r="C602" s="86">
        <v>31.532672548930883</v>
      </c>
      <c r="D602" s="87">
        <v>-721.14510157403811</v>
      </c>
      <c r="E602" s="85">
        <v>1</v>
      </c>
      <c r="T602" s="22"/>
      <c r="U602" s="22"/>
    </row>
    <row r="603" spans="2:21" x14ac:dyDescent="0.5">
      <c r="B603" s="85">
        <v>593</v>
      </c>
      <c r="C603" s="86">
        <v>86.812469753475796</v>
      </c>
      <c r="D603" s="87">
        <v>6142.2983965492995</v>
      </c>
      <c r="E603" s="85">
        <v>0</v>
      </c>
      <c r="T603" s="22"/>
      <c r="U603" s="22"/>
    </row>
    <row r="604" spans="2:21" x14ac:dyDescent="0.5">
      <c r="B604" s="85">
        <v>594</v>
      </c>
      <c r="C604" s="86">
        <v>72.133071148143657</v>
      </c>
      <c r="D604" s="87">
        <v>4344.6407158959073</v>
      </c>
      <c r="E604" s="85">
        <v>0</v>
      </c>
      <c r="T604" s="22"/>
      <c r="U604" s="22"/>
    </row>
    <row r="605" spans="2:21" x14ac:dyDescent="0.5">
      <c r="B605" s="85">
        <v>595</v>
      </c>
      <c r="C605" s="86">
        <v>79.149382798146405</v>
      </c>
      <c r="D605" s="87">
        <v>5203.8670961172184</v>
      </c>
      <c r="E605" s="85">
        <v>0</v>
      </c>
      <c r="T605" s="22"/>
      <c r="U605" s="22"/>
    </row>
    <row r="606" spans="2:21" x14ac:dyDescent="0.5">
      <c r="B606" s="85">
        <v>596</v>
      </c>
      <c r="C606" s="86">
        <v>86.47495157444969</v>
      </c>
      <c r="D606" s="87">
        <v>6100.9654943508385</v>
      </c>
      <c r="E606" s="85">
        <v>0</v>
      </c>
      <c r="T606" s="22"/>
      <c r="U606" s="22"/>
    </row>
    <row r="607" spans="2:21" x14ac:dyDescent="0.5">
      <c r="B607" s="85">
        <v>597</v>
      </c>
      <c r="C607" s="86">
        <v>92.949673474090517</v>
      </c>
      <c r="D607" s="87">
        <v>6893.8681101811735</v>
      </c>
      <c r="E607" s="85">
        <v>0</v>
      </c>
      <c r="T607" s="22"/>
      <c r="U607" s="22"/>
    </row>
    <row r="608" spans="2:21" x14ac:dyDescent="0.5">
      <c r="B608" s="85">
        <v>598</v>
      </c>
      <c r="C608" s="86">
        <v>50.314502468962054</v>
      </c>
      <c r="D608" s="87">
        <v>1659.9276805700204</v>
      </c>
      <c r="E608" s="85">
        <v>0</v>
      </c>
      <c r="T608" s="22"/>
      <c r="U608" s="22"/>
    </row>
    <row r="609" spans="2:21" x14ac:dyDescent="0.5">
      <c r="B609" s="85">
        <v>599</v>
      </c>
      <c r="C609" s="86">
        <v>67.846011685635204</v>
      </c>
      <c r="D609" s="87">
        <v>3819.6420032513183</v>
      </c>
      <c r="E609" s="85">
        <v>0</v>
      </c>
      <c r="T609" s="22"/>
      <c r="U609" s="22"/>
    </row>
    <row r="610" spans="2:21" x14ac:dyDescent="0.5">
      <c r="B610" s="85">
        <v>600</v>
      </c>
      <c r="C610" s="86">
        <v>77.326681182407654</v>
      </c>
      <c r="D610" s="87">
        <v>4980.6567557506933</v>
      </c>
      <c r="E610" s="85">
        <v>0</v>
      </c>
      <c r="T610" s="22"/>
      <c r="U610" s="22"/>
    </row>
    <row r="611" spans="2:21" x14ac:dyDescent="0.5">
      <c r="B611" s="85">
        <v>601</v>
      </c>
      <c r="C611" s="86">
        <v>38.125253499034585</v>
      </c>
      <c r="D611" s="87">
        <v>129.47939992601061</v>
      </c>
      <c r="E611" s="85">
        <v>0</v>
      </c>
      <c r="T611" s="22"/>
      <c r="U611" s="22"/>
    </row>
    <row r="612" spans="2:21" x14ac:dyDescent="0.5">
      <c r="B612" s="85">
        <v>602</v>
      </c>
      <c r="C612" s="86">
        <v>74.633913201972419</v>
      </c>
      <c r="D612" s="87">
        <v>4650.8969902185672</v>
      </c>
      <c r="E612" s="85">
        <v>0</v>
      </c>
      <c r="T612" s="22"/>
      <c r="U612" s="22"/>
    </row>
    <row r="613" spans="2:21" x14ac:dyDescent="0.5">
      <c r="B613" s="85">
        <v>603</v>
      </c>
      <c r="C613" s="86">
        <v>79.428201870929442</v>
      </c>
      <c r="D613" s="87">
        <v>5238.0116316787116</v>
      </c>
      <c r="E613" s="85">
        <v>0</v>
      </c>
      <c r="T613" s="22"/>
      <c r="U613" s="22"/>
    </row>
    <row r="614" spans="2:21" x14ac:dyDescent="0.5">
      <c r="B614" s="85">
        <v>604</v>
      </c>
      <c r="C614" s="86">
        <v>53.45089746709958</v>
      </c>
      <c r="D614" s="87">
        <v>2050.5342804293587</v>
      </c>
      <c r="E614" s="85">
        <v>0</v>
      </c>
      <c r="T614" s="22"/>
      <c r="U614" s="22"/>
    </row>
    <row r="615" spans="2:21" x14ac:dyDescent="0.5">
      <c r="B615" s="85">
        <v>605</v>
      </c>
      <c r="C615" s="86">
        <v>71.059144963162652</v>
      </c>
      <c r="D615" s="87">
        <v>4213.1263598387959</v>
      </c>
      <c r="E615" s="85">
        <v>0</v>
      </c>
      <c r="T615" s="22"/>
      <c r="U615" s="22"/>
    </row>
    <row r="616" spans="2:21" x14ac:dyDescent="0.5">
      <c r="B616" s="85">
        <v>606</v>
      </c>
      <c r="C616" s="86">
        <v>35.403060120280941</v>
      </c>
      <c r="D616" s="87">
        <v>-219.92150998927406</v>
      </c>
      <c r="E616" s="85">
        <v>1</v>
      </c>
      <c r="T616" s="22"/>
      <c r="U616" s="22"/>
    </row>
    <row r="617" spans="2:21" x14ac:dyDescent="0.5">
      <c r="B617" s="85">
        <v>607</v>
      </c>
      <c r="C617" s="86">
        <v>71.015829953465428</v>
      </c>
      <c r="D617" s="87">
        <v>4207.8219490817028</v>
      </c>
      <c r="E617" s="85">
        <v>0</v>
      </c>
      <c r="T617" s="22"/>
      <c r="U617" s="22"/>
    </row>
    <row r="618" spans="2:21" x14ac:dyDescent="0.5">
      <c r="B618" s="85">
        <v>608</v>
      </c>
      <c r="C618" s="86">
        <v>29.199075396779392</v>
      </c>
      <c r="D618" s="87">
        <v>-1027.9557077365691</v>
      </c>
      <c r="E618" s="85">
        <v>1</v>
      </c>
      <c r="T618" s="22"/>
      <c r="U618" s="22"/>
    </row>
    <row r="619" spans="2:21" x14ac:dyDescent="0.5">
      <c r="B619" s="85">
        <v>609</v>
      </c>
      <c r="C619" s="86">
        <v>50.621821419453347</v>
      </c>
      <c r="D619" s="87">
        <v>1698.2158049194079</v>
      </c>
      <c r="E619" s="85">
        <v>0</v>
      </c>
      <c r="T619" s="22"/>
      <c r="U619" s="22"/>
    </row>
    <row r="620" spans="2:21" x14ac:dyDescent="0.5">
      <c r="B620" s="85">
        <v>610</v>
      </c>
      <c r="C620" s="86">
        <v>93.190504540742353</v>
      </c>
      <c r="D620" s="87">
        <v>6923.3605865656873</v>
      </c>
      <c r="E620" s="85">
        <v>0</v>
      </c>
      <c r="T620" s="22"/>
      <c r="U620" s="22"/>
    </row>
    <row r="621" spans="2:21" x14ac:dyDescent="0.5">
      <c r="B621" s="85">
        <v>611</v>
      </c>
      <c r="C621" s="86">
        <v>60.709323376639652</v>
      </c>
      <c r="D621" s="87">
        <v>2945.6741454376474</v>
      </c>
      <c r="E621" s="85">
        <v>0</v>
      </c>
      <c r="T621" s="22"/>
      <c r="U621" s="22"/>
    </row>
    <row r="622" spans="2:21" x14ac:dyDescent="0.5">
      <c r="B622" s="85">
        <v>612</v>
      </c>
      <c r="C622" s="86">
        <v>98.99271318931747</v>
      </c>
      <c r="D622" s="87">
        <v>7633.9063808651845</v>
      </c>
      <c r="E622" s="85">
        <v>0</v>
      </c>
      <c r="T622" s="22"/>
      <c r="U622" s="22"/>
    </row>
    <row r="623" spans="2:21" x14ac:dyDescent="0.5">
      <c r="B623" s="85">
        <v>613</v>
      </c>
      <c r="C623" s="86">
        <v>63.269312148176439</v>
      </c>
      <c r="D623" s="87">
        <v>3259.1736014622234</v>
      </c>
      <c r="E623" s="85">
        <v>0</v>
      </c>
      <c r="T623" s="22"/>
      <c r="U623" s="22"/>
    </row>
    <row r="624" spans="2:21" x14ac:dyDescent="0.5">
      <c r="B624" s="85">
        <v>614</v>
      </c>
      <c r="C624" s="86">
        <v>34.874675654319198</v>
      </c>
      <c r="D624" s="87">
        <v>-288.02157378498902</v>
      </c>
      <c r="E624" s="85">
        <v>1</v>
      </c>
      <c r="T624" s="22"/>
      <c r="U624" s="22"/>
    </row>
    <row r="625" spans="2:21" x14ac:dyDescent="0.5">
      <c r="B625" s="85">
        <v>615</v>
      </c>
      <c r="C625" s="86">
        <v>59.133193908787973</v>
      </c>
      <c r="D625" s="87">
        <v>2752.6593415097436</v>
      </c>
      <c r="E625" s="85">
        <v>0</v>
      </c>
      <c r="T625" s="22"/>
      <c r="U625" s="22"/>
    </row>
    <row r="626" spans="2:21" x14ac:dyDescent="0.5">
      <c r="B626" s="85">
        <v>616</v>
      </c>
      <c r="C626" s="86">
        <v>82.391873497456174</v>
      </c>
      <c r="D626" s="87">
        <v>5600.9465996293111</v>
      </c>
      <c r="E626" s="85">
        <v>0</v>
      </c>
      <c r="T626" s="22"/>
      <c r="U626" s="22"/>
    </row>
    <row r="627" spans="2:21" x14ac:dyDescent="0.5">
      <c r="B627" s="85">
        <v>617</v>
      </c>
      <c r="C627" s="86">
        <v>36.21683392065183</v>
      </c>
      <c r="D627" s="87">
        <v>-115.3966570272091</v>
      </c>
      <c r="E627" s="85">
        <v>1</v>
      </c>
      <c r="T627" s="22"/>
      <c r="U627" s="22"/>
    </row>
    <row r="628" spans="2:21" x14ac:dyDescent="0.5">
      <c r="B628" s="85">
        <v>618</v>
      </c>
      <c r="C628" s="86">
        <v>20.018144707695935</v>
      </c>
      <c r="D628" s="87">
        <v>-2490.4146644903353</v>
      </c>
      <c r="E628" s="85">
        <v>1</v>
      </c>
      <c r="T628" s="22"/>
      <c r="U628" s="22"/>
    </row>
    <row r="629" spans="2:21" x14ac:dyDescent="0.5">
      <c r="B629" s="85">
        <v>619</v>
      </c>
      <c r="C629" s="86">
        <v>53.632932971541791</v>
      </c>
      <c r="D629" s="87">
        <v>2073.0994141215251</v>
      </c>
      <c r="E629" s="85">
        <v>0</v>
      </c>
      <c r="T629" s="22"/>
      <c r="U629" s="22"/>
    </row>
    <row r="630" spans="2:21" x14ac:dyDescent="0.5">
      <c r="B630" s="85">
        <v>620</v>
      </c>
      <c r="C630" s="86">
        <v>26.31824319719729</v>
      </c>
      <c r="D630" s="87">
        <v>-1416.1707337882349</v>
      </c>
      <c r="E630" s="85">
        <v>1</v>
      </c>
      <c r="T630" s="22"/>
      <c r="U630" s="22"/>
    </row>
    <row r="631" spans="2:21" x14ac:dyDescent="0.5">
      <c r="B631" s="85">
        <v>621</v>
      </c>
      <c r="C631" s="86">
        <v>30.377387500540564</v>
      </c>
      <c r="D631" s="87">
        <v>-871.570212849673</v>
      </c>
      <c r="E631" s="85">
        <v>1</v>
      </c>
      <c r="T631" s="22"/>
      <c r="U631" s="22"/>
    </row>
    <row r="632" spans="2:21" x14ac:dyDescent="0.5">
      <c r="B632" s="85">
        <v>622</v>
      </c>
      <c r="C632" s="86">
        <v>47.890866558893606</v>
      </c>
      <c r="D632" s="87">
        <v>1357.9727475794132</v>
      </c>
      <c r="E632" s="85">
        <v>0</v>
      </c>
      <c r="T632" s="22"/>
      <c r="U632" s="22"/>
    </row>
    <row r="633" spans="2:21" x14ac:dyDescent="0.5">
      <c r="B633" s="85">
        <v>623</v>
      </c>
      <c r="C633" s="86">
        <v>67.455351635976513</v>
      </c>
      <c r="D633" s="87">
        <v>3771.8012805027515</v>
      </c>
      <c r="E633" s="85">
        <v>0</v>
      </c>
      <c r="T633" s="22"/>
      <c r="U633" s="22"/>
    </row>
    <row r="634" spans="2:21" x14ac:dyDescent="0.5">
      <c r="B634" s="85">
        <v>624</v>
      </c>
      <c r="C634" s="86">
        <v>52.144744331722009</v>
      </c>
      <c r="D634" s="87">
        <v>1887.9530851823315</v>
      </c>
      <c r="E634" s="85">
        <v>0</v>
      </c>
      <c r="T634" s="22"/>
      <c r="U634" s="22"/>
    </row>
    <row r="635" spans="2:21" x14ac:dyDescent="0.5">
      <c r="B635" s="85">
        <v>625</v>
      </c>
      <c r="C635" s="86">
        <v>53.324293500113342</v>
      </c>
      <c r="D635" s="87">
        <v>2034.8404439453343</v>
      </c>
      <c r="E635" s="85">
        <v>0</v>
      </c>
      <c r="T635" s="22"/>
      <c r="U635" s="22"/>
    </row>
    <row r="636" spans="2:21" x14ac:dyDescent="0.5">
      <c r="B636" s="85">
        <v>626</v>
      </c>
      <c r="C636" s="86">
        <v>30.559967538767225</v>
      </c>
      <c r="D636" s="87">
        <v>-847.41061696840245</v>
      </c>
      <c r="E636" s="85">
        <v>1</v>
      </c>
      <c r="T636" s="22"/>
      <c r="U636" s="22"/>
    </row>
    <row r="637" spans="2:21" x14ac:dyDescent="0.5">
      <c r="B637" s="85">
        <v>627</v>
      </c>
      <c r="C637" s="86">
        <v>51.251411965163229</v>
      </c>
      <c r="D637" s="87">
        <v>1776.6549674403063</v>
      </c>
      <c r="E637" s="85">
        <v>0</v>
      </c>
      <c r="T637" s="22"/>
      <c r="U637" s="22"/>
    </row>
    <row r="638" spans="2:21" x14ac:dyDescent="0.5">
      <c r="B638" s="85">
        <v>628</v>
      </c>
      <c r="C638" s="86">
        <v>73.78505707676085</v>
      </c>
      <c r="D638" s="87">
        <v>4546.9449977505683</v>
      </c>
      <c r="E638" s="85">
        <v>0</v>
      </c>
      <c r="T638" s="22"/>
      <c r="U638" s="22"/>
    </row>
    <row r="639" spans="2:21" x14ac:dyDescent="0.5">
      <c r="B639" s="85">
        <v>629</v>
      </c>
      <c r="C639" s="86">
        <v>56.272697365102331</v>
      </c>
      <c r="D639" s="87">
        <v>2400.3247905063895</v>
      </c>
      <c r="E639" s="85">
        <v>0</v>
      </c>
      <c r="T639" s="22"/>
      <c r="U639" s="22"/>
    </row>
    <row r="640" spans="2:21" x14ac:dyDescent="0.5">
      <c r="B640" s="85">
        <v>630</v>
      </c>
      <c r="C640" s="86">
        <v>85.248219402811458</v>
      </c>
      <c r="D640" s="87">
        <v>5950.7383243052582</v>
      </c>
      <c r="E640" s="85">
        <v>0</v>
      </c>
      <c r="T640" s="22"/>
      <c r="U640" s="22"/>
    </row>
    <row r="641" spans="2:21" x14ac:dyDescent="0.5">
      <c r="B641" s="85">
        <v>631</v>
      </c>
      <c r="C641" s="86">
        <v>64.848730822727504</v>
      </c>
      <c r="D641" s="87">
        <v>3452.591205793969</v>
      </c>
      <c r="E641" s="85">
        <v>0</v>
      </c>
      <c r="T641" s="22"/>
      <c r="U641" s="22"/>
    </row>
    <row r="642" spans="2:21" x14ac:dyDescent="0.5">
      <c r="B642" s="85">
        <v>632</v>
      </c>
      <c r="C642" s="86">
        <v>24.617763368585635</v>
      </c>
      <c r="D642" s="87">
        <v>-1651.3590034297133</v>
      </c>
      <c r="E642" s="85">
        <v>1</v>
      </c>
      <c r="T642" s="22"/>
      <c r="U642" s="22"/>
    </row>
    <row r="643" spans="2:21" x14ac:dyDescent="0.5">
      <c r="B643" s="85">
        <v>633</v>
      </c>
      <c r="C643" s="86">
        <v>74.056700344936928</v>
      </c>
      <c r="D643" s="87">
        <v>4580.2107752230268</v>
      </c>
      <c r="E643" s="85">
        <v>0</v>
      </c>
      <c r="T643" s="22"/>
      <c r="U643" s="22"/>
    </row>
    <row r="644" spans="2:21" x14ac:dyDescent="0.5">
      <c r="B644" s="85">
        <v>634</v>
      </c>
      <c r="C644" s="86">
        <v>44.730786483266591</v>
      </c>
      <c r="D644" s="87">
        <v>962.00159317326893</v>
      </c>
      <c r="E644" s="85">
        <v>0</v>
      </c>
      <c r="T644" s="22"/>
      <c r="U644" s="22"/>
    </row>
    <row r="645" spans="2:21" x14ac:dyDescent="0.5">
      <c r="B645" s="85">
        <v>635</v>
      </c>
      <c r="C645" s="86">
        <v>66.278225724944321</v>
      </c>
      <c r="D645" s="87">
        <v>3627.6489557409923</v>
      </c>
      <c r="E645" s="85">
        <v>0</v>
      </c>
      <c r="T645" s="22"/>
      <c r="U645" s="22"/>
    </row>
    <row r="646" spans="2:21" x14ac:dyDescent="0.5">
      <c r="B646" s="85">
        <v>636</v>
      </c>
      <c r="C646" s="86">
        <v>75.027150102170026</v>
      </c>
      <c r="D646" s="87">
        <v>4699.053277336473</v>
      </c>
      <c r="E646" s="85">
        <v>0</v>
      </c>
      <c r="T646" s="22"/>
      <c r="U646" s="22"/>
    </row>
    <row r="647" spans="2:21" x14ac:dyDescent="0.5">
      <c r="B647" s="85">
        <v>637</v>
      </c>
      <c r="C647" s="86">
        <v>93.096639828176137</v>
      </c>
      <c r="D647" s="87">
        <v>6911.8657953944958</v>
      </c>
      <c r="E647" s="85">
        <v>0</v>
      </c>
      <c r="T647" s="22"/>
      <c r="U647" s="22"/>
    </row>
    <row r="648" spans="2:21" x14ac:dyDescent="0.5">
      <c r="B648" s="85">
        <v>638</v>
      </c>
      <c r="C648" s="86">
        <v>30.404465054527805</v>
      </c>
      <c r="D648" s="87">
        <v>-867.98722114839597</v>
      </c>
      <c r="E648" s="85">
        <v>1</v>
      </c>
      <c r="T648" s="22"/>
      <c r="U648" s="22"/>
    </row>
    <row r="649" spans="2:21" x14ac:dyDescent="0.5">
      <c r="B649" s="85">
        <v>639</v>
      </c>
      <c r="C649" s="86">
        <v>92.628571583626055</v>
      </c>
      <c r="D649" s="87">
        <v>6854.545567399613</v>
      </c>
      <c r="E649" s="85">
        <v>0</v>
      </c>
      <c r="T649" s="22"/>
      <c r="U649" s="22"/>
    </row>
    <row r="650" spans="2:21" x14ac:dyDescent="0.5">
      <c r="B650" s="85">
        <v>640</v>
      </c>
      <c r="C650" s="86">
        <v>92.773091755576488</v>
      </c>
      <c r="D650" s="87">
        <v>6872.2436900612374</v>
      </c>
      <c r="E650" s="85">
        <v>0</v>
      </c>
      <c r="T650" s="22"/>
      <c r="U650" s="22"/>
    </row>
    <row r="651" spans="2:21" x14ac:dyDescent="0.5">
      <c r="B651" s="85">
        <v>641</v>
      </c>
      <c r="C651" s="86">
        <v>42.360412822212901</v>
      </c>
      <c r="D651" s="87">
        <v>663.99173456142194</v>
      </c>
      <c r="E651" s="85">
        <v>0</v>
      </c>
      <c r="T651" s="22"/>
      <c r="U651" s="22"/>
    </row>
    <row r="652" spans="2:21" x14ac:dyDescent="0.5">
      <c r="B652" s="85">
        <v>642</v>
      </c>
      <c r="C652" s="86">
        <v>84.800028287542617</v>
      </c>
      <c r="D652" s="87">
        <v>5895.8522746498593</v>
      </c>
      <c r="E652" s="85">
        <v>0</v>
      </c>
      <c r="T652" s="22"/>
      <c r="U652" s="22"/>
    </row>
    <row r="653" spans="2:21" x14ac:dyDescent="0.5">
      <c r="B653" s="85">
        <v>643</v>
      </c>
      <c r="C653" s="86">
        <v>48.831908454559148</v>
      </c>
      <c r="D653" s="87">
        <v>1475.2148800988223</v>
      </c>
      <c r="E653" s="85">
        <v>0</v>
      </c>
      <c r="T653" s="22"/>
      <c r="U653" s="22"/>
    </row>
    <row r="654" spans="2:21" x14ac:dyDescent="0.5">
      <c r="B654" s="85">
        <v>644</v>
      </c>
      <c r="C654" s="86">
        <v>22.717918175941243</v>
      </c>
      <c r="D654" s="87">
        <v>-1984.6294126241585</v>
      </c>
      <c r="E654" s="85">
        <v>1</v>
      </c>
      <c r="T654" s="22"/>
      <c r="U654" s="22"/>
    </row>
    <row r="655" spans="2:21" x14ac:dyDescent="0.5">
      <c r="B655" s="85">
        <v>645</v>
      </c>
      <c r="C655" s="86">
        <v>30.141661574078064</v>
      </c>
      <c r="D655" s="87">
        <v>-902.76224883228065</v>
      </c>
      <c r="E655" s="85">
        <v>1</v>
      </c>
      <c r="T655" s="22"/>
      <c r="U655" s="22"/>
    </row>
    <row r="656" spans="2:21" x14ac:dyDescent="0.5">
      <c r="B656" s="85">
        <v>646</v>
      </c>
      <c r="C656" s="86">
        <v>52.280384536724476</v>
      </c>
      <c r="D656" s="87">
        <v>1904.8521700829147</v>
      </c>
      <c r="E656" s="85">
        <v>0</v>
      </c>
      <c r="T656" s="22"/>
      <c r="U656" s="22"/>
    </row>
    <row r="657" spans="2:21" x14ac:dyDescent="0.5">
      <c r="B657" s="85">
        <v>647</v>
      </c>
      <c r="C657" s="86">
        <v>35.2962122877464</v>
      </c>
      <c r="D657" s="87">
        <v>-233.64553745230916</v>
      </c>
      <c r="E657" s="85">
        <v>1</v>
      </c>
      <c r="T657" s="22"/>
      <c r="U657" s="22"/>
    </row>
    <row r="658" spans="2:21" x14ac:dyDescent="0.5">
      <c r="B658" s="85">
        <v>648</v>
      </c>
      <c r="C658" s="86">
        <v>35.230833211826223</v>
      </c>
      <c r="D658" s="87">
        <v>-242.04312692279581</v>
      </c>
      <c r="E658" s="85">
        <v>1</v>
      </c>
      <c r="T658" s="22"/>
      <c r="U658" s="22"/>
    </row>
    <row r="659" spans="2:21" x14ac:dyDescent="0.5">
      <c r="B659" s="85">
        <v>649</v>
      </c>
      <c r="C659" s="86">
        <v>67.518368978041934</v>
      </c>
      <c r="D659" s="87">
        <v>3779.5184637487419</v>
      </c>
      <c r="E659" s="85">
        <v>0</v>
      </c>
      <c r="T659" s="22"/>
      <c r="U659" s="22"/>
    </row>
    <row r="660" spans="2:21" x14ac:dyDescent="0.5">
      <c r="B660" s="85">
        <v>650</v>
      </c>
      <c r="C660" s="86">
        <v>28.170268376491727</v>
      </c>
      <c r="D660" s="87">
        <v>-1165.5974642602494</v>
      </c>
      <c r="E660" s="85">
        <v>1</v>
      </c>
      <c r="T660" s="22"/>
      <c r="U660" s="22"/>
    </row>
    <row r="661" spans="2:21" x14ac:dyDescent="0.5">
      <c r="B661" s="85">
        <v>651</v>
      </c>
      <c r="C661" s="86">
        <v>60.82297657640774</v>
      </c>
      <c r="D661" s="87">
        <v>2959.5922597274052</v>
      </c>
      <c r="E661" s="85">
        <v>0</v>
      </c>
      <c r="T661" s="22"/>
      <c r="U661" s="22"/>
    </row>
    <row r="662" spans="2:21" x14ac:dyDescent="0.5">
      <c r="B662" s="85">
        <v>652</v>
      </c>
      <c r="C662" s="86">
        <v>53.501955067491139</v>
      </c>
      <c r="D662" s="87">
        <v>2056.8633840971679</v>
      </c>
      <c r="E662" s="85">
        <v>0</v>
      </c>
      <c r="T662" s="22"/>
      <c r="U662" s="22"/>
    </row>
    <row r="663" spans="2:21" x14ac:dyDescent="0.5">
      <c r="B663" s="85">
        <v>653</v>
      </c>
      <c r="C663" s="86">
        <v>27.601557445734699</v>
      </c>
      <c r="D663" s="87">
        <v>-1241.6840090835221</v>
      </c>
      <c r="E663" s="85">
        <v>1</v>
      </c>
      <c r="T663" s="22"/>
      <c r="U663" s="22"/>
    </row>
    <row r="664" spans="2:21" x14ac:dyDescent="0.5">
      <c r="B664" s="85">
        <v>654</v>
      </c>
      <c r="C664" s="86">
        <v>51.746268015646635</v>
      </c>
      <c r="D664" s="87">
        <v>1838.3078852498527</v>
      </c>
      <c r="E664" s="85">
        <v>0</v>
      </c>
      <c r="T664" s="22"/>
      <c r="U664" s="22"/>
    </row>
    <row r="665" spans="2:21" x14ac:dyDescent="0.5">
      <c r="B665" s="85">
        <v>655</v>
      </c>
      <c r="C665" s="86">
        <v>61.589718090579012</v>
      </c>
      <c r="D665" s="87">
        <v>3053.4883932873408</v>
      </c>
      <c r="E665" s="85">
        <v>0</v>
      </c>
      <c r="T665" s="22"/>
      <c r="U665" s="22"/>
    </row>
    <row r="666" spans="2:21" x14ac:dyDescent="0.5">
      <c r="B666" s="85">
        <v>656</v>
      </c>
      <c r="C666" s="86">
        <v>37.384683719688219</v>
      </c>
      <c r="D666" s="87">
        <v>34.607347120407368</v>
      </c>
      <c r="E666" s="85">
        <v>0</v>
      </c>
      <c r="T666" s="22"/>
      <c r="U666" s="22"/>
    </row>
    <row r="667" spans="2:21" x14ac:dyDescent="0.5">
      <c r="B667" s="85">
        <v>657</v>
      </c>
      <c r="C667" s="86">
        <v>38.661613665077425</v>
      </c>
      <c r="D667" s="87">
        <v>197.17251432385245</v>
      </c>
      <c r="E667" s="85">
        <v>0</v>
      </c>
      <c r="T667" s="22"/>
      <c r="U667" s="22"/>
    </row>
    <row r="668" spans="2:21" x14ac:dyDescent="0.5">
      <c r="B668" s="85">
        <v>658</v>
      </c>
      <c r="C668" s="86">
        <v>23.537878877083848</v>
      </c>
      <c r="D668" s="87">
        <v>-1831.015031778596</v>
      </c>
      <c r="E668" s="85">
        <v>1</v>
      </c>
      <c r="T668" s="22"/>
      <c r="U668" s="22"/>
    </row>
    <row r="669" spans="2:21" x14ac:dyDescent="0.5">
      <c r="B669" s="85">
        <v>659</v>
      </c>
      <c r="C669" s="86">
        <v>65.613172294180004</v>
      </c>
      <c r="D669" s="87">
        <v>3546.2056732195902</v>
      </c>
      <c r="E669" s="85">
        <v>0</v>
      </c>
      <c r="T669" s="22"/>
      <c r="U669" s="22"/>
    </row>
    <row r="670" spans="2:21" x14ac:dyDescent="0.5">
      <c r="B670" s="85">
        <v>660</v>
      </c>
      <c r="C670" s="86">
        <v>82.203028739629445</v>
      </c>
      <c r="D670" s="87">
        <v>5577.8204322374795</v>
      </c>
      <c r="E670" s="85">
        <v>0</v>
      </c>
      <c r="T670" s="22"/>
      <c r="U670" s="22"/>
    </row>
    <row r="671" spans="2:21" x14ac:dyDescent="0.5">
      <c r="B671" s="85">
        <v>661</v>
      </c>
      <c r="C671" s="86">
        <v>60.411792802308256</v>
      </c>
      <c r="D671" s="87">
        <v>2909.2381757800226</v>
      </c>
      <c r="E671" s="85">
        <v>0</v>
      </c>
      <c r="T671" s="22"/>
      <c r="U671" s="22"/>
    </row>
    <row r="672" spans="2:21" x14ac:dyDescent="0.5">
      <c r="B672" s="85">
        <v>662</v>
      </c>
      <c r="C672" s="86">
        <v>50.487320964320659</v>
      </c>
      <c r="D672" s="87">
        <v>1681.4587186969766</v>
      </c>
      <c r="E672" s="85">
        <v>0</v>
      </c>
      <c r="T672" s="22"/>
      <c r="U672" s="22"/>
    </row>
    <row r="673" spans="2:21" x14ac:dyDescent="0.5">
      <c r="B673" s="85">
        <v>663</v>
      </c>
      <c r="C673" s="86">
        <v>34.834278647555777</v>
      </c>
      <c r="D673" s="87">
        <v>-293.25702495895115</v>
      </c>
      <c r="E673" s="85">
        <v>1</v>
      </c>
      <c r="T673" s="22"/>
      <c r="U673" s="22"/>
    </row>
    <row r="674" spans="2:21" x14ac:dyDescent="0.5">
      <c r="B674" s="85">
        <v>664</v>
      </c>
      <c r="C674" s="86">
        <v>65.417345998491584</v>
      </c>
      <c r="D674" s="87">
        <v>3522.2245378895423</v>
      </c>
      <c r="E674" s="85">
        <v>0</v>
      </c>
      <c r="T674" s="22"/>
      <c r="U674" s="22"/>
    </row>
    <row r="675" spans="2:21" x14ac:dyDescent="0.5">
      <c r="B675" s="85">
        <v>665</v>
      </c>
      <c r="C675" s="86">
        <v>46.240168116526235</v>
      </c>
      <c r="D675" s="87">
        <v>1151.1772669119507</v>
      </c>
      <c r="E675" s="85">
        <v>0</v>
      </c>
      <c r="T675" s="22"/>
      <c r="U675" s="22"/>
    </row>
    <row r="676" spans="2:21" x14ac:dyDescent="0.5">
      <c r="B676" s="85">
        <v>666</v>
      </c>
      <c r="C676" s="86">
        <v>76.384405661225458</v>
      </c>
      <c r="D676" s="87">
        <v>4865.2645061438461</v>
      </c>
      <c r="E676" s="85">
        <v>0</v>
      </c>
      <c r="T676" s="22"/>
      <c r="U676" s="22"/>
    </row>
    <row r="677" spans="2:21" x14ac:dyDescent="0.5">
      <c r="B677" s="85">
        <v>667</v>
      </c>
      <c r="C677" s="86">
        <v>54.544278968061562</v>
      </c>
      <c r="D677" s="87">
        <v>2186.0699267382906</v>
      </c>
      <c r="E677" s="85">
        <v>0</v>
      </c>
      <c r="T677" s="22"/>
      <c r="U677" s="22"/>
    </row>
    <row r="678" spans="2:21" x14ac:dyDescent="0.5">
      <c r="B678" s="85">
        <v>668</v>
      </c>
      <c r="C678" s="86">
        <v>24.6966239934942</v>
      </c>
      <c r="D678" s="87">
        <v>-1640.3248501298258</v>
      </c>
      <c r="E678" s="85">
        <v>1</v>
      </c>
      <c r="T678" s="22"/>
      <c r="U678" s="22"/>
    </row>
    <row r="679" spans="2:21" x14ac:dyDescent="0.5">
      <c r="B679" s="85">
        <v>669</v>
      </c>
      <c r="C679" s="86">
        <v>50.917368379945515</v>
      </c>
      <c r="D679" s="87">
        <v>1735.0372855222715</v>
      </c>
      <c r="E679" s="85">
        <v>0</v>
      </c>
      <c r="T679" s="22"/>
      <c r="U679" s="22"/>
    </row>
    <row r="680" spans="2:21" x14ac:dyDescent="0.5">
      <c r="B680" s="85">
        <v>670</v>
      </c>
      <c r="C680" s="86">
        <v>96.233128284397779</v>
      </c>
      <c r="D680" s="87">
        <v>7295.9641304284305</v>
      </c>
      <c r="E680" s="85">
        <v>0</v>
      </c>
      <c r="T680" s="22"/>
      <c r="U680" s="22"/>
    </row>
    <row r="681" spans="2:21" x14ac:dyDescent="0.5">
      <c r="B681" s="85">
        <v>671</v>
      </c>
      <c r="C681" s="86">
        <v>29.214143276995415</v>
      </c>
      <c r="D681" s="87">
        <v>-1025.9398102367234</v>
      </c>
      <c r="E681" s="85">
        <v>1</v>
      </c>
      <c r="T681" s="22"/>
      <c r="U681" s="22"/>
    </row>
    <row r="682" spans="2:21" x14ac:dyDescent="0.5">
      <c r="B682" s="85">
        <v>672</v>
      </c>
      <c r="C682" s="86">
        <v>72.558547531328529</v>
      </c>
      <c r="D682" s="87">
        <v>4396.745090791148</v>
      </c>
      <c r="E682" s="85">
        <v>0</v>
      </c>
      <c r="T682" s="22"/>
      <c r="U682" s="22"/>
    </row>
    <row r="683" spans="2:21" x14ac:dyDescent="0.5">
      <c r="B683" s="85">
        <v>673</v>
      </c>
      <c r="C683" s="86">
        <v>81.675200254837094</v>
      </c>
      <c r="D683" s="87">
        <v>5513.181889796786</v>
      </c>
      <c r="E683" s="85">
        <v>0</v>
      </c>
      <c r="T683" s="22"/>
      <c r="U683" s="22"/>
    </row>
    <row r="684" spans="2:21" x14ac:dyDescent="0.5">
      <c r="B684" s="85">
        <v>674</v>
      </c>
      <c r="C684" s="86">
        <v>25.902434818838501</v>
      </c>
      <c r="D684" s="87">
        <v>-1473.046952696616</v>
      </c>
      <c r="E684" s="85">
        <v>1</v>
      </c>
      <c r="T684" s="22"/>
      <c r="U684" s="22"/>
    </row>
    <row r="685" spans="2:21" x14ac:dyDescent="0.5">
      <c r="B685" s="85">
        <v>675</v>
      </c>
      <c r="C685" s="86">
        <v>43.813003995786687</v>
      </c>
      <c r="D685" s="87">
        <v>846.97295058960174</v>
      </c>
      <c r="E685" s="85">
        <v>0</v>
      </c>
      <c r="T685" s="22"/>
      <c r="U685" s="22"/>
    </row>
    <row r="686" spans="2:21" x14ac:dyDescent="0.5">
      <c r="B686" s="85">
        <v>676</v>
      </c>
      <c r="C686" s="86">
        <v>86.544650262104611</v>
      </c>
      <c r="D686" s="87">
        <v>6109.5008836105053</v>
      </c>
      <c r="E686" s="85">
        <v>0</v>
      </c>
      <c r="T686" s="22"/>
      <c r="U686" s="22"/>
    </row>
    <row r="687" spans="2:21" x14ac:dyDescent="0.5">
      <c r="B687" s="85">
        <v>677</v>
      </c>
      <c r="C687" s="86">
        <v>55.169296370665954</v>
      </c>
      <c r="D687" s="87">
        <v>2263.547127094967</v>
      </c>
      <c r="E687" s="85">
        <v>0</v>
      </c>
      <c r="T687" s="22"/>
      <c r="U687" s="22"/>
    </row>
    <row r="688" spans="2:21" x14ac:dyDescent="0.5">
      <c r="B688" s="85">
        <v>678</v>
      </c>
      <c r="C688" s="86">
        <v>82.128973693388232</v>
      </c>
      <c r="D688" s="87">
        <v>5568.7515578070052</v>
      </c>
      <c r="E688" s="85">
        <v>0</v>
      </c>
      <c r="T688" s="22"/>
      <c r="U688" s="22"/>
    </row>
    <row r="689" spans="2:21" x14ac:dyDescent="0.5">
      <c r="B689" s="85">
        <v>679</v>
      </c>
      <c r="C689" s="86">
        <v>68.2033207666843</v>
      </c>
      <c r="D689" s="87">
        <v>3863.3985242903882</v>
      </c>
      <c r="E689" s="85">
        <v>0</v>
      </c>
      <c r="T689" s="22"/>
      <c r="U689" s="22"/>
    </row>
    <row r="690" spans="2:21" x14ac:dyDescent="0.5">
      <c r="B690" s="85">
        <v>680</v>
      </c>
      <c r="C690" s="86">
        <v>20.537375531360979</v>
      </c>
      <c r="D690" s="87">
        <v>-2393.1400983043081</v>
      </c>
      <c r="E690" s="85">
        <v>1</v>
      </c>
      <c r="T690" s="22"/>
      <c r="U690" s="22"/>
    </row>
    <row r="691" spans="2:21" x14ac:dyDescent="0.5">
      <c r="B691" s="85">
        <v>681</v>
      </c>
      <c r="C691" s="86">
        <v>74.126493385660552</v>
      </c>
      <c r="D691" s="87">
        <v>4588.7577190785742</v>
      </c>
      <c r="E691" s="85">
        <v>0</v>
      </c>
      <c r="T691" s="22"/>
      <c r="U691" s="22"/>
    </row>
    <row r="692" spans="2:21" x14ac:dyDescent="0.5">
      <c r="B692" s="85">
        <v>682</v>
      </c>
      <c r="C692" s="86">
        <v>51.547997505546242</v>
      </c>
      <c r="D692" s="87">
        <v>1813.6058421984735</v>
      </c>
      <c r="E692" s="85">
        <v>0</v>
      </c>
      <c r="T692" s="22"/>
      <c r="U692" s="22"/>
    </row>
    <row r="693" spans="2:21" x14ac:dyDescent="0.5">
      <c r="B693" s="85">
        <v>683</v>
      </c>
      <c r="C693" s="86">
        <v>66.233793141800462</v>
      </c>
      <c r="D693" s="87">
        <v>3622.2076855290916</v>
      </c>
      <c r="E693" s="85">
        <v>0</v>
      </c>
      <c r="T693" s="22"/>
      <c r="U693" s="22"/>
    </row>
    <row r="694" spans="2:21" x14ac:dyDescent="0.5">
      <c r="B694" s="85">
        <v>684</v>
      </c>
      <c r="C694" s="86">
        <v>95.843291509160849</v>
      </c>
      <c r="D694" s="87">
        <v>7248.224226904641</v>
      </c>
      <c r="E694" s="85">
        <v>0</v>
      </c>
      <c r="T694" s="22"/>
      <c r="U694" s="22"/>
    </row>
    <row r="695" spans="2:21" x14ac:dyDescent="0.5">
      <c r="B695" s="85">
        <v>685</v>
      </c>
      <c r="C695" s="86">
        <v>79.592207333996498</v>
      </c>
      <c r="D695" s="87">
        <v>5258.0959476836269</v>
      </c>
      <c r="E695" s="85">
        <v>0</v>
      </c>
      <c r="T695" s="22"/>
      <c r="U695" s="22"/>
    </row>
    <row r="696" spans="2:21" x14ac:dyDescent="0.5">
      <c r="B696" s="85">
        <v>686</v>
      </c>
      <c r="C696" s="86">
        <v>94.297560377201378</v>
      </c>
      <c r="D696" s="87">
        <v>7058.9320415570292</v>
      </c>
      <c r="E696" s="85">
        <v>0</v>
      </c>
      <c r="T696" s="22"/>
      <c r="U696" s="22"/>
    </row>
    <row r="697" spans="2:21" x14ac:dyDescent="0.5">
      <c r="B697" s="85">
        <v>687</v>
      </c>
      <c r="C697" s="86">
        <v>56.232921667778946</v>
      </c>
      <c r="D697" s="87">
        <v>2395.394192321427</v>
      </c>
      <c r="E697" s="85">
        <v>0</v>
      </c>
      <c r="T697" s="22"/>
      <c r="U697" s="22"/>
    </row>
    <row r="698" spans="2:21" x14ac:dyDescent="0.5">
      <c r="B698" s="85">
        <v>688</v>
      </c>
      <c r="C698" s="86">
        <v>75.190947937884147</v>
      </c>
      <c r="D698" s="87">
        <v>4719.1121670336934</v>
      </c>
      <c r="E698" s="85">
        <v>0</v>
      </c>
      <c r="T698" s="22"/>
      <c r="U698" s="22"/>
    </row>
    <row r="699" spans="2:21" x14ac:dyDescent="0.5">
      <c r="B699" s="85">
        <v>689</v>
      </c>
      <c r="C699" s="86">
        <v>99.70164154198234</v>
      </c>
      <c r="D699" s="87">
        <v>7720.7226416987878</v>
      </c>
      <c r="E699" s="85">
        <v>0</v>
      </c>
      <c r="T699" s="22"/>
      <c r="U699" s="22"/>
    </row>
    <row r="700" spans="2:21" x14ac:dyDescent="0.5">
      <c r="B700" s="85">
        <v>690</v>
      </c>
      <c r="C700" s="86">
        <v>67.798794275199754</v>
      </c>
      <c r="D700" s="87">
        <v>3813.8596995744479</v>
      </c>
      <c r="E700" s="85">
        <v>0</v>
      </c>
      <c r="T700" s="22"/>
      <c r="U700" s="22"/>
    </row>
    <row r="701" spans="2:21" x14ac:dyDescent="0.5">
      <c r="B701" s="85">
        <v>691</v>
      </c>
      <c r="C701" s="86">
        <v>91.346511353547029</v>
      </c>
      <c r="D701" s="87">
        <v>6697.5428534856628</v>
      </c>
      <c r="E701" s="85">
        <v>0</v>
      </c>
      <c r="T701" s="22"/>
      <c r="U701" s="22"/>
    </row>
    <row r="702" spans="2:21" x14ac:dyDescent="0.5">
      <c r="B702" s="85">
        <v>692</v>
      </c>
      <c r="C702" s="86">
        <v>40.241503356568913</v>
      </c>
      <c r="D702" s="87">
        <v>396.56773491068867</v>
      </c>
      <c r="E702" s="85">
        <v>0</v>
      </c>
      <c r="T702" s="22"/>
      <c r="U702" s="22"/>
    </row>
    <row r="703" spans="2:21" x14ac:dyDescent="0.5">
      <c r="B703" s="85">
        <v>693</v>
      </c>
      <c r="C703" s="86">
        <v>85.960586675922087</v>
      </c>
      <c r="D703" s="87">
        <v>6037.9757196770452</v>
      </c>
      <c r="E703" s="85">
        <v>0</v>
      </c>
      <c r="T703" s="22"/>
      <c r="U703" s="22"/>
    </row>
    <row r="704" spans="2:21" x14ac:dyDescent="0.5">
      <c r="B704" s="85">
        <v>694</v>
      </c>
      <c r="C704" s="86">
        <v>34.012117397207547</v>
      </c>
      <c r="D704" s="87">
        <v>-399.80910463480302</v>
      </c>
      <c r="E704" s="85">
        <v>1</v>
      </c>
      <c r="T704" s="22"/>
      <c r="U704" s="22"/>
    </row>
    <row r="705" spans="2:21" x14ac:dyDescent="0.5">
      <c r="B705" s="85">
        <v>695</v>
      </c>
      <c r="C705" s="86">
        <v>67.609235229527926</v>
      </c>
      <c r="D705" s="87">
        <v>3790.6460595915732</v>
      </c>
      <c r="E705" s="85">
        <v>0</v>
      </c>
      <c r="T705" s="22"/>
      <c r="U705" s="22"/>
    </row>
    <row r="706" spans="2:21" x14ac:dyDescent="0.5">
      <c r="B706" s="85">
        <v>696</v>
      </c>
      <c r="C706" s="86">
        <v>28.672763530017882</v>
      </c>
      <c r="D706" s="87">
        <v>-1098.3697780060897</v>
      </c>
      <c r="E706" s="85">
        <v>1</v>
      </c>
      <c r="T706" s="22"/>
      <c r="U706" s="22"/>
    </row>
    <row r="707" spans="2:21" x14ac:dyDescent="0.5">
      <c r="B707" s="85">
        <v>697</v>
      </c>
      <c r="C707" s="86">
        <v>94.985298363208443</v>
      </c>
      <c r="D707" s="87">
        <v>7143.1533033445266</v>
      </c>
      <c r="E707" s="85">
        <v>0</v>
      </c>
      <c r="T707" s="22"/>
      <c r="U707" s="22"/>
    </row>
    <row r="708" spans="2:21" x14ac:dyDescent="0.5">
      <c r="B708" s="85">
        <v>698</v>
      </c>
      <c r="C708" s="86">
        <v>54.868067977245261</v>
      </c>
      <c r="D708" s="87">
        <v>2226.2068346600263</v>
      </c>
      <c r="E708" s="85">
        <v>0</v>
      </c>
      <c r="T708" s="22"/>
      <c r="U708" s="22"/>
    </row>
    <row r="709" spans="2:21" x14ac:dyDescent="0.5">
      <c r="B709" s="85">
        <v>699</v>
      </c>
      <c r="C709" s="86">
        <v>63.055324015107665</v>
      </c>
      <c r="D709" s="87">
        <v>3232.9683446038098</v>
      </c>
      <c r="E709" s="85">
        <v>0</v>
      </c>
      <c r="T709" s="22"/>
      <c r="U709" s="22"/>
    </row>
    <row r="710" spans="2:21" x14ac:dyDescent="0.5">
      <c r="B710" s="85">
        <v>700</v>
      </c>
      <c r="C710" s="86">
        <v>99.303273501316241</v>
      </c>
      <c r="D710" s="87">
        <v>7671.9379886428942</v>
      </c>
      <c r="E710" s="85">
        <v>0</v>
      </c>
      <c r="T710" s="22"/>
      <c r="U710" s="22"/>
    </row>
    <row r="711" spans="2:21" x14ac:dyDescent="0.5">
      <c r="B711" s="85">
        <v>701</v>
      </c>
      <c r="C711" s="86">
        <v>85.395192130213616</v>
      </c>
      <c r="D711" s="87">
        <v>5968.7367900029649</v>
      </c>
      <c r="E711" s="85">
        <v>0</v>
      </c>
      <c r="T711" s="22"/>
      <c r="U711" s="22"/>
    </row>
    <row r="712" spans="2:21" x14ac:dyDescent="0.5">
      <c r="B712" s="85">
        <v>702</v>
      </c>
      <c r="C712" s="86">
        <v>54.569618801030479</v>
      </c>
      <c r="D712" s="87">
        <v>2189.2110541817137</v>
      </c>
      <c r="E712" s="85">
        <v>0</v>
      </c>
      <c r="T712" s="22"/>
      <c r="U712" s="22"/>
    </row>
    <row r="713" spans="2:21" x14ac:dyDescent="0.5">
      <c r="B713" s="85">
        <v>703</v>
      </c>
      <c r="C713" s="86">
        <v>97.668138012953307</v>
      </c>
      <c r="D713" s="87">
        <v>7471.6972329693717</v>
      </c>
      <c r="E713" s="85">
        <v>0</v>
      </c>
      <c r="T713" s="22"/>
      <c r="U713" s="22"/>
    </row>
    <row r="714" spans="2:21" x14ac:dyDescent="0.5">
      <c r="B714" s="85">
        <v>704</v>
      </c>
      <c r="C714" s="86">
        <v>39.329540337222461</v>
      </c>
      <c r="D714" s="87">
        <v>281.47041616183526</v>
      </c>
      <c r="E714" s="85">
        <v>0</v>
      </c>
      <c r="T714" s="22"/>
      <c r="U714" s="22"/>
    </row>
    <row r="715" spans="2:21" x14ac:dyDescent="0.5">
      <c r="B715" s="85">
        <v>705</v>
      </c>
      <c r="C715" s="86">
        <v>32.204457241400853</v>
      </c>
      <c r="D715" s="87">
        <v>-634.08182043939462</v>
      </c>
      <c r="E715" s="85">
        <v>1</v>
      </c>
      <c r="T715" s="22"/>
      <c r="U715" s="22"/>
    </row>
    <row r="716" spans="2:21" x14ac:dyDescent="0.5">
      <c r="B716" s="85">
        <v>706</v>
      </c>
      <c r="C716" s="86">
        <v>92.799238956652744</v>
      </c>
      <c r="D716" s="87">
        <v>6875.445709306443</v>
      </c>
      <c r="E716" s="85">
        <v>0</v>
      </c>
      <c r="T716" s="22"/>
      <c r="U716" s="22"/>
    </row>
    <row r="717" spans="2:21" x14ac:dyDescent="0.5">
      <c r="B717" s="85">
        <v>707</v>
      </c>
      <c r="C717" s="86">
        <v>76.753741781754911</v>
      </c>
      <c r="D717" s="87">
        <v>4910.4938736174809</v>
      </c>
      <c r="E717" s="85">
        <v>0</v>
      </c>
      <c r="T717" s="22"/>
      <c r="U717" s="22"/>
    </row>
    <row r="718" spans="2:21" x14ac:dyDescent="0.5">
      <c r="B718" s="85">
        <v>708</v>
      </c>
      <c r="C718" s="86">
        <v>79.46800822507916</v>
      </c>
      <c r="D718" s="87">
        <v>5242.8863680490458</v>
      </c>
      <c r="E718" s="85">
        <v>0</v>
      </c>
      <c r="T718" s="22"/>
      <c r="U718" s="22"/>
    </row>
    <row r="719" spans="2:21" x14ac:dyDescent="0.5">
      <c r="B719" s="85">
        <v>709</v>
      </c>
      <c r="C719" s="86">
        <v>93.615389408688401</v>
      </c>
      <c r="D719" s="87">
        <v>6975.3925237582089</v>
      </c>
      <c r="E719" s="85">
        <v>0</v>
      </c>
      <c r="T719" s="22"/>
      <c r="U719" s="22"/>
    </row>
    <row r="720" spans="2:21" x14ac:dyDescent="0.5">
      <c r="B720" s="85">
        <v>710</v>
      </c>
      <c r="C720" s="86">
        <v>30.608676028888048</v>
      </c>
      <c r="D720" s="87">
        <v>-840.9653480948964</v>
      </c>
      <c r="E720" s="85">
        <v>1</v>
      </c>
      <c r="T720" s="22"/>
      <c r="U720" s="22"/>
    </row>
    <row r="721" spans="2:21" x14ac:dyDescent="0.5">
      <c r="B721" s="85">
        <v>711</v>
      </c>
      <c r="C721" s="86">
        <v>68.058112239471697</v>
      </c>
      <c r="D721" s="87">
        <v>3845.6161047745582</v>
      </c>
      <c r="E721" s="85">
        <v>0</v>
      </c>
      <c r="T721" s="22"/>
      <c r="U721" s="22"/>
    </row>
    <row r="722" spans="2:21" x14ac:dyDescent="0.5">
      <c r="B722" s="85">
        <v>712</v>
      </c>
      <c r="C722" s="86">
        <v>49.875300872234021</v>
      </c>
      <c r="D722" s="87">
        <v>1605.2086164736165</v>
      </c>
      <c r="E722" s="85">
        <v>0</v>
      </c>
      <c r="T722" s="22"/>
      <c r="U722" s="22"/>
    </row>
    <row r="723" spans="2:21" x14ac:dyDescent="0.5">
      <c r="B723" s="85">
        <v>713</v>
      </c>
      <c r="C723" s="86">
        <v>54.072082473208297</v>
      </c>
      <c r="D723" s="87">
        <v>2127.5364166519744</v>
      </c>
      <c r="E723" s="85">
        <v>0</v>
      </c>
      <c r="T723" s="22"/>
      <c r="U723" s="22"/>
    </row>
    <row r="724" spans="2:21" x14ac:dyDescent="0.5">
      <c r="B724" s="85">
        <v>714</v>
      </c>
      <c r="C724" s="86">
        <v>62.358803011634535</v>
      </c>
      <c r="D724" s="87">
        <v>3147.6715034120275</v>
      </c>
      <c r="E724" s="85">
        <v>0</v>
      </c>
      <c r="T724" s="22"/>
      <c r="U724" s="22"/>
    </row>
    <row r="725" spans="2:21" x14ac:dyDescent="0.5">
      <c r="B725" s="85">
        <v>715</v>
      </c>
      <c r="C725" s="86">
        <v>60.825031582467723</v>
      </c>
      <c r="D725" s="87">
        <v>2959.8439183632136</v>
      </c>
      <c r="E725" s="85">
        <v>0</v>
      </c>
      <c r="T725" s="22"/>
      <c r="U725" s="22"/>
    </row>
    <row r="726" spans="2:21" x14ac:dyDescent="0.5">
      <c r="B726" s="85">
        <v>716</v>
      </c>
      <c r="C726" s="86">
        <v>43.190516393758962</v>
      </c>
      <c r="D726" s="87">
        <v>768.75771009107439</v>
      </c>
      <c r="E726" s="85">
        <v>0</v>
      </c>
      <c r="T726" s="22"/>
      <c r="U726" s="22"/>
    </row>
    <row r="727" spans="2:21" x14ac:dyDescent="0.5">
      <c r="B727" s="85">
        <v>717</v>
      </c>
      <c r="C727" s="86">
        <v>58.958041014267863</v>
      </c>
      <c r="D727" s="87">
        <v>2731.2098969794779</v>
      </c>
      <c r="E727" s="85">
        <v>0</v>
      </c>
      <c r="T727" s="22"/>
      <c r="U727" s="22"/>
    </row>
    <row r="728" spans="2:21" x14ac:dyDescent="0.5">
      <c r="B728" s="85">
        <v>718</v>
      </c>
      <c r="C728" s="86">
        <v>27.667634278343279</v>
      </c>
      <c r="D728" s="87">
        <v>-1232.8437396001132</v>
      </c>
      <c r="E728" s="85">
        <v>1</v>
      </c>
      <c r="T728" s="22"/>
      <c r="U728" s="22"/>
    </row>
    <row r="729" spans="2:21" x14ac:dyDescent="0.5">
      <c r="B729" s="85">
        <v>719</v>
      </c>
      <c r="C729" s="86">
        <v>96.236030006882274</v>
      </c>
      <c r="D729" s="87">
        <v>7296.3194790262596</v>
      </c>
      <c r="E729" s="85">
        <v>0</v>
      </c>
      <c r="T729" s="22"/>
      <c r="U729" s="22"/>
    </row>
    <row r="730" spans="2:21" x14ac:dyDescent="0.5">
      <c r="B730" s="85">
        <v>720</v>
      </c>
      <c r="C730" s="86">
        <v>44.655868378783545</v>
      </c>
      <c r="D730" s="87">
        <v>952.6118652353457</v>
      </c>
      <c r="E730" s="85">
        <v>0</v>
      </c>
      <c r="T730" s="22"/>
      <c r="U730" s="22"/>
    </row>
    <row r="731" spans="2:21" x14ac:dyDescent="0.5">
      <c r="B731" s="85">
        <v>721</v>
      </c>
      <c r="C731" s="86">
        <v>99.690887060388221</v>
      </c>
      <c r="D731" s="87">
        <v>7719.4056343091179</v>
      </c>
      <c r="E731" s="85">
        <v>0</v>
      </c>
      <c r="T731" s="22"/>
      <c r="U731" s="22"/>
    </row>
    <row r="732" spans="2:21" x14ac:dyDescent="0.5">
      <c r="B732" s="85">
        <v>722</v>
      </c>
      <c r="C732" s="86">
        <v>65.560506937693432</v>
      </c>
      <c r="D732" s="87">
        <v>3539.756207193233</v>
      </c>
      <c r="E732" s="85">
        <v>0</v>
      </c>
      <c r="T732" s="22"/>
      <c r="U732" s="22"/>
    </row>
    <row r="733" spans="2:21" x14ac:dyDescent="0.5">
      <c r="B733" s="85">
        <v>723</v>
      </c>
      <c r="C733" s="86">
        <v>72.93337857225211</v>
      </c>
      <c r="D733" s="87">
        <v>4442.6473731515989</v>
      </c>
      <c r="E733" s="85">
        <v>0</v>
      </c>
      <c r="T733" s="22"/>
      <c r="U733" s="22"/>
    </row>
    <row r="734" spans="2:21" x14ac:dyDescent="0.5">
      <c r="B734" s="85">
        <v>724</v>
      </c>
      <c r="C734" s="86">
        <v>74.535661306158147</v>
      </c>
      <c r="D734" s="87">
        <v>4638.864939049583</v>
      </c>
      <c r="E734" s="85">
        <v>0</v>
      </c>
      <c r="T734" s="22"/>
      <c r="U734" s="22"/>
    </row>
    <row r="735" spans="2:21" x14ac:dyDescent="0.5">
      <c r="B735" s="85">
        <v>725</v>
      </c>
      <c r="C735" s="86">
        <v>98.080296427852872</v>
      </c>
      <c r="D735" s="87">
        <v>7522.1706726592656</v>
      </c>
      <c r="E735" s="85">
        <v>0</v>
      </c>
      <c r="T735" s="22"/>
      <c r="U735" s="22"/>
    </row>
    <row r="736" spans="2:21" x14ac:dyDescent="0.5">
      <c r="B736" s="85">
        <v>726</v>
      </c>
      <c r="C736" s="86">
        <v>87.442952798165379</v>
      </c>
      <c r="D736" s="87">
        <v>6219.5081459593512</v>
      </c>
      <c r="E736" s="85">
        <v>0</v>
      </c>
      <c r="T736" s="22"/>
      <c r="U736" s="22"/>
    </row>
    <row r="737" spans="2:21" x14ac:dyDescent="0.5">
      <c r="B737" s="85">
        <v>727</v>
      </c>
      <c r="C737" s="86">
        <v>76.383645242143686</v>
      </c>
      <c r="D737" s="87">
        <v>4865.1713842633371</v>
      </c>
      <c r="E737" s="85">
        <v>0</v>
      </c>
      <c r="T737" s="22"/>
      <c r="U737" s="22"/>
    </row>
    <row r="738" spans="2:21" x14ac:dyDescent="0.5">
      <c r="B738" s="85">
        <v>728</v>
      </c>
      <c r="C738" s="86">
        <v>62.201059933997193</v>
      </c>
      <c r="D738" s="87">
        <v>3128.354087030837</v>
      </c>
      <c r="E738" s="85">
        <v>0</v>
      </c>
      <c r="T738" s="22"/>
      <c r="U738" s="22"/>
    </row>
    <row r="739" spans="2:21" x14ac:dyDescent="0.5">
      <c r="B739" s="85">
        <v>729</v>
      </c>
      <c r="C739" s="86">
        <v>79.628788811918781</v>
      </c>
      <c r="D739" s="87">
        <v>5262.5757616409064</v>
      </c>
      <c r="E739" s="85">
        <v>0</v>
      </c>
      <c r="T739" s="22"/>
      <c r="U739" s="22"/>
    </row>
    <row r="740" spans="2:21" x14ac:dyDescent="0.5">
      <c r="B740" s="85">
        <v>730</v>
      </c>
      <c r="C740" s="86">
        <v>26.732073618838719</v>
      </c>
      <c r="D740" s="87">
        <v>-1359.5650690704456</v>
      </c>
      <c r="E740" s="85">
        <v>1</v>
      </c>
      <c r="T740" s="22"/>
      <c r="U740" s="22"/>
    </row>
    <row r="741" spans="2:21" x14ac:dyDescent="0.5">
      <c r="B741" s="85">
        <v>731</v>
      </c>
      <c r="C741" s="86">
        <v>29.484397020082991</v>
      </c>
      <c r="D741" s="87">
        <v>-989.78317524868396</v>
      </c>
      <c r="E741" s="85">
        <v>1</v>
      </c>
      <c r="T741" s="22"/>
      <c r="U741" s="22"/>
    </row>
    <row r="742" spans="2:21" x14ac:dyDescent="0.5">
      <c r="B742" s="85">
        <v>732</v>
      </c>
      <c r="C742" s="86">
        <v>57.254807039980513</v>
      </c>
      <c r="D742" s="87">
        <v>2522.0671735755682</v>
      </c>
      <c r="E742" s="85">
        <v>0</v>
      </c>
      <c r="T742" s="22"/>
      <c r="U742" s="22"/>
    </row>
    <row r="743" spans="2:21" x14ac:dyDescent="0.5">
      <c r="B743" s="85">
        <v>733</v>
      </c>
      <c r="C743" s="86">
        <v>86.896588479021759</v>
      </c>
      <c r="D743" s="87">
        <v>6152.5996818491985</v>
      </c>
      <c r="E743" s="85">
        <v>0</v>
      </c>
      <c r="T743" s="22"/>
      <c r="U743" s="22"/>
    </row>
    <row r="744" spans="2:21" x14ac:dyDescent="0.5">
      <c r="B744" s="85">
        <v>734</v>
      </c>
      <c r="C744" s="86">
        <v>79.687862567812886</v>
      </c>
      <c r="D744" s="87">
        <v>5269.8100083470026</v>
      </c>
      <c r="E744" s="85">
        <v>0</v>
      </c>
      <c r="T744" s="22"/>
      <c r="U744" s="22"/>
    </row>
    <row r="745" spans="2:21" x14ac:dyDescent="0.5">
      <c r="B745" s="85">
        <v>735</v>
      </c>
      <c r="C745" s="86">
        <v>22.15380712373549</v>
      </c>
      <c r="D745" s="87">
        <v>-2090.3120019140742</v>
      </c>
      <c r="E745" s="85">
        <v>1</v>
      </c>
      <c r="T745" s="22"/>
      <c r="U745" s="22"/>
    </row>
    <row r="746" spans="2:21" x14ac:dyDescent="0.5">
      <c r="B746" s="85">
        <v>736</v>
      </c>
      <c r="C746" s="86">
        <v>33.40288035918455</v>
      </c>
      <c r="D746" s="87">
        <v>-478.76621115060078</v>
      </c>
      <c r="E746" s="85">
        <v>1</v>
      </c>
      <c r="T746" s="22"/>
      <c r="U746" s="22"/>
    </row>
    <row r="747" spans="2:21" x14ac:dyDescent="0.5">
      <c r="B747" s="85">
        <v>737</v>
      </c>
      <c r="C747" s="86">
        <v>96.194898448516085</v>
      </c>
      <c r="D747" s="87">
        <v>7291.2824564749835</v>
      </c>
      <c r="E747" s="85">
        <v>0</v>
      </c>
      <c r="T747" s="22"/>
      <c r="U747" s="22"/>
    </row>
    <row r="748" spans="2:21" x14ac:dyDescent="0.5">
      <c r="B748" s="85">
        <v>738</v>
      </c>
      <c r="C748" s="86">
        <v>74.341458405727565</v>
      </c>
      <c r="D748" s="87">
        <v>4615.0826067517592</v>
      </c>
      <c r="E748" s="85">
        <v>0</v>
      </c>
      <c r="T748" s="22"/>
      <c r="U748" s="22"/>
    </row>
    <row r="749" spans="2:21" x14ac:dyDescent="0.5">
      <c r="B749" s="85">
        <v>739</v>
      </c>
      <c r="C749" s="86">
        <v>44.556379946912188</v>
      </c>
      <c r="D749" s="87">
        <v>940.14265883071789</v>
      </c>
      <c r="E749" s="85">
        <v>0</v>
      </c>
      <c r="T749" s="22"/>
      <c r="U749" s="22"/>
    </row>
    <row r="750" spans="2:21" x14ac:dyDescent="0.5">
      <c r="B750" s="85">
        <v>740</v>
      </c>
      <c r="C750" s="86">
        <v>40.487138811985368</v>
      </c>
      <c r="D750" s="87">
        <v>427.56897257967631</v>
      </c>
      <c r="E750" s="85">
        <v>0</v>
      </c>
      <c r="T750" s="22"/>
      <c r="U750" s="22"/>
    </row>
    <row r="751" spans="2:21" x14ac:dyDescent="0.5">
      <c r="B751" s="85">
        <v>741</v>
      </c>
      <c r="C751" s="86">
        <v>48.117310518571202</v>
      </c>
      <c r="D751" s="87">
        <v>1386.1848525356588</v>
      </c>
      <c r="E751" s="85">
        <v>0</v>
      </c>
      <c r="T751" s="22"/>
      <c r="U751" s="22"/>
    </row>
    <row r="752" spans="2:21" x14ac:dyDescent="0.5">
      <c r="B752" s="85">
        <v>742</v>
      </c>
      <c r="C752" s="86">
        <v>71.821072833108616</v>
      </c>
      <c r="D752" s="87">
        <v>4306.4330084514113</v>
      </c>
      <c r="E752" s="85">
        <v>0</v>
      </c>
      <c r="T752" s="22"/>
      <c r="U752" s="22"/>
    </row>
    <row r="753" spans="2:21" x14ac:dyDescent="0.5">
      <c r="B753" s="85">
        <v>743</v>
      </c>
      <c r="C753" s="86">
        <v>95.06400155729655</v>
      </c>
      <c r="D753" s="87">
        <v>7152.7913958269428</v>
      </c>
      <c r="E753" s="85">
        <v>0</v>
      </c>
      <c r="T753" s="22"/>
      <c r="U753" s="22"/>
    </row>
    <row r="754" spans="2:21" x14ac:dyDescent="0.5">
      <c r="B754" s="85">
        <v>744</v>
      </c>
      <c r="C754" s="86">
        <v>32.317010445815555</v>
      </c>
      <c r="D754" s="87">
        <v>-619.49492766198784</v>
      </c>
      <c r="E754" s="85">
        <v>1</v>
      </c>
      <c r="T754" s="22"/>
      <c r="U754" s="22"/>
    </row>
    <row r="755" spans="2:21" x14ac:dyDescent="0.5">
      <c r="B755" s="85">
        <v>745</v>
      </c>
      <c r="C755" s="86">
        <v>48.0699572548085</v>
      </c>
      <c r="D755" s="87">
        <v>1380.2852239953511</v>
      </c>
      <c r="E755" s="85">
        <v>0</v>
      </c>
      <c r="T755" s="22"/>
      <c r="U755" s="22"/>
    </row>
    <row r="756" spans="2:21" x14ac:dyDescent="0.5">
      <c r="B756" s="85">
        <v>746</v>
      </c>
      <c r="C756" s="86">
        <v>71.042383721261501</v>
      </c>
      <c r="D756" s="87">
        <v>4211.0737570005604</v>
      </c>
      <c r="E756" s="85">
        <v>0</v>
      </c>
      <c r="T756" s="22"/>
      <c r="U756" s="22"/>
    </row>
    <row r="757" spans="2:21" x14ac:dyDescent="0.5">
      <c r="B757" s="85">
        <v>747</v>
      </c>
      <c r="C757" s="86">
        <v>87.587811770707589</v>
      </c>
      <c r="D757" s="87">
        <v>6237.2477585690576</v>
      </c>
      <c r="E757" s="85">
        <v>0</v>
      </c>
      <c r="T757" s="22"/>
      <c r="U757" s="22"/>
    </row>
    <row r="758" spans="2:21" x14ac:dyDescent="0.5">
      <c r="B758" s="85">
        <v>748</v>
      </c>
      <c r="C758" s="86">
        <v>67.267337948823624</v>
      </c>
      <c r="D758" s="87">
        <v>3748.776887074564</v>
      </c>
      <c r="E758" s="85">
        <v>0</v>
      </c>
      <c r="T758" s="22"/>
      <c r="U758" s="22"/>
    </row>
    <row r="759" spans="2:21" x14ac:dyDescent="0.5">
      <c r="B759" s="85">
        <v>749</v>
      </c>
      <c r="C759" s="86">
        <v>57.253675842123009</v>
      </c>
      <c r="D759" s="87">
        <v>2521.9269502110938</v>
      </c>
      <c r="E759" s="85">
        <v>0</v>
      </c>
      <c r="T759" s="22"/>
      <c r="U759" s="22"/>
    </row>
    <row r="760" spans="2:21" x14ac:dyDescent="0.5">
      <c r="B760" s="85">
        <v>750</v>
      </c>
      <c r="C760" s="86">
        <v>66.833349369335266</v>
      </c>
      <c r="D760" s="87">
        <v>3695.6300978764211</v>
      </c>
      <c r="E760" s="85">
        <v>0</v>
      </c>
      <c r="T760" s="22"/>
      <c r="U760" s="22"/>
    </row>
    <row r="761" spans="2:21" x14ac:dyDescent="0.5">
      <c r="B761" s="85">
        <v>751</v>
      </c>
      <c r="C761" s="86">
        <v>42.758642658774477</v>
      </c>
      <c r="D761" s="87">
        <v>714.25165241080799</v>
      </c>
      <c r="E761" s="85">
        <v>0</v>
      </c>
      <c r="T761" s="22"/>
      <c r="U761" s="22"/>
    </row>
    <row r="762" spans="2:21" x14ac:dyDescent="0.5">
      <c r="B762" s="85">
        <v>752</v>
      </c>
      <c r="C762" s="86">
        <v>50.988233255572169</v>
      </c>
      <c r="D762" s="87">
        <v>1743.8661688881025</v>
      </c>
      <c r="E762" s="85">
        <v>0</v>
      </c>
      <c r="T762" s="22"/>
      <c r="U762" s="22"/>
    </row>
    <row r="763" spans="2:21" x14ac:dyDescent="0.5">
      <c r="B763" s="85">
        <v>753</v>
      </c>
      <c r="C763" s="86">
        <v>93.576997338168553</v>
      </c>
      <c r="D763" s="87">
        <v>6970.6909823462129</v>
      </c>
      <c r="E763" s="85">
        <v>0</v>
      </c>
      <c r="T763" s="22"/>
      <c r="U763" s="22"/>
    </row>
    <row r="764" spans="2:21" x14ac:dyDescent="0.5">
      <c r="B764" s="85">
        <v>754</v>
      </c>
      <c r="C764" s="86">
        <v>81.630206695457417</v>
      </c>
      <c r="D764" s="87">
        <v>5507.6719217270156</v>
      </c>
      <c r="E764" s="85">
        <v>0</v>
      </c>
      <c r="T764" s="22"/>
      <c r="U764" s="22"/>
    </row>
    <row r="765" spans="2:21" x14ac:dyDescent="0.5">
      <c r="B765" s="85">
        <v>755</v>
      </c>
      <c r="C765" s="86">
        <v>43.849494786005998</v>
      </c>
      <c r="D765" s="87">
        <v>851.5464591528978</v>
      </c>
      <c r="E765" s="85">
        <v>0</v>
      </c>
      <c r="T765" s="22"/>
      <c r="U765" s="22"/>
    </row>
    <row r="766" spans="2:21" x14ac:dyDescent="0.5">
      <c r="B766" s="85">
        <v>756</v>
      </c>
      <c r="C766" s="86">
        <v>76.760084118828672</v>
      </c>
      <c r="D766" s="87">
        <v>4911.2705642204455</v>
      </c>
      <c r="E766" s="85">
        <v>0</v>
      </c>
      <c r="T766" s="22"/>
      <c r="U766" s="22"/>
    </row>
    <row r="767" spans="2:21" x14ac:dyDescent="0.5">
      <c r="B767" s="85">
        <v>757</v>
      </c>
      <c r="C767" s="86">
        <v>33.262669505059101</v>
      </c>
      <c r="D767" s="87">
        <v>-496.93753471257406</v>
      </c>
      <c r="E767" s="85">
        <v>1</v>
      </c>
      <c r="T767" s="22"/>
      <c r="U767" s="22"/>
    </row>
    <row r="768" spans="2:21" x14ac:dyDescent="0.5">
      <c r="B768" s="85">
        <v>758</v>
      </c>
      <c r="C768" s="86">
        <v>48.620952288619002</v>
      </c>
      <c r="D768" s="87">
        <v>1448.9323618848489</v>
      </c>
      <c r="E768" s="85">
        <v>0</v>
      </c>
      <c r="T768" s="22"/>
      <c r="U768" s="22"/>
    </row>
    <row r="769" spans="2:21" x14ac:dyDescent="0.5">
      <c r="B769" s="85">
        <v>759</v>
      </c>
      <c r="C769" s="86">
        <v>55.864969146721641</v>
      </c>
      <c r="D769" s="87">
        <v>2349.7827724202989</v>
      </c>
      <c r="E769" s="85">
        <v>0</v>
      </c>
      <c r="T769" s="22"/>
      <c r="U769" s="22"/>
    </row>
    <row r="770" spans="2:21" x14ac:dyDescent="0.5">
      <c r="B770" s="85">
        <v>760</v>
      </c>
      <c r="C770" s="86">
        <v>42.601835759305125</v>
      </c>
      <c r="D770" s="87">
        <v>694.46131737816995</v>
      </c>
      <c r="E770" s="85">
        <v>0</v>
      </c>
      <c r="T770" s="22"/>
      <c r="U770" s="22"/>
    </row>
    <row r="771" spans="2:21" x14ac:dyDescent="0.5">
      <c r="B771" s="85">
        <v>761</v>
      </c>
      <c r="C771" s="86">
        <v>62.584936329124687</v>
      </c>
      <c r="D771" s="87">
        <v>3175.3640748835969</v>
      </c>
      <c r="E771" s="85">
        <v>0</v>
      </c>
      <c r="T771" s="22"/>
      <c r="U771" s="22"/>
    </row>
    <row r="772" spans="2:21" x14ac:dyDescent="0.5">
      <c r="B772" s="85">
        <v>762</v>
      </c>
      <c r="C772" s="86">
        <v>97.770680082623031</v>
      </c>
      <c r="D772" s="87">
        <v>7484.2546642434936</v>
      </c>
      <c r="E772" s="85">
        <v>0</v>
      </c>
      <c r="T772" s="22"/>
      <c r="U772" s="22"/>
    </row>
    <row r="773" spans="2:21" x14ac:dyDescent="0.5">
      <c r="B773" s="85">
        <v>763</v>
      </c>
      <c r="C773" s="86">
        <v>82.138509264275555</v>
      </c>
      <c r="D773" s="87">
        <v>5569.9192958530812</v>
      </c>
      <c r="E773" s="85">
        <v>0</v>
      </c>
      <c r="T773" s="22"/>
      <c r="U773" s="22"/>
    </row>
    <row r="774" spans="2:21" x14ac:dyDescent="0.5">
      <c r="B774" s="85">
        <v>764</v>
      </c>
      <c r="C774" s="86">
        <v>69.713374387775929</v>
      </c>
      <c r="D774" s="87">
        <v>4048.3215966271387</v>
      </c>
      <c r="E774" s="85">
        <v>0</v>
      </c>
      <c r="T774" s="22"/>
      <c r="U774" s="22"/>
    </row>
    <row r="775" spans="2:21" x14ac:dyDescent="0.5">
      <c r="B775" s="85">
        <v>765</v>
      </c>
      <c r="C775" s="86">
        <v>70.144514084638644</v>
      </c>
      <c r="D775" s="87">
        <v>4101.1195080632597</v>
      </c>
      <c r="E775" s="85">
        <v>0</v>
      </c>
      <c r="T775" s="22"/>
      <c r="U775" s="22"/>
    </row>
    <row r="776" spans="2:21" x14ac:dyDescent="0.5">
      <c r="B776" s="85">
        <v>766</v>
      </c>
      <c r="C776" s="86">
        <v>47.637072823168879</v>
      </c>
      <c r="D776" s="87">
        <v>1326.2558442609836</v>
      </c>
      <c r="E776" s="85">
        <v>0</v>
      </c>
      <c r="T776" s="22"/>
      <c r="U776" s="22"/>
    </row>
    <row r="777" spans="2:21" x14ac:dyDescent="0.5">
      <c r="B777" s="85">
        <v>767</v>
      </c>
      <c r="C777" s="86">
        <v>65.668009807366445</v>
      </c>
      <c r="D777" s="87">
        <v>3552.9211442969763</v>
      </c>
      <c r="E777" s="85">
        <v>0</v>
      </c>
      <c r="T777" s="22"/>
      <c r="U777" s="22"/>
    </row>
    <row r="778" spans="2:21" x14ac:dyDescent="0.5">
      <c r="B778" s="85">
        <v>768</v>
      </c>
      <c r="C778" s="86">
        <v>50.974800758468312</v>
      </c>
      <c r="D778" s="87">
        <v>1742.1926465797219</v>
      </c>
      <c r="E778" s="85">
        <v>0</v>
      </c>
      <c r="T778" s="22"/>
      <c r="U778" s="22"/>
    </row>
    <row r="779" spans="2:21" x14ac:dyDescent="0.5">
      <c r="B779" s="85">
        <v>769</v>
      </c>
      <c r="C779" s="86">
        <v>42.090474602320938</v>
      </c>
      <c r="D779" s="87">
        <v>629.92328586525832</v>
      </c>
      <c r="E779" s="85">
        <v>0</v>
      </c>
      <c r="T779" s="22"/>
      <c r="U779" s="22"/>
    </row>
    <row r="780" spans="2:21" x14ac:dyDescent="0.5">
      <c r="B780" s="85">
        <v>770</v>
      </c>
      <c r="C780" s="86">
        <v>96.143039767337996</v>
      </c>
      <c r="D780" s="87">
        <v>7284.9317769250392</v>
      </c>
      <c r="E780" s="85">
        <v>0</v>
      </c>
      <c r="T780" s="22"/>
      <c r="U780" s="22"/>
    </row>
    <row r="781" spans="2:21" x14ac:dyDescent="0.5">
      <c r="B781" s="85">
        <v>771</v>
      </c>
      <c r="C781" s="86">
        <v>76.799651203998025</v>
      </c>
      <c r="D781" s="87">
        <v>4916.1159994094533</v>
      </c>
      <c r="E781" s="85">
        <v>0</v>
      </c>
      <c r="T781" s="22"/>
      <c r="U781" s="22"/>
    </row>
    <row r="782" spans="2:21" x14ac:dyDescent="0.5">
      <c r="B782" s="85">
        <v>772</v>
      </c>
      <c r="C782" s="86">
        <v>32.284578328646411</v>
      </c>
      <c r="D782" s="87">
        <v>-623.69812932248885</v>
      </c>
      <c r="E782" s="85">
        <v>1</v>
      </c>
      <c r="T782" s="22"/>
      <c r="U782" s="22"/>
    </row>
    <row r="783" spans="2:21" x14ac:dyDescent="0.5">
      <c r="B783" s="85">
        <v>773</v>
      </c>
      <c r="C783" s="86">
        <v>84.048279068545</v>
      </c>
      <c r="D783" s="87">
        <v>5803.7921164792515</v>
      </c>
      <c r="E783" s="85">
        <v>0</v>
      </c>
      <c r="T783" s="22"/>
      <c r="U783" s="22"/>
    </row>
    <row r="784" spans="2:21" x14ac:dyDescent="0.5">
      <c r="B784" s="85">
        <v>774</v>
      </c>
      <c r="C784" s="86">
        <v>37.750042330271867</v>
      </c>
      <c r="D784" s="87">
        <v>81.535688917938032</v>
      </c>
      <c r="E784" s="85">
        <v>0</v>
      </c>
      <c r="T784" s="22"/>
      <c r="U784" s="22"/>
    </row>
    <row r="785" spans="2:21" x14ac:dyDescent="0.5">
      <c r="B785" s="85">
        <v>775</v>
      </c>
      <c r="C785" s="86">
        <v>71.670345531428367</v>
      </c>
      <c r="D785" s="87">
        <v>4287.9747528488124</v>
      </c>
      <c r="E785" s="85">
        <v>0</v>
      </c>
      <c r="T785" s="22"/>
      <c r="U785" s="22"/>
    </row>
    <row r="786" spans="2:21" x14ac:dyDescent="0.5">
      <c r="B786" s="85">
        <v>776</v>
      </c>
      <c r="C786" s="86">
        <v>35.967299754014761</v>
      </c>
      <c r="D786" s="87">
        <v>-147.44797406993439</v>
      </c>
      <c r="E786" s="85">
        <v>1</v>
      </c>
      <c r="T786" s="22"/>
      <c r="U786" s="22"/>
    </row>
    <row r="787" spans="2:21" x14ac:dyDescent="0.5">
      <c r="B787" s="85">
        <v>777</v>
      </c>
      <c r="C787" s="86">
        <v>75.196272260974496</v>
      </c>
      <c r="D787" s="87">
        <v>4719.7641903593749</v>
      </c>
      <c r="E787" s="85">
        <v>0</v>
      </c>
      <c r="T787" s="22"/>
      <c r="U787" s="22"/>
    </row>
    <row r="788" spans="2:21" x14ac:dyDescent="0.5">
      <c r="B788" s="85">
        <v>778</v>
      </c>
      <c r="C788" s="86">
        <v>80.912291590592218</v>
      </c>
      <c r="D788" s="87">
        <v>5419.7551318764281</v>
      </c>
      <c r="E788" s="85">
        <v>0</v>
      </c>
      <c r="T788" s="22"/>
      <c r="U788" s="22"/>
    </row>
    <row r="789" spans="2:21" x14ac:dyDescent="0.5">
      <c r="B789" s="85">
        <v>779</v>
      </c>
      <c r="C789" s="86">
        <v>59.52349690109007</v>
      </c>
      <c r="D789" s="87">
        <v>2800.4563385637648</v>
      </c>
      <c r="E789" s="85">
        <v>0</v>
      </c>
      <c r="T789" s="22"/>
      <c r="U789" s="22"/>
    </row>
    <row r="790" spans="2:21" x14ac:dyDescent="0.5">
      <c r="B790" s="85">
        <v>780</v>
      </c>
      <c r="C790" s="86">
        <v>96.321214797730349</v>
      </c>
      <c r="D790" s="87">
        <v>7306.7513160285798</v>
      </c>
      <c r="E790" s="85">
        <v>0</v>
      </c>
      <c r="T790" s="22"/>
      <c r="U790" s="22"/>
    </row>
    <row r="791" spans="2:21" x14ac:dyDescent="0.5">
      <c r="B791" s="85">
        <v>781</v>
      </c>
      <c r="C791" s="86">
        <v>31.888112257759555</v>
      </c>
      <c r="D791" s="87">
        <v>-675.08012325131369</v>
      </c>
      <c r="E791" s="85">
        <v>1</v>
      </c>
      <c r="T791" s="22"/>
      <c r="U791" s="22"/>
    </row>
    <row r="792" spans="2:21" x14ac:dyDescent="0.5">
      <c r="B792" s="85">
        <v>782</v>
      </c>
      <c r="C792" s="86">
        <v>50.33332134377261</v>
      </c>
      <c r="D792" s="87">
        <v>1662.2722786421859</v>
      </c>
      <c r="E792" s="85">
        <v>0</v>
      </c>
      <c r="T792" s="22"/>
      <c r="U792" s="22"/>
    </row>
    <row r="793" spans="2:21" x14ac:dyDescent="0.5">
      <c r="B793" s="85">
        <v>783</v>
      </c>
      <c r="C793" s="86">
        <v>22.87045574223189</v>
      </c>
      <c r="D793" s="87">
        <v>-1956.0524774505891</v>
      </c>
      <c r="E793" s="85">
        <v>1</v>
      </c>
      <c r="T793" s="22"/>
      <c r="U793" s="22"/>
    </row>
    <row r="794" spans="2:21" x14ac:dyDescent="0.5">
      <c r="B794" s="85">
        <v>784</v>
      </c>
      <c r="C794" s="86">
        <v>88.69249715140495</v>
      </c>
      <c r="D794" s="87">
        <v>6372.5289245559798</v>
      </c>
      <c r="E794" s="85">
        <v>0</v>
      </c>
      <c r="T794" s="22"/>
      <c r="U794" s="22"/>
    </row>
    <row r="795" spans="2:21" x14ac:dyDescent="0.5">
      <c r="B795" s="85">
        <v>785</v>
      </c>
      <c r="C795" s="86">
        <v>97.557849323453539</v>
      </c>
      <c r="D795" s="87">
        <v>7458.1911408535561</v>
      </c>
      <c r="E795" s="85">
        <v>0</v>
      </c>
      <c r="T795" s="22"/>
      <c r="U795" s="22"/>
    </row>
    <row r="796" spans="2:21" x14ac:dyDescent="0.5">
      <c r="B796" s="85">
        <v>786</v>
      </c>
      <c r="C796" s="86">
        <v>61.559203897792756</v>
      </c>
      <c r="D796" s="87">
        <v>3049.751586725577</v>
      </c>
      <c r="E796" s="85">
        <v>0</v>
      </c>
      <c r="T796" s="22"/>
      <c r="U796" s="22"/>
    </row>
    <row r="797" spans="2:21" x14ac:dyDescent="0.5">
      <c r="B797" s="85">
        <v>787</v>
      </c>
      <c r="C797" s="86">
        <v>91.287713563456833</v>
      </c>
      <c r="D797" s="87">
        <v>6690.3424019002205</v>
      </c>
      <c r="E797" s="85">
        <v>0</v>
      </c>
      <c r="T797" s="22"/>
      <c r="U797" s="22"/>
    </row>
    <row r="798" spans="2:21" x14ac:dyDescent="0.5">
      <c r="B798" s="85">
        <v>788</v>
      </c>
      <c r="C798" s="86">
        <v>39.849996891804764</v>
      </c>
      <c r="D798" s="87">
        <v>347.15636250713561</v>
      </c>
      <c r="E798" s="85">
        <v>0</v>
      </c>
      <c r="T798" s="22"/>
      <c r="U798" s="22"/>
    </row>
    <row r="799" spans="2:21" x14ac:dyDescent="0.5">
      <c r="B799" s="85">
        <v>789</v>
      </c>
      <c r="C799" s="86">
        <v>80.424853574715883</v>
      </c>
      <c r="D799" s="87">
        <v>5360.0628572375826</v>
      </c>
      <c r="E799" s="85">
        <v>0</v>
      </c>
      <c r="T799" s="22"/>
      <c r="U799" s="22"/>
    </row>
    <row r="800" spans="2:21" x14ac:dyDescent="0.5">
      <c r="B800" s="85">
        <v>790</v>
      </c>
      <c r="C800" s="86">
        <v>28.801845935456569</v>
      </c>
      <c r="D800" s="87">
        <v>-1081.1001359152781</v>
      </c>
      <c r="E800" s="85">
        <v>1</v>
      </c>
      <c r="T800" s="22"/>
      <c r="U800" s="22"/>
    </row>
    <row r="801" spans="2:21" x14ac:dyDescent="0.5">
      <c r="B801" s="85">
        <v>791</v>
      </c>
      <c r="C801" s="86">
        <v>51.753200076585642</v>
      </c>
      <c r="D801" s="87">
        <v>1839.1715339470966</v>
      </c>
      <c r="E801" s="85">
        <v>0</v>
      </c>
      <c r="T801" s="22"/>
      <c r="U801" s="22"/>
    </row>
    <row r="802" spans="2:21" x14ac:dyDescent="0.5">
      <c r="B802" s="85">
        <v>792</v>
      </c>
      <c r="C802" s="86">
        <v>66.586096345171256</v>
      </c>
      <c r="D802" s="87">
        <v>3665.3511804695622</v>
      </c>
      <c r="E802" s="85">
        <v>0</v>
      </c>
      <c r="T802" s="22"/>
      <c r="U802" s="22"/>
    </row>
    <row r="803" spans="2:21" x14ac:dyDescent="0.5">
      <c r="B803" s="85">
        <v>793</v>
      </c>
      <c r="C803" s="86">
        <v>54.145451693536145</v>
      </c>
      <c r="D803" s="87">
        <v>2136.6312702667178</v>
      </c>
      <c r="E803" s="85">
        <v>0</v>
      </c>
      <c r="T803" s="22"/>
      <c r="U803" s="22"/>
    </row>
    <row r="804" spans="2:21" x14ac:dyDescent="0.5">
      <c r="B804" s="85">
        <v>794</v>
      </c>
      <c r="C804" s="86">
        <v>30.76060207542076</v>
      </c>
      <c r="D804" s="87">
        <v>-821.2054176908332</v>
      </c>
      <c r="E804" s="85">
        <v>1</v>
      </c>
      <c r="T804" s="22"/>
      <c r="U804" s="22"/>
    </row>
    <row r="805" spans="2:21" x14ac:dyDescent="0.5">
      <c r="B805" s="85">
        <v>795</v>
      </c>
      <c r="C805" s="86">
        <v>72.124158906495325</v>
      </c>
      <c r="D805" s="87">
        <v>4343.5493115351628</v>
      </c>
      <c r="E805" s="85">
        <v>0</v>
      </c>
      <c r="T805" s="22"/>
      <c r="U805" s="22"/>
    </row>
    <row r="806" spans="2:21" x14ac:dyDescent="0.5">
      <c r="B806" s="85">
        <v>796</v>
      </c>
      <c r="C806" s="86">
        <v>63.427444628384471</v>
      </c>
      <c r="D806" s="87">
        <v>3278.5387045736998</v>
      </c>
      <c r="E806" s="85">
        <v>0</v>
      </c>
      <c r="T806" s="22"/>
      <c r="U806" s="22"/>
    </row>
    <row r="807" spans="2:21" x14ac:dyDescent="0.5">
      <c r="B807" s="85">
        <v>797</v>
      </c>
      <c r="C807" s="86">
        <v>83.816049536912004</v>
      </c>
      <c r="D807" s="87">
        <v>5775.3529949294816</v>
      </c>
      <c r="E807" s="85">
        <v>0</v>
      </c>
      <c r="T807" s="22"/>
      <c r="U807" s="22"/>
    </row>
    <row r="808" spans="2:21" x14ac:dyDescent="0.5">
      <c r="B808" s="85">
        <v>798</v>
      </c>
      <c r="C808" s="86">
        <v>39.993281796737115</v>
      </c>
      <c r="D808" s="87">
        <v>365.24010935327033</v>
      </c>
      <c r="E808" s="85">
        <v>0</v>
      </c>
      <c r="T808" s="22"/>
      <c r="U808" s="22"/>
    </row>
    <row r="809" spans="2:21" x14ac:dyDescent="0.5">
      <c r="B809" s="85">
        <v>799</v>
      </c>
      <c r="C809" s="86">
        <v>32.07516098102991</v>
      </c>
      <c r="D809" s="87">
        <v>-650.83861289464448</v>
      </c>
      <c r="E809" s="85">
        <v>1</v>
      </c>
      <c r="T809" s="22"/>
      <c r="U809" s="22"/>
    </row>
    <row r="810" spans="2:21" x14ac:dyDescent="0.5">
      <c r="B810" s="85">
        <v>800</v>
      </c>
      <c r="C810" s="86">
        <v>46.827264142957226</v>
      </c>
      <c r="D810" s="87">
        <v>1224.7599075788655</v>
      </c>
      <c r="E810" s="85">
        <v>0</v>
      </c>
      <c r="T810" s="22"/>
      <c r="U810" s="22"/>
    </row>
    <row r="811" spans="2:21" x14ac:dyDescent="0.5">
      <c r="B811" s="85">
        <v>801</v>
      </c>
      <c r="C811" s="86">
        <v>20.411519812828196</v>
      </c>
      <c r="D811" s="87">
        <v>-2416.7183603494841</v>
      </c>
      <c r="E811" s="85">
        <v>1</v>
      </c>
      <c r="T811" s="22"/>
      <c r="U811" s="22"/>
    </row>
    <row r="812" spans="2:21" x14ac:dyDescent="0.5">
      <c r="B812" s="85">
        <v>802</v>
      </c>
      <c r="C812" s="86">
        <v>51.766081846754489</v>
      </c>
      <c r="D812" s="87">
        <v>1840.7764425193673</v>
      </c>
      <c r="E812" s="85">
        <v>0</v>
      </c>
      <c r="T812" s="22"/>
      <c r="U812" s="22"/>
    </row>
    <row r="813" spans="2:21" x14ac:dyDescent="0.5">
      <c r="B813" s="85">
        <v>803</v>
      </c>
      <c r="C813" s="86">
        <v>79.203268475352331</v>
      </c>
      <c r="D813" s="87">
        <v>5210.4660041590814</v>
      </c>
      <c r="E813" s="85">
        <v>0</v>
      </c>
      <c r="T813" s="22"/>
      <c r="U813" s="22"/>
    </row>
    <row r="814" spans="2:21" x14ac:dyDescent="0.5">
      <c r="B814" s="85">
        <v>804</v>
      </c>
      <c r="C814" s="86">
        <v>76.895589637784255</v>
      </c>
      <c r="D814" s="87">
        <v>4927.8647410985723</v>
      </c>
      <c r="E814" s="85">
        <v>0</v>
      </c>
      <c r="T814" s="22"/>
      <c r="U814" s="22"/>
    </row>
    <row r="815" spans="2:21" x14ac:dyDescent="0.5">
      <c r="B815" s="85">
        <v>805</v>
      </c>
      <c r="C815" s="86">
        <v>36.410582959739408</v>
      </c>
      <c r="D815" s="87">
        <v>-90.510638562445763</v>
      </c>
      <c r="E815" s="85">
        <v>1</v>
      </c>
      <c r="T815" s="22"/>
      <c r="U815" s="22"/>
    </row>
    <row r="816" spans="2:21" x14ac:dyDescent="0.5">
      <c r="B816" s="85">
        <v>806</v>
      </c>
      <c r="C816" s="86">
        <v>47.836984662448792</v>
      </c>
      <c r="D816" s="87">
        <v>1351.2597324921176</v>
      </c>
      <c r="E816" s="85">
        <v>0</v>
      </c>
      <c r="T816" s="22"/>
      <c r="U816" s="22"/>
    </row>
    <row r="817" spans="2:21" x14ac:dyDescent="0.5">
      <c r="B817" s="85">
        <v>807</v>
      </c>
      <c r="C817" s="86">
        <v>70.765586724777108</v>
      </c>
      <c r="D817" s="87">
        <v>4177.1768474547425</v>
      </c>
      <c r="E817" s="85">
        <v>0</v>
      </c>
      <c r="T817" s="22"/>
      <c r="U817" s="22"/>
    </row>
    <row r="818" spans="2:21" x14ac:dyDescent="0.5">
      <c r="B818" s="85">
        <v>808</v>
      </c>
      <c r="C818" s="86">
        <v>87.560132807333005</v>
      </c>
      <c r="D818" s="87">
        <v>6233.8581577795048</v>
      </c>
      <c r="E818" s="85">
        <v>0</v>
      </c>
      <c r="T818" s="22"/>
      <c r="U818" s="22"/>
    </row>
    <row r="819" spans="2:21" x14ac:dyDescent="0.5">
      <c r="B819" s="85">
        <v>809</v>
      </c>
      <c r="C819" s="86">
        <v>66.341881858877059</v>
      </c>
      <c r="D819" s="87">
        <v>3635.4443662452991</v>
      </c>
      <c r="E819" s="85">
        <v>0</v>
      </c>
      <c r="T819" s="22"/>
      <c r="U819" s="22"/>
    </row>
    <row r="820" spans="2:21" x14ac:dyDescent="0.5">
      <c r="B820" s="85">
        <v>810</v>
      </c>
      <c r="C820" s="86">
        <v>79.011866399622079</v>
      </c>
      <c r="D820" s="87">
        <v>5187.0266643890918</v>
      </c>
      <c r="E820" s="85">
        <v>0</v>
      </c>
      <c r="T820" s="22"/>
      <c r="U820" s="22"/>
    </row>
    <row r="821" spans="2:21" x14ac:dyDescent="0.5">
      <c r="B821" s="85">
        <v>811</v>
      </c>
      <c r="C821" s="86">
        <v>46.73410219521611</v>
      </c>
      <c r="D821" s="87">
        <v>1213.0836198578652</v>
      </c>
      <c r="E821" s="85">
        <v>0</v>
      </c>
      <c r="T821" s="22"/>
      <c r="U821" s="22"/>
    </row>
    <row r="822" spans="2:21" x14ac:dyDescent="0.5">
      <c r="B822" s="85">
        <v>812</v>
      </c>
      <c r="C822" s="86">
        <v>91.347974341693131</v>
      </c>
      <c r="D822" s="87">
        <v>6697.7220128605268</v>
      </c>
      <c r="E822" s="85">
        <v>0</v>
      </c>
      <c r="T822" s="22"/>
      <c r="U822" s="22"/>
    </row>
    <row r="823" spans="2:21" x14ac:dyDescent="0.5">
      <c r="B823" s="85">
        <v>813</v>
      </c>
      <c r="C823" s="86">
        <v>60.587366487819352</v>
      </c>
      <c r="D823" s="87">
        <v>2930.7391509061431</v>
      </c>
      <c r="E823" s="85">
        <v>0</v>
      </c>
      <c r="T823" s="22"/>
      <c r="U823" s="22"/>
    </row>
    <row r="824" spans="2:21" x14ac:dyDescent="0.5">
      <c r="B824" s="85">
        <v>814</v>
      </c>
      <c r="C824" s="86">
        <v>36.308810990996321</v>
      </c>
      <c r="D824" s="87">
        <v>-103.58269871439796</v>
      </c>
      <c r="E824" s="85">
        <v>1</v>
      </c>
      <c r="T824" s="22"/>
      <c r="U824" s="22"/>
    </row>
    <row r="825" spans="2:21" x14ac:dyDescent="0.5">
      <c r="B825" s="85">
        <v>815</v>
      </c>
      <c r="C825" s="86">
        <v>89.288578753783383</v>
      </c>
      <c r="D825" s="87">
        <v>6445.5258299211991</v>
      </c>
      <c r="E825" s="85">
        <v>0</v>
      </c>
      <c r="T825" s="22"/>
      <c r="U825" s="22"/>
    </row>
    <row r="826" spans="2:21" x14ac:dyDescent="0.5">
      <c r="B826" s="85">
        <v>816</v>
      </c>
      <c r="C826" s="86">
        <v>24.090297488061118</v>
      </c>
      <c r="D826" s="87">
        <v>-1727.5229463962257</v>
      </c>
      <c r="E826" s="85">
        <v>1</v>
      </c>
      <c r="T826" s="22"/>
      <c r="U826" s="22"/>
    </row>
    <row r="827" spans="2:21" x14ac:dyDescent="0.5">
      <c r="B827" s="85">
        <v>817</v>
      </c>
      <c r="C827" s="86">
        <v>24.158885775480734</v>
      </c>
      <c r="D827" s="87">
        <v>-1717.1064077982082</v>
      </c>
      <c r="E827" s="85">
        <v>1</v>
      </c>
      <c r="T827" s="22"/>
      <c r="U827" s="22"/>
    </row>
    <row r="828" spans="2:21" x14ac:dyDescent="0.5">
      <c r="B828" s="85">
        <v>818</v>
      </c>
      <c r="C828" s="86">
        <v>22.748504414247634</v>
      </c>
      <c r="D828" s="87">
        <v>-1978.8992769563347</v>
      </c>
      <c r="E828" s="85">
        <v>1</v>
      </c>
      <c r="T828" s="22"/>
      <c r="U828" s="22"/>
    </row>
    <row r="829" spans="2:21" x14ac:dyDescent="0.5">
      <c r="B829" s="85">
        <v>819</v>
      </c>
      <c r="C829" s="86">
        <v>35.64759211395527</v>
      </c>
      <c r="D829" s="87">
        <v>-188.51269506837076</v>
      </c>
      <c r="E829" s="85">
        <v>1</v>
      </c>
      <c r="T829" s="22"/>
      <c r="U829" s="22"/>
    </row>
    <row r="830" spans="2:21" x14ac:dyDescent="0.5">
      <c r="B830" s="85">
        <v>820</v>
      </c>
      <c r="C830" s="86">
        <v>53.725267799882459</v>
      </c>
      <c r="D830" s="87">
        <v>2084.545245814274</v>
      </c>
      <c r="E830" s="85">
        <v>0</v>
      </c>
      <c r="T830" s="22"/>
      <c r="U830" s="22"/>
    </row>
    <row r="831" spans="2:21" x14ac:dyDescent="0.5">
      <c r="B831" s="85">
        <v>821</v>
      </c>
      <c r="C831" s="86">
        <v>23.848115351107655</v>
      </c>
      <c r="D831" s="87">
        <v>-1772.8942171999599</v>
      </c>
      <c r="E831" s="85">
        <v>1</v>
      </c>
      <c r="T831" s="22"/>
      <c r="U831" s="22"/>
    </row>
    <row r="832" spans="2:21" x14ac:dyDescent="0.5">
      <c r="B832" s="85">
        <v>822</v>
      </c>
      <c r="C832" s="86">
        <v>29.834163285964237</v>
      </c>
      <c r="D832" s="87">
        <v>-943.45144162229326</v>
      </c>
      <c r="E832" s="85">
        <v>1</v>
      </c>
      <c r="T832" s="22"/>
      <c r="U832" s="22"/>
    </row>
    <row r="833" spans="2:21" x14ac:dyDescent="0.5">
      <c r="B833" s="85">
        <v>823</v>
      </c>
      <c r="C833" s="86">
        <v>85.422647370502759</v>
      </c>
      <c r="D833" s="87">
        <v>5972.098993381107</v>
      </c>
      <c r="E833" s="85">
        <v>0</v>
      </c>
      <c r="T833" s="22"/>
      <c r="U833" s="22"/>
    </row>
    <row r="834" spans="2:21" x14ac:dyDescent="0.5">
      <c r="B834" s="85">
        <v>824</v>
      </c>
      <c r="C834" s="86">
        <v>59.637233084089672</v>
      </c>
      <c r="D834" s="87">
        <v>2814.3846150847917</v>
      </c>
      <c r="E834" s="85">
        <v>0</v>
      </c>
      <c r="T834" s="22"/>
      <c r="U834" s="22"/>
    </row>
    <row r="835" spans="2:21" x14ac:dyDescent="0.5">
      <c r="B835" s="85">
        <v>825</v>
      </c>
      <c r="C835" s="86">
        <v>75.367822970723637</v>
      </c>
      <c r="D835" s="87">
        <v>4740.7725067961292</v>
      </c>
      <c r="E835" s="85">
        <v>0</v>
      </c>
      <c r="T835" s="22"/>
      <c r="U835" s="22"/>
    </row>
    <row r="836" spans="2:21" x14ac:dyDescent="0.5">
      <c r="B836" s="85">
        <v>826</v>
      </c>
      <c r="C836" s="86">
        <v>41.821349846972481</v>
      </c>
      <c r="D836" s="87">
        <v>595.9575031608822</v>
      </c>
      <c r="E836" s="85">
        <v>0</v>
      </c>
      <c r="T836" s="22"/>
      <c r="U836" s="22"/>
    </row>
    <row r="837" spans="2:21" x14ac:dyDescent="0.5">
      <c r="B837" s="85">
        <v>827</v>
      </c>
      <c r="C837" s="86">
        <v>47.971418780029325</v>
      </c>
      <c r="D837" s="87">
        <v>1368.008553879459</v>
      </c>
      <c r="E837" s="85">
        <v>0</v>
      </c>
      <c r="T837" s="22"/>
      <c r="U837" s="22"/>
    </row>
    <row r="838" spans="2:21" x14ac:dyDescent="0.5">
      <c r="B838" s="85">
        <v>828</v>
      </c>
      <c r="C838" s="86">
        <v>62.663854888049386</v>
      </c>
      <c r="D838" s="87">
        <v>3185.0285412157218</v>
      </c>
      <c r="E838" s="85">
        <v>0</v>
      </c>
      <c r="T838" s="22"/>
      <c r="U838" s="22"/>
    </row>
    <row r="839" spans="2:21" x14ac:dyDescent="0.5">
      <c r="B839" s="85">
        <v>829</v>
      </c>
      <c r="C839" s="86">
        <v>94.43670234162289</v>
      </c>
      <c r="D839" s="87">
        <v>7075.9715421366145</v>
      </c>
      <c r="E839" s="85">
        <v>0</v>
      </c>
      <c r="T839" s="22"/>
      <c r="U839" s="22"/>
    </row>
    <row r="840" spans="2:21" x14ac:dyDescent="0.5">
      <c r="B840" s="85">
        <v>830</v>
      </c>
      <c r="C840" s="86">
        <v>62.008827465377948</v>
      </c>
      <c r="D840" s="87">
        <v>3104.8130562995902</v>
      </c>
      <c r="E840" s="85">
        <v>0</v>
      </c>
      <c r="T840" s="22"/>
      <c r="U840" s="22"/>
    </row>
    <row r="841" spans="2:21" x14ac:dyDescent="0.5">
      <c r="B841" s="85">
        <v>831</v>
      </c>
      <c r="C841" s="86">
        <v>59.767830869641607</v>
      </c>
      <c r="D841" s="87">
        <v>2830.3777847360657</v>
      </c>
      <c r="E841" s="85">
        <v>0</v>
      </c>
      <c r="T841" s="22"/>
      <c r="U841" s="22"/>
    </row>
    <row r="842" spans="2:21" x14ac:dyDescent="0.5">
      <c r="B842" s="85">
        <v>832</v>
      </c>
      <c r="C842" s="86">
        <v>22.595497286731295</v>
      </c>
      <c r="D842" s="87">
        <v>-2007.5641814153264</v>
      </c>
      <c r="E842" s="85">
        <v>1</v>
      </c>
      <c r="T842" s="22"/>
      <c r="U842" s="22"/>
    </row>
    <row r="843" spans="2:21" x14ac:dyDescent="0.5">
      <c r="B843" s="85">
        <v>833</v>
      </c>
      <c r="C843" s="86">
        <v>64.540012760139575</v>
      </c>
      <c r="D843" s="87">
        <v>3414.785202204283</v>
      </c>
      <c r="E843" s="85">
        <v>0</v>
      </c>
      <c r="T843" s="22"/>
      <c r="U843" s="22"/>
    </row>
    <row r="844" spans="2:21" x14ac:dyDescent="0.5">
      <c r="B844" s="85">
        <v>834</v>
      </c>
      <c r="C844" s="86">
        <v>30.313537671044692</v>
      </c>
      <c r="D844" s="87">
        <v>-880.01903394036151</v>
      </c>
      <c r="E844" s="85">
        <v>1</v>
      </c>
      <c r="T844" s="22"/>
      <c r="U844" s="22"/>
    </row>
    <row r="845" spans="2:21" x14ac:dyDescent="0.5">
      <c r="B845" s="85">
        <v>835</v>
      </c>
      <c r="C845" s="86">
        <v>28.662292863380692</v>
      </c>
      <c r="D845" s="87">
        <v>-1099.7706247338983</v>
      </c>
      <c r="E845" s="85">
        <v>1</v>
      </c>
      <c r="T845" s="22"/>
      <c r="U845" s="22"/>
    </row>
    <row r="846" spans="2:21" x14ac:dyDescent="0.5">
      <c r="B846" s="85">
        <v>836</v>
      </c>
      <c r="C846" s="86">
        <v>23.884991599380161</v>
      </c>
      <c r="D846" s="87">
        <v>-1765.9856884882861</v>
      </c>
      <c r="E846" s="85">
        <v>1</v>
      </c>
      <c r="T846" s="22"/>
      <c r="U846" s="22"/>
    </row>
    <row r="847" spans="2:21" x14ac:dyDescent="0.5">
      <c r="B847" s="85">
        <v>837</v>
      </c>
      <c r="C847" s="86">
        <v>71.338312246574333</v>
      </c>
      <c r="D847" s="87">
        <v>4247.3135377133622</v>
      </c>
      <c r="E847" s="85">
        <v>0</v>
      </c>
      <c r="T847" s="22"/>
      <c r="U847" s="22"/>
    </row>
    <row r="848" spans="2:21" x14ac:dyDescent="0.5">
      <c r="B848" s="85">
        <v>838</v>
      </c>
      <c r="C848" s="86">
        <v>62.953272904453648</v>
      </c>
      <c r="D848" s="87">
        <v>3220.4710367904113</v>
      </c>
      <c r="E848" s="85">
        <v>0</v>
      </c>
      <c r="T848" s="22"/>
      <c r="U848" s="22"/>
    </row>
    <row r="849" spans="2:21" x14ac:dyDescent="0.5">
      <c r="B849" s="85">
        <v>839</v>
      </c>
      <c r="C849" s="86">
        <v>60.815139338242766</v>
      </c>
      <c r="D849" s="87">
        <v>2958.6325016500364</v>
      </c>
      <c r="E849" s="85">
        <v>0</v>
      </c>
      <c r="T849" s="22"/>
      <c r="U849" s="22"/>
    </row>
    <row r="850" spans="2:21" x14ac:dyDescent="0.5">
      <c r="B850" s="85">
        <v>840</v>
      </c>
      <c r="C850" s="86">
        <v>49.415846120218475</v>
      </c>
      <c r="D850" s="87">
        <v>1547.9662607712901</v>
      </c>
      <c r="E850" s="85">
        <v>0</v>
      </c>
      <c r="T850" s="22"/>
      <c r="U850" s="22"/>
    </row>
    <row r="851" spans="2:21" x14ac:dyDescent="0.5">
      <c r="B851" s="85">
        <v>841</v>
      </c>
      <c r="C851" s="86">
        <v>85.876612224950691</v>
      </c>
      <c r="D851" s="87">
        <v>6027.6921024236408</v>
      </c>
      <c r="E851" s="85">
        <v>0</v>
      </c>
      <c r="T851" s="22"/>
      <c r="U851" s="22"/>
    </row>
    <row r="852" spans="2:21" x14ac:dyDescent="0.5">
      <c r="B852" s="85">
        <v>842</v>
      </c>
      <c r="C852" s="86">
        <v>43.71985597889018</v>
      </c>
      <c r="D852" s="87">
        <v>835.29840886633781</v>
      </c>
      <c r="E852" s="85">
        <v>0</v>
      </c>
      <c r="T852" s="22"/>
      <c r="U852" s="22"/>
    </row>
    <row r="853" spans="2:21" x14ac:dyDescent="0.5">
      <c r="B853" s="85">
        <v>843</v>
      </c>
      <c r="C853" s="86">
        <v>25.055710269502136</v>
      </c>
      <c r="D853" s="87">
        <v>-1590.0816137624852</v>
      </c>
      <c r="E853" s="85">
        <v>1</v>
      </c>
      <c r="T853" s="22"/>
      <c r="U853" s="22"/>
    </row>
    <row r="854" spans="2:21" x14ac:dyDescent="0.5">
      <c r="B854" s="85">
        <v>844</v>
      </c>
      <c r="C854" s="86">
        <v>43.586544583305475</v>
      </c>
      <c r="D854" s="87">
        <v>818.59006120855042</v>
      </c>
      <c r="E854" s="85">
        <v>0</v>
      </c>
      <c r="T854" s="22"/>
      <c r="U854" s="22"/>
    </row>
    <row r="855" spans="2:21" x14ac:dyDescent="0.5">
      <c r="B855" s="85">
        <v>845</v>
      </c>
      <c r="C855" s="86">
        <v>78.365640851550111</v>
      </c>
      <c r="D855" s="87">
        <v>5107.8890681456023</v>
      </c>
      <c r="E855" s="85">
        <v>0</v>
      </c>
      <c r="T855" s="22"/>
      <c r="U855" s="22"/>
    </row>
    <row r="856" spans="2:21" x14ac:dyDescent="0.5">
      <c r="B856" s="85">
        <v>846</v>
      </c>
      <c r="C856" s="86">
        <v>74.90185920837564</v>
      </c>
      <c r="D856" s="87">
        <v>4683.7099963478631</v>
      </c>
      <c r="E856" s="85">
        <v>0</v>
      </c>
      <c r="T856" s="22"/>
      <c r="U856" s="22"/>
    </row>
    <row r="857" spans="2:21" x14ac:dyDescent="0.5">
      <c r="B857" s="85">
        <v>847</v>
      </c>
      <c r="C857" s="86">
        <v>70.111147269640085</v>
      </c>
      <c r="D857" s="87">
        <v>4097.0333657849724</v>
      </c>
      <c r="E857" s="85">
        <v>0</v>
      </c>
      <c r="T857" s="22"/>
      <c r="U857" s="22"/>
    </row>
    <row r="858" spans="2:21" x14ac:dyDescent="0.5">
      <c r="B858" s="85">
        <v>848</v>
      </c>
      <c r="C858" s="86">
        <v>30.32020510918306</v>
      </c>
      <c r="D858" s="87">
        <v>-879.13677642442087</v>
      </c>
      <c r="E858" s="85">
        <v>1</v>
      </c>
      <c r="T858" s="22"/>
      <c r="U858" s="22"/>
    </row>
    <row r="859" spans="2:21" x14ac:dyDescent="0.5">
      <c r="B859" s="85">
        <v>849</v>
      </c>
      <c r="C859" s="86">
        <v>22.366443347185132</v>
      </c>
      <c r="D859" s="87">
        <v>-2050.4759685956014</v>
      </c>
      <c r="E859" s="85">
        <v>1</v>
      </c>
      <c r="T859" s="22"/>
      <c r="U859" s="22"/>
    </row>
    <row r="860" spans="2:21" x14ac:dyDescent="0.5">
      <c r="B860" s="85">
        <v>850</v>
      </c>
      <c r="C860" s="86">
        <v>52.66013881186705</v>
      </c>
      <c r="D860" s="87">
        <v>1952.1648362417261</v>
      </c>
      <c r="E860" s="85">
        <v>0</v>
      </c>
      <c r="T860" s="22"/>
      <c r="U860" s="22"/>
    </row>
    <row r="861" spans="2:21" x14ac:dyDescent="0.5">
      <c r="B861" s="85">
        <v>851</v>
      </c>
      <c r="C861" s="86">
        <v>66.483554676523539</v>
      </c>
      <c r="D861" s="87">
        <v>3652.7937983051042</v>
      </c>
      <c r="E861" s="85">
        <v>0</v>
      </c>
      <c r="T861" s="22"/>
      <c r="U861" s="22"/>
    </row>
    <row r="862" spans="2:21" x14ac:dyDescent="0.5">
      <c r="B862" s="85">
        <v>852</v>
      </c>
      <c r="C862" s="86">
        <v>61.789210677037723</v>
      </c>
      <c r="D862" s="87">
        <v>3077.9185072124878</v>
      </c>
      <c r="E862" s="85">
        <v>0</v>
      </c>
      <c r="T862" s="22"/>
      <c r="U862" s="22"/>
    </row>
    <row r="863" spans="2:21" x14ac:dyDescent="0.5">
      <c r="B863" s="85">
        <v>853</v>
      </c>
      <c r="C863" s="86">
        <v>99.747628604682149</v>
      </c>
      <c r="D863" s="87">
        <v>7726.3542754390774</v>
      </c>
      <c r="E863" s="85">
        <v>0</v>
      </c>
      <c r="T863" s="22"/>
      <c r="U863" s="22"/>
    </row>
    <row r="864" spans="2:21" x14ac:dyDescent="0.5">
      <c r="B864" s="85">
        <v>854</v>
      </c>
      <c r="C864" s="86">
        <v>97.340454016484472</v>
      </c>
      <c r="D864" s="87">
        <v>7431.5686371789816</v>
      </c>
      <c r="E864" s="85">
        <v>0</v>
      </c>
      <c r="T864" s="22"/>
      <c r="U864" s="22"/>
    </row>
    <row r="865" spans="2:21" x14ac:dyDescent="0.5">
      <c r="B865" s="85">
        <v>855</v>
      </c>
      <c r="C865" s="86">
        <v>98.918705882782049</v>
      </c>
      <c r="D865" s="87">
        <v>7624.843352699334</v>
      </c>
      <c r="E865" s="85">
        <v>0</v>
      </c>
      <c r="T865" s="22"/>
      <c r="U865" s="22"/>
    </row>
    <row r="866" spans="2:21" x14ac:dyDescent="0.5">
      <c r="B866" s="85">
        <v>856</v>
      </c>
      <c r="C866" s="86">
        <v>99.177781276329938</v>
      </c>
      <c r="D866" s="87">
        <v>7656.5700523824171</v>
      </c>
      <c r="E866" s="85">
        <v>0</v>
      </c>
      <c r="T866" s="22"/>
      <c r="U866" s="22"/>
    </row>
    <row r="867" spans="2:21" x14ac:dyDescent="0.5">
      <c r="B867" s="85">
        <v>857</v>
      </c>
      <c r="C867" s="86">
        <v>62.964500720004125</v>
      </c>
      <c r="D867" s="87">
        <v>3221.8460092537885</v>
      </c>
      <c r="E867" s="85">
        <v>0</v>
      </c>
      <c r="T867" s="22"/>
      <c r="U867" s="22"/>
    </row>
    <row r="868" spans="2:21" x14ac:dyDescent="0.5">
      <c r="B868" s="85">
        <v>858</v>
      </c>
      <c r="C868" s="86">
        <v>54.169195875777945</v>
      </c>
      <c r="D868" s="87">
        <v>2139.574600735898</v>
      </c>
      <c r="E868" s="85">
        <v>0</v>
      </c>
      <c r="T868" s="22"/>
      <c r="U868" s="22"/>
    </row>
    <row r="869" spans="2:21" x14ac:dyDescent="0.5">
      <c r="B869" s="85">
        <v>859</v>
      </c>
      <c r="C869" s="86">
        <v>27.358624785597296</v>
      </c>
      <c r="D869" s="87">
        <v>-1274.1854183846883</v>
      </c>
      <c r="E869" s="85">
        <v>1</v>
      </c>
      <c r="T869" s="22"/>
      <c r="U869" s="22"/>
    </row>
    <row r="870" spans="2:21" x14ac:dyDescent="0.5">
      <c r="B870" s="85">
        <v>860</v>
      </c>
      <c r="C870" s="86">
        <v>34.526884595495424</v>
      </c>
      <c r="D870" s="87">
        <v>-333.09528723796927</v>
      </c>
      <c r="E870" s="85">
        <v>1</v>
      </c>
      <c r="T870" s="22"/>
      <c r="U870" s="22"/>
    </row>
    <row r="871" spans="2:21" x14ac:dyDescent="0.5">
      <c r="B871" s="85">
        <v>861</v>
      </c>
      <c r="C871" s="86">
        <v>94.010786893533037</v>
      </c>
      <c r="D871" s="87">
        <v>7023.8133987989495</v>
      </c>
      <c r="E871" s="85">
        <v>0</v>
      </c>
      <c r="T871" s="22"/>
      <c r="U871" s="22"/>
    </row>
    <row r="872" spans="2:21" x14ac:dyDescent="0.5">
      <c r="B872" s="85">
        <v>862</v>
      </c>
      <c r="C872" s="86">
        <v>74.30315867371155</v>
      </c>
      <c r="D872" s="87">
        <v>4610.3923732294843</v>
      </c>
      <c r="E872" s="85">
        <v>0</v>
      </c>
      <c r="T872" s="22"/>
      <c r="U872" s="22"/>
    </row>
    <row r="873" spans="2:21" x14ac:dyDescent="0.5">
      <c r="B873" s="85">
        <v>863</v>
      </c>
      <c r="C873" s="86">
        <v>62.444812531047305</v>
      </c>
      <c r="D873" s="87">
        <v>3158.2043377153018</v>
      </c>
      <c r="E873" s="85">
        <v>0</v>
      </c>
      <c r="T873" s="22"/>
      <c r="U873" s="22"/>
    </row>
    <row r="874" spans="2:21" x14ac:dyDescent="0.5">
      <c r="B874" s="85">
        <v>864</v>
      </c>
      <c r="C874" s="86">
        <v>66.267103279205955</v>
      </c>
      <c r="D874" s="87">
        <v>3626.2868869977988</v>
      </c>
      <c r="E874" s="85">
        <v>0</v>
      </c>
      <c r="T874" s="22"/>
      <c r="U874" s="22"/>
    </row>
    <row r="875" spans="2:21" x14ac:dyDescent="0.5">
      <c r="B875" s="85">
        <v>865</v>
      </c>
      <c r="C875" s="86">
        <v>43.474519681142681</v>
      </c>
      <c r="D875" s="87">
        <v>804.54961850328868</v>
      </c>
      <c r="E875" s="85">
        <v>0</v>
      </c>
      <c r="T875" s="22"/>
      <c r="U875" s="22"/>
    </row>
    <row r="876" spans="2:21" x14ac:dyDescent="0.5">
      <c r="B876" s="85">
        <v>866</v>
      </c>
      <c r="C876" s="86">
        <v>41.938304878952181</v>
      </c>
      <c r="D876" s="87">
        <v>610.71820102853997</v>
      </c>
      <c r="E876" s="85">
        <v>0</v>
      </c>
      <c r="T876" s="22"/>
      <c r="U876" s="22"/>
    </row>
    <row r="877" spans="2:21" x14ac:dyDescent="0.5">
      <c r="B877" s="85">
        <v>867</v>
      </c>
      <c r="C877" s="86">
        <v>36.520692117187217</v>
      </c>
      <c r="D877" s="87">
        <v>-76.367711514703757</v>
      </c>
      <c r="E877" s="85">
        <v>1</v>
      </c>
      <c r="T877" s="22"/>
      <c r="U877" s="22"/>
    </row>
    <row r="878" spans="2:21" x14ac:dyDescent="0.5">
      <c r="B878" s="85">
        <v>868</v>
      </c>
      <c r="C878" s="86">
        <v>92.380100689882866</v>
      </c>
      <c r="D878" s="87">
        <v>6824.1175081469664</v>
      </c>
      <c r="E878" s="85">
        <v>0</v>
      </c>
      <c r="T878" s="22"/>
      <c r="U878" s="22"/>
    </row>
    <row r="879" spans="2:21" x14ac:dyDescent="0.5">
      <c r="B879" s="85">
        <v>869</v>
      </c>
      <c r="C879" s="86">
        <v>90.251560374836671</v>
      </c>
      <c r="D879" s="87">
        <v>6563.4537746522392</v>
      </c>
      <c r="E879" s="85">
        <v>0</v>
      </c>
      <c r="T879" s="22"/>
      <c r="U879" s="22"/>
    </row>
    <row r="880" spans="2:21" x14ac:dyDescent="0.5">
      <c r="B880" s="85">
        <v>870</v>
      </c>
      <c r="C880" s="86">
        <v>23.044308771941022</v>
      </c>
      <c r="D880" s="87">
        <v>-1923.4822268523856</v>
      </c>
      <c r="E880" s="85">
        <v>1</v>
      </c>
      <c r="T880" s="22"/>
      <c r="U880" s="22"/>
    </row>
    <row r="881" spans="2:21" x14ac:dyDescent="0.5">
      <c r="B881" s="85">
        <v>871</v>
      </c>
      <c r="C881" s="86">
        <v>26.401205980516949</v>
      </c>
      <c r="D881" s="87">
        <v>-1404.8226954346981</v>
      </c>
      <c r="E881" s="85">
        <v>1</v>
      </c>
      <c r="T881" s="22"/>
      <c r="U881" s="22"/>
    </row>
    <row r="882" spans="2:21" x14ac:dyDescent="0.5">
      <c r="B882" s="85">
        <v>872</v>
      </c>
      <c r="C882" s="86">
        <v>81.22206322477993</v>
      </c>
      <c r="D882" s="87">
        <v>5457.6901571739763</v>
      </c>
      <c r="E882" s="85">
        <v>0</v>
      </c>
      <c r="T882" s="22"/>
      <c r="U882" s="22"/>
    </row>
    <row r="883" spans="2:21" x14ac:dyDescent="0.5">
      <c r="B883" s="85">
        <v>873</v>
      </c>
      <c r="C883" s="86">
        <v>36.173134147062896</v>
      </c>
      <c r="D883" s="87">
        <v>-121.0096571100048</v>
      </c>
      <c r="E883" s="85">
        <v>1</v>
      </c>
      <c r="T883" s="22"/>
      <c r="U883" s="22"/>
    </row>
    <row r="884" spans="2:21" x14ac:dyDescent="0.5">
      <c r="B884" s="85">
        <v>874</v>
      </c>
      <c r="C884" s="86">
        <v>27.52498775855301</v>
      </c>
      <c r="D884" s="87">
        <v>-1251.9280937683347</v>
      </c>
      <c r="E884" s="85">
        <v>1</v>
      </c>
      <c r="T884" s="22"/>
      <c r="U884" s="22"/>
    </row>
    <row r="885" spans="2:21" x14ac:dyDescent="0.5">
      <c r="B885" s="85">
        <v>875</v>
      </c>
      <c r="C885" s="86">
        <v>72.671548342948284</v>
      </c>
      <c r="D885" s="87">
        <v>4410.5833128048562</v>
      </c>
      <c r="E885" s="85">
        <v>0</v>
      </c>
      <c r="T885" s="22"/>
      <c r="U885" s="22"/>
    </row>
    <row r="886" spans="2:21" x14ac:dyDescent="0.5">
      <c r="B886" s="85">
        <v>876</v>
      </c>
      <c r="C886" s="86">
        <v>50.766306386021995</v>
      </c>
      <c r="D886" s="87">
        <v>1716.2168372597623</v>
      </c>
      <c r="E886" s="85">
        <v>0</v>
      </c>
      <c r="T886" s="22"/>
      <c r="U886" s="22"/>
    </row>
    <row r="887" spans="2:21" x14ac:dyDescent="0.5">
      <c r="B887" s="85">
        <v>877</v>
      </c>
      <c r="C887" s="86">
        <v>86.470763690195767</v>
      </c>
      <c r="D887" s="87">
        <v>6100.4526407594094</v>
      </c>
      <c r="E887" s="85">
        <v>0</v>
      </c>
      <c r="T887" s="22"/>
      <c r="U887" s="22"/>
    </row>
    <row r="888" spans="2:21" x14ac:dyDescent="0.5">
      <c r="B888" s="85">
        <v>878</v>
      </c>
      <c r="C888" s="86">
        <v>25.60575229291662</v>
      </c>
      <c r="D888" s="87">
        <v>-1513.6285791593323</v>
      </c>
      <c r="E888" s="85">
        <v>1</v>
      </c>
      <c r="T888" s="22"/>
      <c r="U888" s="22"/>
    </row>
    <row r="889" spans="2:21" x14ac:dyDescent="0.5">
      <c r="B889" s="85">
        <v>879</v>
      </c>
      <c r="C889" s="86">
        <v>39.003542278059527</v>
      </c>
      <c r="D889" s="87">
        <v>240.32674944399724</v>
      </c>
      <c r="E889" s="85">
        <v>0</v>
      </c>
      <c r="T889" s="22"/>
      <c r="U889" s="22"/>
    </row>
    <row r="890" spans="2:21" x14ac:dyDescent="0.5">
      <c r="B890" s="85">
        <v>880</v>
      </c>
      <c r="C890" s="86">
        <v>64.509425281532742</v>
      </c>
      <c r="D890" s="87">
        <v>3411.0394209684346</v>
      </c>
      <c r="E890" s="85">
        <v>0</v>
      </c>
      <c r="T890" s="22"/>
      <c r="U890" s="22"/>
    </row>
    <row r="891" spans="2:21" x14ac:dyDescent="0.5">
      <c r="B891" s="85">
        <v>881</v>
      </c>
      <c r="C891" s="86">
        <v>71.872658448582371</v>
      </c>
      <c r="D891" s="87">
        <v>4312.7502480305557</v>
      </c>
      <c r="E891" s="85">
        <v>0</v>
      </c>
      <c r="T891" s="22"/>
      <c r="U891" s="22"/>
    </row>
    <row r="892" spans="2:21" x14ac:dyDescent="0.5">
      <c r="B892" s="85">
        <v>882</v>
      </c>
      <c r="C892" s="86">
        <v>82.998814311915282</v>
      </c>
      <c r="D892" s="87">
        <v>5675.2733378117673</v>
      </c>
      <c r="E892" s="85">
        <v>0</v>
      </c>
      <c r="T892" s="22"/>
      <c r="U892" s="22"/>
    </row>
    <row r="893" spans="2:21" x14ac:dyDescent="0.5">
      <c r="B893" s="85">
        <v>883</v>
      </c>
      <c r="C893" s="86">
        <v>94.837344428724066</v>
      </c>
      <c r="D893" s="87">
        <v>7125.0346777891109</v>
      </c>
      <c r="E893" s="85">
        <v>0</v>
      </c>
      <c r="T893" s="22"/>
      <c r="U893" s="22"/>
    </row>
    <row r="894" spans="2:21" x14ac:dyDescent="0.5">
      <c r="B894" s="85">
        <v>884</v>
      </c>
      <c r="C894" s="86">
        <v>94.342750918685311</v>
      </c>
      <c r="D894" s="87">
        <v>7064.4661323039063</v>
      </c>
      <c r="E894" s="85">
        <v>0</v>
      </c>
      <c r="T894" s="22"/>
      <c r="U894" s="22"/>
    </row>
    <row r="895" spans="2:21" x14ac:dyDescent="0.5">
      <c r="B895" s="85">
        <v>885</v>
      </c>
      <c r="C895" s="86">
        <v>85.893622352448517</v>
      </c>
      <c r="D895" s="87">
        <v>6029.7751841061745</v>
      </c>
      <c r="E895" s="85">
        <v>0</v>
      </c>
      <c r="T895" s="22"/>
      <c r="U895" s="22"/>
    </row>
    <row r="896" spans="2:21" x14ac:dyDescent="0.5">
      <c r="B896" s="85">
        <v>886</v>
      </c>
      <c r="C896" s="86">
        <v>98.629429698515594</v>
      </c>
      <c r="D896" s="87">
        <v>7589.4182260672487</v>
      </c>
      <c r="E896" s="85">
        <v>0</v>
      </c>
      <c r="T896" s="22"/>
      <c r="U896" s="22"/>
    </row>
    <row r="897" spans="2:21" x14ac:dyDescent="0.5">
      <c r="B897" s="85">
        <v>887</v>
      </c>
      <c r="C897" s="86">
        <v>40.4490201055279</v>
      </c>
      <c r="D897" s="87">
        <v>422.75807475338814</v>
      </c>
      <c r="E897" s="85">
        <v>0</v>
      </c>
      <c r="T897" s="22"/>
      <c r="U897" s="22"/>
    </row>
    <row r="898" spans="2:21" x14ac:dyDescent="0.5">
      <c r="B898" s="85">
        <v>888</v>
      </c>
      <c r="C898" s="86">
        <v>69.26174070810319</v>
      </c>
      <c r="D898" s="87">
        <v>3993.0139661898443</v>
      </c>
      <c r="E898" s="85">
        <v>0</v>
      </c>
      <c r="T898" s="22"/>
      <c r="U898" s="22"/>
    </row>
    <row r="899" spans="2:21" x14ac:dyDescent="0.5">
      <c r="B899" s="85">
        <v>889</v>
      </c>
      <c r="C899" s="86">
        <v>81.428897768807133</v>
      </c>
      <c r="D899" s="87">
        <v>5483.0193764895339</v>
      </c>
      <c r="E899" s="85">
        <v>0</v>
      </c>
      <c r="T899" s="22"/>
      <c r="U899" s="22"/>
    </row>
    <row r="900" spans="2:21" x14ac:dyDescent="0.5">
      <c r="B900" s="85">
        <v>890</v>
      </c>
      <c r="C900" s="86">
        <v>46.971423061021028</v>
      </c>
      <c r="D900" s="87">
        <v>1242.8278102545223</v>
      </c>
      <c r="E900" s="85">
        <v>0</v>
      </c>
      <c r="T900" s="22"/>
      <c r="U900" s="22"/>
    </row>
    <row r="901" spans="2:21" x14ac:dyDescent="0.5">
      <c r="B901" s="85">
        <v>891</v>
      </c>
      <c r="C901" s="86">
        <v>35.444787520277508</v>
      </c>
      <c r="D901" s="87">
        <v>-214.56185065010351</v>
      </c>
      <c r="E901" s="85">
        <v>1</v>
      </c>
      <c r="T901" s="22"/>
      <c r="U901" s="22"/>
    </row>
    <row r="902" spans="2:21" x14ac:dyDescent="0.5">
      <c r="B902" s="85">
        <v>892</v>
      </c>
      <c r="C902" s="86">
        <v>47.087680060635158</v>
      </c>
      <c r="D902" s="87">
        <v>1257.3986753983793</v>
      </c>
      <c r="E902" s="85">
        <v>0</v>
      </c>
      <c r="T902" s="22"/>
      <c r="U902" s="22"/>
    </row>
    <row r="903" spans="2:21" x14ac:dyDescent="0.5">
      <c r="B903" s="85">
        <v>893</v>
      </c>
      <c r="C903" s="86">
        <v>89.014693127349872</v>
      </c>
      <c r="D903" s="87">
        <v>6411.9854504263685</v>
      </c>
      <c r="E903" s="85">
        <v>0</v>
      </c>
      <c r="T903" s="22"/>
      <c r="U903" s="22"/>
    </row>
    <row r="904" spans="2:21" x14ac:dyDescent="0.5">
      <c r="B904" s="85">
        <v>894</v>
      </c>
      <c r="C904" s="86">
        <v>61.200609021031134</v>
      </c>
      <c r="D904" s="87">
        <v>3005.8376055206968</v>
      </c>
      <c r="E904" s="85">
        <v>0</v>
      </c>
      <c r="T904" s="22"/>
      <c r="U904" s="22"/>
    </row>
    <row r="905" spans="2:21" x14ac:dyDescent="0.5">
      <c r="B905" s="85">
        <v>895</v>
      </c>
      <c r="C905" s="86">
        <v>73.266567552352569</v>
      </c>
      <c r="D905" s="87">
        <v>4483.4501161855751</v>
      </c>
      <c r="E905" s="85">
        <v>0</v>
      </c>
      <c r="T905" s="22"/>
      <c r="U905" s="22"/>
    </row>
    <row r="906" spans="2:21" x14ac:dyDescent="0.5">
      <c r="B906" s="85">
        <v>896</v>
      </c>
      <c r="C906" s="86">
        <v>67.67324134245959</v>
      </c>
      <c r="D906" s="87">
        <v>3798.4843289658102</v>
      </c>
      <c r="E906" s="85">
        <v>0</v>
      </c>
      <c r="T906" s="22"/>
      <c r="U906" s="22"/>
    </row>
    <row r="907" spans="2:21" x14ac:dyDescent="0.5">
      <c r="B907" s="85">
        <v>897</v>
      </c>
      <c r="C907" s="86">
        <v>96.282252817996422</v>
      </c>
      <c r="D907" s="87">
        <v>7301.9799828149216</v>
      </c>
      <c r="E907" s="85">
        <v>0</v>
      </c>
      <c r="T907" s="22"/>
      <c r="U907" s="22"/>
    </row>
    <row r="908" spans="2:21" x14ac:dyDescent="0.5">
      <c r="B908" s="85">
        <v>898</v>
      </c>
      <c r="C908" s="86">
        <v>99.944245585918154</v>
      </c>
      <c r="D908" s="87">
        <v>7750.4322391192391</v>
      </c>
      <c r="E908" s="85">
        <v>0</v>
      </c>
      <c r="T908" s="22"/>
      <c r="U908" s="22"/>
    </row>
    <row r="909" spans="2:21" x14ac:dyDescent="0.5">
      <c r="B909" s="85">
        <v>899</v>
      </c>
      <c r="C909" s="86">
        <v>30.628046283983224</v>
      </c>
      <c r="D909" s="87">
        <v>-838.40221173145869</v>
      </c>
      <c r="E909" s="85">
        <v>1</v>
      </c>
      <c r="T909" s="22"/>
      <c r="U909" s="22"/>
    </row>
    <row r="910" spans="2:21" x14ac:dyDescent="0.5">
      <c r="B910" s="85">
        <v>900</v>
      </c>
      <c r="C910" s="86">
        <v>37.190715228527424</v>
      </c>
      <c r="D910" s="87">
        <v>9.693141221156516</v>
      </c>
      <c r="E910" s="85">
        <v>0</v>
      </c>
      <c r="T910" s="22"/>
      <c r="U910" s="22"/>
    </row>
    <row r="911" spans="2:21" x14ac:dyDescent="0.5">
      <c r="B911" s="85">
        <v>901</v>
      </c>
      <c r="C911" s="86">
        <v>70.256859649966174</v>
      </c>
      <c r="D911" s="87">
        <v>4114.87748778901</v>
      </c>
      <c r="E911" s="85">
        <v>0</v>
      </c>
      <c r="T911" s="22"/>
      <c r="U911" s="22"/>
    </row>
    <row r="912" spans="2:21" x14ac:dyDescent="0.5">
      <c r="B912" s="85">
        <v>902</v>
      </c>
      <c r="C912" s="86">
        <v>64.500720347151258</v>
      </c>
      <c r="D912" s="87">
        <v>3409.9734037172398</v>
      </c>
      <c r="E912" s="85">
        <v>0</v>
      </c>
      <c r="T912" s="22"/>
      <c r="U912" s="22"/>
    </row>
    <row r="913" spans="2:21" x14ac:dyDescent="0.5">
      <c r="B913" s="85">
        <v>903</v>
      </c>
      <c r="C913" s="86">
        <v>41.789235752944272</v>
      </c>
      <c r="D913" s="87">
        <v>591.90443736952511</v>
      </c>
      <c r="E913" s="85">
        <v>0</v>
      </c>
      <c r="T913" s="22"/>
      <c r="U913" s="22"/>
    </row>
    <row r="914" spans="2:21" x14ac:dyDescent="0.5">
      <c r="B914" s="85">
        <v>904</v>
      </c>
      <c r="C914" s="86">
        <v>91.606542528128244</v>
      </c>
      <c r="D914" s="87">
        <v>6729.3865993204172</v>
      </c>
      <c r="E914" s="85">
        <v>0</v>
      </c>
      <c r="T914" s="22"/>
      <c r="U914" s="22"/>
    </row>
    <row r="915" spans="2:21" x14ac:dyDescent="0.5">
      <c r="B915" s="85">
        <v>905</v>
      </c>
      <c r="C915" s="86">
        <v>91.235339443371799</v>
      </c>
      <c r="D915" s="87">
        <v>6683.9286010511778</v>
      </c>
      <c r="E915" s="85">
        <v>0</v>
      </c>
      <c r="T915" s="22"/>
      <c r="U915" s="22"/>
    </row>
    <row r="916" spans="2:21" x14ac:dyDescent="0.5">
      <c r="B916" s="85">
        <v>906</v>
      </c>
      <c r="C916" s="86">
        <v>24.226836152414883</v>
      </c>
      <c r="D916" s="87">
        <v>-1707.2815999076688</v>
      </c>
      <c r="E916" s="85">
        <v>1</v>
      </c>
      <c r="T916" s="22"/>
      <c r="U916" s="22"/>
    </row>
    <row r="917" spans="2:21" x14ac:dyDescent="0.5">
      <c r="B917" s="85">
        <v>907</v>
      </c>
      <c r="C917" s="86">
        <v>65.77257763920008</v>
      </c>
      <c r="D917" s="87">
        <v>3565.7266529624826</v>
      </c>
      <c r="E917" s="85">
        <v>0</v>
      </c>
      <c r="T917" s="22"/>
      <c r="U917" s="22"/>
    </row>
    <row r="918" spans="2:21" x14ac:dyDescent="0.5">
      <c r="B918" s="85">
        <v>908</v>
      </c>
      <c r="C918" s="86">
        <v>95.647213939774332</v>
      </c>
      <c r="D918" s="87">
        <v>7224.2123202803832</v>
      </c>
      <c r="E918" s="85">
        <v>0</v>
      </c>
      <c r="T918" s="22"/>
      <c r="U918" s="22"/>
    </row>
    <row r="919" spans="2:21" x14ac:dyDescent="0.5">
      <c r="B919" s="85">
        <v>909</v>
      </c>
      <c r="C919" s="86">
        <v>25.399364298046947</v>
      </c>
      <c r="D919" s="87">
        <v>-1541.9976525019219</v>
      </c>
      <c r="E919" s="85">
        <v>1</v>
      </c>
      <c r="T919" s="22"/>
      <c r="U919" s="22"/>
    </row>
    <row r="920" spans="2:21" x14ac:dyDescent="0.5">
      <c r="B920" s="85">
        <v>910</v>
      </c>
      <c r="C920" s="86">
        <v>33.478120582025319</v>
      </c>
      <c r="D920" s="87">
        <v>-469.0150799515049</v>
      </c>
      <c r="E920" s="85">
        <v>1</v>
      </c>
      <c r="T920" s="22"/>
      <c r="U920" s="22"/>
    </row>
    <row r="921" spans="2:21" x14ac:dyDescent="0.5">
      <c r="B921" s="85">
        <v>911</v>
      </c>
      <c r="C921" s="86">
        <v>37.3201139202787</v>
      </c>
      <c r="D921" s="87">
        <v>26.313704850289966</v>
      </c>
      <c r="E921" s="85">
        <v>0</v>
      </c>
      <c r="T921" s="22"/>
      <c r="U921" s="22"/>
    </row>
    <row r="922" spans="2:21" x14ac:dyDescent="0.5">
      <c r="B922" s="85">
        <v>912</v>
      </c>
      <c r="C922" s="86">
        <v>20.977317893739659</v>
      </c>
      <c r="D922" s="87">
        <v>-2310.7197170465711</v>
      </c>
      <c r="E922" s="85">
        <v>1</v>
      </c>
      <c r="T922" s="22"/>
      <c r="U922" s="22"/>
    </row>
    <row r="923" spans="2:21" x14ac:dyDescent="0.5">
      <c r="B923" s="85">
        <v>913</v>
      </c>
      <c r="C923" s="86">
        <v>62.056840772795113</v>
      </c>
      <c r="D923" s="87">
        <v>3110.6928265253728</v>
      </c>
      <c r="E923" s="85">
        <v>0</v>
      </c>
      <c r="T923" s="22"/>
      <c r="U923" s="22"/>
    </row>
    <row r="924" spans="2:21" x14ac:dyDescent="0.5">
      <c r="B924" s="85">
        <v>914</v>
      </c>
      <c r="C924" s="86">
        <v>46.379055637961564</v>
      </c>
      <c r="D924" s="87">
        <v>1168.584488427349</v>
      </c>
      <c r="E924" s="85">
        <v>0</v>
      </c>
      <c r="T924" s="22"/>
      <c r="U924" s="22"/>
    </row>
    <row r="925" spans="2:21" x14ac:dyDescent="0.5">
      <c r="B925" s="85">
        <v>915</v>
      </c>
      <c r="C925" s="86">
        <v>21.657481172719237</v>
      </c>
      <c r="D925" s="87">
        <v>-2183.2954870453773</v>
      </c>
      <c r="E925" s="85">
        <v>1</v>
      </c>
      <c r="T925" s="22"/>
      <c r="U925" s="22"/>
    </row>
    <row r="926" spans="2:21" x14ac:dyDescent="0.5">
      <c r="B926" s="85">
        <v>916</v>
      </c>
      <c r="C926" s="86">
        <v>69.0285331689999</v>
      </c>
      <c r="D926" s="87">
        <v>3964.4550766108778</v>
      </c>
      <c r="E926" s="85">
        <v>0</v>
      </c>
      <c r="T926" s="22"/>
      <c r="U926" s="22"/>
    </row>
    <row r="927" spans="2:21" x14ac:dyDescent="0.5">
      <c r="B927" s="85">
        <v>917</v>
      </c>
      <c r="C927" s="86">
        <v>23.33800690065905</v>
      </c>
      <c r="D927" s="87">
        <v>-1868.4597652445902</v>
      </c>
      <c r="E927" s="85">
        <v>1</v>
      </c>
      <c r="T927" s="22"/>
      <c r="U927" s="22"/>
    </row>
    <row r="928" spans="2:21" x14ac:dyDescent="0.5">
      <c r="B928" s="85">
        <v>918</v>
      </c>
      <c r="C928" s="86">
        <v>47.925412819027017</v>
      </c>
      <c r="D928" s="87">
        <v>1362.2767825296812</v>
      </c>
      <c r="E928" s="85">
        <v>0</v>
      </c>
      <c r="T928" s="22"/>
      <c r="U928" s="22"/>
    </row>
    <row r="929" spans="2:21" x14ac:dyDescent="0.5">
      <c r="B929" s="85">
        <v>919</v>
      </c>
      <c r="C929" s="86">
        <v>78.582423394260388</v>
      </c>
      <c r="D929" s="87">
        <v>5134.4365319356484</v>
      </c>
      <c r="E929" s="85">
        <v>0</v>
      </c>
      <c r="T929" s="22"/>
      <c r="U929" s="22"/>
    </row>
    <row r="930" spans="2:21" x14ac:dyDescent="0.5">
      <c r="B930" s="85">
        <v>920</v>
      </c>
      <c r="C930" s="86">
        <v>23.921689912290152</v>
      </c>
      <c r="D930" s="87">
        <v>-1759.1104948260906</v>
      </c>
      <c r="E930" s="85">
        <v>1</v>
      </c>
      <c r="T930" s="22"/>
      <c r="U930" s="22"/>
    </row>
    <row r="931" spans="2:21" x14ac:dyDescent="0.5">
      <c r="B931" s="85">
        <v>921</v>
      </c>
      <c r="C931" s="86">
        <v>92.247229312070473</v>
      </c>
      <c r="D931" s="87">
        <v>6807.8459115178875</v>
      </c>
      <c r="E931" s="85">
        <v>0</v>
      </c>
      <c r="T931" s="22"/>
      <c r="U931" s="22"/>
    </row>
    <row r="932" spans="2:21" x14ac:dyDescent="0.5">
      <c r="B932" s="85">
        <v>922</v>
      </c>
      <c r="C932" s="86">
        <v>92.426294310285655</v>
      </c>
      <c r="D932" s="87">
        <v>6829.7744372042744</v>
      </c>
      <c r="E932" s="85">
        <v>0</v>
      </c>
      <c r="T932" s="22"/>
      <c r="U932" s="22"/>
    </row>
    <row r="933" spans="2:21" x14ac:dyDescent="0.5">
      <c r="B933" s="85">
        <v>923</v>
      </c>
      <c r="C933" s="86">
        <v>46.006638291123224</v>
      </c>
      <c r="D933" s="87">
        <v>1121.9082198497542</v>
      </c>
      <c r="E933" s="85">
        <v>0</v>
      </c>
      <c r="T933" s="22"/>
      <c r="U933" s="22"/>
    </row>
    <row r="934" spans="2:21" x14ac:dyDescent="0.5">
      <c r="B934" s="85">
        <v>924</v>
      </c>
      <c r="C934" s="86">
        <v>98.602756686133532</v>
      </c>
      <c r="D934" s="87">
        <v>7586.1518153058851</v>
      </c>
      <c r="E934" s="85">
        <v>0</v>
      </c>
      <c r="T934" s="22"/>
      <c r="U934" s="22"/>
    </row>
    <row r="935" spans="2:21" x14ac:dyDescent="0.5">
      <c r="B935" s="85">
        <v>925</v>
      </c>
      <c r="C935" s="86">
        <v>68.261478532722748</v>
      </c>
      <c r="D935" s="87">
        <v>3870.5205977226551</v>
      </c>
      <c r="E935" s="85">
        <v>0</v>
      </c>
      <c r="T935" s="22"/>
      <c r="U935" s="22"/>
    </row>
    <row r="936" spans="2:21" x14ac:dyDescent="0.5">
      <c r="B936" s="85">
        <v>926</v>
      </c>
      <c r="C936" s="86">
        <v>86.045924816353903</v>
      </c>
      <c r="D936" s="87">
        <v>6048.4263360629375</v>
      </c>
      <c r="E936" s="85">
        <v>0</v>
      </c>
      <c r="T936" s="22"/>
      <c r="U936" s="22"/>
    </row>
    <row r="937" spans="2:21" x14ac:dyDescent="0.5">
      <c r="B937" s="85">
        <v>927</v>
      </c>
      <c r="C937" s="86">
        <v>42.347038561752292</v>
      </c>
      <c r="D937" s="87">
        <v>662.30379164421015</v>
      </c>
      <c r="E937" s="85">
        <v>0</v>
      </c>
      <c r="T937" s="22"/>
      <c r="U937" s="22"/>
    </row>
    <row r="938" spans="2:21" x14ac:dyDescent="0.5">
      <c r="B938" s="85">
        <v>928</v>
      </c>
      <c r="C938" s="86">
        <v>44.363071768061822</v>
      </c>
      <c r="D938" s="87">
        <v>915.91472060263641</v>
      </c>
      <c r="E938" s="85">
        <v>0</v>
      </c>
      <c r="T938" s="22"/>
      <c r="U938" s="22"/>
    </row>
    <row r="939" spans="2:21" x14ac:dyDescent="0.5">
      <c r="B939" s="85">
        <v>929</v>
      </c>
      <c r="C939" s="86">
        <v>24.991077599211671</v>
      </c>
      <c r="D939" s="87">
        <v>-1599.124996223542</v>
      </c>
      <c r="E939" s="85">
        <v>1</v>
      </c>
      <c r="T939" s="22"/>
      <c r="U939" s="22"/>
    </row>
    <row r="940" spans="2:21" x14ac:dyDescent="0.5">
      <c r="B940" s="85">
        <v>930</v>
      </c>
      <c r="C940" s="86">
        <v>61.062523667941555</v>
      </c>
      <c r="D940" s="87">
        <v>2988.9274988984121</v>
      </c>
      <c r="E940" s="85">
        <v>0</v>
      </c>
      <c r="T940" s="22"/>
      <c r="U940" s="22"/>
    </row>
    <row r="941" spans="2:21" x14ac:dyDescent="0.5">
      <c r="B941" s="85">
        <v>931</v>
      </c>
      <c r="C941" s="86">
        <v>34.363904381352761</v>
      </c>
      <c r="D941" s="87">
        <v>-354.21751934944439</v>
      </c>
      <c r="E941" s="85">
        <v>1</v>
      </c>
      <c r="T941" s="22"/>
      <c r="U941" s="22"/>
    </row>
    <row r="942" spans="2:21" x14ac:dyDescent="0.5">
      <c r="B942" s="85">
        <v>932</v>
      </c>
      <c r="C942" s="86">
        <v>97.086338301106039</v>
      </c>
      <c r="D942" s="87">
        <v>7400.4493059443312</v>
      </c>
      <c r="E942" s="85">
        <v>0</v>
      </c>
      <c r="T942" s="22"/>
      <c r="U942" s="22"/>
    </row>
    <row r="943" spans="2:21" x14ac:dyDescent="0.5">
      <c r="B943" s="85">
        <v>933</v>
      </c>
      <c r="C943" s="86">
        <v>22.628437927461256</v>
      </c>
      <c r="D943" s="87">
        <v>-2001.3929635467891</v>
      </c>
      <c r="E943" s="85">
        <v>1</v>
      </c>
      <c r="T943" s="22"/>
      <c r="U943" s="22"/>
    </row>
    <row r="944" spans="2:21" x14ac:dyDescent="0.5">
      <c r="B944" s="85">
        <v>934</v>
      </c>
      <c r="C944" s="86">
        <v>96.818479552531343</v>
      </c>
      <c r="D944" s="87">
        <v>7367.6469855188498</v>
      </c>
      <c r="E944" s="85">
        <v>0</v>
      </c>
      <c r="T944" s="22"/>
      <c r="U944" s="22"/>
    </row>
    <row r="945" spans="2:21" x14ac:dyDescent="0.5">
      <c r="B945" s="85">
        <v>935</v>
      </c>
      <c r="C945" s="86">
        <v>33.993351351480392</v>
      </c>
      <c r="D945" s="87">
        <v>-402.24118374175896</v>
      </c>
      <c r="E945" s="85">
        <v>1</v>
      </c>
      <c r="T945" s="22"/>
      <c r="U945" s="22"/>
    </row>
    <row r="946" spans="2:21" x14ac:dyDescent="0.5">
      <c r="B946" s="85">
        <v>936</v>
      </c>
      <c r="C946" s="86">
        <v>96.640917215789599</v>
      </c>
      <c r="D946" s="87">
        <v>7345.9024776530687</v>
      </c>
      <c r="E946" s="85">
        <v>0</v>
      </c>
      <c r="T946" s="22"/>
      <c r="U946" s="22"/>
    </row>
    <row r="947" spans="2:21" x14ac:dyDescent="0.5">
      <c r="B947" s="85">
        <v>937</v>
      </c>
      <c r="C947" s="86">
        <v>36.564583606667178</v>
      </c>
      <c r="D947" s="87">
        <v>-70.730086560339629</v>
      </c>
      <c r="E947" s="85">
        <v>1</v>
      </c>
      <c r="T947" s="22"/>
      <c r="U947" s="22"/>
    </row>
    <row r="948" spans="2:21" x14ac:dyDescent="0.5">
      <c r="B948" s="85">
        <v>938</v>
      </c>
      <c r="C948" s="86">
        <v>93.495408436359185</v>
      </c>
      <c r="D948" s="87">
        <v>6960.6995024540856</v>
      </c>
      <c r="E948" s="85">
        <v>0</v>
      </c>
      <c r="T948" s="22"/>
      <c r="U948" s="22"/>
    </row>
    <row r="949" spans="2:21" x14ac:dyDescent="0.5">
      <c r="B949" s="85">
        <v>939</v>
      </c>
      <c r="C949" s="86">
        <v>23.661839941208118</v>
      </c>
      <c r="D949" s="87">
        <v>-1807.7917210908142</v>
      </c>
      <c r="E949" s="85">
        <v>1</v>
      </c>
      <c r="T949" s="22"/>
      <c r="U949" s="22"/>
    </row>
    <row r="950" spans="2:21" x14ac:dyDescent="0.5">
      <c r="B950" s="85">
        <v>940</v>
      </c>
      <c r="C950" s="86">
        <v>29.321463581460094</v>
      </c>
      <c r="D950" s="87">
        <v>-1011.5816702494549</v>
      </c>
      <c r="E950" s="85">
        <v>1</v>
      </c>
      <c r="T950" s="22"/>
      <c r="U950" s="22"/>
    </row>
    <row r="951" spans="2:21" x14ac:dyDescent="0.5">
      <c r="B951" s="85">
        <v>941</v>
      </c>
      <c r="C951" s="86">
        <v>96.439634286941896</v>
      </c>
      <c r="D951" s="87">
        <v>7321.2531161393053</v>
      </c>
      <c r="E951" s="85">
        <v>0</v>
      </c>
      <c r="T951" s="22"/>
      <c r="U951" s="22"/>
    </row>
    <row r="952" spans="2:21" x14ac:dyDescent="0.5">
      <c r="B952" s="85">
        <v>942</v>
      </c>
      <c r="C952" s="86">
        <v>50.506541462406972</v>
      </c>
      <c r="D952" s="87">
        <v>1683.853354041167</v>
      </c>
      <c r="E952" s="85">
        <v>0</v>
      </c>
      <c r="T952" s="22"/>
      <c r="U952" s="22"/>
    </row>
    <row r="953" spans="2:21" x14ac:dyDescent="0.5">
      <c r="B953" s="85">
        <v>943</v>
      </c>
      <c r="C953" s="86">
        <v>33.054212782999734</v>
      </c>
      <c r="D953" s="87">
        <v>-523.95352123398834</v>
      </c>
      <c r="E953" s="85">
        <v>1</v>
      </c>
      <c r="T953" s="22"/>
      <c r="U953" s="22"/>
    </row>
    <row r="954" spans="2:21" x14ac:dyDescent="0.5">
      <c r="B954" s="85">
        <v>944</v>
      </c>
      <c r="C954" s="86">
        <v>92.387548777779784</v>
      </c>
      <c r="D954" s="87">
        <v>6825.0296103913479</v>
      </c>
      <c r="E954" s="85">
        <v>0</v>
      </c>
      <c r="T954" s="22"/>
      <c r="U954" s="22"/>
    </row>
    <row r="955" spans="2:21" x14ac:dyDescent="0.5">
      <c r="B955" s="85">
        <v>945</v>
      </c>
      <c r="C955" s="86">
        <v>69.075029382327102</v>
      </c>
      <c r="D955" s="87">
        <v>3970.1490615796201</v>
      </c>
      <c r="E955" s="85">
        <v>0</v>
      </c>
      <c r="T955" s="22"/>
      <c r="U955" s="22"/>
    </row>
    <row r="956" spans="2:21" x14ac:dyDescent="0.5">
      <c r="B956" s="85">
        <v>946</v>
      </c>
      <c r="C956" s="86">
        <v>79.01811030529332</v>
      </c>
      <c r="D956" s="87">
        <v>5187.7913009582708</v>
      </c>
      <c r="E956" s="85">
        <v>0</v>
      </c>
      <c r="T956" s="22"/>
      <c r="U956" s="22"/>
    </row>
    <row r="957" spans="2:21" x14ac:dyDescent="0.5">
      <c r="B957" s="85">
        <v>947</v>
      </c>
      <c r="C957" s="86">
        <v>54.704892961543493</v>
      </c>
      <c r="D957" s="87">
        <v>2205.97964845361</v>
      </c>
      <c r="E957" s="85">
        <v>0</v>
      </c>
      <c r="T957" s="22"/>
      <c r="U957" s="22"/>
    </row>
    <row r="958" spans="2:21" x14ac:dyDescent="0.5">
      <c r="B958" s="85">
        <v>948</v>
      </c>
      <c r="C958" s="86">
        <v>94.947581113297417</v>
      </c>
      <c r="D958" s="87">
        <v>7138.5344013160011</v>
      </c>
      <c r="E958" s="85">
        <v>0</v>
      </c>
      <c r="T958" s="22"/>
      <c r="U958" s="22"/>
    </row>
    <row r="959" spans="2:21" x14ac:dyDescent="0.5">
      <c r="B959" s="85">
        <v>949</v>
      </c>
      <c r="C959" s="86">
        <v>29.966808071473707</v>
      </c>
      <c r="D959" s="87">
        <v>-925.89944390779942</v>
      </c>
      <c r="E959" s="85">
        <v>1</v>
      </c>
      <c r="T959" s="22"/>
      <c r="U959" s="22"/>
    </row>
    <row r="960" spans="2:21" x14ac:dyDescent="0.5">
      <c r="B960" s="85">
        <v>950</v>
      </c>
      <c r="C960" s="86">
        <v>46.751448497324475</v>
      </c>
      <c r="D960" s="87">
        <v>1215.2576879105802</v>
      </c>
      <c r="E960" s="85">
        <v>0</v>
      </c>
      <c r="T960" s="22"/>
      <c r="U960" s="22"/>
    </row>
    <row r="961" spans="2:21" x14ac:dyDescent="0.5">
      <c r="B961" s="85">
        <v>951</v>
      </c>
      <c r="C961" s="86">
        <v>74.777198287844385</v>
      </c>
      <c r="D961" s="87">
        <v>4668.4438626801721</v>
      </c>
      <c r="E961" s="85">
        <v>0</v>
      </c>
      <c r="T961" s="22"/>
      <c r="U961" s="22"/>
    </row>
    <row r="962" spans="2:21" x14ac:dyDescent="0.5">
      <c r="B962" s="85">
        <v>952</v>
      </c>
      <c r="C962" s="86">
        <v>74.590299819447722</v>
      </c>
      <c r="D962" s="87">
        <v>4645.5560403484333</v>
      </c>
      <c r="E962" s="85">
        <v>0</v>
      </c>
      <c r="T962" s="22"/>
      <c r="U962" s="22"/>
    </row>
    <row r="963" spans="2:21" x14ac:dyDescent="0.5">
      <c r="B963" s="85">
        <v>953</v>
      </c>
      <c r="C963" s="86">
        <v>46.544657985630323</v>
      </c>
      <c r="D963" s="87">
        <v>1189.3399653740826</v>
      </c>
      <c r="E963" s="85">
        <v>0</v>
      </c>
      <c r="T963" s="22"/>
      <c r="U963" s="22"/>
    </row>
    <row r="964" spans="2:21" x14ac:dyDescent="0.5">
      <c r="B964" s="85">
        <v>954</v>
      </c>
      <c r="C964" s="86">
        <v>83.078738018965211</v>
      </c>
      <c r="D964" s="87">
        <v>5685.060895851947</v>
      </c>
      <c r="E964" s="85">
        <v>0</v>
      </c>
      <c r="T964" s="22"/>
      <c r="U964" s="22"/>
    </row>
    <row r="965" spans="2:21" x14ac:dyDescent="0.5">
      <c r="B965" s="85">
        <v>955</v>
      </c>
      <c r="C965" s="86">
        <v>34.147389735786753</v>
      </c>
      <c r="D965" s="87">
        <v>-382.2778125772839</v>
      </c>
      <c r="E965" s="85">
        <v>1</v>
      </c>
      <c r="T965" s="22"/>
      <c r="U965" s="22"/>
    </row>
    <row r="966" spans="2:21" x14ac:dyDescent="0.5">
      <c r="B966" s="85">
        <v>956</v>
      </c>
      <c r="C966" s="86">
        <v>55.541887727927424</v>
      </c>
      <c r="D966" s="87">
        <v>2309.7335774520716</v>
      </c>
      <c r="E966" s="85">
        <v>0</v>
      </c>
      <c r="T966" s="22"/>
      <c r="U966" s="22"/>
    </row>
    <row r="967" spans="2:21" x14ac:dyDescent="0.5">
      <c r="B967" s="85">
        <v>957</v>
      </c>
      <c r="C967" s="86">
        <v>27.81370741293923</v>
      </c>
      <c r="D967" s="87">
        <v>-1213.300946413219</v>
      </c>
      <c r="E967" s="85">
        <v>1</v>
      </c>
      <c r="T967" s="22"/>
      <c r="U967" s="22"/>
    </row>
    <row r="968" spans="2:21" x14ac:dyDescent="0.5">
      <c r="B968" s="85">
        <v>958</v>
      </c>
      <c r="C968" s="86">
        <v>31.668547768705018</v>
      </c>
      <c r="D968" s="87">
        <v>-703.53567612712573</v>
      </c>
      <c r="E968" s="85">
        <v>1</v>
      </c>
      <c r="T968" s="22"/>
      <c r="U968" s="22"/>
    </row>
    <row r="969" spans="2:21" x14ac:dyDescent="0.5">
      <c r="B969" s="85">
        <v>959</v>
      </c>
      <c r="C969" s="86">
        <v>70.14824437716058</v>
      </c>
      <c r="D969" s="87">
        <v>4101.5763243936453</v>
      </c>
      <c r="E969" s="85">
        <v>0</v>
      </c>
      <c r="T969" s="22"/>
      <c r="U969" s="22"/>
    </row>
    <row r="970" spans="2:21" x14ac:dyDescent="0.5">
      <c r="B970" s="85">
        <v>960</v>
      </c>
      <c r="C970" s="86">
        <v>70.609118705187086</v>
      </c>
      <c r="D970" s="87">
        <v>4158.0155762913264</v>
      </c>
      <c r="E970" s="85">
        <v>0</v>
      </c>
      <c r="T970" s="22"/>
      <c r="U970" s="22"/>
    </row>
    <row r="971" spans="2:21" x14ac:dyDescent="0.5">
      <c r="B971" s="85">
        <v>961</v>
      </c>
      <c r="C971" s="86">
        <v>83.04789570614669</v>
      </c>
      <c r="D971" s="87">
        <v>5681.2839072968991</v>
      </c>
      <c r="E971" s="85">
        <v>0</v>
      </c>
      <c r="T971" s="22"/>
      <c r="U971" s="22"/>
    </row>
    <row r="972" spans="2:21" x14ac:dyDescent="0.5">
      <c r="B972" s="85">
        <v>962</v>
      </c>
      <c r="C972" s="86">
        <v>24.61117788813624</v>
      </c>
      <c r="D972" s="87">
        <v>-1652.2907159571739</v>
      </c>
      <c r="E972" s="85">
        <v>1</v>
      </c>
      <c r="T972" s="22"/>
      <c r="U972" s="22"/>
    </row>
    <row r="973" spans="2:21" x14ac:dyDescent="0.5">
      <c r="B973" s="85">
        <v>963</v>
      </c>
      <c r="C973" s="86">
        <v>94.711933877750923</v>
      </c>
      <c r="D973" s="87">
        <v>7109.6767434313642</v>
      </c>
      <c r="E973" s="85">
        <v>0</v>
      </c>
      <c r="T973" s="22"/>
      <c r="U973" s="22"/>
    </row>
    <row r="974" spans="2:21" x14ac:dyDescent="0.5">
      <c r="B974" s="85">
        <v>964</v>
      </c>
      <c r="C974" s="86">
        <v>57.489914667572606</v>
      </c>
      <c r="D974" s="87">
        <v>2551.2111313156788</v>
      </c>
      <c r="E974" s="85">
        <v>0</v>
      </c>
      <c r="T974" s="22"/>
      <c r="U974" s="22"/>
    </row>
    <row r="975" spans="2:21" x14ac:dyDescent="0.5">
      <c r="B975" s="85">
        <v>965</v>
      </c>
      <c r="C975" s="86">
        <v>99.058714984957035</v>
      </c>
      <c r="D975" s="87">
        <v>7641.989044062655</v>
      </c>
      <c r="E975" s="85">
        <v>0</v>
      </c>
      <c r="T975" s="22"/>
      <c r="U975" s="22"/>
    </row>
    <row r="976" spans="2:21" x14ac:dyDescent="0.5">
      <c r="B976" s="85">
        <v>966</v>
      </c>
      <c r="C976" s="86">
        <v>79.097798164807486</v>
      </c>
      <c r="D976" s="87">
        <v>5197.5499768115487</v>
      </c>
      <c r="E976" s="85">
        <v>0</v>
      </c>
      <c r="T976" s="22"/>
      <c r="U976" s="22"/>
    </row>
    <row r="977" spans="2:21" x14ac:dyDescent="0.5">
      <c r="B977" s="85">
        <v>967</v>
      </c>
      <c r="C977" s="86">
        <v>46.280437433162191</v>
      </c>
      <c r="D977" s="87">
        <v>1156.2243503915277</v>
      </c>
      <c r="E977" s="85">
        <v>0</v>
      </c>
      <c r="T977" s="22"/>
      <c r="U977" s="22"/>
    </row>
    <row r="978" spans="2:21" x14ac:dyDescent="0.5">
      <c r="B978" s="85">
        <v>968</v>
      </c>
      <c r="C978" s="86">
        <v>40.793868883665077</v>
      </c>
      <c r="D978" s="87">
        <v>466.28085900603406</v>
      </c>
      <c r="E978" s="85">
        <v>0</v>
      </c>
      <c r="T978" s="22"/>
      <c r="U978" s="22"/>
    </row>
    <row r="979" spans="2:21" x14ac:dyDescent="0.5">
      <c r="B979" s="85">
        <v>969</v>
      </c>
      <c r="C979" s="86">
        <v>95.217302079326203</v>
      </c>
      <c r="D979" s="87">
        <v>7171.564771241292</v>
      </c>
      <c r="E979" s="85">
        <v>0</v>
      </c>
      <c r="T979" s="22"/>
      <c r="U979" s="22"/>
    </row>
    <row r="980" spans="2:21" x14ac:dyDescent="0.5">
      <c r="B980" s="85">
        <v>970</v>
      </c>
      <c r="C980" s="86">
        <v>42.411907203508562</v>
      </c>
      <c r="D980" s="87">
        <v>670.49075381113812</v>
      </c>
      <c r="E980" s="85">
        <v>0</v>
      </c>
      <c r="T980" s="22"/>
      <c r="U980" s="22"/>
    </row>
    <row r="981" spans="2:21" x14ac:dyDescent="0.5">
      <c r="B981" s="85">
        <v>971</v>
      </c>
      <c r="C981" s="86">
        <v>34.104702565265512</v>
      </c>
      <c r="D981" s="87">
        <v>-387.81006892309091</v>
      </c>
      <c r="E981" s="85">
        <v>1</v>
      </c>
      <c r="T981" s="22"/>
      <c r="U981" s="22"/>
    </row>
    <row r="982" spans="2:21" x14ac:dyDescent="0.5">
      <c r="B982" s="85">
        <v>972</v>
      </c>
      <c r="C982" s="86">
        <v>91.617091104109249</v>
      </c>
      <c r="D982" s="87">
        <v>6730.6783912488218</v>
      </c>
      <c r="E982" s="85">
        <v>0</v>
      </c>
      <c r="T982" s="22"/>
      <c r="U982" s="22"/>
    </row>
    <row r="983" spans="2:21" x14ac:dyDescent="0.5">
      <c r="B983" s="85">
        <v>973</v>
      </c>
      <c r="C983" s="86">
        <v>76.005420415354166</v>
      </c>
      <c r="D983" s="87">
        <v>4818.8534946023137</v>
      </c>
      <c r="E983" s="85">
        <v>0</v>
      </c>
      <c r="T983" s="22"/>
      <c r="U983" s="22"/>
    </row>
    <row r="984" spans="2:21" x14ac:dyDescent="0.5">
      <c r="B984" s="85">
        <v>974</v>
      </c>
      <c r="C984" s="86">
        <v>89.707804192733263</v>
      </c>
      <c r="D984" s="87">
        <v>6496.8647062958635</v>
      </c>
      <c r="E984" s="85">
        <v>0</v>
      </c>
      <c r="T984" s="22"/>
      <c r="U984" s="22"/>
    </row>
    <row r="985" spans="2:21" x14ac:dyDescent="0.5">
      <c r="B985" s="85">
        <v>975</v>
      </c>
      <c r="C985" s="86">
        <v>20.84691166035401</v>
      </c>
      <c r="D985" s="87">
        <v>-2335.1504888774939</v>
      </c>
      <c r="E985" s="85">
        <v>1</v>
      </c>
      <c r="T985" s="22"/>
      <c r="U985" s="22"/>
    </row>
    <row r="986" spans="2:21" x14ac:dyDescent="0.5">
      <c r="B986" s="85">
        <v>976</v>
      </c>
      <c r="C986" s="86">
        <v>61.000262751769803</v>
      </c>
      <c r="D986" s="87">
        <v>2981.302948522075</v>
      </c>
      <c r="E986" s="85">
        <v>0</v>
      </c>
      <c r="T986" s="22"/>
      <c r="U986" s="22"/>
    </row>
    <row r="987" spans="2:21" x14ac:dyDescent="0.5">
      <c r="B987" s="85">
        <v>977</v>
      </c>
      <c r="C987" s="86">
        <v>30.187359205266677</v>
      </c>
      <c r="D987" s="87">
        <v>-896.71538679319121</v>
      </c>
      <c r="E987" s="85">
        <v>1</v>
      </c>
      <c r="T987" s="22"/>
      <c r="U987" s="22"/>
    </row>
    <row r="988" spans="2:21" x14ac:dyDescent="0.5">
      <c r="B988" s="85">
        <v>978</v>
      </c>
      <c r="C988" s="86">
        <v>83.761903770963073</v>
      </c>
      <c r="D988" s="87">
        <v>5768.7222360918804</v>
      </c>
      <c r="E988" s="85">
        <v>0</v>
      </c>
      <c r="T988" s="22"/>
      <c r="U988" s="22"/>
    </row>
    <row r="989" spans="2:21" x14ac:dyDescent="0.5">
      <c r="B989" s="85">
        <v>979</v>
      </c>
      <c r="C989" s="86">
        <v>55.24347374386668</v>
      </c>
      <c r="D989" s="87">
        <v>2272.7421593956005</v>
      </c>
      <c r="E989" s="85">
        <v>0</v>
      </c>
      <c r="T989" s="22"/>
      <c r="U989" s="22"/>
    </row>
    <row r="990" spans="2:21" x14ac:dyDescent="0.5">
      <c r="B990" s="85">
        <v>980</v>
      </c>
      <c r="C990" s="86">
        <v>21.997248887288396</v>
      </c>
      <c r="D990" s="87">
        <v>-2119.6421838661854</v>
      </c>
      <c r="E990" s="85">
        <v>1</v>
      </c>
      <c r="T990" s="22"/>
      <c r="U990" s="22"/>
    </row>
    <row r="991" spans="2:21" x14ac:dyDescent="0.5">
      <c r="B991" s="85">
        <v>981</v>
      </c>
      <c r="C991" s="86">
        <v>53.877807402689591</v>
      </c>
      <c r="D991" s="87">
        <v>2103.4540655043656</v>
      </c>
      <c r="E991" s="85">
        <v>0</v>
      </c>
      <c r="T991" s="22"/>
      <c r="U991" s="22"/>
    </row>
    <row r="992" spans="2:21" x14ac:dyDescent="0.5">
      <c r="B992" s="85">
        <v>982</v>
      </c>
      <c r="C992" s="86">
        <v>46.471914171919778</v>
      </c>
      <c r="D992" s="87">
        <v>1180.2227483192455</v>
      </c>
      <c r="E992" s="85">
        <v>0</v>
      </c>
      <c r="T992" s="22"/>
      <c r="U992" s="22"/>
    </row>
    <row r="993" spans="2:21" x14ac:dyDescent="0.5">
      <c r="B993" s="85">
        <v>983</v>
      </c>
      <c r="C993" s="86">
        <v>58.041232929669945</v>
      </c>
      <c r="D993" s="87">
        <v>2618.9364218001933</v>
      </c>
      <c r="E993" s="85">
        <v>0</v>
      </c>
      <c r="T993" s="22"/>
      <c r="U993" s="22"/>
    </row>
    <row r="994" spans="2:21" x14ac:dyDescent="0.5">
      <c r="B994" s="85">
        <v>984</v>
      </c>
      <c r="C994" s="86">
        <v>81.068121641934368</v>
      </c>
      <c r="D994" s="87">
        <v>5438.8382766430032</v>
      </c>
      <c r="E994" s="85">
        <v>0</v>
      </c>
      <c r="T994" s="22"/>
      <c r="U994" s="22"/>
    </row>
    <row r="995" spans="2:21" x14ac:dyDescent="0.5">
      <c r="B995" s="85">
        <v>985</v>
      </c>
      <c r="C995" s="86">
        <v>96.946340070128997</v>
      </c>
      <c r="D995" s="87">
        <v>7383.3049458816295</v>
      </c>
      <c r="E995" s="85">
        <v>0</v>
      </c>
      <c r="T995" s="22"/>
      <c r="U995" s="22"/>
    </row>
    <row r="996" spans="2:21" x14ac:dyDescent="0.5">
      <c r="B996" s="85">
        <v>986</v>
      </c>
      <c r="C996" s="86">
        <v>95.732103299444759</v>
      </c>
      <c r="D996" s="87">
        <v>7234.6079784078138</v>
      </c>
      <c r="E996" s="85">
        <v>0</v>
      </c>
      <c r="T996" s="22"/>
      <c r="U996" s="22"/>
    </row>
    <row r="997" spans="2:21" x14ac:dyDescent="0.5">
      <c r="B997" s="85">
        <v>987</v>
      </c>
      <c r="C997" s="86">
        <v>82.811790745975358</v>
      </c>
      <c r="D997" s="87">
        <v>5652.3701958769916</v>
      </c>
      <c r="E997" s="85">
        <v>0</v>
      </c>
      <c r="T997" s="22"/>
      <c r="U997" s="22"/>
    </row>
    <row r="998" spans="2:21" x14ac:dyDescent="0.5">
      <c r="B998" s="85">
        <v>988</v>
      </c>
      <c r="C998" s="86">
        <v>40.19641839913654</v>
      </c>
      <c r="D998" s="87">
        <v>390.87763826609967</v>
      </c>
      <c r="E998" s="85">
        <v>0</v>
      </c>
      <c r="T998" s="22"/>
      <c r="U998" s="22"/>
    </row>
    <row r="999" spans="2:21" x14ac:dyDescent="0.5">
      <c r="B999" s="85">
        <v>989</v>
      </c>
      <c r="C999" s="86">
        <v>54.863289997637388</v>
      </c>
      <c r="D999" s="87">
        <v>2225.6145559781266</v>
      </c>
      <c r="E999" s="85">
        <v>0</v>
      </c>
      <c r="T999" s="22"/>
      <c r="U999" s="22"/>
    </row>
    <row r="1000" spans="2:21" x14ac:dyDescent="0.5">
      <c r="B1000" s="85">
        <v>990</v>
      </c>
      <c r="C1000" s="86">
        <v>78.611954889091038</v>
      </c>
      <c r="D1000" s="87">
        <v>5138.0529960654676</v>
      </c>
      <c r="E1000" s="85">
        <v>0</v>
      </c>
      <c r="T1000" s="22"/>
      <c r="U1000" s="22"/>
    </row>
    <row r="1001" spans="2:21" x14ac:dyDescent="0.5">
      <c r="B1001" s="85">
        <v>991</v>
      </c>
      <c r="C1001" s="86">
        <v>39.460043786041048</v>
      </c>
      <c r="D1001" s="87">
        <v>297.94103693027586</v>
      </c>
      <c r="E1001" s="85">
        <v>0</v>
      </c>
      <c r="T1001" s="22"/>
      <c r="U1001" s="22"/>
    </row>
    <row r="1002" spans="2:21" x14ac:dyDescent="0.5">
      <c r="B1002" s="85">
        <v>992</v>
      </c>
      <c r="C1002" s="86">
        <v>99.79214568638595</v>
      </c>
      <c r="D1002" s="87">
        <v>7731.805893451281</v>
      </c>
      <c r="E1002" s="85">
        <v>0</v>
      </c>
      <c r="T1002" s="22"/>
      <c r="U1002" s="22"/>
    </row>
    <row r="1003" spans="2:21" x14ac:dyDescent="0.5">
      <c r="B1003" s="85">
        <v>993</v>
      </c>
      <c r="C1003" s="86">
        <v>46.105119163493356</v>
      </c>
      <c r="D1003" s="87">
        <v>1134.2511455687845</v>
      </c>
      <c r="E1003" s="85">
        <v>0</v>
      </c>
      <c r="T1003" s="22"/>
      <c r="U1003" s="22"/>
    </row>
    <row r="1004" spans="2:21" x14ac:dyDescent="0.5">
      <c r="B1004" s="85">
        <v>994</v>
      </c>
      <c r="C1004" s="86">
        <v>85.841064099698812</v>
      </c>
      <c r="D1004" s="87">
        <v>6023.3388341386126</v>
      </c>
      <c r="E1004" s="85">
        <v>0</v>
      </c>
      <c r="T1004" s="22"/>
      <c r="U1004" s="22"/>
    </row>
    <row r="1005" spans="2:21" x14ac:dyDescent="0.5">
      <c r="B1005" s="85">
        <v>995</v>
      </c>
      <c r="C1005" s="86">
        <v>27.604088409315874</v>
      </c>
      <c r="D1005" s="87">
        <v>-1241.3453972096324</v>
      </c>
      <c r="E1005" s="85">
        <v>1</v>
      </c>
      <c r="T1005" s="22"/>
      <c r="U1005" s="22"/>
    </row>
    <row r="1006" spans="2:21" x14ac:dyDescent="0.5">
      <c r="B1006" s="85">
        <v>996</v>
      </c>
      <c r="C1006" s="86">
        <v>22.623347348601783</v>
      </c>
      <c r="D1006" s="87">
        <v>-2002.3466508619906</v>
      </c>
      <c r="E1006" s="85">
        <v>1</v>
      </c>
      <c r="T1006" s="22"/>
      <c r="U1006" s="22"/>
    </row>
    <row r="1007" spans="2:21" x14ac:dyDescent="0.5">
      <c r="B1007" s="85">
        <v>997</v>
      </c>
      <c r="C1007" s="86">
        <v>53.49004439033429</v>
      </c>
      <c r="D1007" s="87">
        <v>2055.3869357348999</v>
      </c>
      <c r="E1007" s="85">
        <v>0</v>
      </c>
      <c r="T1007" s="22"/>
      <c r="U1007" s="22"/>
    </row>
    <row r="1008" spans="2:21" x14ac:dyDescent="0.5">
      <c r="B1008" s="85">
        <v>998</v>
      </c>
      <c r="C1008" s="86">
        <v>82.829788449072765</v>
      </c>
      <c r="D1008" s="87">
        <v>5654.574217313906</v>
      </c>
      <c r="E1008" s="85">
        <v>0</v>
      </c>
      <c r="T1008" s="22"/>
      <c r="U1008" s="22"/>
    </row>
    <row r="1009" spans="2:21" x14ac:dyDescent="0.5">
      <c r="B1009" s="85">
        <v>999</v>
      </c>
      <c r="C1009" s="86">
        <v>22.32725820907018</v>
      </c>
      <c r="D1009" s="87">
        <v>-2057.8170530176812</v>
      </c>
      <c r="E1009" s="85">
        <v>1</v>
      </c>
      <c r="T1009" s="22"/>
      <c r="U1009" s="22"/>
    </row>
    <row r="1010" spans="2:21" x14ac:dyDescent="0.5">
      <c r="B1010" s="85">
        <v>1000</v>
      </c>
      <c r="C1010" s="86">
        <v>94.975062927014932</v>
      </c>
      <c r="D1010" s="87">
        <v>7141.8998589097228</v>
      </c>
      <c r="E1010" s="85">
        <v>0</v>
      </c>
    </row>
  </sheetData>
  <pageMargins left="0.7" right="0.7" top="0.75" bottom="0.75" header="0.3" footer="0.3"/>
  <drawing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DBC10-D019-46DB-8F6D-E3663B00A1AF}">
  <dimension ref="B2:R477"/>
  <sheetViews>
    <sheetView zoomScale="67" zoomScaleNormal="70" workbookViewId="0">
      <selection activeCell="O11" sqref="O11"/>
    </sheetView>
  </sheetViews>
  <sheetFormatPr defaultRowHeight="15.6" x14ac:dyDescent="0.45"/>
  <cols>
    <col min="1" max="1" width="8.88671875" style="2"/>
    <col min="2" max="2" width="16.6640625" style="2" bestFit="1" customWidth="1"/>
    <col min="3" max="3" width="18.21875" style="2" customWidth="1"/>
    <col min="4" max="4" width="11.77734375" style="2" bestFit="1" customWidth="1"/>
    <col min="5" max="5" width="15.109375" style="2" bestFit="1" customWidth="1"/>
    <col min="6" max="7" width="12" style="2" bestFit="1" customWidth="1"/>
    <col min="8" max="11" width="8.88671875" style="2"/>
    <col min="12" max="12" width="16.44140625" style="2" bestFit="1" customWidth="1"/>
    <col min="13" max="14" width="8.88671875" style="2"/>
    <col min="15" max="15" width="16.44140625" style="2" bestFit="1" customWidth="1"/>
    <col min="16" max="16384" width="8.88671875" style="2"/>
  </cols>
  <sheetData>
    <row r="2" spans="2:18" x14ac:dyDescent="0.45">
      <c r="B2" s="1"/>
    </row>
    <row r="4" spans="2:18" x14ac:dyDescent="0.45">
      <c r="B4" s="1"/>
    </row>
    <row r="8" spans="2:18" ht="17.399999999999999" thickBot="1" x14ac:dyDescent="0.55000000000000004">
      <c r="B8" s="3"/>
      <c r="C8" s="4"/>
      <c r="D8" s="5"/>
      <c r="E8" s="5"/>
      <c r="F8" s="5"/>
      <c r="G8" s="5"/>
    </row>
    <row r="9" spans="2:18" ht="16.8" x14ac:dyDescent="0.5">
      <c r="B9" s="3"/>
      <c r="C9" s="4"/>
      <c r="D9" s="5"/>
      <c r="E9" s="5"/>
      <c r="F9" s="5"/>
      <c r="G9" s="5"/>
      <c r="N9" s="6" t="s">
        <v>117</v>
      </c>
      <c r="O9" s="6"/>
      <c r="Q9" s="6" t="s">
        <v>116</v>
      </c>
      <c r="R9" s="6"/>
    </row>
    <row r="10" spans="2:18" ht="16.8" x14ac:dyDescent="0.5">
      <c r="B10" s="3"/>
      <c r="C10" s="4"/>
      <c r="D10" s="5"/>
      <c r="E10" s="5"/>
      <c r="F10" s="5"/>
      <c r="G10" s="5"/>
    </row>
    <row r="11" spans="2:18" ht="16.8" x14ac:dyDescent="0.5">
      <c r="B11" s="3"/>
      <c r="C11" s="4"/>
      <c r="D11" s="5"/>
      <c r="E11" s="5"/>
      <c r="F11" s="5"/>
      <c r="G11" s="5"/>
      <c r="N11" s="2" t="s">
        <v>88</v>
      </c>
      <c r="O11" s="2">
        <v>44.701855895196495</v>
      </c>
      <c r="Q11" s="2" t="s">
        <v>88</v>
      </c>
      <c r="R11" s="2">
        <v>66.298691815747475</v>
      </c>
    </row>
    <row r="12" spans="2:18" ht="16.8" x14ac:dyDescent="0.5">
      <c r="B12" s="3"/>
      <c r="C12" s="4"/>
      <c r="D12" s="5"/>
      <c r="E12" s="5"/>
      <c r="F12" s="5"/>
      <c r="G12" s="5"/>
      <c r="N12" s="2" t="s">
        <v>108</v>
      </c>
      <c r="O12" s="2">
        <v>1.3978629180602207</v>
      </c>
      <c r="Q12" s="2" t="s">
        <v>108</v>
      </c>
      <c r="R12" s="2">
        <v>1.61586094014764</v>
      </c>
    </row>
    <row r="13" spans="2:18" ht="16.8" x14ac:dyDescent="0.5">
      <c r="B13" s="3"/>
      <c r="C13" s="4"/>
      <c r="D13" s="5"/>
      <c r="E13" s="5"/>
      <c r="F13" s="5"/>
      <c r="G13" s="5"/>
      <c r="N13" s="2" t="s">
        <v>89</v>
      </c>
      <c r="O13" s="2">
        <v>34.83</v>
      </c>
      <c r="Q13" s="2" t="s">
        <v>89</v>
      </c>
      <c r="R13" s="2">
        <v>53.434357945133478</v>
      </c>
    </row>
    <row r="14" spans="2:18" ht="16.8" x14ac:dyDescent="0.5">
      <c r="B14" s="3"/>
      <c r="C14" s="4"/>
      <c r="D14" s="5"/>
      <c r="E14" s="5"/>
      <c r="F14" s="5"/>
      <c r="G14" s="5"/>
      <c r="N14" s="2" t="s">
        <v>109</v>
      </c>
      <c r="O14" s="2">
        <v>17.89</v>
      </c>
      <c r="Q14" s="2" t="s">
        <v>109</v>
      </c>
      <c r="R14" s="2" t="e">
        <v>#N/A</v>
      </c>
    </row>
    <row r="15" spans="2:18" ht="16.8" x14ac:dyDescent="0.5">
      <c r="B15" s="3"/>
      <c r="C15" s="4"/>
      <c r="D15" s="5"/>
      <c r="E15" s="5"/>
      <c r="F15" s="5"/>
      <c r="G15" s="5"/>
      <c r="N15" s="2" t="s">
        <v>110</v>
      </c>
      <c r="O15" s="2">
        <v>29.915572831905266</v>
      </c>
      <c r="Q15" s="2" t="s">
        <v>110</v>
      </c>
      <c r="R15" s="2">
        <v>34.58093423659669</v>
      </c>
    </row>
    <row r="16" spans="2:18" ht="16.8" x14ac:dyDescent="0.5">
      <c r="B16" s="3"/>
      <c r="C16" s="4"/>
      <c r="D16" s="5"/>
      <c r="E16" s="5"/>
      <c r="F16" s="5"/>
      <c r="G16" s="5"/>
      <c r="N16" s="2" t="s">
        <v>111</v>
      </c>
      <c r="O16" s="2">
        <v>894.94149786102844</v>
      </c>
      <c r="Q16" s="2" t="s">
        <v>111</v>
      </c>
      <c r="R16" s="2">
        <v>1195.8410126758251</v>
      </c>
    </row>
    <row r="17" spans="2:18" x14ac:dyDescent="0.45">
      <c r="N17" s="2" t="s">
        <v>112</v>
      </c>
      <c r="O17" s="2">
        <v>-0.64797884549158935</v>
      </c>
      <c r="Q17" s="2" t="s">
        <v>112</v>
      </c>
      <c r="R17" s="2">
        <v>0.19598848515572564</v>
      </c>
    </row>
    <row r="18" spans="2:18" x14ac:dyDescent="0.45">
      <c r="N18" s="2" t="s">
        <v>113</v>
      </c>
      <c r="O18" s="2">
        <v>0.74715653663967052</v>
      </c>
      <c r="Q18" s="2" t="s">
        <v>113</v>
      </c>
      <c r="R18" s="2">
        <v>1.0312798830010759</v>
      </c>
    </row>
    <row r="19" spans="2:18" x14ac:dyDescent="0.45">
      <c r="B19" s="11" t="s">
        <v>102</v>
      </c>
      <c r="C19" s="11" t="s">
        <v>103</v>
      </c>
      <c r="D19" s="11" t="s">
        <v>104</v>
      </c>
      <c r="E19" s="11" t="s">
        <v>105</v>
      </c>
      <c r="F19" s="11" t="s">
        <v>106</v>
      </c>
      <c r="G19" s="11" t="s">
        <v>107</v>
      </c>
      <c r="N19" s="2" t="s">
        <v>114</v>
      </c>
      <c r="O19" s="2">
        <v>118.38</v>
      </c>
      <c r="Q19" s="2" t="s">
        <v>114</v>
      </c>
      <c r="R19" s="2">
        <v>163.87036738199441</v>
      </c>
    </row>
    <row r="20" spans="2:18" x14ac:dyDescent="0.45">
      <c r="B20" s="8">
        <v>31413</v>
      </c>
      <c r="C20" s="7">
        <v>1.099</v>
      </c>
      <c r="D20" s="7">
        <v>24.93</v>
      </c>
      <c r="E20" s="9">
        <f t="shared" ref="E20:E83" si="0">LN(D20)</f>
        <v>3.2160718975354663</v>
      </c>
      <c r="F20" s="9">
        <v>70.635060491355787</v>
      </c>
      <c r="G20" s="9">
        <f t="shared" ref="G20:G83" si="1">LN(F20)</f>
        <v>4.2575266287567741</v>
      </c>
      <c r="N20" s="2" t="s">
        <v>91</v>
      </c>
      <c r="O20" s="2">
        <v>9.39</v>
      </c>
      <c r="Q20" s="2" t="s">
        <v>91</v>
      </c>
      <c r="R20" s="2">
        <v>17.785231167883214</v>
      </c>
    </row>
    <row r="21" spans="2:18" x14ac:dyDescent="0.45">
      <c r="B21" s="8">
        <v>31444</v>
      </c>
      <c r="C21" s="7">
        <v>1.097</v>
      </c>
      <c r="D21" s="7">
        <v>18.11</v>
      </c>
      <c r="E21" s="9">
        <f t="shared" si="0"/>
        <v>2.8964642718953222</v>
      </c>
      <c r="F21" s="9">
        <v>51.405259762989971</v>
      </c>
      <c r="G21" s="9">
        <f t="shared" si="1"/>
        <v>3.9397404972450203</v>
      </c>
      <c r="N21" s="2" t="s">
        <v>90</v>
      </c>
      <c r="O21" s="2">
        <v>127.77</v>
      </c>
      <c r="Q21" s="2" t="s">
        <v>90</v>
      </c>
      <c r="R21" s="2">
        <v>181.65559854987762</v>
      </c>
    </row>
    <row r="22" spans="2:18" x14ac:dyDescent="0.45">
      <c r="B22" s="8">
        <v>31472</v>
      </c>
      <c r="C22" s="7">
        <v>1.091</v>
      </c>
      <c r="D22" s="7">
        <v>14.22</v>
      </c>
      <c r="E22" s="9">
        <f t="shared" si="0"/>
        <v>2.6546494243750947</v>
      </c>
      <c r="F22" s="9">
        <v>40.585470137488542</v>
      </c>
      <c r="G22" s="9">
        <f t="shared" si="1"/>
        <v>3.7034101241669526</v>
      </c>
      <c r="N22" s="2" t="s">
        <v>115</v>
      </c>
      <c r="O22" s="2">
        <v>20473.449999999993</v>
      </c>
      <c r="Q22" s="2" t="s">
        <v>115</v>
      </c>
      <c r="R22" s="2">
        <v>30364.800851612345</v>
      </c>
    </row>
    <row r="23" spans="2:18" ht="16.2" thickBot="1" x14ac:dyDescent="0.5">
      <c r="B23" s="8">
        <v>31503</v>
      </c>
      <c r="C23" s="7">
        <v>1.087</v>
      </c>
      <c r="D23" s="7">
        <v>13.15</v>
      </c>
      <c r="E23" s="9">
        <f t="shared" si="0"/>
        <v>2.5764217586237734</v>
      </c>
      <c r="F23" s="9">
        <v>37.669681140754371</v>
      </c>
      <c r="G23" s="9">
        <f t="shared" si="1"/>
        <v>3.6288555571274927</v>
      </c>
      <c r="N23" s="10" t="s">
        <v>94</v>
      </c>
      <c r="O23" s="10">
        <v>458</v>
      </c>
      <c r="Q23" s="10" t="s">
        <v>94</v>
      </c>
      <c r="R23" s="10">
        <v>458</v>
      </c>
    </row>
    <row r="24" spans="2:18" x14ac:dyDescent="0.45">
      <c r="B24" s="8">
        <v>31533</v>
      </c>
      <c r="C24" s="7">
        <v>1.0900000000000001</v>
      </c>
      <c r="D24" s="7">
        <v>13.17</v>
      </c>
      <c r="E24" s="9">
        <f t="shared" si="0"/>
        <v>2.5779415157551897</v>
      </c>
      <c r="F24" s="9">
        <v>37.623137724770643</v>
      </c>
      <c r="G24" s="9">
        <f t="shared" si="1"/>
        <v>3.6276192261569289</v>
      </c>
    </row>
    <row r="25" spans="2:18" x14ac:dyDescent="0.45">
      <c r="B25" s="8">
        <v>31564</v>
      </c>
      <c r="C25" s="7">
        <v>1.0940000000000001</v>
      </c>
      <c r="D25" s="7">
        <v>12.25</v>
      </c>
      <c r="E25" s="9">
        <f t="shared" si="0"/>
        <v>2.5055259369907361</v>
      </c>
      <c r="F25" s="9">
        <v>34.866993601462525</v>
      </c>
      <c r="G25" s="9">
        <f t="shared" si="1"/>
        <v>3.5515406396337381</v>
      </c>
    </row>
    <row r="26" spans="2:18" x14ac:dyDescent="0.45">
      <c r="B26" s="8">
        <v>31594</v>
      </c>
      <c r="C26" s="7">
        <v>1.095</v>
      </c>
      <c r="D26" s="7">
        <v>10.91</v>
      </c>
      <c r="E26" s="9">
        <f t="shared" si="0"/>
        <v>2.3896797998449792</v>
      </c>
      <c r="F26" s="9">
        <v>31.024612566210045</v>
      </c>
      <c r="G26" s="9">
        <f t="shared" si="1"/>
        <v>3.4347808432193068</v>
      </c>
    </row>
    <row r="27" spans="2:18" x14ac:dyDescent="0.45">
      <c r="B27" s="8">
        <v>31625</v>
      </c>
      <c r="C27" s="7">
        <v>1.0960000000000001</v>
      </c>
      <c r="D27" s="7">
        <v>11.87</v>
      </c>
      <c r="E27" s="9">
        <f t="shared" si="0"/>
        <v>2.4740142086215764</v>
      </c>
      <c r="F27" s="9">
        <v>33.723753029197077</v>
      </c>
      <c r="G27" s="9">
        <f t="shared" si="1"/>
        <v>3.5182024267385441</v>
      </c>
    </row>
    <row r="28" spans="2:18" x14ac:dyDescent="0.45">
      <c r="B28" s="8">
        <v>31656</v>
      </c>
      <c r="C28" s="7">
        <v>1.1000000000000001</v>
      </c>
      <c r="D28" s="7">
        <v>12.85</v>
      </c>
      <c r="E28" s="9">
        <f t="shared" si="0"/>
        <v>2.5533438113412288</v>
      </c>
      <c r="F28" s="9">
        <v>36.375265999999996</v>
      </c>
      <c r="G28" s="9">
        <f t="shared" si="1"/>
        <v>3.5938890381796953</v>
      </c>
    </row>
    <row r="29" spans="2:18" x14ac:dyDescent="0.45">
      <c r="B29" s="8">
        <v>31686</v>
      </c>
      <c r="C29" s="7">
        <v>1.1020000000000001</v>
      </c>
      <c r="D29" s="7">
        <v>12.78</v>
      </c>
      <c r="E29" s="9">
        <f t="shared" si="0"/>
        <v>2.5478814489493886</v>
      </c>
      <c r="F29" s="9">
        <v>36.111455607985476</v>
      </c>
      <c r="G29" s="9">
        <f t="shared" si="1"/>
        <v>3.5866101448614573</v>
      </c>
    </row>
    <row r="30" spans="2:18" x14ac:dyDescent="0.45">
      <c r="B30" s="8">
        <v>31717</v>
      </c>
      <c r="C30" s="7">
        <v>1.1040000000000001</v>
      </c>
      <c r="D30" s="7">
        <v>13.46</v>
      </c>
      <c r="E30" s="9">
        <f t="shared" si="0"/>
        <v>2.5997223242165819</v>
      </c>
      <c r="F30" s="9">
        <v>37.963978768115943</v>
      </c>
      <c r="G30" s="9">
        <f t="shared" si="1"/>
        <v>3.6366377830044696</v>
      </c>
    </row>
    <row r="31" spans="2:18" x14ac:dyDescent="0.45">
      <c r="B31" s="8">
        <v>31747</v>
      </c>
      <c r="C31" s="7">
        <v>1.1080000000000001</v>
      </c>
      <c r="D31" s="7">
        <v>14.17</v>
      </c>
      <c r="E31" s="9">
        <f t="shared" si="0"/>
        <v>2.6511270537025893</v>
      </c>
      <c r="F31" s="9">
        <v>39.822252815884475</v>
      </c>
      <c r="G31" s="9">
        <f t="shared" si="1"/>
        <v>3.6844258720202885</v>
      </c>
    </row>
    <row r="32" spans="2:18" x14ac:dyDescent="0.45">
      <c r="B32" s="8">
        <v>31778</v>
      </c>
      <c r="C32" s="7">
        <v>1.1140000000000001</v>
      </c>
      <c r="D32" s="7">
        <v>16.45</v>
      </c>
      <c r="E32" s="9">
        <f t="shared" si="0"/>
        <v>2.800325477211381</v>
      </c>
      <c r="F32" s="9">
        <v>45.980791921005377</v>
      </c>
      <c r="G32" s="9">
        <f t="shared" si="1"/>
        <v>3.8282237423490799</v>
      </c>
    </row>
    <row r="33" spans="2:7" x14ac:dyDescent="0.45">
      <c r="B33" s="8">
        <v>31809</v>
      </c>
      <c r="C33" s="7">
        <v>1.1180000000000001</v>
      </c>
      <c r="D33" s="7">
        <v>16.98</v>
      </c>
      <c r="E33" s="9">
        <f t="shared" si="0"/>
        <v>2.8320361808832013</v>
      </c>
      <c r="F33" s="9">
        <v>47.2924286940966</v>
      </c>
      <c r="G33" s="9">
        <f t="shared" si="1"/>
        <v>3.8563502127930853</v>
      </c>
    </row>
    <row r="34" spans="2:7" x14ac:dyDescent="0.45">
      <c r="B34" s="8">
        <v>31837</v>
      </c>
      <c r="C34" s="7">
        <v>1.1220000000000001</v>
      </c>
      <c r="D34" s="7">
        <v>17.260000000000002</v>
      </c>
      <c r="E34" s="9">
        <f t="shared" si="0"/>
        <v>2.8483916856552818</v>
      </c>
      <c r="F34" s="9">
        <v>47.900899607843137</v>
      </c>
      <c r="G34" s="9">
        <f t="shared" si="1"/>
        <v>3.869134285197569</v>
      </c>
    </row>
    <row r="35" spans="2:7" x14ac:dyDescent="0.45">
      <c r="B35" s="8">
        <v>31868</v>
      </c>
      <c r="C35" s="7">
        <v>1.127</v>
      </c>
      <c r="D35" s="7">
        <v>17.89</v>
      </c>
      <c r="E35" s="9">
        <f t="shared" si="0"/>
        <v>2.8842418975206279</v>
      </c>
      <c r="F35" s="9">
        <v>49.42903818988465</v>
      </c>
      <c r="G35" s="9">
        <f t="shared" si="1"/>
        <v>3.9005380691057803</v>
      </c>
    </row>
    <row r="36" spans="2:7" x14ac:dyDescent="0.45">
      <c r="B36" s="8">
        <v>31898</v>
      </c>
      <c r="C36" s="7">
        <v>1.1299999999999999</v>
      </c>
      <c r="D36" s="7">
        <v>18.25</v>
      </c>
      <c r="E36" s="9">
        <f t="shared" si="0"/>
        <v>2.9041650800285006</v>
      </c>
      <c r="F36" s="9">
        <v>50.289829203539831</v>
      </c>
      <c r="G36" s="9">
        <f t="shared" si="1"/>
        <v>3.9178028539470429</v>
      </c>
    </row>
    <row r="37" spans="2:7" x14ac:dyDescent="0.45">
      <c r="B37" s="8">
        <v>31929</v>
      </c>
      <c r="C37" s="7">
        <v>1.135</v>
      </c>
      <c r="D37" s="7">
        <v>18.71</v>
      </c>
      <c r="E37" s="9">
        <f t="shared" si="0"/>
        <v>2.9290581402859983</v>
      </c>
      <c r="F37" s="9">
        <v>51.330283312775329</v>
      </c>
      <c r="G37" s="9">
        <f t="shared" si="1"/>
        <v>3.9382808959954239</v>
      </c>
    </row>
    <row r="38" spans="2:7" x14ac:dyDescent="0.45">
      <c r="B38" s="8">
        <v>31959</v>
      </c>
      <c r="C38" s="7">
        <v>1.1379999999999999</v>
      </c>
      <c r="D38" s="7">
        <v>19.260000000000002</v>
      </c>
      <c r="E38" s="9">
        <f t="shared" si="0"/>
        <v>2.9580304063699794</v>
      </c>
      <c r="F38" s="9">
        <v>52.699895746924433</v>
      </c>
      <c r="G38" s="9">
        <f t="shared" si="1"/>
        <v>3.9646134773086321</v>
      </c>
    </row>
    <row r="39" spans="2:7" x14ac:dyDescent="0.45">
      <c r="B39" s="8">
        <v>31990</v>
      </c>
      <c r="C39" s="7">
        <v>1.143</v>
      </c>
      <c r="D39" s="7">
        <v>19.32</v>
      </c>
      <c r="E39" s="9">
        <f t="shared" si="0"/>
        <v>2.9611408287843721</v>
      </c>
      <c r="F39" s="9">
        <v>52.632818477690293</v>
      </c>
      <c r="G39" s="9">
        <f t="shared" si="1"/>
        <v>3.9633398506144899</v>
      </c>
    </row>
    <row r="40" spans="2:7" x14ac:dyDescent="0.45">
      <c r="B40" s="8">
        <v>32021</v>
      </c>
      <c r="C40" s="7">
        <v>1.147</v>
      </c>
      <c r="D40" s="7">
        <v>18.57</v>
      </c>
      <c r="E40" s="9">
        <f t="shared" si="0"/>
        <v>2.9215473753646144</v>
      </c>
      <c r="F40" s="9">
        <v>50.413194873583258</v>
      </c>
      <c r="G40" s="9">
        <f t="shared" si="1"/>
        <v>3.9202529438601723</v>
      </c>
    </row>
    <row r="41" spans="2:7" x14ac:dyDescent="0.45">
      <c r="B41" s="8">
        <v>32051</v>
      </c>
      <c r="C41" s="7">
        <v>1.1499999999999999</v>
      </c>
      <c r="D41" s="7">
        <v>18.53</v>
      </c>
      <c r="E41" s="9">
        <f t="shared" si="0"/>
        <v>2.9193910402972683</v>
      </c>
      <c r="F41" s="9">
        <v>50.173374852173922</v>
      </c>
      <c r="G41" s="9">
        <f t="shared" si="1"/>
        <v>3.9154845045649016</v>
      </c>
    </row>
    <row r="42" spans="2:7" x14ac:dyDescent="0.45">
      <c r="B42" s="8">
        <v>32082</v>
      </c>
      <c r="C42" s="7">
        <v>1.1539999999999999</v>
      </c>
      <c r="D42" s="7">
        <v>18.14</v>
      </c>
      <c r="E42" s="9">
        <f t="shared" si="0"/>
        <v>2.8981194446869907</v>
      </c>
      <c r="F42" s="9">
        <v>48.947127417677649</v>
      </c>
      <c r="G42" s="9">
        <f t="shared" si="1"/>
        <v>3.8907406832438745</v>
      </c>
    </row>
    <row r="43" spans="2:7" x14ac:dyDescent="0.45">
      <c r="B43" s="8">
        <v>32112</v>
      </c>
      <c r="C43" s="7">
        <v>1.1559999999999999</v>
      </c>
      <c r="D43" s="7">
        <v>17.2</v>
      </c>
      <c r="E43" s="9">
        <f t="shared" si="0"/>
        <v>2.8449093838194073</v>
      </c>
      <c r="F43" s="9">
        <v>46.330431833910033</v>
      </c>
      <c r="G43" s="9">
        <f t="shared" si="1"/>
        <v>3.8357990202120131</v>
      </c>
    </row>
    <row r="44" spans="2:7" x14ac:dyDescent="0.45">
      <c r="B44" s="8">
        <v>32143</v>
      </c>
      <c r="C44" s="7">
        <v>1.1599999999999999</v>
      </c>
      <c r="D44" s="7">
        <v>15.45</v>
      </c>
      <c r="E44" s="9">
        <f t="shared" si="0"/>
        <v>2.7376090033437546</v>
      </c>
      <c r="F44" s="9">
        <v>41.473074310344828</v>
      </c>
      <c r="G44" s="9">
        <f t="shared" si="1"/>
        <v>3.7250444048682727</v>
      </c>
    </row>
    <row r="45" spans="2:7" x14ac:dyDescent="0.45">
      <c r="B45" s="8">
        <v>32174</v>
      </c>
      <c r="C45" s="7">
        <v>1.1619999999999999</v>
      </c>
      <c r="D45" s="7">
        <v>15.43</v>
      </c>
      <c r="E45" s="9">
        <f t="shared" si="0"/>
        <v>2.7363136663750693</v>
      </c>
      <c r="F45" s="9">
        <v>41.348097659208264</v>
      </c>
      <c r="G45" s="9">
        <f t="shared" si="1"/>
        <v>3.7220264145881417</v>
      </c>
    </row>
    <row r="46" spans="2:7" x14ac:dyDescent="0.45">
      <c r="B46" s="8">
        <v>32203</v>
      </c>
      <c r="C46" s="7">
        <v>1.165</v>
      </c>
      <c r="D46" s="7">
        <v>14.73</v>
      </c>
      <c r="E46" s="9">
        <f t="shared" si="0"/>
        <v>2.689886230474539</v>
      </c>
      <c r="F46" s="9">
        <v>39.37064745064378</v>
      </c>
      <c r="G46" s="9">
        <f t="shared" si="1"/>
        <v>3.6730205500996664</v>
      </c>
    </row>
    <row r="47" spans="2:7" x14ac:dyDescent="0.45">
      <c r="B47" s="8">
        <v>32234</v>
      </c>
      <c r="C47" s="7">
        <v>1.1719999999999999</v>
      </c>
      <c r="D47" s="7">
        <v>15.62</v>
      </c>
      <c r="E47" s="9">
        <f t="shared" si="0"/>
        <v>2.7485521444115397</v>
      </c>
      <c r="F47" s="9">
        <v>41.500100955631396</v>
      </c>
      <c r="G47" s="9">
        <f t="shared" si="1"/>
        <v>3.7256958598995102</v>
      </c>
    </row>
    <row r="48" spans="2:7" x14ac:dyDescent="0.45">
      <c r="B48" s="8">
        <v>32264</v>
      </c>
      <c r="C48" s="7">
        <v>1.175</v>
      </c>
      <c r="D48" s="7">
        <v>15.93</v>
      </c>
      <c r="E48" s="9">
        <f t="shared" si="0"/>
        <v>2.768204123921957</v>
      </c>
      <c r="F48" s="9">
        <v>42.215665940425531</v>
      </c>
      <c r="G48" s="9">
        <f t="shared" si="1"/>
        <v>3.7427913829686266</v>
      </c>
    </row>
    <row r="49" spans="2:7" x14ac:dyDescent="0.45">
      <c r="B49" s="8">
        <v>32295</v>
      </c>
      <c r="C49" s="7">
        <v>1.18</v>
      </c>
      <c r="D49" s="7">
        <v>15.5</v>
      </c>
      <c r="E49" s="9">
        <f t="shared" si="0"/>
        <v>2.7408400239252009</v>
      </c>
      <c r="F49" s="9">
        <v>40.902083050847459</v>
      </c>
      <c r="G49" s="9">
        <f t="shared" si="1"/>
        <v>3.7111809920904193</v>
      </c>
    </row>
    <row r="50" spans="2:7" x14ac:dyDescent="0.45">
      <c r="B50" s="8">
        <v>32325</v>
      </c>
      <c r="C50" s="7">
        <v>1.1850000000000001</v>
      </c>
      <c r="D50" s="7">
        <v>14.81</v>
      </c>
      <c r="E50" s="9">
        <f t="shared" si="0"/>
        <v>2.6953026282797072</v>
      </c>
      <c r="F50" s="9">
        <v>38.916380725738399</v>
      </c>
      <c r="G50" s="9">
        <f t="shared" si="1"/>
        <v>3.6614152603354047</v>
      </c>
    </row>
    <row r="51" spans="2:7" x14ac:dyDescent="0.45">
      <c r="B51" s="8">
        <v>32356</v>
      </c>
      <c r="C51" s="7">
        <v>1.19</v>
      </c>
      <c r="D51" s="7">
        <v>14.32</v>
      </c>
      <c r="E51" s="9">
        <f t="shared" si="0"/>
        <v>2.6616571615324998</v>
      </c>
      <c r="F51" s="9">
        <v>37.470698756302525</v>
      </c>
      <c r="G51" s="9">
        <f t="shared" si="1"/>
        <v>3.6235592610518532</v>
      </c>
    </row>
    <row r="52" spans="2:7" x14ac:dyDescent="0.45">
      <c r="B52" s="8">
        <v>32387</v>
      </c>
      <c r="C52" s="7">
        <v>1.1950000000000001</v>
      </c>
      <c r="D52" s="7">
        <v>13.84</v>
      </c>
      <c r="E52" s="9">
        <f t="shared" si="0"/>
        <v>2.6275629501895237</v>
      </c>
      <c r="F52" s="9">
        <v>36.063171748953977</v>
      </c>
      <c r="G52" s="9">
        <f t="shared" si="1"/>
        <v>3.5852721714488411</v>
      </c>
    </row>
    <row r="53" spans="2:7" x14ac:dyDescent="0.45">
      <c r="B53" s="8">
        <v>32417</v>
      </c>
      <c r="C53" s="7">
        <v>1.1990000000000001</v>
      </c>
      <c r="D53" s="7">
        <v>13.05</v>
      </c>
      <c r="E53" s="9">
        <f t="shared" si="0"/>
        <v>2.5687881337687024</v>
      </c>
      <c r="F53" s="9">
        <v>33.891209174311925</v>
      </c>
      <c r="G53" s="9">
        <f t="shared" si="1"/>
        <v>3.5231556643661168</v>
      </c>
    </row>
    <row r="54" spans="2:7" x14ac:dyDescent="0.45">
      <c r="B54" s="8">
        <v>32448</v>
      </c>
      <c r="C54" s="7">
        <v>1.2030000000000001</v>
      </c>
      <c r="D54" s="7">
        <v>12.66</v>
      </c>
      <c r="E54" s="9">
        <f t="shared" si="0"/>
        <v>2.5384474167160302</v>
      </c>
      <c r="F54" s="9">
        <v>32.769047182044886</v>
      </c>
      <c r="G54" s="9">
        <f t="shared" si="1"/>
        <v>3.4894843863662799</v>
      </c>
    </row>
    <row r="55" spans="2:7" x14ac:dyDescent="0.45">
      <c r="B55" s="8">
        <v>32478</v>
      </c>
      <c r="C55" s="7">
        <v>1.2070000000000001</v>
      </c>
      <c r="D55" s="7">
        <v>14.11</v>
      </c>
      <c r="E55" s="9">
        <f t="shared" si="0"/>
        <v>2.6468837658647226</v>
      </c>
      <c r="F55" s="9">
        <v>36.401181408450704</v>
      </c>
      <c r="G55" s="9">
        <f t="shared" si="1"/>
        <v>3.5946012303921195</v>
      </c>
    </row>
    <row r="56" spans="2:7" x14ac:dyDescent="0.45">
      <c r="B56" s="8">
        <v>32509</v>
      </c>
      <c r="C56" s="7">
        <v>1.212</v>
      </c>
      <c r="D56" s="7">
        <v>16.04</v>
      </c>
      <c r="E56" s="9">
        <f t="shared" si="0"/>
        <v>2.7750856024383683</v>
      </c>
      <c r="F56" s="9">
        <v>41.209512739273926</v>
      </c>
      <c r="G56" s="9">
        <f t="shared" si="1"/>
        <v>3.7186691214340373</v>
      </c>
    </row>
    <row r="57" spans="2:7" x14ac:dyDescent="0.45">
      <c r="B57" s="8">
        <v>32540</v>
      </c>
      <c r="C57" s="7">
        <v>1.216</v>
      </c>
      <c r="D57" s="7">
        <v>16.61</v>
      </c>
      <c r="E57" s="9">
        <f t="shared" si="0"/>
        <v>2.8100049236252036</v>
      </c>
      <c r="F57" s="9">
        <v>42.533565756578945</v>
      </c>
      <c r="G57" s="9">
        <f t="shared" si="1"/>
        <v>3.7502935467240195</v>
      </c>
    </row>
    <row r="58" spans="2:7" x14ac:dyDescent="0.45">
      <c r="B58" s="8">
        <v>32568</v>
      </c>
      <c r="C58" s="7">
        <v>1.222</v>
      </c>
      <c r="D58" s="7">
        <v>17.77</v>
      </c>
      <c r="E58" s="9">
        <f t="shared" si="0"/>
        <v>2.8775116421665601</v>
      </c>
      <c r="F58" s="9">
        <v>45.280577512274959</v>
      </c>
      <c r="G58" s="9">
        <f t="shared" si="1"/>
        <v>3.812878188059948</v>
      </c>
    </row>
    <row r="59" spans="2:7" x14ac:dyDescent="0.45">
      <c r="B59" s="8">
        <v>32599</v>
      </c>
      <c r="C59" s="7">
        <v>1.2310000000000001</v>
      </c>
      <c r="D59" s="7">
        <v>19.59</v>
      </c>
      <c r="E59" s="9">
        <f t="shared" si="0"/>
        <v>2.9750192319564492</v>
      </c>
      <c r="F59" s="9">
        <v>49.553247148659622</v>
      </c>
      <c r="G59" s="9">
        <f t="shared" si="1"/>
        <v>3.9030477913969244</v>
      </c>
    </row>
    <row r="60" spans="2:7" x14ac:dyDescent="0.45">
      <c r="B60" s="8">
        <v>32629</v>
      </c>
      <c r="C60" s="7">
        <v>1.2370000000000001</v>
      </c>
      <c r="D60" s="7">
        <v>19.05</v>
      </c>
      <c r="E60" s="9">
        <f t="shared" si="0"/>
        <v>2.9470671015727099</v>
      </c>
      <c r="F60" s="9">
        <v>47.953577849636218</v>
      </c>
      <c r="G60" s="9">
        <f t="shared" si="1"/>
        <v>3.8702334148051505</v>
      </c>
    </row>
    <row r="61" spans="2:7" x14ac:dyDescent="0.45">
      <c r="B61" s="8">
        <v>32660</v>
      </c>
      <c r="C61" s="7">
        <v>1.2410000000000001</v>
      </c>
      <c r="D61" s="7">
        <v>18.27</v>
      </c>
      <c r="E61" s="9">
        <f t="shared" si="0"/>
        <v>2.9052603703899154</v>
      </c>
      <c r="F61" s="9">
        <v>45.841888573730856</v>
      </c>
      <c r="G61" s="9">
        <f t="shared" si="1"/>
        <v>3.8251982708102363</v>
      </c>
    </row>
    <row r="62" spans="2:7" x14ac:dyDescent="0.45">
      <c r="B62" s="8">
        <v>32690</v>
      </c>
      <c r="C62" s="7">
        <v>1.2450000000000001</v>
      </c>
      <c r="D62" s="7">
        <v>17.989999999999998</v>
      </c>
      <c r="E62" s="9">
        <f t="shared" si="0"/>
        <v>2.8898160479624417</v>
      </c>
      <c r="F62" s="9">
        <v>44.994304931726901</v>
      </c>
      <c r="G62" s="9">
        <f t="shared" si="1"/>
        <v>3.8065359246885619</v>
      </c>
    </row>
    <row r="63" spans="2:7" x14ac:dyDescent="0.45">
      <c r="B63" s="8">
        <v>32721</v>
      </c>
      <c r="C63" s="7">
        <v>1.2450000000000001</v>
      </c>
      <c r="D63" s="7">
        <v>17.23</v>
      </c>
      <c r="E63" s="9">
        <f t="shared" si="0"/>
        <v>2.8466520505398383</v>
      </c>
      <c r="F63" s="9">
        <v>43.093489381526105</v>
      </c>
      <c r="G63" s="9">
        <f t="shared" si="1"/>
        <v>3.7633719272659589</v>
      </c>
    </row>
    <row r="64" spans="2:7" x14ac:dyDescent="0.45">
      <c r="B64" s="8">
        <v>32752</v>
      </c>
      <c r="C64" s="7">
        <v>1.248</v>
      </c>
      <c r="D64" s="7">
        <v>17.62</v>
      </c>
      <c r="E64" s="9">
        <f t="shared" si="0"/>
        <v>2.8690346205080335</v>
      </c>
      <c r="F64" s="9">
        <v>43.962973012820513</v>
      </c>
      <c r="G64" s="9">
        <f t="shared" si="1"/>
        <v>3.7833477572035892</v>
      </c>
    </row>
    <row r="65" spans="2:7" x14ac:dyDescent="0.45">
      <c r="B65" s="8">
        <v>32782</v>
      </c>
      <c r="C65" s="7">
        <v>1.254</v>
      </c>
      <c r="D65" s="7">
        <v>18.29</v>
      </c>
      <c r="E65" s="9">
        <f t="shared" si="0"/>
        <v>2.9063544624027742</v>
      </c>
      <c r="F65" s="9">
        <v>45.416316140350872</v>
      </c>
      <c r="G65" s="9">
        <f t="shared" si="1"/>
        <v>3.8158714268348368</v>
      </c>
    </row>
    <row r="66" spans="2:7" x14ac:dyDescent="0.45">
      <c r="B66" s="8">
        <v>32813</v>
      </c>
      <c r="C66" s="7">
        <v>1.2589999999999999</v>
      </c>
      <c r="D66" s="7">
        <v>18.32</v>
      </c>
      <c r="E66" s="9">
        <f t="shared" si="0"/>
        <v>2.9079933592459843</v>
      </c>
      <c r="F66" s="9">
        <v>45.310147355043689</v>
      </c>
      <c r="G66" s="9">
        <f t="shared" si="1"/>
        <v>3.8135310108265656</v>
      </c>
    </row>
    <row r="67" spans="2:7" x14ac:dyDescent="0.45">
      <c r="B67" s="8">
        <v>32843</v>
      </c>
      <c r="C67" s="7">
        <v>1.2629999999999999</v>
      </c>
      <c r="D67" s="7">
        <v>20.05</v>
      </c>
      <c r="E67" s="9">
        <f t="shared" si="0"/>
        <v>2.998229153752578</v>
      </c>
      <c r="F67" s="9">
        <v>49.431838321456858</v>
      </c>
      <c r="G67" s="9">
        <f t="shared" si="1"/>
        <v>3.9005947170270159</v>
      </c>
    </row>
    <row r="68" spans="2:7" x14ac:dyDescent="0.45">
      <c r="B68" s="8">
        <v>32874</v>
      </c>
      <c r="C68" s="7">
        <v>1.2749999999999999</v>
      </c>
      <c r="D68" s="7">
        <v>20.51</v>
      </c>
      <c r="E68" s="9">
        <f t="shared" si="0"/>
        <v>3.0209125720842893</v>
      </c>
      <c r="F68" s="9">
        <v>50.090020674509816</v>
      </c>
      <c r="G68" s="9">
        <f t="shared" si="1"/>
        <v>3.9138218001166916</v>
      </c>
    </row>
    <row r="69" spans="2:7" x14ac:dyDescent="0.45">
      <c r="B69" s="8">
        <v>32905</v>
      </c>
      <c r="C69" s="7">
        <v>1.28</v>
      </c>
      <c r="D69" s="7">
        <v>19.78</v>
      </c>
      <c r="E69" s="9">
        <f t="shared" si="0"/>
        <v>2.9846713261945661</v>
      </c>
      <c r="F69" s="9">
        <v>48.118496937500005</v>
      </c>
      <c r="G69" s="9">
        <f t="shared" si="1"/>
        <v>3.8736666549058318</v>
      </c>
    </row>
    <row r="70" spans="2:7" x14ac:dyDescent="0.45">
      <c r="B70" s="8">
        <v>32933</v>
      </c>
      <c r="C70" s="7">
        <v>1.286</v>
      </c>
      <c r="D70" s="7">
        <v>18.940000000000001</v>
      </c>
      <c r="E70" s="9">
        <f t="shared" si="0"/>
        <v>2.9412760877579323</v>
      </c>
      <c r="F70" s="9">
        <v>45.860072970451014</v>
      </c>
      <c r="G70" s="9">
        <f t="shared" si="1"/>
        <v>3.8255948685852963</v>
      </c>
    </row>
    <row r="71" spans="2:7" x14ac:dyDescent="0.45">
      <c r="B71" s="8">
        <v>32964</v>
      </c>
      <c r="C71" s="7">
        <v>1.2889999999999999</v>
      </c>
      <c r="D71" s="7">
        <v>16.66</v>
      </c>
      <c r="E71" s="9">
        <f t="shared" si="0"/>
        <v>2.8130106367386967</v>
      </c>
      <c r="F71" s="9">
        <v>40.245545197827781</v>
      </c>
      <c r="G71" s="9">
        <f t="shared" si="1"/>
        <v>3.6949993194244382</v>
      </c>
    </row>
    <row r="72" spans="2:7" x14ac:dyDescent="0.45">
      <c r="B72" s="8">
        <v>32994</v>
      </c>
      <c r="C72" s="7">
        <v>1.2909999999999999</v>
      </c>
      <c r="D72" s="7">
        <v>16.07</v>
      </c>
      <c r="E72" s="9">
        <f t="shared" si="0"/>
        <v>2.776954179749421</v>
      </c>
      <c r="F72" s="9">
        <v>38.760142927962825</v>
      </c>
      <c r="G72" s="9">
        <f t="shared" si="1"/>
        <v>3.6573924745277075</v>
      </c>
    </row>
    <row r="73" spans="2:7" x14ac:dyDescent="0.45">
      <c r="B73" s="8">
        <v>33025</v>
      </c>
      <c r="C73" s="7">
        <v>1.2989999999999999</v>
      </c>
      <c r="D73" s="7">
        <v>15.15</v>
      </c>
      <c r="E73" s="9">
        <f t="shared" si="0"/>
        <v>2.7180005319553784</v>
      </c>
      <c r="F73" s="9">
        <v>36.316101154734412</v>
      </c>
      <c r="G73" s="9">
        <f t="shared" si="1"/>
        <v>3.5922612009097072</v>
      </c>
    </row>
    <row r="74" spans="2:7" x14ac:dyDescent="0.45">
      <c r="B74" s="8">
        <v>33055</v>
      </c>
      <c r="C74" s="7">
        <v>1.3049999999999999</v>
      </c>
      <c r="D74" s="7">
        <v>16.54</v>
      </c>
      <c r="E74" s="9">
        <f t="shared" si="0"/>
        <v>2.8057816895955452</v>
      </c>
      <c r="F74" s="9">
        <v>39.4657834789272</v>
      </c>
      <c r="G74" s="9">
        <f t="shared" si="1"/>
        <v>3.67543405546368</v>
      </c>
    </row>
    <row r="75" spans="2:7" x14ac:dyDescent="0.45">
      <c r="B75" s="8">
        <v>33086</v>
      </c>
      <c r="C75" s="7">
        <v>1.3160000000000001</v>
      </c>
      <c r="D75" s="7">
        <v>24.26</v>
      </c>
      <c r="E75" s="9">
        <f t="shared" si="0"/>
        <v>3.1888289035159043</v>
      </c>
      <c r="F75" s="9">
        <v>57.402478237082072</v>
      </c>
      <c r="G75" s="9">
        <f t="shared" si="1"/>
        <v>4.0500874772555706</v>
      </c>
    </row>
    <row r="76" spans="2:7" x14ac:dyDescent="0.45">
      <c r="B76" s="8">
        <v>33117</v>
      </c>
      <c r="C76" s="7">
        <v>1.325</v>
      </c>
      <c r="D76" s="7">
        <v>29.88</v>
      </c>
      <c r="E76" s="9">
        <f t="shared" si="0"/>
        <v>3.3971893602646164</v>
      </c>
      <c r="F76" s="9">
        <v>70.219939381132079</v>
      </c>
      <c r="G76" s="9">
        <f t="shared" si="1"/>
        <v>4.2516323074692224</v>
      </c>
    </row>
    <row r="77" spans="2:7" x14ac:dyDescent="0.45">
      <c r="B77" s="8">
        <v>33147</v>
      </c>
      <c r="C77" s="7">
        <v>1.3340000000000001</v>
      </c>
      <c r="D77" s="7">
        <v>32.880000000000003</v>
      </c>
      <c r="E77" s="9">
        <f t="shared" si="0"/>
        <v>3.492864570187979</v>
      </c>
      <c r="F77" s="9">
        <v>76.74882134932534</v>
      </c>
      <c r="G77" s="9">
        <f t="shared" si="1"/>
        <v>4.3405380293373383</v>
      </c>
    </row>
    <row r="78" spans="2:7" x14ac:dyDescent="0.45">
      <c r="B78" s="8">
        <v>33178</v>
      </c>
      <c r="C78" s="7">
        <v>1.337</v>
      </c>
      <c r="D78" s="7">
        <v>30.19</v>
      </c>
      <c r="E78" s="9">
        <f t="shared" si="0"/>
        <v>3.4075107437187473</v>
      </c>
      <c r="F78" s="9">
        <v>70.311674525056105</v>
      </c>
      <c r="G78" s="9">
        <f t="shared" si="1"/>
        <v>4.2529378522417334</v>
      </c>
    </row>
    <row r="79" spans="2:7" x14ac:dyDescent="0.45">
      <c r="B79" s="8">
        <v>33208</v>
      </c>
      <c r="C79" s="7">
        <v>1.3420000000000001</v>
      </c>
      <c r="D79" s="7">
        <v>25.56</v>
      </c>
      <c r="E79" s="9">
        <f t="shared" si="0"/>
        <v>3.241028629509334</v>
      </c>
      <c r="F79" s="9">
        <v>59.30674229508196</v>
      </c>
      <c r="G79" s="9">
        <f t="shared" si="1"/>
        <v>4.0827229976026356</v>
      </c>
    </row>
    <row r="80" spans="2:7" x14ac:dyDescent="0.45">
      <c r="B80" s="8">
        <v>33239</v>
      </c>
      <c r="C80" s="7">
        <v>1.347</v>
      </c>
      <c r="D80" s="7">
        <v>22.3</v>
      </c>
      <c r="E80" s="9">
        <f t="shared" si="0"/>
        <v>3.1045866784660729</v>
      </c>
      <c r="F80" s="9">
        <v>51.550514328136607</v>
      </c>
      <c r="G80" s="9">
        <f t="shared" si="1"/>
        <v>3.9425621876806378</v>
      </c>
    </row>
    <row r="81" spans="2:7" x14ac:dyDescent="0.45">
      <c r="B81" s="8">
        <v>33270</v>
      </c>
      <c r="C81" s="7">
        <v>1.3480000000000001</v>
      </c>
      <c r="D81" s="7">
        <v>18.3</v>
      </c>
      <c r="E81" s="9">
        <f t="shared" si="0"/>
        <v>2.9069010598473755</v>
      </c>
      <c r="F81" s="9">
        <v>42.272402670623144</v>
      </c>
      <c r="G81" s="9">
        <f t="shared" si="1"/>
        <v>3.7441344540000516</v>
      </c>
    </row>
    <row r="82" spans="2:7" x14ac:dyDescent="0.45">
      <c r="B82" s="8">
        <v>33298</v>
      </c>
      <c r="C82" s="7">
        <v>1.3480000000000001</v>
      </c>
      <c r="D82" s="7">
        <v>17.579999999999998</v>
      </c>
      <c r="E82" s="9">
        <f t="shared" si="0"/>
        <v>2.8667618922570308</v>
      </c>
      <c r="F82" s="9">
        <v>40.609226172106816</v>
      </c>
      <c r="G82" s="9">
        <f t="shared" si="1"/>
        <v>3.703995286409707</v>
      </c>
    </row>
    <row r="83" spans="2:7" x14ac:dyDescent="0.45">
      <c r="B83" s="8">
        <v>33329</v>
      </c>
      <c r="C83" s="7">
        <v>1.351</v>
      </c>
      <c r="D83" s="7">
        <v>18.32</v>
      </c>
      <c r="E83" s="9">
        <f t="shared" si="0"/>
        <v>2.9079933592459843</v>
      </c>
      <c r="F83" s="9">
        <v>42.224630288675058</v>
      </c>
      <c r="G83" s="9">
        <f t="shared" si="1"/>
        <v>3.7430037069107138</v>
      </c>
    </row>
    <row r="84" spans="2:7" x14ac:dyDescent="0.45">
      <c r="B84" s="8">
        <v>33359</v>
      </c>
      <c r="C84" s="7">
        <v>1.3560000000000001</v>
      </c>
      <c r="D84" s="7">
        <v>18.36</v>
      </c>
      <c r="E84" s="9">
        <f t="shared" ref="E84:E147" si="2">LN(D84)</f>
        <v>2.9101743851923443</v>
      </c>
      <c r="F84" s="9">
        <v>42.160788318584068</v>
      </c>
      <c r="G84" s="9">
        <f t="shared" ref="G84:G147" si="3">LN(F84)</f>
        <v>3.7414906023169321</v>
      </c>
    </row>
    <row r="85" spans="2:7" x14ac:dyDescent="0.45">
      <c r="B85" s="8">
        <v>33390</v>
      </c>
      <c r="C85" s="7">
        <v>1.36</v>
      </c>
      <c r="D85" s="7">
        <v>17.78</v>
      </c>
      <c r="E85" s="9">
        <f t="shared" si="2"/>
        <v>2.8780742300857587</v>
      </c>
      <c r="F85" s="9">
        <v>40.708826529411766</v>
      </c>
      <c r="G85" s="9">
        <f t="shared" si="3"/>
        <v>3.7064449369805894</v>
      </c>
    </row>
    <row r="86" spans="2:7" x14ac:dyDescent="0.45">
      <c r="B86" s="8">
        <v>33420</v>
      </c>
      <c r="C86" s="7">
        <v>1.3620000000000001</v>
      </c>
      <c r="D86" s="7">
        <v>18.14</v>
      </c>
      <c r="E86" s="9">
        <f t="shared" si="2"/>
        <v>2.8981194446869907</v>
      </c>
      <c r="F86" s="9">
        <v>41.472088869309836</v>
      </c>
      <c r="G86" s="9">
        <f t="shared" si="3"/>
        <v>3.7250206436024613</v>
      </c>
    </row>
    <row r="87" spans="2:7" x14ac:dyDescent="0.45">
      <c r="B87" s="8">
        <v>33451</v>
      </c>
      <c r="C87" s="7">
        <v>1.3660000000000001</v>
      </c>
      <c r="D87" s="7">
        <v>18.71</v>
      </c>
      <c r="E87" s="9">
        <f t="shared" si="2"/>
        <v>2.9290581402859983</v>
      </c>
      <c r="F87" s="9">
        <v>42.649979180087847</v>
      </c>
      <c r="G87" s="9">
        <f t="shared" si="3"/>
        <v>3.7530267857801913</v>
      </c>
    </row>
    <row r="88" spans="2:7" x14ac:dyDescent="0.45">
      <c r="B88" s="8">
        <v>33482</v>
      </c>
      <c r="C88" s="7">
        <v>1.37</v>
      </c>
      <c r="D88" s="7">
        <v>19</v>
      </c>
      <c r="E88" s="9">
        <f t="shared" si="2"/>
        <v>2.9444389791664403</v>
      </c>
      <c r="F88" s="9">
        <v>43.184586861313861</v>
      </c>
      <c r="G88" s="9">
        <f t="shared" si="3"/>
        <v>3.7654836459691983</v>
      </c>
    </row>
    <row r="89" spans="2:7" x14ac:dyDescent="0.45">
      <c r="B89" s="8">
        <v>33512</v>
      </c>
      <c r="C89" s="7">
        <v>1.3720000000000001</v>
      </c>
      <c r="D89" s="7">
        <v>19.86</v>
      </c>
      <c r="E89" s="9">
        <f t="shared" si="2"/>
        <v>2.9887076586170265</v>
      </c>
      <c r="F89" s="9">
        <v>45.073456967930028</v>
      </c>
      <c r="G89" s="9">
        <f t="shared" si="3"/>
        <v>3.8082935359561247</v>
      </c>
    </row>
    <row r="90" spans="2:7" x14ac:dyDescent="0.45">
      <c r="B90" s="8">
        <v>33543</v>
      </c>
      <c r="C90" s="7">
        <v>1.3779999999999999</v>
      </c>
      <c r="D90" s="7">
        <v>19.350000000000001</v>
      </c>
      <c r="E90" s="9">
        <f t="shared" si="2"/>
        <v>2.9626924194757911</v>
      </c>
      <c r="F90" s="9">
        <v>43.724765312046451</v>
      </c>
      <c r="G90" s="9">
        <f t="shared" si="3"/>
        <v>3.7779146535271155</v>
      </c>
    </row>
    <row r="91" spans="2:7" x14ac:dyDescent="0.45">
      <c r="B91" s="8">
        <v>33573</v>
      </c>
      <c r="C91" s="7">
        <v>1.3819999999999999</v>
      </c>
      <c r="D91" s="7">
        <v>17.170000000000002</v>
      </c>
      <c r="E91" s="9">
        <f t="shared" si="2"/>
        <v>2.843163674909384</v>
      </c>
      <c r="F91" s="9">
        <v>38.686370564399425</v>
      </c>
      <c r="G91" s="9">
        <f t="shared" si="3"/>
        <v>3.6554873562066974</v>
      </c>
    </row>
    <row r="92" spans="2:7" x14ac:dyDescent="0.45">
      <c r="B92" s="8">
        <v>33604</v>
      </c>
      <c r="C92" s="7">
        <v>1.383</v>
      </c>
      <c r="D92" s="7">
        <v>16.100000000000001</v>
      </c>
      <c r="E92" s="9">
        <f t="shared" si="2"/>
        <v>2.7788192719904172</v>
      </c>
      <c r="F92" s="9">
        <v>36.249283875632685</v>
      </c>
      <c r="G92" s="9">
        <f t="shared" si="3"/>
        <v>3.5904196259505876</v>
      </c>
    </row>
    <row r="93" spans="2:7" x14ac:dyDescent="0.45">
      <c r="B93" s="8">
        <v>33635</v>
      </c>
      <c r="C93" s="7">
        <v>1.3859999999999999</v>
      </c>
      <c r="D93" s="7">
        <v>16</v>
      </c>
      <c r="E93" s="9">
        <f t="shared" si="2"/>
        <v>2.7725887222397811</v>
      </c>
      <c r="F93" s="9">
        <v>35.946158730158736</v>
      </c>
      <c r="G93" s="9">
        <f t="shared" si="3"/>
        <v>3.5820222281148615</v>
      </c>
    </row>
    <row r="94" spans="2:7" x14ac:dyDescent="0.45">
      <c r="B94" s="8">
        <v>33664</v>
      </c>
      <c r="C94" s="7">
        <v>1.391</v>
      </c>
      <c r="D94" s="7">
        <v>16.36</v>
      </c>
      <c r="E94" s="9">
        <f t="shared" si="2"/>
        <v>2.7948393311746011</v>
      </c>
      <c r="F94" s="9">
        <v>36.622830309130123</v>
      </c>
      <c r="G94" s="9">
        <f t="shared" si="3"/>
        <v>3.6006718248760867</v>
      </c>
    </row>
    <row r="95" spans="2:7" x14ac:dyDescent="0.45">
      <c r="B95" s="8">
        <v>33695</v>
      </c>
      <c r="C95" s="7">
        <v>1.3939999999999999</v>
      </c>
      <c r="D95" s="7">
        <v>17.37</v>
      </c>
      <c r="E95" s="9">
        <f t="shared" si="2"/>
        <v>2.8547445802530138</v>
      </c>
      <c r="F95" s="9">
        <v>38.800094203730275</v>
      </c>
      <c r="G95" s="9">
        <f t="shared" si="3"/>
        <v>3.6584226745574728</v>
      </c>
    </row>
    <row r="96" spans="2:7" x14ac:dyDescent="0.45">
      <c r="B96" s="8">
        <v>33725</v>
      </c>
      <c r="C96" s="7">
        <v>1.397</v>
      </c>
      <c r="D96" s="7">
        <v>18.79</v>
      </c>
      <c r="E96" s="9">
        <f t="shared" si="2"/>
        <v>2.933324813425374</v>
      </c>
      <c r="F96" s="9">
        <v>41.881874330708662</v>
      </c>
      <c r="G96" s="9">
        <f t="shared" si="3"/>
        <v>3.7348531397933407</v>
      </c>
    </row>
    <row r="97" spans="2:7" x14ac:dyDescent="0.45">
      <c r="B97" s="8">
        <v>33756</v>
      </c>
      <c r="C97" s="7">
        <v>1.401</v>
      </c>
      <c r="D97" s="7">
        <v>19.829999999999998</v>
      </c>
      <c r="E97" s="9">
        <f t="shared" si="2"/>
        <v>2.9871959425317045</v>
      </c>
      <c r="F97" s="9">
        <v>44.073781498929335</v>
      </c>
      <c r="G97" s="9">
        <f t="shared" si="3"/>
        <v>3.785865081819626</v>
      </c>
    </row>
    <row r="98" spans="2:7" x14ac:dyDescent="0.45">
      <c r="B98" s="8">
        <v>33786</v>
      </c>
      <c r="C98" s="7">
        <v>1.405</v>
      </c>
      <c r="D98" s="7">
        <v>19.739999999999998</v>
      </c>
      <c r="E98" s="9">
        <f t="shared" si="2"/>
        <v>2.9826470340053355</v>
      </c>
      <c r="F98" s="9">
        <v>43.748841736654803</v>
      </c>
      <c r="G98" s="9">
        <f t="shared" si="3"/>
        <v>3.7784651378624181</v>
      </c>
    </row>
    <row r="99" spans="2:7" x14ac:dyDescent="0.45">
      <c r="B99" s="8">
        <v>33817</v>
      </c>
      <c r="C99" s="7">
        <v>1.4079999999999999</v>
      </c>
      <c r="D99" s="7">
        <v>19.25</v>
      </c>
      <c r="E99" s="9">
        <f t="shared" si="2"/>
        <v>2.9575110607337933</v>
      </c>
      <c r="F99" s="9">
        <v>42.571976562500005</v>
      </c>
      <c r="G99" s="9">
        <f t="shared" si="3"/>
        <v>3.7511962096407343</v>
      </c>
    </row>
    <row r="100" spans="2:7" x14ac:dyDescent="0.45">
      <c r="B100" s="8">
        <v>33848</v>
      </c>
      <c r="C100" s="7">
        <v>1.411</v>
      </c>
      <c r="D100" s="7">
        <v>19.260000000000002</v>
      </c>
      <c r="E100" s="9">
        <f t="shared" si="2"/>
        <v>2.9580304063699794</v>
      </c>
      <c r="F100" s="9">
        <v>42.50353037562013</v>
      </c>
      <c r="G100" s="9">
        <f t="shared" si="3"/>
        <v>3.7495871401420939</v>
      </c>
    </row>
    <row r="101" spans="2:7" x14ac:dyDescent="0.45">
      <c r="B101" s="8">
        <v>33878</v>
      </c>
      <c r="C101" s="7">
        <v>1.417</v>
      </c>
      <c r="D101" s="7">
        <v>19.34</v>
      </c>
      <c r="E101" s="9">
        <f t="shared" si="2"/>
        <v>2.9621754900251482</v>
      </c>
      <c r="F101" s="9">
        <v>42.499356556104445</v>
      </c>
      <c r="G101" s="9">
        <f t="shared" si="3"/>
        <v>3.7494889359593961</v>
      </c>
    </row>
    <row r="102" spans="2:7" x14ac:dyDescent="0.45">
      <c r="B102" s="8">
        <v>33909</v>
      </c>
      <c r="C102" s="7">
        <v>1.421</v>
      </c>
      <c r="D102" s="7">
        <v>18.399999999999999</v>
      </c>
      <c r="E102" s="9">
        <f t="shared" si="2"/>
        <v>2.91235066461494</v>
      </c>
      <c r="F102" s="9">
        <v>40.319903166783952</v>
      </c>
      <c r="G102" s="9">
        <f t="shared" si="3"/>
        <v>3.6968452221427679</v>
      </c>
    </row>
    <row r="103" spans="2:7" x14ac:dyDescent="0.45">
      <c r="B103" s="8">
        <v>33939</v>
      </c>
      <c r="C103" s="7">
        <v>1.423</v>
      </c>
      <c r="D103" s="7">
        <v>16.940000000000001</v>
      </c>
      <c r="E103" s="9">
        <f t="shared" si="2"/>
        <v>2.8296776892239084</v>
      </c>
      <c r="F103" s="9">
        <v>37.068434181307104</v>
      </c>
      <c r="G103" s="9">
        <f t="shared" si="3"/>
        <v>3.6127657767589847</v>
      </c>
    </row>
    <row r="104" spans="2:7" x14ac:dyDescent="0.45">
      <c r="B104" s="8">
        <v>33970</v>
      </c>
      <c r="C104" s="7">
        <v>1.4279999999999999</v>
      </c>
      <c r="D104" s="7">
        <v>16.8</v>
      </c>
      <c r="E104" s="9">
        <f t="shared" si="2"/>
        <v>2.8213788864092133</v>
      </c>
      <c r="F104" s="9">
        <v>36.633364705882357</v>
      </c>
      <c r="G104" s="9">
        <f t="shared" si="3"/>
        <v>3.6009594291346123</v>
      </c>
    </row>
    <row r="105" spans="2:7" x14ac:dyDescent="0.45">
      <c r="B105" s="8">
        <v>34001</v>
      </c>
      <c r="C105" s="7">
        <v>1.431</v>
      </c>
      <c r="D105" s="7">
        <v>17.41</v>
      </c>
      <c r="E105" s="9">
        <f t="shared" si="2"/>
        <v>2.8570447537800976</v>
      </c>
      <c r="F105" s="9">
        <v>37.883916673654788</v>
      </c>
      <c r="G105" s="9">
        <f t="shared" si="3"/>
        <v>3.6345266598485755</v>
      </c>
    </row>
    <row r="106" spans="2:7" x14ac:dyDescent="0.45">
      <c r="B106" s="8">
        <v>34029</v>
      </c>
      <c r="C106" s="7">
        <v>1.4330000000000001</v>
      </c>
      <c r="D106" s="7">
        <v>17.82</v>
      </c>
      <c r="E106" s="9">
        <f t="shared" si="2"/>
        <v>2.8803214220426634</v>
      </c>
      <c r="F106" s="9">
        <v>38.721952212142355</v>
      </c>
      <c r="G106" s="9">
        <f t="shared" si="3"/>
        <v>3.6564066798394199</v>
      </c>
    </row>
    <row r="107" spans="2:7" x14ac:dyDescent="0.45">
      <c r="B107" s="8">
        <v>34060</v>
      </c>
      <c r="C107" s="7">
        <v>1.4379999999999999</v>
      </c>
      <c r="D107" s="7">
        <v>18.350000000000001</v>
      </c>
      <c r="E107" s="9">
        <f t="shared" si="2"/>
        <v>2.9096295745005794</v>
      </c>
      <c r="F107" s="9">
        <v>39.734972600834496</v>
      </c>
      <c r="G107" s="9">
        <f t="shared" si="3"/>
        <v>3.682231721844516</v>
      </c>
    </row>
    <row r="108" spans="2:7" x14ac:dyDescent="0.45">
      <c r="B108" s="8">
        <v>34090</v>
      </c>
      <c r="C108" s="7">
        <v>1.4419999999999999</v>
      </c>
      <c r="D108" s="7">
        <v>17.89</v>
      </c>
      <c r="E108" s="9">
        <f t="shared" si="2"/>
        <v>2.8842418975206279</v>
      </c>
      <c r="F108" s="9">
        <v>38.631432760055482</v>
      </c>
      <c r="G108" s="9">
        <f t="shared" si="3"/>
        <v>3.6540662653006621</v>
      </c>
    </row>
    <row r="109" spans="2:7" x14ac:dyDescent="0.45">
      <c r="B109" s="8">
        <v>34121</v>
      </c>
      <c r="C109" s="7">
        <v>1.4430000000000001</v>
      </c>
      <c r="D109" s="7">
        <v>16.8</v>
      </c>
      <c r="E109" s="9">
        <f t="shared" si="2"/>
        <v>2.8213788864092133</v>
      </c>
      <c r="F109" s="9">
        <v>36.252560498960499</v>
      </c>
      <c r="G109" s="9">
        <f t="shared" si="3"/>
        <v>3.5905100132602707</v>
      </c>
    </row>
    <row r="110" spans="2:7" x14ac:dyDescent="0.45">
      <c r="B110" s="8">
        <v>34151</v>
      </c>
      <c r="C110" s="7">
        <v>1.4450000000000001</v>
      </c>
      <c r="D110" s="7">
        <v>15.81</v>
      </c>
      <c r="E110" s="9">
        <f t="shared" si="2"/>
        <v>2.7606426512213806</v>
      </c>
      <c r="F110" s="9">
        <v>34.069029176470586</v>
      </c>
      <c r="G110" s="9">
        <f t="shared" si="3"/>
        <v>3.5283887362997768</v>
      </c>
    </row>
    <row r="111" spans="2:7" x14ac:dyDescent="0.45">
      <c r="B111" s="8">
        <v>34182</v>
      </c>
      <c r="C111" s="7">
        <v>1.448</v>
      </c>
      <c r="D111" s="7">
        <v>15.64</v>
      </c>
      <c r="E111" s="9">
        <f t="shared" si="2"/>
        <v>2.7498317351171653</v>
      </c>
      <c r="F111" s="9">
        <v>33.632869502762432</v>
      </c>
      <c r="G111" s="9">
        <f t="shared" si="3"/>
        <v>3.515503847796432</v>
      </c>
    </row>
    <row r="112" spans="2:7" x14ac:dyDescent="0.45">
      <c r="B112" s="8">
        <v>34213</v>
      </c>
      <c r="C112" s="7">
        <v>1.45</v>
      </c>
      <c r="D112" s="7">
        <v>15.32</v>
      </c>
      <c r="E112" s="9">
        <f t="shared" si="2"/>
        <v>2.7291591643124451</v>
      </c>
      <c r="F112" s="9">
        <v>32.899287944827584</v>
      </c>
      <c r="G112" s="9">
        <f t="shared" si="3"/>
        <v>3.4934510145227535</v>
      </c>
    </row>
    <row r="113" spans="2:7" x14ac:dyDescent="0.45">
      <c r="B113" s="8">
        <v>34243</v>
      </c>
      <c r="C113" s="7">
        <v>1.456</v>
      </c>
      <c r="D113" s="7">
        <v>15.59</v>
      </c>
      <c r="E113" s="9">
        <f t="shared" si="2"/>
        <v>2.7466296830696852</v>
      </c>
      <c r="F113" s="9">
        <v>33.341142335164832</v>
      </c>
      <c r="G113" s="9">
        <f t="shared" si="3"/>
        <v>3.5067921399379824</v>
      </c>
    </row>
    <row r="114" spans="2:7" x14ac:dyDescent="0.45">
      <c r="B114" s="8">
        <v>34274</v>
      </c>
      <c r="C114" s="7">
        <v>1.46</v>
      </c>
      <c r="D114" s="7">
        <v>14.05</v>
      </c>
      <c r="E114" s="9">
        <f t="shared" si="2"/>
        <v>2.642622395779755</v>
      </c>
      <c r="F114" s="9">
        <v>29.965339589041097</v>
      </c>
      <c r="G114" s="9">
        <f t="shared" si="3"/>
        <v>3.4000413667023013</v>
      </c>
    </row>
    <row r="115" spans="2:7" x14ac:dyDescent="0.45">
      <c r="B115" s="8">
        <v>34304</v>
      </c>
      <c r="C115" s="7">
        <v>1.4630000000000001</v>
      </c>
      <c r="D115" s="7">
        <v>12.56</v>
      </c>
      <c r="E115" s="9">
        <f t="shared" si="2"/>
        <v>2.5305171610400525</v>
      </c>
      <c r="F115" s="9">
        <v>26.732590676691729</v>
      </c>
      <c r="G115" s="9">
        <f t="shared" si="3"/>
        <v>3.2858834456448567</v>
      </c>
    </row>
    <row r="116" spans="2:7" x14ac:dyDescent="0.45">
      <c r="B116" s="8">
        <v>34335</v>
      </c>
      <c r="C116" s="7">
        <v>1.4630000000000001</v>
      </c>
      <c r="D116" s="7">
        <v>12.93</v>
      </c>
      <c r="E116" s="9">
        <f t="shared" si="2"/>
        <v>2.5595501927837661</v>
      </c>
      <c r="F116" s="9">
        <v>27.520095338345861</v>
      </c>
      <c r="G116" s="9">
        <f t="shared" si="3"/>
        <v>3.3149164773885702</v>
      </c>
    </row>
    <row r="117" spans="2:7" x14ac:dyDescent="0.45">
      <c r="B117" s="8">
        <v>34366</v>
      </c>
      <c r="C117" s="7">
        <v>1.4670000000000001</v>
      </c>
      <c r="D117" s="7">
        <v>12.9</v>
      </c>
      <c r="E117" s="9">
        <f t="shared" si="2"/>
        <v>2.5572273113676265</v>
      </c>
      <c r="F117" s="9">
        <v>27.381379959100205</v>
      </c>
      <c r="G117" s="9">
        <f t="shared" si="3"/>
        <v>3.3098632188495731</v>
      </c>
    </row>
    <row r="118" spans="2:7" x14ac:dyDescent="0.45">
      <c r="B118" s="8">
        <v>34394</v>
      </c>
      <c r="C118" s="7">
        <v>1.4710000000000001</v>
      </c>
      <c r="D118" s="7">
        <v>13.18</v>
      </c>
      <c r="E118" s="9">
        <f t="shared" si="2"/>
        <v>2.5787005290743612</v>
      </c>
      <c r="F118" s="9">
        <v>27.899631869476547</v>
      </c>
      <c r="G118" s="9">
        <f t="shared" si="3"/>
        <v>3.3286134940978522</v>
      </c>
    </row>
    <row r="119" spans="2:7" x14ac:dyDescent="0.45">
      <c r="B119" s="8">
        <v>34425</v>
      </c>
      <c r="C119" s="7">
        <v>1.472</v>
      </c>
      <c r="D119" s="7">
        <v>14.54</v>
      </c>
      <c r="E119" s="9">
        <f t="shared" si="2"/>
        <v>2.6769034721053733</v>
      </c>
      <c r="F119" s="9">
        <v>30.757592010869566</v>
      </c>
      <c r="G119" s="9">
        <f t="shared" si="3"/>
        <v>3.4261368584414802</v>
      </c>
    </row>
    <row r="120" spans="2:7" x14ac:dyDescent="0.45">
      <c r="B120" s="8">
        <v>34455</v>
      </c>
      <c r="C120" s="7">
        <v>1.4750000000000001</v>
      </c>
      <c r="D120" s="7">
        <v>15.74</v>
      </c>
      <c r="E120" s="9">
        <f t="shared" si="2"/>
        <v>2.7562052429892572</v>
      </c>
      <c r="F120" s="9">
        <v>33.228324501694914</v>
      </c>
      <c r="G120" s="9">
        <f t="shared" si="3"/>
        <v>3.5034026598402654</v>
      </c>
    </row>
    <row r="121" spans="2:7" x14ac:dyDescent="0.45">
      <c r="B121" s="8">
        <v>34486</v>
      </c>
      <c r="C121" s="7">
        <v>1.4790000000000001</v>
      </c>
      <c r="D121" s="7">
        <v>17.04</v>
      </c>
      <c r="E121" s="9">
        <f t="shared" si="2"/>
        <v>2.8355635214011694</v>
      </c>
      <c r="F121" s="9">
        <v>35.875433022312372</v>
      </c>
      <c r="G121" s="9">
        <f t="shared" si="3"/>
        <v>3.5800527443152985</v>
      </c>
    </row>
    <row r="122" spans="2:7" x14ac:dyDescent="0.45">
      <c r="B122" s="8">
        <v>34516</v>
      </c>
      <c r="C122" s="7">
        <v>1.484</v>
      </c>
      <c r="D122" s="7">
        <v>17.52</v>
      </c>
      <c r="E122" s="9">
        <f t="shared" si="2"/>
        <v>2.8633430855082453</v>
      </c>
      <c r="F122" s="9">
        <v>36.761729595687335</v>
      </c>
      <c r="G122" s="9">
        <f t="shared" si="3"/>
        <v>3.6044573474058481</v>
      </c>
    </row>
    <row r="123" spans="2:7" x14ac:dyDescent="0.45">
      <c r="B123" s="8">
        <v>34547</v>
      </c>
      <c r="C123" s="7">
        <v>1.49</v>
      </c>
      <c r="D123" s="7">
        <v>16.66</v>
      </c>
      <c r="E123" s="9">
        <f t="shared" si="2"/>
        <v>2.8130106367386967</v>
      </c>
      <c r="F123" s="9">
        <v>34.816448161073829</v>
      </c>
      <c r="G123" s="9">
        <f t="shared" si="3"/>
        <v>3.5500899234241206</v>
      </c>
    </row>
    <row r="124" spans="2:7" x14ac:dyDescent="0.45">
      <c r="B124" s="8">
        <v>34578</v>
      </c>
      <c r="C124" s="7">
        <v>1.4930000000000001</v>
      </c>
      <c r="D124" s="7">
        <v>15.91</v>
      </c>
      <c r="E124" s="9">
        <f t="shared" si="2"/>
        <v>2.7669478423496954</v>
      </c>
      <c r="F124" s="9">
        <v>33.182271105157398</v>
      </c>
      <c r="G124" s="9">
        <f t="shared" si="3"/>
        <v>3.5020157304354336</v>
      </c>
    </row>
    <row r="125" spans="2:7" x14ac:dyDescent="0.45">
      <c r="B125" s="8">
        <v>34608</v>
      </c>
      <c r="C125" s="7">
        <v>1.494</v>
      </c>
      <c r="D125" s="7">
        <v>16.27</v>
      </c>
      <c r="E125" s="9">
        <f t="shared" si="2"/>
        <v>2.7893229212309465</v>
      </c>
      <c r="F125" s="9">
        <v>33.91038267737617</v>
      </c>
      <c r="G125" s="9">
        <f t="shared" si="3"/>
        <v>3.5237212411631122</v>
      </c>
    </row>
    <row r="126" spans="2:7" x14ac:dyDescent="0.45">
      <c r="B126" s="8">
        <v>34639</v>
      </c>
      <c r="C126" s="7">
        <v>1.498</v>
      </c>
      <c r="D126" s="7">
        <v>16.46</v>
      </c>
      <c r="E126" s="9">
        <f t="shared" si="2"/>
        <v>2.8009331952489238</v>
      </c>
      <c r="F126" s="9">
        <v>34.214780080106813</v>
      </c>
      <c r="G126" s="9">
        <f t="shared" si="3"/>
        <v>3.5326577167966877</v>
      </c>
    </row>
    <row r="127" spans="2:7" x14ac:dyDescent="0.45">
      <c r="B127" s="8">
        <v>34669</v>
      </c>
      <c r="C127" s="7">
        <v>1.5009999999999999</v>
      </c>
      <c r="D127" s="7">
        <v>15.78</v>
      </c>
      <c r="E127" s="9">
        <f t="shared" si="2"/>
        <v>2.7587433154177283</v>
      </c>
      <c r="F127" s="9">
        <v>32.735730899400401</v>
      </c>
      <c r="G127" s="9">
        <f t="shared" si="3"/>
        <v>3.4884671694091947</v>
      </c>
    </row>
    <row r="128" spans="2:7" x14ac:dyDescent="0.45">
      <c r="B128" s="8">
        <v>34700</v>
      </c>
      <c r="C128" s="7">
        <v>1.5049999999999999</v>
      </c>
      <c r="D128" s="7">
        <v>16.559999999999999</v>
      </c>
      <c r="E128" s="9">
        <f t="shared" si="2"/>
        <v>2.8069901489571136</v>
      </c>
      <c r="F128" s="9">
        <v>34.262540970099671</v>
      </c>
      <c r="G128" s="9">
        <f t="shared" si="3"/>
        <v>3.5340526573990663</v>
      </c>
    </row>
    <row r="129" spans="2:7" x14ac:dyDescent="0.45">
      <c r="B129" s="8">
        <v>34731</v>
      </c>
      <c r="C129" s="7">
        <v>1.5089999999999999</v>
      </c>
      <c r="D129" s="7">
        <v>17.21</v>
      </c>
      <c r="E129" s="9">
        <f t="shared" si="2"/>
        <v>2.8454906102234481</v>
      </c>
      <c r="F129" s="9">
        <v>35.513000371106699</v>
      </c>
      <c r="G129" s="9">
        <f t="shared" si="3"/>
        <v>3.5698988370805278</v>
      </c>
    </row>
    <row r="130" spans="2:7" x14ac:dyDescent="0.45">
      <c r="B130" s="8">
        <v>34759</v>
      </c>
      <c r="C130" s="7">
        <v>1.512</v>
      </c>
      <c r="D130" s="7">
        <v>17.21</v>
      </c>
      <c r="E130" s="9">
        <f t="shared" si="2"/>
        <v>2.8454906102234481</v>
      </c>
      <c r="F130" s="9">
        <v>35.442538068783072</v>
      </c>
      <c r="G130" s="9">
        <f t="shared" si="3"/>
        <v>3.5679127391088983</v>
      </c>
    </row>
    <row r="131" spans="2:7" x14ac:dyDescent="0.45">
      <c r="B131" s="8">
        <v>34790</v>
      </c>
      <c r="C131" s="7">
        <v>1.518</v>
      </c>
      <c r="D131" s="7">
        <v>18.7</v>
      </c>
      <c r="E131" s="9">
        <f t="shared" si="2"/>
        <v>2.9285235238605409</v>
      </c>
      <c r="F131" s="9">
        <v>38.358849275362317</v>
      </c>
      <c r="G131" s="9">
        <f t="shared" si="3"/>
        <v>3.6469852515298942</v>
      </c>
    </row>
    <row r="132" spans="2:7" x14ac:dyDescent="0.45">
      <c r="B132" s="8">
        <v>34820</v>
      </c>
      <c r="C132" s="7">
        <v>1.5209999999999999</v>
      </c>
      <c r="D132" s="7">
        <v>18.559999999999999</v>
      </c>
      <c r="E132" s="9">
        <f t="shared" si="2"/>
        <v>2.9210087273580543</v>
      </c>
      <c r="F132" s="9">
        <v>37.996578671926365</v>
      </c>
      <c r="G132" s="9">
        <f t="shared" si="3"/>
        <v>3.6374961207236902</v>
      </c>
    </row>
    <row r="133" spans="2:7" x14ac:dyDescent="0.45">
      <c r="B133" s="8">
        <v>34851</v>
      </c>
      <c r="C133" s="7">
        <v>1.524</v>
      </c>
      <c r="D133" s="7">
        <v>17.43</v>
      </c>
      <c r="E133" s="9">
        <f t="shared" si="2"/>
        <v>2.8581928595319295</v>
      </c>
      <c r="F133" s="9">
        <v>35.612966850393697</v>
      </c>
      <c r="G133" s="9">
        <f t="shared" si="3"/>
        <v>3.5727098089102665</v>
      </c>
    </row>
    <row r="134" spans="2:7" x14ac:dyDescent="0.45">
      <c r="B134" s="8">
        <v>34881</v>
      </c>
      <c r="C134" s="7">
        <v>1.526</v>
      </c>
      <c r="D134" s="7">
        <v>16.5</v>
      </c>
      <c r="E134" s="9">
        <f t="shared" si="2"/>
        <v>2.8033603809065348</v>
      </c>
      <c r="F134" s="9">
        <v>33.668606815203148</v>
      </c>
      <c r="G134" s="9">
        <f t="shared" si="3"/>
        <v>3.5165658546870611</v>
      </c>
    </row>
    <row r="135" spans="2:7" x14ac:dyDescent="0.45">
      <c r="B135" s="8">
        <v>34912</v>
      </c>
      <c r="C135" s="7">
        <v>1.5289999999999999</v>
      </c>
      <c r="D135" s="7">
        <v>16.54</v>
      </c>
      <c r="E135" s="9">
        <f t="shared" si="2"/>
        <v>2.8057816895955452</v>
      </c>
      <c r="F135" s="9">
        <v>33.684007482014387</v>
      </c>
      <c r="G135" s="9">
        <f t="shared" si="3"/>
        <v>3.5170231692914116</v>
      </c>
    </row>
    <row r="136" spans="2:7" x14ac:dyDescent="0.45">
      <c r="B136" s="8">
        <v>34943</v>
      </c>
      <c r="C136" s="7">
        <v>1.5309999999999999</v>
      </c>
      <c r="D136" s="7">
        <v>16.71</v>
      </c>
      <c r="E136" s="9">
        <f t="shared" si="2"/>
        <v>2.8160073426073025</v>
      </c>
      <c r="F136" s="9">
        <v>33.985760653167866</v>
      </c>
      <c r="G136" s="9">
        <f t="shared" si="3"/>
        <v>3.5259416325745474</v>
      </c>
    </row>
    <row r="137" spans="2:7" x14ac:dyDescent="0.45">
      <c r="B137" s="8">
        <v>34973</v>
      </c>
      <c r="C137" s="7">
        <v>1.5349999999999999</v>
      </c>
      <c r="D137" s="7">
        <v>16.29</v>
      </c>
      <c r="E137" s="9">
        <f t="shared" si="2"/>
        <v>2.7905514226139538</v>
      </c>
      <c r="F137" s="9">
        <v>33.045204195439737</v>
      </c>
      <c r="G137" s="9">
        <f t="shared" si="3"/>
        <v>3.4978764482175846</v>
      </c>
    </row>
    <row r="138" spans="2:7" x14ac:dyDescent="0.45">
      <c r="B138" s="8">
        <v>35004</v>
      </c>
      <c r="C138" s="7">
        <v>1.5369999999999999</v>
      </c>
      <c r="D138" s="7">
        <v>16.52</v>
      </c>
      <c r="E138" s="9">
        <f t="shared" si="2"/>
        <v>2.8045717680928322</v>
      </c>
      <c r="F138" s="9">
        <v>33.468165725439164</v>
      </c>
      <c r="G138" s="9">
        <f t="shared" si="3"/>
        <v>3.5105947101791646</v>
      </c>
    </row>
    <row r="139" spans="2:7" x14ac:dyDescent="0.45">
      <c r="B139" s="8">
        <v>35034</v>
      </c>
      <c r="C139" s="7">
        <v>1.5389999999999999</v>
      </c>
      <c r="D139" s="7">
        <v>17.53</v>
      </c>
      <c r="E139" s="9">
        <f t="shared" si="2"/>
        <v>2.8639136989331431</v>
      </c>
      <c r="F139" s="9">
        <v>35.46819043534763</v>
      </c>
      <c r="G139" s="9">
        <f t="shared" si="3"/>
        <v>3.5686362507191927</v>
      </c>
    </row>
    <row r="140" spans="2:7" x14ac:dyDescent="0.45">
      <c r="B140" s="8">
        <v>35065</v>
      </c>
      <c r="C140" s="7">
        <v>1.5469999999999999</v>
      </c>
      <c r="D140" s="7">
        <v>17.48</v>
      </c>
      <c r="E140" s="9">
        <f t="shared" si="2"/>
        <v>2.8610573702273894</v>
      </c>
      <c r="F140" s="9">
        <v>35.184132695539759</v>
      </c>
      <c r="G140" s="9">
        <f t="shared" si="3"/>
        <v>3.560595205279252</v>
      </c>
    </row>
    <row r="141" spans="2:7" x14ac:dyDescent="0.45">
      <c r="B141" s="8">
        <v>35096</v>
      </c>
      <c r="C141" s="7">
        <v>1.55</v>
      </c>
      <c r="D141" s="7">
        <v>17.77</v>
      </c>
      <c r="E141" s="9">
        <f t="shared" si="2"/>
        <v>2.8775116421665601</v>
      </c>
      <c r="F141" s="9">
        <v>35.698623045161291</v>
      </c>
      <c r="G141" s="9">
        <f t="shared" si="3"/>
        <v>3.5751121178781964</v>
      </c>
    </row>
    <row r="142" spans="2:7" x14ac:dyDescent="0.45">
      <c r="B142" s="8">
        <v>35125</v>
      </c>
      <c r="C142" s="7">
        <v>1.5549999999999999</v>
      </c>
      <c r="D142" s="7">
        <v>19.899999999999999</v>
      </c>
      <c r="E142" s="9">
        <f t="shared" si="2"/>
        <v>2.9907197317304468</v>
      </c>
      <c r="F142" s="9">
        <v>39.849090932475882</v>
      </c>
      <c r="G142" s="9">
        <f t="shared" si="3"/>
        <v>3.6850995927420409</v>
      </c>
    </row>
    <row r="143" spans="2:7" x14ac:dyDescent="0.45">
      <c r="B143" s="8">
        <v>35156</v>
      </c>
      <c r="C143" s="7">
        <v>1.5609999999999999</v>
      </c>
      <c r="D143" s="7">
        <v>21.33</v>
      </c>
      <c r="E143" s="9">
        <f t="shared" si="2"/>
        <v>3.0601145324832593</v>
      </c>
      <c r="F143" s="9">
        <v>42.548444509929531</v>
      </c>
      <c r="G143" s="9">
        <f t="shared" si="3"/>
        <v>3.7506432975927555</v>
      </c>
    </row>
    <row r="144" spans="2:7" x14ac:dyDescent="0.45">
      <c r="B144" s="8">
        <v>35186</v>
      </c>
      <c r="C144" s="7">
        <v>1.5640000000000001</v>
      </c>
      <c r="D144" s="7">
        <v>20.12</v>
      </c>
      <c r="E144" s="9">
        <f t="shared" si="2"/>
        <v>3.0017143452315387</v>
      </c>
      <c r="F144" s="9">
        <v>40.057787928388748</v>
      </c>
      <c r="G144" s="9">
        <f t="shared" si="3"/>
        <v>3.6903231097512106</v>
      </c>
    </row>
    <row r="145" spans="2:7" x14ac:dyDescent="0.45">
      <c r="B145" s="8">
        <v>35217</v>
      </c>
      <c r="C145" s="7">
        <v>1.5669999999999999</v>
      </c>
      <c r="D145" s="7">
        <v>19.32</v>
      </c>
      <c r="E145" s="9">
        <f t="shared" si="2"/>
        <v>2.9611408287843721</v>
      </c>
      <c r="F145" s="9">
        <v>38.391392163369495</v>
      </c>
      <c r="G145" s="9">
        <f t="shared" si="3"/>
        <v>3.6478332720532798</v>
      </c>
    </row>
    <row r="146" spans="2:7" x14ac:dyDescent="0.45">
      <c r="B146" s="8">
        <v>35247</v>
      </c>
      <c r="C146" s="7">
        <v>1.57</v>
      </c>
      <c r="D146" s="7">
        <v>19.600000000000001</v>
      </c>
      <c r="E146" s="9">
        <f t="shared" si="2"/>
        <v>2.9755295662364718</v>
      </c>
      <c r="F146" s="9">
        <v>38.873366624203825</v>
      </c>
      <c r="G146" s="9">
        <f t="shared" si="3"/>
        <v>3.6603093535190463</v>
      </c>
    </row>
    <row r="147" spans="2:7" x14ac:dyDescent="0.45">
      <c r="B147" s="8">
        <v>35278</v>
      </c>
      <c r="C147" s="7">
        <v>1.5720000000000001</v>
      </c>
      <c r="D147" s="7">
        <v>20.53</v>
      </c>
      <c r="E147" s="9">
        <f t="shared" si="2"/>
        <v>3.0218872310308424</v>
      </c>
      <c r="F147" s="9">
        <v>40.666064300254455</v>
      </c>
      <c r="G147" s="9">
        <f t="shared" si="3"/>
        <v>3.705393943666619</v>
      </c>
    </row>
    <row r="148" spans="2:7" x14ac:dyDescent="0.45">
      <c r="B148" s="8">
        <v>35309</v>
      </c>
      <c r="C148" s="7">
        <v>1.577</v>
      </c>
      <c r="D148" s="7">
        <v>22.04</v>
      </c>
      <c r="E148" s="9">
        <f t="shared" ref="E148:E211" si="4">LN(D148)</f>
        <v>3.0928589842847138</v>
      </c>
      <c r="F148" s="9">
        <v>43.518671807228912</v>
      </c>
      <c r="G148" s="9">
        <f t="shared" ref="G148:G211" si="5">LN(F148)</f>
        <v>3.7731900829466039</v>
      </c>
    </row>
    <row r="149" spans="2:7" x14ac:dyDescent="0.45">
      <c r="B149" s="8">
        <v>35339</v>
      </c>
      <c r="C149" s="7">
        <v>1.5820000000000001</v>
      </c>
      <c r="D149" s="7">
        <v>23.22</v>
      </c>
      <c r="E149" s="9">
        <f t="shared" si="4"/>
        <v>3.1450139762697455</v>
      </c>
      <c r="F149" s="9">
        <v>45.703711706700375</v>
      </c>
      <c r="G149" s="9">
        <f t="shared" si="5"/>
        <v>3.8221795135670749</v>
      </c>
    </row>
    <row r="150" spans="2:7" x14ac:dyDescent="0.45">
      <c r="B150" s="8">
        <v>35370</v>
      </c>
      <c r="C150" s="7">
        <v>1.587</v>
      </c>
      <c r="D150" s="7">
        <v>22.66</v>
      </c>
      <c r="E150" s="9">
        <f t="shared" si="4"/>
        <v>3.1206012555998601</v>
      </c>
      <c r="F150" s="9">
        <v>44.460947548834284</v>
      </c>
      <c r="G150" s="9">
        <f t="shared" si="5"/>
        <v>3.7946112206983797</v>
      </c>
    </row>
    <row r="151" spans="2:7" x14ac:dyDescent="0.45">
      <c r="B151" s="8">
        <v>35400</v>
      </c>
      <c r="C151" s="7">
        <v>1.591</v>
      </c>
      <c r="D151" s="7">
        <v>23.22</v>
      </c>
      <c r="E151" s="9">
        <f t="shared" si="4"/>
        <v>3.1450139762697455</v>
      </c>
      <c r="F151" s="9">
        <v>45.445174054054057</v>
      </c>
      <c r="G151" s="9">
        <f t="shared" si="5"/>
        <v>3.8165066335568874</v>
      </c>
    </row>
    <row r="152" spans="2:7" x14ac:dyDescent="0.45">
      <c r="B152" s="8">
        <v>35431</v>
      </c>
      <c r="C152" s="7">
        <v>1.5940000000000001</v>
      </c>
      <c r="D152" s="7">
        <v>23.02</v>
      </c>
      <c r="E152" s="9">
        <f t="shared" si="4"/>
        <v>3.1363634032937364</v>
      </c>
      <c r="F152" s="9">
        <v>44.968949008782936</v>
      </c>
      <c r="G152" s="9">
        <f t="shared" si="5"/>
        <v>3.8059722295685048</v>
      </c>
    </row>
    <row r="153" spans="2:7" x14ac:dyDescent="0.45">
      <c r="B153" s="8">
        <v>35462</v>
      </c>
      <c r="C153" s="7">
        <v>1.597</v>
      </c>
      <c r="D153" s="7">
        <v>20.88</v>
      </c>
      <c r="E153" s="9">
        <f t="shared" si="4"/>
        <v>3.0387917630144381</v>
      </c>
      <c r="F153" s="9">
        <v>40.711894602379466</v>
      </c>
      <c r="G153" s="9">
        <f t="shared" si="5"/>
        <v>3.7065203004243541</v>
      </c>
    </row>
    <row r="154" spans="2:7" x14ac:dyDescent="0.45">
      <c r="B154" s="8">
        <v>35490</v>
      </c>
      <c r="C154" s="7">
        <v>1.5980000000000001</v>
      </c>
      <c r="D154" s="7">
        <v>19.16</v>
      </c>
      <c r="E154" s="9">
        <f t="shared" si="4"/>
        <v>2.9528247725427144</v>
      </c>
      <c r="F154" s="9">
        <v>37.334854668335417</v>
      </c>
      <c r="G154" s="9">
        <f t="shared" si="5"/>
        <v>3.6199273318414229</v>
      </c>
    </row>
    <row r="155" spans="2:7" x14ac:dyDescent="0.45">
      <c r="B155" s="8">
        <v>35521</v>
      </c>
      <c r="C155" s="7">
        <v>1.599</v>
      </c>
      <c r="D155" s="7">
        <v>17.829999999999998</v>
      </c>
      <c r="E155" s="9">
        <f t="shared" si="4"/>
        <v>2.8808824318750488</v>
      </c>
      <c r="F155" s="9">
        <v>34.721510869293304</v>
      </c>
      <c r="G155" s="9">
        <f t="shared" si="5"/>
        <v>3.5473594046660231</v>
      </c>
    </row>
    <row r="156" spans="2:7" x14ac:dyDescent="0.45">
      <c r="B156" s="8">
        <v>35551</v>
      </c>
      <c r="C156" s="7">
        <v>1.599</v>
      </c>
      <c r="D156" s="7">
        <v>18.55</v>
      </c>
      <c r="E156" s="9">
        <f t="shared" si="4"/>
        <v>2.9204697890534441</v>
      </c>
      <c r="F156" s="9">
        <v>36.123613383364606</v>
      </c>
      <c r="G156" s="9">
        <f t="shared" si="5"/>
        <v>3.5869467618444184</v>
      </c>
    </row>
    <row r="157" spans="2:7" x14ac:dyDescent="0.45">
      <c r="B157" s="8">
        <v>35582</v>
      </c>
      <c r="C157" s="7">
        <v>1.6020000000000001</v>
      </c>
      <c r="D157" s="7">
        <v>17.350000000000001</v>
      </c>
      <c r="E157" s="9">
        <f t="shared" si="4"/>
        <v>2.8535925063928684</v>
      </c>
      <c r="F157" s="9">
        <v>33.723504744069913</v>
      </c>
      <c r="G157" s="9">
        <f t="shared" si="5"/>
        <v>3.5181950643894924</v>
      </c>
    </row>
    <row r="158" spans="2:7" x14ac:dyDescent="0.45">
      <c r="B158" s="8">
        <v>35612</v>
      </c>
      <c r="C158" s="7">
        <v>1.6040000000000001</v>
      </c>
      <c r="D158" s="7">
        <v>17.489999999999998</v>
      </c>
      <c r="E158" s="9">
        <f t="shared" si="4"/>
        <v>2.8616292890305104</v>
      </c>
      <c r="F158" s="9">
        <v>33.953236683291763</v>
      </c>
      <c r="G158" s="9">
        <f t="shared" si="5"/>
        <v>3.5249841862289792</v>
      </c>
    </row>
    <row r="159" spans="2:7" x14ac:dyDescent="0.45">
      <c r="B159" s="8">
        <v>35643</v>
      </c>
      <c r="C159" s="7">
        <v>1.6080000000000001</v>
      </c>
      <c r="D159" s="7">
        <v>17.96</v>
      </c>
      <c r="E159" s="9">
        <f t="shared" si="4"/>
        <v>2.8881470628740535</v>
      </c>
      <c r="F159" s="9">
        <v>34.778914527363185</v>
      </c>
      <c r="G159" s="9">
        <f t="shared" si="5"/>
        <v>3.5490112987600706</v>
      </c>
    </row>
    <row r="160" spans="2:7" x14ac:dyDescent="0.45">
      <c r="B160" s="8">
        <v>35674</v>
      </c>
      <c r="C160" s="7">
        <v>1.6120000000000001</v>
      </c>
      <c r="D160" s="7">
        <v>17.850000000000001</v>
      </c>
      <c r="E160" s="9">
        <f t="shared" si="4"/>
        <v>2.8820035082256483</v>
      </c>
      <c r="F160" s="9">
        <v>34.480131885856082</v>
      </c>
      <c r="G160" s="9">
        <f t="shared" si="5"/>
        <v>3.5403832707840031</v>
      </c>
    </row>
    <row r="161" spans="2:7" x14ac:dyDescent="0.45">
      <c r="B161" s="8">
        <v>35704</v>
      </c>
      <c r="C161" s="7">
        <v>1.615</v>
      </c>
      <c r="D161" s="7">
        <v>18.73</v>
      </c>
      <c r="E161" s="9">
        <f t="shared" si="4"/>
        <v>2.9301265164559971</v>
      </c>
      <c r="F161" s="9">
        <v>36.112785312693497</v>
      </c>
      <c r="G161" s="9">
        <f t="shared" si="5"/>
        <v>3.5866469664241687</v>
      </c>
    </row>
    <row r="162" spans="2:7" x14ac:dyDescent="0.45">
      <c r="B162" s="8">
        <v>35735</v>
      </c>
      <c r="C162" s="7">
        <v>1.617</v>
      </c>
      <c r="D162" s="7">
        <v>17.88</v>
      </c>
      <c r="E162" s="9">
        <f t="shared" si="4"/>
        <v>2.8836827697453682</v>
      </c>
      <c r="F162" s="9">
        <v>34.431284897959181</v>
      </c>
      <c r="G162" s="9">
        <f t="shared" si="5"/>
        <v>3.5389655957931896</v>
      </c>
    </row>
    <row r="163" spans="2:7" x14ac:dyDescent="0.45">
      <c r="B163" s="8">
        <v>35765</v>
      </c>
      <c r="C163" s="7">
        <v>1.6180000000000001</v>
      </c>
      <c r="D163" s="7">
        <v>15.95</v>
      </c>
      <c r="E163" s="9">
        <f t="shared" si="4"/>
        <v>2.7694588292308535</v>
      </c>
      <c r="F163" s="9">
        <v>30.695725710754015</v>
      </c>
      <c r="G163" s="9">
        <f t="shared" si="5"/>
        <v>3.4241234172373449</v>
      </c>
    </row>
    <row r="164" spans="2:7" x14ac:dyDescent="0.45">
      <c r="B164" s="8">
        <v>35796</v>
      </c>
      <c r="C164" s="7">
        <v>1.62</v>
      </c>
      <c r="D164" s="7">
        <v>14.33</v>
      </c>
      <c r="E164" s="9">
        <f t="shared" si="4"/>
        <v>2.6623552418400807</v>
      </c>
      <c r="F164" s="9">
        <v>27.543993753086419</v>
      </c>
      <c r="G164" s="9">
        <f t="shared" si="5"/>
        <v>3.3157844992385792</v>
      </c>
    </row>
    <row r="165" spans="2:7" x14ac:dyDescent="0.45">
      <c r="B165" s="8">
        <v>35827</v>
      </c>
      <c r="C165" s="7">
        <v>1.62</v>
      </c>
      <c r="D165" s="7">
        <v>13.32</v>
      </c>
      <c r="E165" s="9">
        <f t="shared" si="4"/>
        <v>2.5892666651122429</v>
      </c>
      <c r="F165" s="9">
        <v>25.602651555555553</v>
      </c>
      <c r="G165" s="9">
        <f t="shared" si="5"/>
        <v>3.2426959225107419</v>
      </c>
    </row>
    <row r="166" spans="2:7" x14ac:dyDescent="0.45">
      <c r="B166" s="8">
        <v>35855</v>
      </c>
      <c r="C166" s="7">
        <v>1.62</v>
      </c>
      <c r="D166" s="7">
        <v>12.34</v>
      </c>
      <c r="E166" s="9">
        <f t="shared" si="4"/>
        <v>2.5128460184772416</v>
      </c>
      <c r="F166" s="9">
        <v>23.718972987654322</v>
      </c>
      <c r="G166" s="9">
        <f t="shared" si="5"/>
        <v>3.1662752758757406</v>
      </c>
    </row>
    <row r="167" spans="2:7" x14ac:dyDescent="0.45">
      <c r="B167" s="8">
        <v>35886</v>
      </c>
      <c r="C167" s="7">
        <v>1.6220000000000001</v>
      </c>
      <c r="D167" s="7">
        <v>12.81</v>
      </c>
      <c r="E167" s="9">
        <f t="shared" si="4"/>
        <v>2.550226115908643</v>
      </c>
      <c r="F167" s="9">
        <v>24.59200934648582</v>
      </c>
      <c r="G167" s="9">
        <f t="shared" si="5"/>
        <v>3.2024215668582134</v>
      </c>
    </row>
    <row r="168" spans="2:7" x14ac:dyDescent="0.45">
      <c r="B168" s="8">
        <v>35916</v>
      </c>
      <c r="C168" s="7">
        <v>1.6259999999999999</v>
      </c>
      <c r="D168" s="7">
        <v>12.61</v>
      </c>
      <c r="E168" s="9">
        <f t="shared" si="4"/>
        <v>2.5344901499768282</v>
      </c>
      <c r="F168" s="9">
        <v>24.148506740467408</v>
      </c>
      <c r="G168" s="9">
        <f t="shared" si="5"/>
        <v>3.1842225454940012</v>
      </c>
    </row>
    <row r="169" spans="2:7" x14ac:dyDescent="0.45">
      <c r="B169" s="8">
        <v>35947</v>
      </c>
      <c r="C169" s="7">
        <v>1.6279999999999999</v>
      </c>
      <c r="D169" s="7">
        <v>11.61</v>
      </c>
      <c r="E169" s="9">
        <f t="shared" si="4"/>
        <v>2.4518667957098002</v>
      </c>
      <c r="F169" s="9">
        <v>22.206164594594597</v>
      </c>
      <c r="G169" s="9">
        <f t="shared" si="5"/>
        <v>3.1003699347722433</v>
      </c>
    </row>
    <row r="170" spans="2:7" x14ac:dyDescent="0.45">
      <c r="B170" s="8">
        <v>35977</v>
      </c>
      <c r="C170" s="7">
        <v>1.6319999999999999</v>
      </c>
      <c r="D170" s="7">
        <v>11.55</v>
      </c>
      <c r="E170" s="9">
        <f t="shared" si="4"/>
        <v>2.4466854369678028</v>
      </c>
      <c r="F170" s="9">
        <v>22.037258455882355</v>
      </c>
      <c r="G170" s="9">
        <f t="shared" si="5"/>
        <v>3.0927345870686791</v>
      </c>
    </row>
    <row r="171" spans="2:7" x14ac:dyDescent="0.45">
      <c r="B171" s="8">
        <v>36008</v>
      </c>
      <c r="C171" s="7">
        <v>1.6339999999999999</v>
      </c>
      <c r="D171" s="7">
        <v>11.34</v>
      </c>
      <c r="E171" s="9">
        <f t="shared" si="4"/>
        <v>2.4283362982996062</v>
      </c>
      <c r="F171" s="9">
        <v>21.610098066095475</v>
      </c>
      <c r="G171" s="9">
        <f t="shared" si="5"/>
        <v>3.0731607085045867</v>
      </c>
    </row>
    <row r="172" spans="2:7" x14ac:dyDescent="0.45">
      <c r="B172" s="8">
        <v>36039</v>
      </c>
      <c r="C172" s="7">
        <v>1.635</v>
      </c>
      <c r="D172" s="7">
        <v>12.77</v>
      </c>
      <c r="E172" s="9">
        <f t="shared" si="4"/>
        <v>2.547098670044448</v>
      </c>
      <c r="F172" s="9">
        <v>24.320297076452597</v>
      </c>
      <c r="G172" s="9">
        <f t="shared" si="5"/>
        <v>3.1913112723380226</v>
      </c>
    </row>
    <row r="173" spans="2:7" x14ac:dyDescent="0.45">
      <c r="B173" s="8">
        <v>36069</v>
      </c>
      <c r="C173" s="7">
        <v>1.639</v>
      </c>
      <c r="D173" s="7">
        <v>12.11</v>
      </c>
      <c r="E173" s="9">
        <f t="shared" si="4"/>
        <v>2.4940315575650009</v>
      </c>
      <c r="F173" s="9">
        <v>23.007049395973151</v>
      </c>
      <c r="G173" s="9">
        <f t="shared" si="5"/>
        <v>3.1358006644460996</v>
      </c>
    </row>
    <row r="174" spans="2:7" x14ac:dyDescent="0.45">
      <c r="B174" s="8">
        <v>36100</v>
      </c>
      <c r="C174" s="7">
        <v>1.641</v>
      </c>
      <c r="D174" s="7">
        <v>10.99</v>
      </c>
      <c r="E174" s="9">
        <f t="shared" si="4"/>
        <v>2.3969857684155298</v>
      </c>
      <c r="F174" s="9">
        <v>20.853782839731871</v>
      </c>
      <c r="G174" s="9">
        <f t="shared" si="5"/>
        <v>3.0375353629503676</v>
      </c>
    </row>
    <row r="175" spans="2:7" x14ac:dyDescent="0.45">
      <c r="B175" s="8">
        <v>36130</v>
      </c>
      <c r="C175" s="7">
        <v>1.6439999999999999</v>
      </c>
      <c r="D175" s="7">
        <v>9.39</v>
      </c>
      <c r="E175" s="9">
        <f t="shared" si="4"/>
        <v>2.2396452932201716</v>
      </c>
      <c r="F175" s="9">
        <v>17.785231167883214</v>
      </c>
      <c r="G175" s="9">
        <f t="shared" si="5"/>
        <v>2.8783684032289751</v>
      </c>
    </row>
    <row r="176" spans="2:7" x14ac:dyDescent="0.45">
      <c r="B176" s="8">
        <v>36161</v>
      </c>
      <c r="C176" s="7">
        <v>1.647</v>
      </c>
      <c r="D176" s="7">
        <v>10.16</v>
      </c>
      <c r="E176" s="9">
        <f t="shared" si="4"/>
        <v>2.318458442150336</v>
      </c>
      <c r="F176" s="9">
        <v>19.208605804493018</v>
      </c>
      <c r="G176" s="9">
        <f t="shared" si="5"/>
        <v>2.9553583975976241</v>
      </c>
    </row>
    <row r="177" spans="2:7" x14ac:dyDescent="0.45">
      <c r="B177" s="8">
        <v>36192</v>
      </c>
      <c r="C177" s="7">
        <v>1.647</v>
      </c>
      <c r="D177" s="7">
        <v>10.33</v>
      </c>
      <c r="E177" s="9">
        <f t="shared" si="4"/>
        <v>2.3350522831315472</v>
      </c>
      <c r="F177" s="9">
        <v>19.530009641772921</v>
      </c>
      <c r="G177" s="9">
        <f t="shared" si="5"/>
        <v>2.9719522385788353</v>
      </c>
    </row>
    <row r="178" spans="2:7" x14ac:dyDescent="0.45">
      <c r="B178" s="8">
        <v>36220</v>
      </c>
      <c r="C178" s="7">
        <v>1.6479999999999999</v>
      </c>
      <c r="D178" s="7">
        <v>12.1</v>
      </c>
      <c r="E178" s="9">
        <f t="shared" si="4"/>
        <v>2.4932054526026954</v>
      </c>
      <c r="F178" s="9">
        <v>22.862509466019418</v>
      </c>
      <c r="G178" s="9">
        <f t="shared" si="5"/>
        <v>3.129498427758207</v>
      </c>
    </row>
    <row r="179" spans="2:7" x14ac:dyDescent="0.45">
      <c r="B179" s="8">
        <v>36251</v>
      </c>
      <c r="C179" s="7">
        <v>1.659</v>
      </c>
      <c r="D179" s="7">
        <v>14.82</v>
      </c>
      <c r="E179" s="9">
        <f t="shared" si="4"/>
        <v>2.695977619867941</v>
      </c>
      <c r="F179" s="9">
        <v>27.816184159132007</v>
      </c>
      <c r="G179" s="9">
        <f t="shared" si="5"/>
        <v>3.3256180153024251</v>
      </c>
    </row>
    <row r="180" spans="2:7" x14ac:dyDescent="0.45">
      <c r="B180" s="8">
        <v>36281</v>
      </c>
      <c r="C180" s="7">
        <v>1.66</v>
      </c>
      <c r="D180" s="7">
        <v>15.57</v>
      </c>
      <c r="E180" s="9">
        <f t="shared" si="4"/>
        <v>2.7453459858459071</v>
      </c>
      <c r="F180" s="9">
        <v>29.206281036144581</v>
      </c>
      <c r="G180" s="9">
        <f t="shared" si="5"/>
        <v>3.3743837901202469</v>
      </c>
    </row>
    <row r="181" spans="2:7" x14ac:dyDescent="0.45">
      <c r="B181" s="8">
        <v>36312</v>
      </c>
      <c r="C181" s="7">
        <v>1.66</v>
      </c>
      <c r="D181" s="7">
        <v>15.91</v>
      </c>
      <c r="E181" s="9">
        <f t="shared" si="4"/>
        <v>2.7669478423496954</v>
      </c>
      <c r="F181" s="9">
        <v>29.844054674698796</v>
      </c>
      <c r="G181" s="9">
        <f t="shared" si="5"/>
        <v>3.3959856466240352</v>
      </c>
    </row>
    <row r="182" spans="2:7" x14ac:dyDescent="0.45">
      <c r="B182" s="8">
        <v>36342</v>
      </c>
      <c r="C182" s="7">
        <v>1.667</v>
      </c>
      <c r="D182" s="7">
        <v>18.05</v>
      </c>
      <c r="E182" s="9">
        <f t="shared" si="4"/>
        <v>2.8931456847788901</v>
      </c>
      <c r="F182" s="9">
        <v>33.716100659868026</v>
      </c>
      <c r="G182" s="9">
        <f t="shared" si="5"/>
        <v>3.5179754876530245</v>
      </c>
    </row>
    <row r="183" spans="2:7" x14ac:dyDescent="0.45">
      <c r="B183" s="8">
        <v>36373</v>
      </c>
      <c r="C183" s="7">
        <v>1.671</v>
      </c>
      <c r="D183" s="7">
        <v>19.559999999999999</v>
      </c>
      <c r="E183" s="9">
        <f t="shared" si="4"/>
        <v>2.9734866646066713</v>
      </c>
      <c r="F183" s="9">
        <v>36.449211346499098</v>
      </c>
      <c r="G183" s="9">
        <f t="shared" si="5"/>
        <v>3.595919821636206</v>
      </c>
    </row>
    <row r="184" spans="2:7" x14ac:dyDescent="0.45">
      <c r="B184" s="8">
        <v>36404</v>
      </c>
      <c r="C184" s="7">
        <v>1.6779999999999999</v>
      </c>
      <c r="D184" s="7">
        <v>21.64</v>
      </c>
      <c r="E184" s="9">
        <f t="shared" si="4"/>
        <v>3.074543453978281</v>
      </c>
      <c r="F184" s="9">
        <v>40.15697916567342</v>
      </c>
      <c r="G184" s="9">
        <f t="shared" si="5"/>
        <v>3.6927962525760578</v>
      </c>
    </row>
    <row r="185" spans="2:7" x14ac:dyDescent="0.45">
      <c r="B185" s="8">
        <v>36434</v>
      </c>
      <c r="C185" s="7">
        <v>1.681</v>
      </c>
      <c r="D185" s="7">
        <v>21.62</v>
      </c>
      <c r="E185" s="9">
        <f t="shared" si="4"/>
        <v>3.0736188122110621</v>
      </c>
      <c r="F185" s="9">
        <v>40.048265508625818</v>
      </c>
      <c r="G185" s="9">
        <f t="shared" si="5"/>
        <v>3.6900853644273752</v>
      </c>
    </row>
    <row r="186" spans="2:7" x14ac:dyDescent="0.45">
      <c r="B186" s="8">
        <v>36465</v>
      </c>
      <c r="C186" s="7">
        <v>1.6839999999999999</v>
      </c>
      <c r="D186" s="7">
        <v>23.14</v>
      </c>
      <c r="E186" s="9">
        <f t="shared" si="4"/>
        <v>3.1415627217655304</v>
      </c>
      <c r="F186" s="9">
        <v>42.787508931116392</v>
      </c>
      <c r="G186" s="9">
        <f t="shared" si="5"/>
        <v>3.756246212588187</v>
      </c>
    </row>
    <row r="187" spans="2:7" x14ac:dyDescent="0.45">
      <c r="B187" s="8">
        <v>36495</v>
      </c>
      <c r="C187" s="7">
        <v>1.6879999999999999</v>
      </c>
      <c r="D187" s="7">
        <v>24.35</v>
      </c>
      <c r="E187" s="9">
        <f t="shared" si="4"/>
        <v>3.1925318495285988</v>
      </c>
      <c r="F187" s="9">
        <v>44.918191113744079</v>
      </c>
      <c r="G187" s="9">
        <f t="shared" si="5"/>
        <v>3.8048428599976249</v>
      </c>
    </row>
    <row r="188" spans="2:7" x14ac:dyDescent="0.45">
      <c r="B188" s="8">
        <v>36526</v>
      </c>
      <c r="C188" s="7">
        <v>1.6930000000000001</v>
      </c>
      <c r="D188" s="7">
        <v>25.29</v>
      </c>
      <c r="E188" s="9">
        <f t="shared" si="4"/>
        <v>3.2304090606818736</v>
      </c>
      <c r="F188" s="9">
        <v>46.514419633786176</v>
      </c>
      <c r="G188" s="9">
        <f t="shared" si="5"/>
        <v>3.8397623641736671</v>
      </c>
    </row>
    <row r="189" spans="2:7" x14ac:dyDescent="0.45">
      <c r="B189" s="8">
        <v>36557</v>
      </c>
      <c r="C189" s="7">
        <v>1.7</v>
      </c>
      <c r="D189" s="7">
        <v>27.39</v>
      </c>
      <c r="E189" s="9">
        <f t="shared" si="4"/>
        <v>3.3101779832749867</v>
      </c>
      <c r="F189" s="9">
        <v>50.169392964705892</v>
      </c>
      <c r="G189" s="9">
        <f t="shared" si="5"/>
        <v>3.9154051388556081</v>
      </c>
    </row>
    <row r="190" spans="2:7" x14ac:dyDescent="0.45">
      <c r="B190" s="8">
        <v>36586</v>
      </c>
      <c r="C190" s="7">
        <v>1.71</v>
      </c>
      <c r="D190" s="7">
        <v>27.7</v>
      </c>
      <c r="E190" s="9">
        <f t="shared" si="4"/>
        <v>3.3214324131932926</v>
      </c>
      <c r="F190" s="9">
        <v>50.440501286549704</v>
      </c>
      <c r="G190" s="9">
        <f t="shared" si="5"/>
        <v>3.9207944493215159</v>
      </c>
    </row>
    <row r="191" spans="2:7" x14ac:dyDescent="0.45">
      <c r="B191" s="8">
        <v>36617</v>
      </c>
      <c r="C191" s="7">
        <v>1.7090000000000001</v>
      </c>
      <c r="D191" s="7">
        <v>24.29</v>
      </c>
      <c r="E191" s="9">
        <f t="shared" si="4"/>
        <v>3.1900647430140809</v>
      </c>
      <c r="F191" s="9">
        <v>44.256920093621993</v>
      </c>
      <c r="G191" s="9">
        <f t="shared" si="5"/>
        <v>3.7900117455234188</v>
      </c>
    </row>
    <row r="192" spans="2:7" x14ac:dyDescent="0.45">
      <c r="B192" s="8">
        <v>36647</v>
      </c>
      <c r="C192" s="7">
        <v>1.712</v>
      </c>
      <c r="D192" s="7">
        <v>26.35</v>
      </c>
      <c r="E192" s="9">
        <f t="shared" si="4"/>
        <v>3.2714682749873716</v>
      </c>
      <c r="F192" s="9">
        <v>47.926155724299072</v>
      </c>
      <c r="G192" s="9">
        <f t="shared" si="5"/>
        <v>3.8696614039106128</v>
      </c>
    </row>
    <row r="193" spans="2:7" x14ac:dyDescent="0.45">
      <c r="B193" s="8">
        <v>36678</v>
      </c>
      <c r="C193" s="7">
        <v>1.722</v>
      </c>
      <c r="D193" s="7">
        <v>28.91</v>
      </c>
      <c r="E193" s="9">
        <f t="shared" si="4"/>
        <v>3.3641875560282548</v>
      </c>
      <c r="F193" s="9">
        <v>52.277002764227639</v>
      </c>
      <c r="G193" s="9">
        <f t="shared" si="5"/>
        <v>3.956556556665507</v>
      </c>
    </row>
    <row r="194" spans="2:7" x14ac:dyDescent="0.45">
      <c r="B194" s="8">
        <v>36708</v>
      </c>
      <c r="C194" s="7">
        <v>1.7270000000000001</v>
      </c>
      <c r="D194" s="7">
        <v>28</v>
      </c>
      <c r="E194" s="9">
        <f t="shared" si="4"/>
        <v>3.3322045101752038</v>
      </c>
      <c r="F194" s="9">
        <v>50.484891719745221</v>
      </c>
      <c r="G194" s="9">
        <f t="shared" si="5"/>
        <v>3.921674117653454</v>
      </c>
    </row>
    <row r="195" spans="2:7" x14ac:dyDescent="0.45">
      <c r="B195" s="8">
        <v>36739</v>
      </c>
      <c r="C195" s="7">
        <v>1.7270000000000001</v>
      </c>
      <c r="D195" s="7">
        <v>28.8</v>
      </c>
      <c r="E195" s="9">
        <f t="shared" si="4"/>
        <v>3.3603753871419002</v>
      </c>
      <c r="F195" s="9">
        <v>51.927317197452226</v>
      </c>
      <c r="G195" s="9">
        <f t="shared" si="5"/>
        <v>3.9498449946201499</v>
      </c>
    </row>
    <row r="196" spans="2:7" x14ac:dyDescent="0.45">
      <c r="B196" s="8">
        <v>36770</v>
      </c>
      <c r="C196" s="7">
        <v>1.736</v>
      </c>
      <c r="D196" s="7">
        <v>30.56</v>
      </c>
      <c r="E196" s="9">
        <f t="shared" si="4"/>
        <v>3.4196919642983197</v>
      </c>
      <c r="F196" s="9">
        <v>54.814993179723501</v>
      </c>
      <c r="G196" s="9">
        <f t="shared" si="5"/>
        <v>4.0039637547029532</v>
      </c>
    </row>
    <row r="197" spans="2:7" x14ac:dyDescent="0.45">
      <c r="B197" s="8">
        <v>36800</v>
      </c>
      <c r="C197" s="7">
        <v>1.7390000000000001</v>
      </c>
      <c r="D197" s="7">
        <v>29.71</v>
      </c>
      <c r="E197" s="9">
        <f t="shared" si="4"/>
        <v>3.3914836894745162</v>
      </c>
      <c r="F197" s="9">
        <v>53.198428729154685</v>
      </c>
      <c r="G197" s="9">
        <f t="shared" si="5"/>
        <v>3.9740288607451619</v>
      </c>
    </row>
    <row r="198" spans="2:7" x14ac:dyDescent="0.45">
      <c r="B198" s="8">
        <v>36831</v>
      </c>
      <c r="C198" s="7">
        <v>1.742</v>
      </c>
      <c r="D198" s="7">
        <v>30</v>
      </c>
      <c r="E198" s="9">
        <f t="shared" si="4"/>
        <v>3.4011973816621555</v>
      </c>
      <c r="F198" s="9">
        <v>53.625189437428247</v>
      </c>
      <c r="G198" s="9">
        <f t="shared" si="5"/>
        <v>3.9820189098746357</v>
      </c>
    </row>
    <row r="199" spans="2:7" x14ac:dyDescent="0.45">
      <c r="B199" s="8">
        <v>36861</v>
      </c>
      <c r="C199" s="7">
        <v>1.746</v>
      </c>
      <c r="D199" s="7">
        <v>25.19</v>
      </c>
      <c r="E199" s="9">
        <f t="shared" si="4"/>
        <v>3.2264470903645188</v>
      </c>
      <c r="F199" s="9">
        <v>44.924128774341348</v>
      </c>
      <c r="G199" s="9">
        <f t="shared" si="5"/>
        <v>3.8049750395898996</v>
      </c>
    </row>
    <row r="200" spans="2:7" x14ac:dyDescent="0.45">
      <c r="B200" s="8">
        <v>36892</v>
      </c>
      <c r="C200" s="7">
        <v>1.756</v>
      </c>
      <c r="D200" s="7">
        <v>24.49</v>
      </c>
      <c r="E200" s="9">
        <f t="shared" si="4"/>
        <v>3.1982648709640764</v>
      </c>
      <c r="F200" s="9">
        <v>43.427018018223229</v>
      </c>
      <c r="G200" s="9">
        <f t="shared" si="5"/>
        <v>3.7710817823939426</v>
      </c>
    </row>
    <row r="201" spans="2:7" x14ac:dyDescent="0.45">
      <c r="B201" s="8">
        <v>36923</v>
      </c>
      <c r="C201" s="7">
        <v>1.76</v>
      </c>
      <c r="D201" s="7">
        <v>24.97</v>
      </c>
      <c r="E201" s="9">
        <f t="shared" si="4"/>
        <v>3.2176751042916818</v>
      </c>
      <c r="F201" s="9">
        <v>44.177548250000001</v>
      </c>
      <c r="G201" s="9">
        <f t="shared" si="5"/>
        <v>3.7882167018844131</v>
      </c>
    </row>
    <row r="202" spans="2:7" x14ac:dyDescent="0.45">
      <c r="B202" s="8">
        <v>36951</v>
      </c>
      <c r="C202" s="7">
        <v>1.7609999999999999</v>
      </c>
      <c r="D202" s="7">
        <v>23.01</v>
      </c>
      <c r="E202" s="9">
        <f t="shared" si="4"/>
        <v>3.1359289040472746</v>
      </c>
      <c r="F202" s="9">
        <v>40.686749778534924</v>
      </c>
      <c r="G202" s="9">
        <f t="shared" si="5"/>
        <v>3.7059024811759969</v>
      </c>
    </row>
    <row r="203" spans="2:7" x14ac:dyDescent="0.45">
      <c r="B203" s="8">
        <v>36982</v>
      </c>
      <c r="C203" s="7">
        <v>1.764</v>
      </c>
      <c r="D203" s="7">
        <v>22.99</v>
      </c>
      <c r="E203" s="9">
        <f t="shared" si="4"/>
        <v>3.1350593387750902</v>
      </c>
      <c r="F203" s="9">
        <v>40.582250362811791</v>
      </c>
      <c r="G203" s="9">
        <f t="shared" si="5"/>
        <v>3.703330787833282</v>
      </c>
    </row>
    <row r="204" spans="2:7" x14ac:dyDescent="0.45">
      <c r="B204" s="8">
        <v>37012</v>
      </c>
      <c r="C204" s="7">
        <v>1.7729999999999999</v>
      </c>
      <c r="D204" s="7">
        <v>24.63</v>
      </c>
      <c r="E204" s="9">
        <f t="shared" si="4"/>
        <v>3.2039652121324464</v>
      </c>
      <c r="F204" s="9">
        <v>43.2565034856176</v>
      </c>
      <c r="G204" s="9">
        <f t="shared" si="5"/>
        <v>3.7671475916831674</v>
      </c>
    </row>
    <row r="205" spans="2:7" x14ac:dyDescent="0.45">
      <c r="B205" s="8">
        <v>37043</v>
      </c>
      <c r="C205" s="7">
        <v>1.7769999999999999</v>
      </c>
      <c r="D205" s="7">
        <v>23.95</v>
      </c>
      <c r="E205" s="9">
        <f t="shared" si="4"/>
        <v>3.1759683238569241</v>
      </c>
      <c r="F205" s="9">
        <v>41.967570174451325</v>
      </c>
      <c r="G205" s="9">
        <f t="shared" si="5"/>
        <v>3.7368971813272016</v>
      </c>
    </row>
    <row r="206" spans="2:7" x14ac:dyDescent="0.45">
      <c r="B206" s="8">
        <v>37073</v>
      </c>
      <c r="C206" s="7">
        <v>1.774</v>
      </c>
      <c r="D206" s="7">
        <v>22.76</v>
      </c>
      <c r="E206" s="9">
        <f t="shared" si="4"/>
        <v>3.1250046092581303</v>
      </c>
      <c r="F206" s="9">
        <v>39.949778669673059</v>
      </c>
      <c r="G206" s="9">
        <f t="shared" si="5"/>
        <v>3.6876231320135342</v>
      </c>
    </row>
    <row r="207" spans="2:7" x14ac:dyDescent="0.45">
      <c r="B207" s="8">
        <v>37104</v>
      </c>
      <c r="C207" s="7">
        <v>1.774</v>
      </c>
      <c r="D207" s="7">
        <v>23.77</v>
      </c>
      <c r="E207" s="9">
        <f t="shared" si="4"/>
        <v>3.1684242813721024</v>
      </c>
      <c r="F207" s="9">
        <v>41.722593979706872</v>
      </c>
      <c r="G207" s="9">
        <f t="shared" si="5"/>
        <v>3.7310428041275063</v>
      </c>
    </row>
    <row r="208" spans="2:7" x14ac:dyDescent="0.45">
      <c r="B208" s="8">
        <v>37135</v>
      </c>
      <c r="C208" s="7">
        <v>1.7809999999999999</v>
      </c>
      <c r="D208" s="7">
        <v>22.51</v>
      </c>
      <c r="E208" s="9">
        <f t="shared" si="4"/>
        <v>3.113959654918641</v>
      </c>
      <c r="F208" s="9">
        <v>39.355670050533412</v>
      </c>
      <c r="G208" s="9">
        <f t="shared" si="5"/>
        <v>3.6726400572539077</v>
      </c>
    </row>
    <row r="209" spans="2:7" x14ac:dyDescent="0.45">
      <c r="B209" s="8">
        <v>37165</v>
      </c>
      <c r="C209" s="7">
        <v>1.776</v>
      </c>
      <c r="D209" s="7">
        <v>18.760000000000002</v>
      </c>
      <c r="E209" s="9">
        <f t="shared" si="4"/>
        <v>2.9317269435780786</v>
      </c>
      <c r="F209" s="9">
        <v>32.891646036036043</v>
      </c>
      <c r="G209" s="9">
        <f t="shared" si="5"/>
        <v>3.4932187056508921</v>
      </c>
    </row>
    <row r="210" spans="2:7" x14ac:dyDescent="0.45">
      <c r="B210" s="8">
        <v>37196</v>
      </c>
      <c r="C210" s="7">
        <v>1.7749999999999999</v>
      </c>
      <c r="D210" s="7">
        <v>16.059999999999999</v>
      </c>
      <c r="E210" s="9">
        <f t="shared" si="4"/>
        <v>2.7763317085186157</v>
      </c>
      <c r="F210" s="9">
        <v>28.173637273239439</v>
      </c>
      <c r="G210" s="9">
        <f t="shared" si="5"/>
        <v>3.3383866922340282</v>
      </c>
    </row>
    <row r="211" spans="2:7" x14ac:dyDescent="0.45">
      <c r="B211" s="8">
        <v>37226</v>
      </c>
      <c r="C211" s="7">
        <v>1.774</v>
      </c>
      <c r="D211" s="7">
        <v>15.95</v>
      </c>
      <c r="E211" s="9">
        <f t="shared" si="4"/>
        <v>2.7694588292308535</v>
      </c>
      <c r="F211" s="9">
        <v>27.996439797068771</v>
      </c>
      <c r="G211" s="9">
        <f t="shared" si="5"/>
        <v>3.3320773519862574</v>
      </c>
    </row>
    <row r="212" spans="2:7" x14ac:dyDescent="0.45">
      <c r="B212" s="8">
        <v>37257</v>
      </c>
      <c r="C212" s="7">
        <v>1.7769999999999999</v>
      </c>
      <c r="D212" s="7">
        <v>17.04</v>
      </c>
      <c r="E212" s="9">
        <f t="shared" ref="E212:E275" si="6">LN(D212)</f>
        <v>2.8355635214011694</v>
      </c>
      <c r="F212" s="9">
        <v>29.859181451885203</v>
      </c>
      <c r="G212" s="9">
        <f t="shared" ref="G212:G275" si="7">LN(F212)</f>
        <v>3.3964923788714469</v>
      </c>
    </row>
    <row r="213" spans="2:7" x14ac:dyDescent="0.45">
      <c r="B213" s="8">
        <v>37288</v>
      </c>
      <c r="C213" s="7">
        <v>1.78</v>
      </c>
      <c r="D213" s="7">
        <v>18.239999999999998</v>
      </c>
      <c r="E213" s="9">
        <f t="shared" si="6"/>
        <v>2.9036169846461855</v>
      </c>
      <c r="F213" s="9">
        <v>31.90807226966292</v>
      </c>
      <c r="G213" s="9">
        <f t="shared" si="7"/>
        <v>3.462859026984983</v>
      </c>
    </row>
    <row r="214" spans="2:7" x14ac:dyDescent="0.45">
      <c r="B214" s="8">
        <v>37316</v>
      </c>
      <c r="C214" s="7">
        <v>1.7849999999999999</v>
      </c>
      <c r="D214" s="7">
        <v>22.29</v>
      </c>
      <c r="E214" s="9">
        <f t="shared" si="6"/>
        <v>3.1041381473977774</v>
      </c>
      <c r="F214" s="9">
        <v>38.883699966386551</v>
      </c>
      <c r="G214" s="9">
        <f t="shared" si="7"/>
        <v>3.6605751388089667</v>
      </c>
    </row>
    <row r="215" spans="2:7" x14ac:dyDescent="0.45">
      <c r="B215" s="8">
        <v>37347</v>
      </c>
      <c r="C215" s="7">
        <v>1.7929999999999999</v>
      </c>
      <c r="D215" s="7">
        <v>23.98</v>
      </c>
      <c r="E215" s="9">
        <f t="shared" si="6"/>
        <v>3.1772201495993682</v>
      </c>
      <c r="F215" s="9">
        <v>41.645168588957063</v>
      </c>
      <c r="G215" s="9">
        <f t="shared" si="7"/>
        <v>3.7291853616191641</v>
      </c>
    </row>
    <row r="216" spans="2:7" x14ac:dyDescent="0.45">
      <c r="B216" s="8">
        <v>37377</v>
      </c>
      <c r="C216" s="7">
        <v>1.7949999999999999</v>
      </c>
      <c r="D216" s="7">
        <v>24.44</v>
      </c>
      <c r="E216" s="9">
        <f t="shared" si="6"/>
        <v>3.1962211343033946</v>
      </c>
      <c r="F216" s="9">
        <v>42.396741972144852</v>
      </c>
      <c r="G216" s="9">
        <f t="shared" si="7"/>
        <v>3.747071519005944</v>
      </c>
    </row>
    <row r="217" spans="2:7" x14ac:dyDescent="0.45">
      <c r="B217" s="8">
        <v>37408</v>
      </c>
      <c r="C217" s="7">
        <v>1.796</v>
      </c>
      <c r="D217" s="7">
        <v>23.45</v>
      </c>
      <c r="E217" s="9">
        <f t="shared" si="6"/>
        <v>3.1548704948922883</v>
      </c>
      <c r="F217" s="9">
        <v>40.656711692650333</v>
      </c>
      <c r="G217" s="9">
        <f t="shared" si="7"/>
        <v>3.705163931655072</v>
      </c>
    </row>
    <row r="218" spans="2:7" x14ac:dyDescent="0.45">
      <c r="B218" s="8">
        <v>37438</v>
      </c>
      <c r="C218" s="7">
        <v>1.8</v>
      </c>
      <c r="D218" s="7">
        <v>24.99</v>
      </c>
      <c r="E218" s="9">
        <f t="shared" si="6"/>
        <v>3.2184757448468608</v>
      </c>
      <c r="F218" s="9">
        <v>43.230423133333332</v>
      </c>
      <c r="G218" s="9">
        <f t="shared" si="7"/>
        <v>3.7665444865875335</v>
      </c>
    </row>
    <row r="219" spans="2:7" x14ac:dyDescent="0.45">
      <c r="B219" s="8">
        <v>37469</v>
      </c>
      <c r="C219" s="7">
        <v>1.8049999999999999</v>
      </c>
      <c r="D219" s="7">
        <v>25.68</v>
      </c>
      <c r="E219" s="9">
        <f t="shared" si="6"/>
        <v>3.2457124788217606</v>
      </c>
      <c r="F219" s="9">
        <v>44.301001927977836</v>
      </c>
      <c r="G219" s="9">
        <f t="shared" si="7"/>
        <v>3.7910072936797077</v>
      </c>
    </row>
    <row r="220" spans="2:7" x14ac:dyDescent="0.45">
      <c r="B220" s="8">
        <v>37500</v>
      </c>
      <c r="C220" s="7">
        <v>1.8080000000000001</v>
      </c>
      <c r="D220" s="7">
        <v>27.14</v>
      </c>
      <c r="E220" s="9">
        <f t="shared" si="6"/>
        <v>3.301008654406723</v>
      </c>
      <c r="F220" s="9">
        <v>46.741985088495575</v>
      </c>
      <c r="G220" s="9">
        <f t="shared" si="7"/>
        <v>3.84464279907953</v>
      </c>
    </row>
    <row r="221" spans="2:7" x14ac:dyDescent="0.45">
      <c r="B221" s="8">
        <v>37530</v>
      </c>
      <c r="C221" s="7">
        <v>1.8120000000000001</v>
      </c>
      <c r="D221" s="7">
        <v>25.99</v>
      </c>
      <c r="E221" s="9">
        <f t="shared" si="6"/>
        <v>3.2577118486533987</v>
      </c>
      <c r="F221" s="9">
        <v>44.662581479028695</v>
      </c>
      <c r="G221" s="9">
        <f t="shared" si="7"/>
        <v>3.7991360476754026</v>
      </c>
    </row>
    <row r="222" spans="2:7" x14ac:dyDescent="0.45">
      <c r="B222" s="8">
        <v>37561</v>
      </c>
      <c r="C222" s="7">
        <v>1.8149999999999999</v>
      </c>
      <c r="D222" s="7">
        <v>23.68</v>
      </c>
      <c r="E222" s="9">
        <f t="shared" si="6"/>
        <v>3.1646308100158049</v>
      </c>
      <c r="F222" s="9">
        <v>40.625695030303028</v>
      </c>
      <c r="G222" s="9">
        <f t="shared" si="7"/>
        <v>3.7044007489417821</v>
      </c>
    </row>
    <row r="223" spans="2:7" x14ac:dyDescent="0.45">
      <c r="B223" s="8">
        <v>37591</v>
      </c>
      <c r="C223" s="7">
        <v>1.8180000000000001</v>
      </c>
      <c r="D223" s="7">
        <v>26.68</v>
      </c>
      <c r="E223" s="9">
        <f t="shared" si="6"/>
        <v>3.2839142210474228</v>
      </c>
      <c r="F223" s="9">
        <v>45.696999163916388</v>
      </c>
      <c r="G223" s="9">
        <f t="shared" si="7"/>
        <v>3.8220326319349271</v>
      </c>
    </row>
    <row r="224" spans="2:7" x14ac:dyDescent="0.45">
      <c r="B224" s="8">
        <v>37622</v>
      </c>
      <c r="C224" s="7">
        <v>1.8260000000000001</v>
      </c>
      <c r="D224" s="7">
        <v>30.3</v>
      </c>
      <c r="E224" s="9">
        <f t="shared" si="6"/>
        <v>3.4111477125153233</v>
      </c>
      <c r="F224" s="9">
        <v>51.669896385542167</v>
      </c>
      <c r="G224" s="9">
        <f t="shared" si="7"/>
        <v>3.944875336985338</v>
      </c>
    </row>
    <row r="225" spans="2:7" x14ac:dyDescent="0.45">
      <c r="B225" s="8">
        <v>37653</v>
      </c>
      <c r="C225" s="7">
        <v>1.8360000000000001</v>
      </c>
      <c r="D225" s="7">
        <v>32.229999999999997</v>
      </c>
      <c r="E225" s="9">
        <f t="shared" si="6"/>
        <v>3.4728976958273465</v>
      </c>
      <c r="F225" s="9">
        <v>54.661728910675372</v>
      </c>
      <c r="G225" s="9">
        <f t="shared" si="7"/>
        <v>4.001163810271839</v>
      </c>
    </row>
    <row r="226" spans="2:7" x14ac:dyDescent="0.45">
      <c r="B226" s="8">
        <v>37681</v>
      </c>
      <c r="C226" s="7">
        <v>1.839</v>
      </c>
      <c r="D226" s="7">
        <v>29.23</v>
      </c>
      <c r="E226" s="9">
        <f t="shared" si="6"/>
        <v>3.3751955791231545</v>
      </c>
      <c r="F226" s="9">
        <v>49.492890853724859</v>
      </c>
      <c r="G226" s="9">
        <f t="shared" si="7"/>
        <v>3.9018290401437623</v>
      </c>
    </row>
    <row r="227" spans="2:7" x14ac:dyDescent="0.45">
      <c r="B227" s="8">
        <v>37712</v>
      </c>
      <c r="C227" s="7">
        <v>1.8320000000000001</v>
      </c>
      <c r="D227" s="7">
        <v>24.48</v>
      </c>
      <c r="E227" s="9">
        <f t="shared" si="6"/>
        <v>3.1978564576441255</v>
      </c>
      <c r="F227" s="9">
        <v>41.608463580786029</v>
      </c>
      <c r="G227" s="9">
        <f t="shared" si="7"/>
        <v>3.7283035980349784</v>
      </c>
    </row>
    <row r="228" spans="2:7" x14ac:dyDescent="0.45">
      <c r="B228" s="8">
        <v>37742</v>
      </c>
      <c r="C228" s="7">
        <v>1.829</v>
      </c>
      <c r="D228" s="7">
        <v>25.15</v>
      </c>
      <c r="E228" s="9">
        <f t="shared" si="6"/>
        <v>3.2248578965457479</v>
      </c>
      <c r="F228" s="9">
        <v>42.817373100054674</v>
      </c>
      <c r="G228" s="9">
        <f t="shared" si="7"/>
        <v>3.756943933779811</v>
      </c>
    </row>
    <row r="229" spans="2:7" x14ac:dyDescent="0.45">
      <c r="B229" s="8">
        <v>37773</v>
      </c>
      <c r="C229" s="7">
        <v>1.831</v>
      </c>
      <c r="D229" s="7">
        <v>27.22</v>
      </c>
      <c r="E229" s="9">
        <f t="shared" si="6"/>
        <v>3.30395199722332</v>
      </c>
      <c r="F229" s="9">
        <v>46.290887995630804</v>
      </c>
      <c r="G229" s="9">
        <f t="shared" si="7"/>
        <v>3.8349451381737381</v>
      </c>
    </row>
    <row r="230" spans="2:7" x14ac:dyDescent="0.45">
      <c r="B230" s="8">
        <v>37803</v>
      </c>
      <c r="C230" s="7">
        <v>1.837</v>
      </c>
      <c r="D230" s="7">
        <v>27.95</v>
      </c>
      <c r="E230" s="9">
        <f t="shared" si="6"/>
        <v>3.3304171996011083</v>
      </c>
      <c r="F230" s="9">
        <v>47.377091017964077</v>
      </c>
      <c r="G230" s="9">
        <f t="shared" si="7"/>
        <v>3.8581388000109111</v>
      </c>
    </row>
    <row r="231" spans="2:7" x14ac:dyDescent="0.45">
      <c r="B231" s="8">
        <v>37834</v>
      </c>
      <c r="C231" s="7">
        <v>1.845</v>
      </c>
      <c r="D231" s="7">
        <v>28.5</v>
      </c>
      <c r="E231" s="9">
        <f t="shared" si="6"/>
        <v>3.3499040872746049</v>
      </c>
      <c r="F231" s="9">
        <v>48.099905691056911</v>
      </c>
      <c r="G231" s="9">
        <f t="shared" si="7"/>
        <v>3.8732802164249058</v>
      </c>
    </row>
    <row r="232" spans="2:7" x14ac:dyDescent="0.45">
      <c r="B232" s="8">
        <v>37865</v>
      </c>
      <c r="C232" s="7">
        <v>1.851</v>
      </c>
      <c r="D232" s="7">
        <v>25.66</v>
      </c>
      <c r="E232" s="9">
        <f t="shared" si="6"/>
        <v>3.2449333591874905</v>
      </c>
      <c r="F232" s="9">
        <v>43.166413700702321</v>
      </c>
      <c r="G232" s="9">
        <f t="shared" si="7"/>
        <v>3.7650627322389214</v>
      </c>
    </row>
    <row r="233" spans="2:7" x14ac:dyDescent="0.45">
      <c r="B233" s="8">
        <v>37895</v>
      </c>
      <c r="C233" s="7">
        <v>1.849</v>
      </c>
      <c r="D233" s="7">
        <v>27.32</v>
      </c>
      <c r="E233" s="9">
        <f t="shared" si="6"/>
        <v>3.3076190347025891</v>
      </c>
      <c r="F233" s="9">
        <v>46.008653066522442</v>
      </c>
      <c r="G233" s="9">
        <f t="shared" si="7"/>
        <v>3.8288294889403929</v>
      </c>
    </row>
    <row r="234" spans="2:7" x14ac:dyDescent="0.45">
      <c r="B234" s="8">
        <v>37926</v>
      </c>
      <c r="C234" s="7">
        <v>1.85</v>
      </c>
      <c r="D234" s="7">
        <v>27.47</v>
      </c>
      <c r="E234" s="9">
        <f t="shared" si="6"/>
        <v>3.3130945001071823</v>
      </c>
      <c r="F234" s="9">
        <v>46.236256713513505</v>
      </c>
      <c r="G234" s="9">
        <f t="shared" si="7"/>
        <v>3.8337642676597405</v>
      </c>
    </row>
    <row r="235" spans="2:7" x14ac:dyDescent="0.45">
      <c r="B235" s="8">
        <v>37956</v>
      </c>
      <c r="C235" s="7">
        <v>1.855</v>
      </c>
      <c r="D235" s="7">
        <v>28.63</v>
      </c>
      <c r="E235" s="9">
        <f t="shared" si="6"/>
        <v>3.3544551191100238</v>
      </c>
      <c r="F235" s="9">
        <v>48.058827320754716</v>
      </c>
      <c r="G235" s="9">
        <f t="shared" si="7"/>
        <v>3.8724258296934169</v>
      </c>
    </row>
    <row r="236" spans="2:7" x14ac:dyDescent="0.45">
      <c r="B236" s="8">
        <v>37987</v>
      </c>
      <c r="C236" s="7">
        <v>1.863</v>
      </c>
      <c r="D236" s="7">
        <v>30.11</v>
      </c>
      <c r="E236" s="9">
        <f t="shared" si="6"/>
        <v>3.4048573424936426</v>
      </c>
      <c r="F236" s="9">
        <v>50.326141685453571</v>
      </c>
      <c r="G236" s="9">
        <f t="shared" si="7"/>
        <v>3.9185246575169828</v>
      </c>
    </row>
    <row r="237" spans="2:7" x14ac:dyDescent="0.45">
      <c r="B237" s="8">
        <v>38018</v>
      </c>
      <c r="C237" s="7">
        <v>1.867</v>
      </c>
      <c r="D237" s="7">
        <v>30.69</v>
      </c>
      <c r="E237" s="9">
        <f t="shared" si="6"/>
        <v>3.4239368686316447</v>
      </c>
      <c r="F237" s="9">
        <v>51.185659796464925</v>
      </c>
      <c r="G237" s="9">
        <f t="shared" si="7"/>
        <v>3.9354594107148508</v>
      </c>
    </row>
    <row r="238" spans="2:7" x14ac:dyDescent="0.45">
      <c r="B238" s="8">
        <v>38047</v>
      </c>
      <c r="C238" s="7">
        <v>1.871</v>
      </c>
      <c r="D238" s="7">
        <v>32.159999999999997</v>
      </c>
      <c r="E238" s="9">
        <f t="shared" si="6"/>
        <v>3.4707234443107655</v>
      </c>
      <c r="F238" s="9">
        <v>53.522696825227143</v>
      </c>
      <c r="G238" s="9">
        <f t="shared" si="7"/>
        <v>3.9801058036616044</v>
      </c>
    </row>
    <row r="239" spans="2:7" x14ac:dyDescent="0.45">
      <c r="B239" s="8">
        <v>38078</v>
      </c>
      <c r="C239" s="7">
        <v>1.8740000000000001</v>
      </c>
      <c r="D239" s="7">
        <v>32.340000000000003</v>
      </c>
      <c r="E239" s="9">
        <f t="shared" si="6"/>
        <v>3.4763048541489607</v>
      </c>
      <c r="F239" s="9">
        <v>53.736102582710785</v>
      </c>
      <c r="G239" s="9">
        <f t="shared" si="7"/>
        <v>3.9840850769755218</v>
      </c>
    </row>
    <row r="240" spans="2:7" x14ac:dyDescent="0.45">
      <c r="B240" s="8">
        <v>38108</v>
      </c>
      <c r="C240" s="7">
        <v>1.8819999999999999</v>
      </c>
      <c r="D240" s="7">
        <v>35.68</v>
      </c>
      <c r="E240" s="9">
        <f t="shared" si="6"/>
        <v>3.5745903077118086</v>
      </c>
      <c r="F240" s="9">
        <v>59.033830223166845</v>
      </c>
      <c r="G240" s="9">
        <f t="shared" si="7"/>
        <v>4.0781106731914125</v>
      </c>
    </row>
    <row r="241" spans="2:7" x14ac:dyDescent="0.45">
      <c r="B241" s="8">
        <v>38139</v>
      </c>
      <c r="C241" s="7">
        <v>1.889</v>
      </c>
      <c r="D241" s="7">
        <v>33.450000000000003</v>
      </c>
      <c r="E241" s="9">
        <f t="shared" si="6"/>
        <v>3.5100517865742376</v>
      </c>
      <c r="F241" s="9">
        <v>55.13912874536792</v>
      </c>
      <c r="G241" s="9">
        <f t="shared" si="7"/>
        <v>4.0098596046976569</v>
      </c>
    </row>
    <row r="242" spans="2:7" x14ac:dyDescent="0.45">
      <c r="B242" s="8">
        <v>38169</v>
      </c>
      <c r="C242" s="7">
        <v>1.891</v>
      </c>
      <c r="D242" s="7">
        <v>35.89</v>
      </c>
      <c r="E242" s="9">
        <f t="shared" si="6"/>
        <v>3.5804587051595158</v>
      </c>
      <c r="F242" s="9">
        <v>59.098664219989423</v>
      </c>
      <c r="G242" s="9">
        <f t="shared" si="7"/>
        <v>4.0792083221259867</v>
      </c>
    </row>
    <row r="243" spans="2:7" x14ac:dyDescent="0.45">
      <c r="B243" s="8">
        <v>38200</v>
      </c>
      <c r="C243" s="7">
        <v>1.8919999999999999</v>
      </c>
      <c r="D243" s="7">
        <v>39.46</v>
      </c>
      <c r="E243" s="9">
        <f t="shared" si="6"/>
        <v>3.6752875005944694</v>
      </c>
      <c r="F243" s="9">
        <v>64.942900930232554</v>
      </c>
      <c r="G243" s="9">
        <f t="shared" si="7"/>
        <v>4.1735084366075741</v>
      </c>
    </row>
    <row r="244" spans="2:7" x14ac:dyDescent="0.45">
      <c r="B244" s="8">
        <v>38231</v>
      </c>
      <c r="C244" s="7">
        <v>1.8979999999999999</v>
      </c>
      <c r="D244" s="7">
        <v>40.42</v>
      </c>
      <c r="E244" s="9">
        <f t="shared" si="6"/>
        <v>3.6993247119754749</v>
      </c>
      <c r="F244" s="9">
        <v>66.312566448893577</v>
      </c>
      <c r="G244" s="9">
        <f t="shared" si="7"/>
        <v>4.1943794184305307</v>
      </c>
    </row>
    <row r="245" spans="2:7" x14ac:dyDescent="0.45">
      <c r="B245" s="8">
        <v>38261</v>
      </c>
      <c r="C245" s="7">
        <v>1.9079999999999999</v>
      </c>
      <c r="D245" s="7">
        <v>45.36</v>
      </c>
      <c r="E245" s="9">
        <f t="shared" si="6"/>
        <v>3.8146306594194965</v>
      </c>
      <c r="F245" s="9">
        <v>74.0270445283019</v>
      </c>
      <c r="G245" s="9">
        <f t="shared" si="7"/>
        <v>4.3044304930361932</v>
      </c>
    </row>
    <row r="246" spans="2:7" x14ac:dyDescent="0.45">
      <c r="B246" s="8">
        <v>38292</v>
      </c>
      <c r="C246" s="7">
        <v>1.917</v>
      </c>
      <c r="D246" s="7">
        <v>39.89</v>
      </c>
      <c r="E246" s="9">
        <f t="shared" si="6"/>
        <v>3.6861256659173152</v>
      </c>
      <c r="F246" s="9">
        <v>64.794427772561292</v>
      </c>
      <c r="G246" s="9">
        <f t="shared" si="7"/>
        <v>4.1712196084965996</v>
      </c>
    </row>
    <row r="247" spans="2:7" x14ac:dyDescent="0.45">
      <c r="B247" s="8">
        <v>38322</v>
      </c>
      <c r="C247" s="7">
        <v>1.917</v>
      </c>
      <c r="D247" s="7">
        <v>34.07</v>
      </c>
      <c r="E247" s="9">
        <f t="shared" si="6"/>
        <v>3.5284172316728752</v>
      </c>
      <c r="F247" s="9">
        <v>55.340841168492432</v>
      </c>
      <c r="G247" s="9">
        <f t="shared" si="7"/>
        <v>4.0135111742521588</v>
      </c>
    </row>
    <row r="248" spans="2:7" x14ac:dyDescent="0.45">
      <c r="B248" s="8">
        <v>38353</v>
      </c>
      <c r="C248" s="7">
        <v>1.9159999999999999</v>
      </c>
      <c r="D248" s="7">
        <v>37.56</v>
      </c>
      <c r="E248" s="9">
        <f t="shared" si="6"/>
        <v>3.6259396543400624</v>
      </c>
      <c r="F248" s="9">
        <v>61.041586722338216</v>
      </c>
      <c r="G248" s="9">
        <f t="shared" si="7"/>
        <v>4.1115553814341848</v>
      </c>
    </row>
    <row r="249" spans="2:7" x14ac:dyDescent="0.45">
      <c r="B249" s="8">
        <v>38384</v>
      </c>
      <c r="C249" s="7">
        <v>1.9239999999999999</v>
      </c>
      <c r="D249" s="7">
        <v>39.72</v>
      </c>
      <c r="E249" s="9">
        <f t="shared" si="6"/>
        <v>3.6818548391769719</v>
      </c>
      <c r="F249" s="9">
        <v>64.283558170478173</v>
      </c>
      <c r="G249" s="9">
        <f t="shared" si="7"/>
        <v>4.1633038935762485</v>
      </c>
    </row>
    <row r="250" spans="2:7" x14ac:dyDescent="0.45">
      <c r="B250" s="8">
        <v>38412</v>
      </c>
      <c r="C250" s="7">
        <v>1.931</v>
      </c>
      <c r="D250" s="7">
        <v>45.73</v>
      </c>
      <c r="E250" s="9">
        <f t="shared" si="6"/>
        <v>3.8227545376699639</v>
      </c>
      <c r="F250" s="9">
        <v>73.741957679958574</v>
      </c>
      <c r="G250" s="9">
        <f t="shared" si="7"/>
        <v>4.3005719408663783</v>
      </c>
    </row>
    <row r="251" spans="2:7" x14ac:dyDescent="0.45">
      <c r="B251" s="8">
        <v>38443</v>
      </c>
      <c r="C251" s="7">
        <v>1.9370000000000001</v>
      </c>
      <c r="D251" s="7">
        <v>45.25</v>
      </c>
      <c r="E251" s="9">
        <f t="shared" si="6"/>
        <v>3.8122026701459353</v>
      </c>
      <c r="F251" s="9">
        <v>72.74190965410429</v>
      </c>
      <c r="G251" s="9">
        <f t="shared" si="7"/>
        <v>4.2869176923638683</v>
      </c>
    </row>
    <row r="252" spans="2:7" x14ac:dyDescent="0.45">
      <c r="B252" s="8">
        <v>38473</v>
      </c>
      <c r="C252" s="7">
        <v>1.9359999999999999</v>
      </c>
      <c r="D252" s="7">
        <v>43.19</v>
      </c>
      <c r="E252" s="9">
        <f t="shared" si="6"/>
        <v>3.7656089869726097</v>
      </c>
      <c r="F252" s="9">
        <v>69.466207045454553</v>
      </c>
      <c r="G252" s="9">
        <f t="shared" si="7"/>
        <v>4.2408404047610162</v>
      </c>
    </row>
    <row r="253" spans="2:7" x14ac:dyDescent="0.45">
      <c r="B253" s="8">
        <v>38504</v>
      </c>
      <c r="C253" s="7">
        <v>1.9370000000000001</v>
      </c>
      <c r="D253" s="7">
        <v>49.28</v>
      </c>
      <c r="E253" s="9">
        <f t="shared" si="6"/>
        <v>3.8975183192252643</v>
      </c>
      <c r="F253" s="9">
        <v>79.220360392359325</v>
      </c>
      <c r="G253" s="9">
        <f t="shared" si="7"/>
        <v>4.3722333414431969</v>
      </c>
    </row>
    <row r="254" spans="2:7" x14ac:dyDescent="0.45">
      <c r="B254" s="8">
        <v>38534</v>
      </c>
      <c r="C254" s="7">
        <v>1.9490000000000001</v>
      </c>
      <c r="D254" s="7">
        <v>52.79</v>
      </c>
      <c r="E254" s="9">
        <f t="shared" si="6"/>
        <v>3.9663217788355247</v>
      </c>
      <c r="F254" s="9">
        <v>84.340380933812213</v>
      </c>
      <c r="G254" s="9">
        <f t="shared" si="7"/>
        <v>4.4348607649528926</v>
      </c>
    </row>
    <row r="255" spans="2:7" x14ac:dyDescent="0.45">
      <c r="B255" s="8">
        <v>38565</v>
      </c>
      <c r="C255" s="7">
        <v>1.9610000000000001</v>
      </c>
      <c r="D255" s="7">
        <v>58.67</v>
      </c>
      <c r="E255" s="9">
        <f t="shared" si="6"/>
        <v>4.0719285229377684</v>
      </c>
      <c r="F255" s="9">
        <v>93.161018929117802</v>
      </c>
      <c r="G255" s="9">
        <f t="shared" si="7"/>
        <v>4.5343293823663506</v>
      </c>
    </row>
    <row r="256" spans="2:7" x14ac:dyDescent="0.45">
      <c r="B256" s="8">
        <v>38596</v>
      </c>
      <c r="C256" s="7">
        <v>1.988</v>
      </c>
      <c r="D256" s="7">
        <v>58.79</v>
      </c>
      <c r="E256" s="9">
        <f t="shared" si="6"/>
        <v>4.073971772414164</v>
      </c>
      <c r="F256" s="9">
        <v>92.083711488933602</v>
      </c>
      <c r="G256" s="9">
        <f t="shared" si="7"/>
        <v>4.5226980708225728</v>
      </c>
    </row>
    <row r="257" spans="2:7" x14ac:dyDescent="0.45">
      <c r="B257" s="8">
        <v>38626</v>
      </c>
      <c r="C257" s="7">
        <v>1.9910000000000001</v>
      </c>
      <c r="D257" s="7">
        <v>55.31</v>
      </c>
      <c r="E257" s="9">
        <f t="shared" si="6"/>
        <v>4.0129537240065867</v>
      </c>
      <c r="F257" s="9">
        <v>86.502395359116022</v>
      </c>
      <c r="G257" s="9">
        <f t="shared" si="7"/>
        <v>4.4601721055673194</v>
      </c>
    </row>
    <row r="258" spans="2:7" x14ac:dyDescent="0.45">
      <c r="B258" s="8">
        <v>38657</v>
      </c>
      <c r="C258" s="7">
        <v>1.9810000000000001</v>
      </c>
      <c r="D258" s="7">
        <v>49.97</v>
      </c>
      <c r="E258" s="9">
        <f t="shared" si="6"/>
        <v>3.9114228253561136</v>
      </c>
      <c r="F258" s="9">
        <v>78.545373508329121</v>
      </c>
      <c r="G258" s="9">
        <f t="shared" si="7"/>
        <v>4.3636764642824915</v>
      </c>
    </row>
    <row r="259" spans="2:7" x14ac:dyDescent="0.45">
      <c r="B259" s="8">
        <v>38687</v>
      </c>
      <c r="C259" s="7">
        <v>1.9810000000000001</v>
      </c>
      <c r="D259" s="7">
        <v>50.85</v>
      </c>
      <c r="E259" s="9">
        <f t="shared" si="6"/>
        <v>3.9288801224945691</v>
      </c>
      <c r="F259" s="9">
        <v>79.928602019182222</v>
      </c>
      <c r="G259" s="9">
        <f t="shared" si="7"/>
        <v>4.3811337614209469</v>
      </c>
    </row>
    <row r="260" spans="2:7" x14ac:dyDescent="0.45">
      <c r="B260" s="8">
        <v>38718</v>
      </c>
      <c r="C260" s="7">
        <v>1.9930000000000001</v>
      </c>
      <c r="D260" s="7">
        <v>55.85</v>
      </c>
      <c r="E260" s="9">
        <f t="shared" si="6"/>
        <v>4.0226695255152096</v>
      </c>
      <c r="F260" s="9">
        <v>87.259277772202708</v>
      </c>
      <c r="G260" s="9">
        <f t="shared" si="7"/>
        <v>4.4688838909273434</v>
      </c>
    </row>
    <row r="261" spans="2:7" x14ac:dyDescent="0.45">
      <c r="B261" s="8">
        <v>38749</v>
      </c>
      <c r="C261" s="7">
        <v>1.994</v>
      </c>
      <c r="D261" s="7">
        <v>52.8</v>
      </c>
      <c r="E261" s="9">
        <f t="shared" si="6"/>
        <v>3.9665111907122159</v>
      </c>
      <c r="F261" s="9">
        <v>82.452628284854569</v>
      </c>
      <c r="G261" s="9">
        <f t="shared" si="7"/>
        <v>4.4122239258153604</v>
      </c>
    </row>
    <row r="262" spans="2:7" x14ac:dyDescent="0.45">
      <c r="B262" s="8">
        <v>38777</v>
      </c>
      <c r="C262" s="7">
        <v>1.9970000000000001</v>
      </c>
      <c r="D262" s="7">
        <v>55.31</v>
      </c>
      <c r="E262" s="9">
        <f t="shared" si="6"/>
        <v>4.0129537240065867</v>
      </c>
      <c r="F262" s="9">
        <v>86.242498327491234</v>
      </c>
      <c r="G262" s="9">
        <f t="shared" si="7"/>
        <v>4.4571630762157</v>
      </c>
    </row>
    <row r="263" spans="2:7" x14ac:dyDescent="0.45">
      <c r="B263" s="8">
        <v>38808</v>
      </c>
      <c r="C263" s="7">
        <v>2.0070000000000001</v>
      </c>
      <c r="D263" s="7">
        <v>62.41</v>
      </c>
      <c r="E263" s="9">
        <f t="shared" si="6"/>
        <v>4.1337255189459512</v>
      </c>
      <c r="F263" s="9">
        <v>96.828353143995997</v>
      </c>
      <c r="G263" s="9">
        <f t="shared" si="7"/>
        <v>4.5729398557745418</v>
      </c>
    </row>
    <row r="264" spans="2:7" x14ac:dyDescent="0.45">
      <c r="B264" s="8">
        <v>38838</v>
      </c>
      <c r="C264" s="7">
        <v>2.0129999999999999</v>
      </c>
      <c r="D264" s="7">
        <v>64.39</v>
      </c>
      <c r="E264" s="9">
        <f t="shared" si="6"/>
        <v>4.1649583415500917</v>
      </c>
      <c r="F264" s="9">
        <v>99.602533551912572</v>
      </c>
      <c r="G264" s="9">
        <f t="shared" si="7"/>
        <v>4.6011876015352291</v>
      </c>
    </row>
    <row r="265" spans="2:7" x14ac:dyDescent="0.45">
      <c r="B265" s="8">
        <v>38869</v>
      </c>
      <c r="C265" s="7">
        <v>2.0179999999999998</v>
      </c>
      <c r="D265" s="7">
        <v>63.79</v>
      </c>
      <c r="E265" s="9">
        <f t="shared" si="6"/>
        <v>4.1555964382538635</v>
      </c>
      <c r="F265" s="9">
        <v>98.429929851337974</v>
      </c>
      <c r="G265" s="9">
        <f t="shared" si="7"/>
        <v>4.5893449229652381</v>
      </c>
    </row>
    <row r="266" spans="2:7" x14ac:dyDescent="0.45">
      <c r="B266" s="8">
        <v>38899</v>
      </c>
      <c r="C266" s="7">
        <v>2.0289999999999999</v>
      </c>
      <c r="D266" s="7">
        <v>67.989999999999995</v>
      </c>
      <c r="E266" s="9">
        <f t="shared" si="6"/>
        <v>4.2193606355383686</v>
      </c>
      <c r="F266" s="9">
        <v>104.34189730901923</v>
      </c>
      <c r="G266" s="9">
        <f t="shared" si="7"/>
        <v>4.6476729813374824</v>
      </c>
    </row>
    <row r="267" spans="2:7" x14ac:dyDescent="0.45">
      <c r="B267" s="8">
        <v>38930</v>
      </c>
      <c r="C267" s="7">
        <v>2.0379999999999998</v>
      </c>
      <c r="D267" s="7">
        <v>66.45</v>
      </c>
      <c r="E267" s="9">
        <f t="shared" si="6"/>
        <v>4.1964497851592544</v>
      </c>
      <c r="F267" s="9">
        <v>101.52816594700688</v>
      </c>
      <c r="G267" s="9">
        <f t="shared" si="7"/>
        <v>4.6203362570015125</v>
      </c>
    </row>
    <row r="268" spans="2:7" x14ac:dyDescent="0.45">
      <c r="B268" s="8">
        <v>38961</v>
      </c>
      <c r="C268" s="7">
        <v>2.028</v>
      </c>
      <c r="D268" s="7">
        <v>57.29</v>
      </c>
      <c r="E268" s="9">
        <f t="shared" si="6"/>
        <v>4.0481260884204868</v>
      </c>
      <c r="F268" s="9">
        <v>87.964331577909263</v>
      </c>
      <c r="G268" s="9">
        <f t="shared" si="7"/>
        <v>4.4769314093343411</v>
      </c>
    </row>
    <row r="269" spans="2:7" x14ac:dyDescent="0.45">
      <c r="B269" s="8">
        <v>38991</v>
      </c>
      <c r="C269" s="7">
        <v>2.0190000000000001</v>
      </c>
      <c r="D269" s="7">
        <v>52.7</v>
      </c>
      <c r="E269" s="9">
        <f t="shared" si="6"/>
        <v>3.9646154555473165</v>
      </c>
      <c r="F269" s="9">
        <v>81.277442892521051</v>
      </c>
      <c r="G269" s="9">
        <f t="shared" si="7"/>
        <v>4.3978685228594081</v>
      </c>
    </row>
    <row r="270" spans="2:7" x14ac:dyDescent="0.45">
      <c r="B270" s="8">
        <v>39022</v>
      </c>
      <c r="C270" s="7">
        <v>2.02</v>
      </c>
      <c r="D270" s="7">
        <v>52.7</v>
      </c>
      <c r="E270" s="9">
        <f t="shared" si="6"/>
        <v>3.9646154555473165</v>
      </c>
      <c r="F270" s="9">
        <v>81.237206534653467</v>
      </c>
      <c r="G270" s="9">
        <f t="shared" si="7"/>
        <v>4.397373350776995</v>
      </c>
    </row>
    <row r="271" spans="2:7" x14ac:dyDescent="0.45">
      <c r="B271" s="8">
        <v>39052</v>
      </c>
      <c r="C271" s="7">
        <v>2.0310000000000001</v>
      </c>
      <c r="D271" s="7">
        <v>54.97</v>
      </c>
      <c r="E271" s="9">
        <f t="shared" si="6"/>
        <v>4.0067875818725689</v>
      </c>
      <c r="F271" s="9">
        <v>84.277481496799595</v>
      </c>
      <c r="G271" s="9">
        <f t="shared" si="7"/>
        <v>4.4341147059171124</v>
      </c>
    </row>
    <row r="272" spans="2:7" x14ac:dyDescent="0.45">
      <c r="B272" s="8">
        <v>39083</v>
      </c>
      <c r="C272" s="7">
        <v>2.03437</v>
      </c>
      <c r="D272" s="7">
        <v>49.57</v>
      </c>
      <c r="E272" s="9">
        <f t="shared" si="6"/>
        <v>3.9033858120324827</v>
      </c>
      <c r="F272" s="9">
        <v>75.872555395527854</v>
      </c>
      <c r="G272" s="9">
        <f t="shared" si="7"/>
        <v>4.3290550300207942</v>
      </c>
    </row>
    <row r="273" spans="2:7" x14ac:dyDescent="0.45">
      <c r="B273" s="8">
        <v>39114</v>
      </c>
      <c r="C273" s="7">
        <v>2.0422600000000002</v>
      </c>
      <c r="D273" s="7">
        <v>53.77</v>
      </c>
      <c r="E273" s="9">
        <f t="shared" si="6"/>
        <v>3.9847156908215866</v>
      </c>
      <c r="F273" s="9">
        <v>81.983176343854353</v>
      </c>
      <c r="G273" s="9">
        <f t="shared" si="7"/>
        <v>4.4065140596763586</v>
      </c>
    </row>
    <row r="274" spans="2:7" x14ac:dyDescent="0.45">
      <c r="B274" s="8">
        <v>39142</v>
      </c>
      <c r="C274" s="7">
        <v>2.05288</v>
      </c>
      <c r="D274" s="7">
        <v>56.31</v>
      </c>
      <c r="E274" s="9">
        <f t="shared" si="6"/>
        <v>4.0308721392665268</v>
      </c>
      <c r="F274" s="9">
        <v>85.411765500175363</v>
      </c>
      <c r="G274" s="9">
        <f t="shared" si="7"/>
        <v>4.4474838606280995</v>
      </c>
    </row>
    <row r="275" spans="2:7" x14ac:dyDescent="0.45">
      <c r="B275" s="8">
        <v>39173</v>
      </c>
      <c r="C275" s="7">
        <v>2.05904</v>
      </c>
      <c r="D275" s="7">
        <v>60.45</v>
      </c>
      <c r="E275" s="9">
        <f t="shared" si="6"/>
        <v>4.1018165770608022</v>
      </c>
      <c r="F275" s="9">
        <v>91.417061446110807</v>
      </c>
      <c r="G275" s="9">
        <f t="shared" si="7"/>
        <v>4.5154321289403754</v>
      </c>
    </row>
    <row r="276" spans="2:7" x14ac:dyDescent="0.45">
      <c r="B276" s="8">
        <v>39203</v>
      </c>
      <c r="C276" s="7">
        <v>2.0675500000000002</v>
      </c>
      <c r="D276" s="7">
        <v>61.55</v>
      </c>
      <c r="E276" s="9">
        <f t="shared" ref="E276:E339" si="8">LN(D276)</f>
        <v>4.1198498526304625</v>
      </c>
      <c r="F276" s="9">
        <v>92.69744663974268</v>
      </c>
      <c r="G276" s="9">
        <f t="shared" ref="G276:G339" si="9">LN(F276)</f>
        <v>4.529340927853112</v>
      </c>
    </row>
    <row r="277" spans="2:7" x14ac:dyDescent="0.45">
      <c r="B277" s="8">
        <v>39234</v>
      </c>
      <c r="C277" s="7">
        <v>2.0723400000000001</v>
      </c>
      <c r="D277" s="7">
        <v>65.239999999999995</v>
      </c>
      <c r="E277" s="9">
        <f t="shared" si="8"/>
        <v>4.1780727777528126</v>
      </c>
      <c r="F277" s="9">
        <v>98.02766951368983</v>
      </c>
      <c r="G277" s="9">
        <f t="shared" si="9"/>
        <v>4.585249780796004</v>
      </c>
    </row>
    <row r="278" spans="2:7" x14ac:dyDescent="0.45">
      <c r="B278" s="8">
        <v>39264</v>
      </c>
      <c r="C278" s="7">
        <v>2.0760299999999998</v>
      </c>
      <c r="D278" s="7">
        <v>70.75</v>
      </c>
      <c r="E278" s="9">
        <f t="shared" si="8"/>
        <v>4.2591525365233469</v>
      </c>
      <c r="F278" s="9">
        <v>106.11787739098183</v>
      </c>
      <c r="G278" s="9">
        <f t="shared" si="9"/>
        <v>4.6645505270998573</v>
      </c>
    </row>
    <row r="279" spans="2:7" x14ac:dyDescent="0.45">
      <c r="B279" s="8">
        <v>39295</v>
      </c>
      <c r="C279" s="7">
        <v>2.07667</v>
      </c>
      <c r="D279" s="7">
        <v>68.28</v>
      </c>
      <c r="E279" s="9">
        <f t="shared" si="8"/>
        <v>4.2236168979262398</v>
      </c>
      <c r="F279" s="9">
        <v>102.38156379203244</v>
      </c>
      <c r="G279" s="9">
        <f t="shared" si="9"/>
        <v>4.628706655302631</v>
      </c>
    </row>
    <row r="280" spans="2:7" x14ac:dyDescent="0.45">
      <c r="B280" s="8">
        <v>39326</v>
      </c>
      <c r="C280" s="7">
        <v>2.0854699999999999</v>
      </c>
      <c r="D280" s="7">
        <v>72.34</v>
      </c>
      <c r="E280" s="9">
        <f t="shared" si="8"/>
        <v>4.2813772265239516</v>
      </c>
      <c r="F280" s="9">
        <v>108.01157352539236</v>
      </c>
      <c r="G280" s="9">
        <f t="shared" si="9"/>
        <v>4.6822383836549051</v>
      </c>
    </row>
    <row r="281" spans="2:7" x14ac:dyDescent="0.45">
      <c r="B281" s="8">
        <v>39356</v>
      </c>
      <c r="C281" s="7">
        <v>2.0918999999999999</v>
      </c>
      <c r="D281" s="7">
        <v>78.61</v>
      </c>
      <c r="E281" s="9">
        <f t="shared" si="8"/>
        <v>4.3644989178056655</v>
      </c>
      <c r="F281" s="9">
        <v>117.01259522921747</v>
      </c>
      <c r="G281" s="9">
        <f t="shared" si="9"/>
        <v>4.762281580535519</v>
      </c>
    </row>
    <row r="282" spans="2:7" x14ac:dyDescent="0.45">
      <c r="B282" s="8">
        <v>39387</v>
      </c>
      <c r="C282" s="7">
        <v>2.1083400000000001</v>
      </c>
      <c r="D282" s="7">
        <v>85.53</v>
      </c>
      <c r="E282" s="9">
        <f t="shared" si="8"/>
        <v>4.4488671915926901</v>
      </c>
      <c r="F282" s="9">
        <v>126.32041942001764</v>
      </c>
      <c r="G282" s="9">
        <f t="shared" si="9"/>
        <v>4.838821690239671</v>
      </c>
    </row>
    <row r="283" spans="2:7" x14ac:dyDescent="0.45">
      <c r="B283" s="8">
        <v>39417</v>
      </c>
      <c r="C283" s="7">
        <v>2.1144500000000002</v>
      </c>
      <c r="D283" s="7">
        <v>83.21</v>
      </c>
      <c r="E283" s="9">
        <f t="shared" si="8"/>
        <v>4.4213675329123383</v>
      </c>
      <c r="F283" s="9">
        <v>122.53886048854309</v>
      </c>
      <c r="G283" s="9">
        <f t="shared" si="9"/>
        <v>4.8084282081563696</v>
      </c>
    </row>
    <row r="284" spans="2:7" x14ac:dyDescent="0.45">
      <c r="B284" s="8">
        <v>39448</v>
      </c>
      <c r="C284" s="7">
        <v>2.12174</v>
      </c>
      <c r="D284" s="7">
        <v>84.82</v>
      </c>
      <c r="E284" s="9">
        <f t="shared" si="8"/>
        <v>4.4405313640464446</v>
      </c>
      <c r="F284" s="9">
        <v>124.48064773252143</v>
      </c>
      <c r="G284" s="9">
        <f t="shared" si="9"/>
        <v>4.8241502639233032</v>
      </c>
    </row>
    <row r="285" spans="2:7" x14ac:dyDescent="0.45">
      <c r="B285" s="8">
        <v>39479</v>
      </c>
      <c r="C285" s="7">
        <v>2.1268699999999998</v>
      </c>
      <c r="D285" s="7">
        <v>87.41</v>
      </c>
      <c r="E285" s="9">
        <f t="shared" si="8"/>
        <v>4.4706096925923964</v>
      </c>
      <c r="F285" s="9">
        <v>127.97228075058655</v>
      </c>
      <c r="G285" s="9">
        <f t="shared" si="9"/>
        <v>4.8518136838318009</v>
      </c>
    </row>
    <row r="286" spans="2:7" x14ac:dyDescent="0.45">
      <c r="B286" s="8">
        <v>39508</v>
      </c>
      <c r="C286" s="7">
        <v>2.1344799999999999</v>
      </c>
      <c r="D286" s="7">
        <v>96.96</v>
      </c>
      <c r="E286" s="9">
        <f t="shared" si="8"/>
        <v>4.574298522321004</v>
      </c>
      <c r="F286" s="9">
        <v>141.44781799782615</v>
      </c>
      <c r="G286" s="9">
        <f t="shared" si="9"/>
        <v>4.9519308716676624</v>
      </c>
    </row>
    <row r="287" spans="2:7" x14ac:dyDescent="0.45">
      <c r="B287" s="8">
        <v>39539</v>
      </c>
      <c r="C287" s="7">
        <v>2.1394199999999999</v>
      </c>
      <c r="D287" s="7">
        <v>104.72</v>
      </c>
      <c r="E287" s="9">
        <f t="shared" si="8"/>
        <v>4.6512901216016447</v>
      </c>
      <c r="F287" s="9">
        <v>152.4155639939797</v>
      </c>
      <c r="G287" s="9">
        <f t="shared" si="9"/>
        <v>5.026610763982795</v>
      </c>
    </row>
    <row r="288" spans="2:7" x14ac:dyDescent="0.45">
      <c r="B288" s="8">
        <v>39569</v>
      </c>
      <c r="C288" s="7">
        <v>2.1520800000000002</v>
      </c>
      <c r="D288" s="7">
        <v>116.55</v>
      </c>
      <c r="E288" s="9">
        <f t="shared" si="8"/>
        <v>4.7583203654817661</v>
      </c>
      <c r="F288" s="9">
        <v>168.63573185011708</v>
      </c>
      <c r="G288" s="9">
        <f t="shared" si="9"/>
        <v>5.1277409557947928</v>
      </c>
    </row>
    <row r="289" spans="2:7" x14ac:dyDescent="0.45">
      <c r="B289" s="8">
        <v>39600</v>
      </c>
      <c r="C289" s="7">
        <v>2.1746300000000001</v>
      </c>
      <c r="D289" s="7">
        <v>126.22</v>
      </c>
      <c r="E289" s="9">
        <f t="shared" si="8"/>
        <v>4.8380264161560937</v>
      </c>
      <c r="F289" s="9">
        <v>180.73344887176211</v>
      </c>
      <c r="G289" s="9">
        <f t="shared" si="9"/>
        <v>5.1970232876719544</v>
      </c>
    </row>
    <row r="290" spans="2:7" x14ac:dyDescent="0.45">
      <c r="B290" s="8">
        <v>39630</v>
      </c>
      <c r="C290" s="7">
        <v>2.1901600000000001</v>
      </c>
      <c r="D290" s="7">
        <v>127.77</v>
      </c>
      <c r="E290" s="9">
        <f t="shared" si="8"/>
        <v>4.850231772603232</v>
      </c>
      <c r="F290" s="9">
        <v>181.65559854987762</v>
      </c>
      <c r="G290" s="9">
        <f t="shared" si="9"/>
        <v>5.202112578725588</v>
      </c>
    </row>
    <row r="291" spans="2:7" x14ac:dyDescent="0.45">
      <c r="B291" s="8">
        <v>39661</v>
      </c>
      <c r="C291" s="7">
        <v>2.1869000000000001</v>
      </c>
      <c r="D291" s="7">
        <v>111.19</v>
      </c>
      <c r="E291" s="9">
        <f t="shared" si="8"/>
        <v>4.7112404497151577</v>
      </c>
      <c r="F291" s="9">
        <v>158.31881880287165</v>
      </c>
      <c r="G291" s="9">
        <f t="shared" si="9"/>
        <v>5.064610840445809</v>
      </c>
    </row>
    <row r="292" spans="2:7" x14ac:dyDescent="0.45">
      <c r="B292" s="8">
        <v>39692</v>
      </c>
      <c r="C292" s="7">
        <v>2.1887699999999999</v>
      </c>
      <c r="D292" s="7">
        <v>96.38</v>
      </c>
      <c r="E292" s="9">
        <f t="shared" si="8"/>
        <v>4.5682987112121864</v>
      </c>
      <c r="F292" s="9">
        <v>137.11423022062618</v>
      </c>
      <c r="G292" s="9">
        <f t="shared" si="9"/>
        <v>4.9208143756431646</v>
      </c>
    </row>
    <row r="293" spans="2:7" x14ac:dyDescent="0.45">
      <c r="B293" s="8">
        <v>39722</v>
      </c>
      <c r="C293" s="7">
        <v>2.16995</v>
      </c>
      <c r="D293" s="7">
        <v>70.84</v>
      </c>
      <c r="E293" s="9">
        <f t="shared" si="8"/>
        <v>4.2604238129146328</v>
      </c>
      <c r="F293" s="9">
        <v>101.65402071015461</v>
      </c>
      <c r="G293" s="9">
        <f t="shared" si="9"/>
        <v>4.6215750937451689</v>
      </c>
    </row>
    <row r="294" spans="2:7" x14ac:dyDescent="0.45">
      <c r="B294" s="8">
        <v>39753</v>
      </c>
      <c r="C294" s="7">
        <v>2.1315300000000001</v>
      </c>
      <c r="D294" s="7">
        <v>49.1</v>
      </c>
      <c r="E294" s="9">
        <f t="shared" si="8"/>
        <v>3.8938590348004749</v>
      </c>
      <c r="F294" s="9">
        <v>71.727513851552644</v>
      </c>
      <c r="G294" s="9">
        <f t="shared" si="9"/>
        <v>4.2728744097238289</v>
      </c>
    </row>
    <row r="295" spans="2:7" x14ac:dyDescent="0.45">
      <c r="B295" s="8">
        <v>39783</v>
      </c>
      <c r="C295" s="7">
        <v>2.1139800000000002</v>
      </c>
      <c r="D295" s="7">
        <v>35.590000000000003</v>
      </c>
      <c r="E295" s="9">
        <f t="shared" si="8"/>
        <v>3.5720646995221013</v>
      </c>
      <c r="F295" s="9">
        <v>52.423118118430644</v>
      </c>
      <c r="G295" s="9">
        <f t="shared" si="9"/>
        <v>3.9593476794995377</v>
      </c>
    </row>
    <row r="296" spans="2:7" x14ac:dyDescent="0.45">
      <c r="B296" s="8">
        <v>39814</v>
      </c>
      <c r="C296" s="7">
        <v>2.1193300000000002</v>
      </c>
      <c r="D296" s="7">
        <v>36.840000000000003</v>
      </c>
      <c r="E296" s="9">
        <f t="shared" si="8"/>
        <v>3.6065842113871063</v>
      </c>
      <c r="F296" s="9">
        <v>54.127350738204996</v>
      </c>
      <c r="G296" s="9">
        <f t="shared" si="9"/>
        <v>3.991339617032275</v>
      </c>
    </row>
    <row r="297" spans="2:7" x14ac:dyDescent="0.45">
      <c r="B297" s="8">
        <v>39845</v>
      </c>
      <c r="C297" s="7">
        <v>2.1270500000000001</v>
      </c>
      <c r="D297" s="7">
        <v>38.56</v>
      </c>
      <c r="E297" s="9">
        <f t="shared" si="8"/>
        <v>3.652215469742345</v>
      </c>
      <c r="F297" s="9">
        <v>56.448845189346748</v>
      </c>
      <c r="G297" s="9">
        <f t="shared" si="9"/>
        <v>4.0333348331560694</v>
      </c>
    </row>
    <row r="298" spans="2:7" x14ac:dyDescent="0.45">
      <c r="B298" s="8">
        <v>39873</v>
      </c>
      <c r="C298" s="7">
        <v>2.1249500000000001</v>
      </c>
      <c r="D298" s="7">
        <v>45.96</v>
      </c>
      <c r="E298" s="9">
        <f t="shared" si="8"/>
        <v>3.8277714529805551</v>
      </c>
      <c r="F298" s="9">
        <v>67.348362342643355</v>
      </c>
      <c r="G298" s="9">
        <f t="shared" si="9"/>
        <v>4.2098785869355515</v>
      </c>
    </row>
    <row r="299" spans="2:7" x14ac:dyDescent="0.45">
      <c r="B299" s="8">
        <v>39904</v>
      </c>
      <c r="C299" s="7">
        <v>2.1270899999999999</v>
      </c>
      <c r="D299" s="7">
        <v>49.58</v>
      </c>
      <c r="E299" s="9">
        <f t="shared" si="8"/>
        <v>3.9035875266070446</v>
      </c>
      <c r="F299" s="9">
        <v>72.579904414011637</v>
      </c>
      <c r="G299" s="9">
        <f t="shared" si="9"/>
        <v>4.2846880848098445</v>
      </c>
    </row>
    <row r="300" spans="2:7" x14ac:dyDescent="0.45">
      <c r="B300" s="8">
        <v>39934</v>
      </c>
      <c r="C300" s="7">
        <v>2.13022</v>
      </c>
      <c r="D300" s="7">
        <v>56.77</v>
      </c>
      <c r="E300" s="9">
        <f t="shared" si="8"/>
        <v>4.0390080171826348</v>
      </c>
      <c r="F300" s="9">
        <v>82.983198786979756</v>
      </c>
      <c r="G300" s="9">
        <f t="shared" si="9"/>
        <v>4.4186381630527878</v>
      </c>
    </row>
    <row r="301" spans="2:7" x14ac:dyDescent="0.45">
      <c r="B301" s="8">
        <v>39965</v>
      </c>
      <c r="C301" s="7">
        <v>2.1478999999999999</v>
      </c>
      <c r="D301" s="7">
        <v>66.37</v>
      </c>
      <c r="E301" s="9">
        <f t="shared" si="8"/>
        <v>4.1952451471578334</v>
      </c>
      <c r="F301" s="9">
        <v>96.217372931700737</v>
      </c>
      <c r="G301" s="9">
        <f t="shared" si="9"/>
        <v>4.5666099331725443</v>
      </c>
    </row>
    <row r="302" spans="2:7" x14ac:dyDescent="0.45">
      <c r="B302" s="8">
        <v>39995</v>
      </c>
      <c r="C302" s="7">
        <v>2.1472600000000002</v>
      </c>
      <c r="D302" s="7">
        <v>63.46</v>
      </c>
      <c r="E302" s="9">
        <f t="shared" si="8"/>
        <v>4.1504097861550493</v>
      </c>
      <c r="F302" s="9">
        <v>92.026132168437911</v>
      </c>
      <c r="G302" s="9">
        <f t="shared" si="9"/>
        <v>4.5220725820249168</v>
      </c>
    </row>
    <row r="303" spans="2:7" x14ac:dyDescent="0.45">
      <c r="B303" s="8">
        <v>40026</v>
      </c>
      <c r="C303" s="7">
        <v>2.1544500000000002</v>
      </c>
      <c r="D303" s="7">
        <v>68.09</v>
      </c>
      <c r="E303" s="9">
        <f t="shared" si="8"/>
        <v>4.2208303594948751</v>
      </c>
      <c r="F303" s="9">
        <v>98.410774554990837</v>
      </c>
      <c r="G303" s="9">
        <f t="shared" si="9"/>
        <v>4.5891502955738623</v>
      </c>
    </row>
    <row r="304" spans="2:7" x14ac:dyDescent="0.45">
      <c r="B304" s="8">
        <v>40057</v>
      </c>
      <c r="C304" s="7">
        <v>2.1586099999999999</v>
      </c>
      <c r="D304" s="7">
        <v>67.650000000000006</v>
      </c>
      <c r="E304" s="9">
        <f t="shared" si="8"/>
        <v>4.2143473546167973</v>
      </c>
      <c r="F304" s="9">
        <v>97.586412274565589</v>
      </c>
      <c r="G304" s="9">
        <f t="shared" si="9"/>
        <v>4.5807382652289483</v>
      </c>
    </row>
    <row r="305" spans="2:7" x14ac:dyDescent="0.45">
      <c r="B305" s="8">
        <v>40087</v>
      </c>
      <c r="C305" s="7">
        <v>2.1650900000000002</v>
      </c>
      <c r="D305" s="7">
        <v>72.06</v>
      </c>
      <c r="E305" s="9">
        <f t="shared" si="8"/>
        <v>4.2774991053199471</v>
      </c>
      <c r="F305" s="9">
        <v>103.63681055291005</v>
      </c>
      <c r="G305" s="9">
        <f t="shared" si="9"/>
        <v>4.6408925809335129</v>
      </c>
    </row>
    <row r="306" spans="2:7" x14ac:dyDescent="0.45">
      <c r="B306" s="8">
        <v>40118</v>
      </c>
      <c r="C306" s="7">
        <v>2.1723400000000002</v>
      </c>
      <c r="D306" s="7">
        <v>74.400000000000006</v>
      </c>
      <c r="E306" s="9">
        <f t="shared" si="8"/>
        <v>4.3094559418390466</v>
      </c>
      <c r="F306" s="9">
        <v>106.64509165231962</v>
      </c>
      <c r="G306" s="9">
        <f t="shared" si="9"/>
        <v>4.6695064209076813</v>
      </c>
    </row>
    <row r="307" spans="2:7" x14ac:dyDescent="0.45">
      <c r="B307" s="8">
        <v>40148</v>
      </c>
      <c r="C307" s="7">
        <v>2.17347</v>
      </c>
      <c r="D307" s="7">
        <v>72.67</v>
      </c>
      <c r="E307" s="9">
        <f t="shared" si="8"/>
        <v>4.2859286446285445</v>
      </c>
      <c r="F307" s="9">
        <v>104.11115042765717</v>
      </c>
      <c r="G307" s="9">
        <f t="shared" si="9"/>
        <v>4.6454590825423816</v>
      </c>
    </row>
    <row r="308" spans="2:7" x14ac:dyDescent="0.45">
      <c r="B308" s="8">
        <v>40179</v>
      </c>
      <c r="C308" s="7">
        <v>2.1748799999999999</v>
      </c>
      <c r="D308" s="7">
        <v>75.069999999999993</v>
      </c>
      <c r="E308" s="9">
        <f t="shared" si="8"/>
        <v>4.3184210115849107</v>
      </c>
      <c r="F308" s="9">
        <v>107.47980050393583</v>
      </c>
      <c r="G308" s="9">
        <f t="shared" si="9"/>
        <v>4.6773029276229012</v>
      </c>
    </row>
    <row r="309" spans="2:7" x14ac:dyDescent="0.45">
      <c r="B309" s="8">
        <v>40210</v>
      </c>
      <c r="C309" s="7">
        <v>2.1728100000000001</v>
      </c>
      <c r="D309" s="7">
        <v>73.73</v>
      </c>
      <c r="E309" s="9">
        <f t="shared" si="8"/>
        <v>4.3004097720015588</v>
      </c>
      <c r="F309" s="9">
        <v>105.66185183241977</v>
      </c>
      <c r="G309" s="9">
        <f t="shared" si="9"/>
        <v>4.6602439179162953</v>
      </c>
    </row>
    <row r="310" spans="2:7" x14ac:dyDescent="0.45">
      <c r="B310" s="8">
        <v>40238</v>
      </c>
      <c r="C310" s="7">
        <v>2.17353</v>
      </c>
      <c r="D310" s="7">
        <v>76.77</v>
      </c>
      <c r="E310" s="9">
        <f t="shared" si="8"/>
        <v>4.3408139388398075</v>
      </c>
      <c r="F310" s="9">
        <v>109.98200610067494</v>
      </c>
      <c r="G310" s="9">
        <f t="shared" si="9"/>
        <v>4.7003167715086462</v>
      </c>
    </row>
    <row r="311" spans="2:7" x14ac:dyDescent="0.45">
      <c r="B311" s="8">
        <v>40269</v>
      </c>
      <c r="C311" s="7">
        <v>2.1740300000000001</v>
      </c>
      <c r="D311" s="7">
        <v>80.03</v>
      </c>
      <c r="E311" s="9">
        <f t="shared" si="8"/>
        <v>4.3824015643789549</v>
      </c>
      <c r="F311" s="9">
        <v>114.62596885967535</v>
      </c>
      <c r="G311" s="9">
        <f t="shared" si="9"/>
        <v>4.7416743829699177</v>
      </c>
    </row>
    <row r="312" spans="2:7" x14ac:dyDescent="0.45">
      <c r="B312" s="8">
        <v>40299</v>
      </c>
      <c r="C312" s="7">
        <v>2.1728999999999998</v>
      </c>
      <c r="D312" s="7">
        <v>71.150000000000006</v>
      </c>
      <c r="E312" s="9">
        <f t="shared" si="8"/>
        <v>4.2647903245358618</v>
      </c>
      <c r="F312" s="9">
        <v>101.9602519213954</v>
      </c>
      <c r="G312" s="9">
        <f t="shared" si="9"/>
        <v>4.6245830502913998</v>
      </c>
    </row>
    <row r="313" spans="2:7" x14ac:dyDescent="0.45">
      <c r="B313" s="8">
        <v>40330</v>
      </c>
      <c r="C313" s="7">
        <v>2.1719900000000001</v>
      </c>
      <c r="D313" s="7">
        <v>71.91</v>
      </c>
      <c r="E313" s="9">
        <f t="shared" si="8"/>
        <v>4.2754153371144028</v>
      </c>
      <c r="F313" s="9">
        <v>103.09253116266649</v>
      </c>
      <c r="G313" s="9">
        <f t="shared" si="9"/>
        <v>4.6356269457476689</v>
      </c>
    </row>
    <row r="314" spans="2:7" x14ac:dyDescent="0.45">
      <c r="B314" s="8">
        <v>40360</v>
      </c>
      <c r="C314" s="7">
        <v>2.17605</v>
      </c>
      <c r="D314" s="7">
        <v>73.27</v>
      </c>
      <c r="E314" s="9">
        <f t="shared" si="8"/>
        <v>4.2941512481718727</v>
      </c>
      <c r="F314" s="9">
        <v>104.8462874106753</v>
      </c>
      <c r="G314" s="9">
        <f t="shared" si="9"/>
        <v>4.6524953481437805</v>
      </c>
    </row>
    <row r="315" spans="2:7" x14ac:dyDescent="0.45">
      <c r="B315" s="8">
        <v>40391</v>
      </c>
      <c r="C315" s="7">
        <v>2.17923</v>
      </c>
      <c r="D315" s="7">
        <v>73.52</v>
      </c>
      <c r="E315" s="9">
        <f t="shared" si="8"/>
        <v>4.2975574780474313</v>
      </c>
      <c r="F315" s="9">
        <v>105.0505099140522</v>
      </c>
      <c r="G315" s="9">
        <f t="shared" si="9"/>
        <v>4.654441281292101</v>
      </c>
    </row>
    <row r="316" spans="2:7" x14ac:dyDescent="0.45">
      <c r="B316" s="8">
        <v>40422</v>
      </c>
      <c r="C316" s="7">
        <v>2.18275</v>
      </c>
      <c r="D316" s="7">
        <v>73.150000000000006</v>
      </c>
      <c r="E316" s="9">
        <f t="shared" si="8"/>
        <v>4.2925121274661331</v>
      </c>
      <c r="F316" s="9">
        <v>104.35327151529036</v>
      </c>
      <c r="G316" s="9">
        <f t="shared" si="9"/>
        <v>4.6477819844001447</v>
      </c>
    </row>
    <row r="317" spans="2:7" x14ac:dyDescent="0.45">
      <c r="B317" s="8">
        <v>40452</v>
      </c>
      <c r="C317" s="7">
        <v>2.19035</v>
      </c>
      <c r="D317" s="7">
        <v>76.900000000000006</v>
      </c>
      <c r="E317" s="9">
        <f t="shared" si="8"/>
        <v>4.3425058765115985</v>
      </c>
      <c r="F317" s="9">
        <v>109.32224913826558</v>
      </c>
      <c r="G317" s="9">
        <f t="shared" si="9"/>
        <v>4.6942999347438148</v>
      </c>
    </row>
    <row r="318" spans="2:7" x14ac:dyDescent="0.45">
      <c r="B318" s="8">
        <v>40483</v>
      </c>
      <c r="C318" s="7">
        <v>2.1959</v>
      </c>
      <c r="D318" s="7">
        <v>79.92</v>
      </c>
      <c r="E318" s="9">
        <f t="shared" si="8"/>
        <v>4.3810261343402983</v>
      </c>
      <c r="F318" s="9">
        <v>113.32837247597797</v>
      </c>
      <c r="G318" s="9">
        <f t="shared" si="9"/>
        <v>4.7302895557132807</v>
      </c>
    </row>
    <row r="319" spans="2:7" x14ac:dyDescent="0.45">
      <c r="B319" s="8">
        <v>40513</v>
      </c>
      <c r="C319" s="7">
        <v>2.20472</v>
      </c>
      <c r="D319" s="7">
        <v>85.59</v>
      </c>
      <c r="E319" s="9">
        <f t="shared" si="8"/>
        <v>4.4495684538935185</v>
      </c>
      <c r="F319" s="9">
        <v>120.88302516419319</v>
      </c>
      <c r="G319" s="9">
        <f t="shared" si="9"/>
        <v>4.7948233438276517</v>
      </c>
    </row>
    <row r="320" spans="2:7" x14ac:dyDescent="0.45">
      <c r="B320" s="8">
        <v>40544</v>
      </c>
      <c r="C320" s="7">
        <v>2.2118699999999998</v>
      </c>
      <c r="D320" s="7">
        <v>87.61</v>
      </c>
      <c r="E320" s="9">
        <f t="shared" si="8"/>
        <v>4.4728951466782725</v>
      </c>
      <c r="F320" s="9">
        <v>123.33598808248225</v>
      </c>
      <c r="G320" s="9">
        <f t="shared" si="9"/>
        <v>4.8149122417316006</v>
      </c>
    </row>
    <row r="321" spans="2:7" x14ac:dyDescent="0.45">
      <c r="B321" s="8">
        <v>40575</v>
      </c>
      <c r="C321" s="7">
        <v>2.2189800000000002</v>
      </c>
      <c r="D321" s="7">
        <v>91.42</v>
      </c>
      <c r="E321" s="9">
        <f t="shared" si="8"/>
        <v>4.5154642729035981</v>
      </c>
      <c r="F321" s="9">
        <v>128.28727033141354</v>
      </c>
      <c r="G321" s="9">
        <f t="shared" si="9"/>
        <v>4.8542720487055009</v>
      </c>
    </row>
    <row r="322" spans="2:7" x14ac:dyDescent="0.45">
      <c r="B322" s="8">
        <v>40603</v>
      </c>
      <c r="C322" s="7">
        <v>2.2304599999999999</v>
      </c>
      <c r="D322" s="7">
        <v>102.43</v>
      </c>
      <c r="E322" s="9">
        <f t="shared" si="8"/>
        <v>4.6291796384484432</v>
      </c>
      <c r="F322" s="9">
        <v>142.99750790419915</v>
      </c>
      <c r="G322" s="9">
        <f t="shared" si="9"/>
        <v>4.9628272028646885</v>
      </c>
    </row>
    <row r="323" spans="2:7" x14ac:dyDescent="0.45">
      <c r="B323" s="8">
        <v>40634</v>
      </c>
      <c r="C323" s="7">
        <v>2.2409300000000001</v>
      </c>
      <c r="D323" s="7">
        <v>113.02</v>
      </c>
      <c r="E323" s="9">
        <f t="shared" si="8"/>
        <v>4.7275647942016974</v>
      </c>
      <c r="F323" s="9">
        <v>157.04450595065441</v>
      </c>
      <c r="G323" s="9">
        <f t="shared" si="9"/>
        <v>5.056529242568887</v>
      </c>
    </row>
    <row r="324" spans="2:7" x14ac:dyDescent="0.45">
      <c r="B324" s="8">
        <v>40664</v>
      </c>
      <c r="C324" s="7">
        <v>2.2480600000000002</v>
      </c>
      <c r="D324" s="7">
        <v>107.98</v>
      </c>
      <c r="E324" s="9">
        <f t="shared" si="8"/>
        <v>4.6819460247901405</v>
      </c>
      <c r="F324" s="9">
        <v>149.56540807629688</v>
      </c>
      <c r="G324" s="9">
        <f t="shared" si="9"/>
        <v>5.0077338093662105</v>
      </c>
    </row>
    <row r="325" spans="2:7" x14ac:dyDescent="0.45">
      <c r="B325" s="8">
        <v>40695</v>
      </c>
      <c r="C325" s="7">
        <v>2.2480600000000002</v>
      </c>
      <c r="D325" s="7">
        <v>105.38</v>
      </c>
      <c r="E325" s="9">
        <f t="shared" si="8"/>
        <v>4.6575728647811401</v>
      </c>
      <c r="F325" s="9">
        <v>145.96409245304841</v>
      </c>
      <c r="G325" s="9">
        <f t="shared" si="9"/>
        <v>4.98336064935721</v>
      </c>
    </row>
    <row r="326" spans="2:7" x14ac:dyDescent="0.45">
      <c r="B326" s="8">
        <v>40725</v>
      </c>
      <c r="C326" s="7">
        <v>2.2539500000000001</v>
      </c>
      <c r="D326" s="7">
        <v>105.94</v>
      </c>
      <c r="E326" s="9">
        <f t="shared" si="8"/>
        <v>4.6628728961163803</v>
      </c>
      <c r="F326" s="9">
        <v>146.35630153286453</v>
      </c>
      <c r="G326" s="9">
        <f t="shared" si="9"/>
        <v>4.9860440701737874</v>
      </c>
    </row>
    <row r="327" spans="2:7" x14ac:dyDescent="0.45">
      <c r="B327" s="8">
        <v>40756</v>
      </c>
      <c r="C327" s="7">
        <v>2.2610600000000001</v>
      </c>
      <c r="D327" s="7">
        <v>99</v>
      </c>
      <c r="E327" s="9">
        <f t="shared" si="8"/>
        <v>4.5951198501345898</v>
      </c>
      <c r="F327" s="9">
        <v>136.33860401758469</v>
      </c>
      <c r="G327" s="9">
        <f t="shared" si="9"/>
        <v>4.9151415269030849</v>
      </c>
    </row>
    <row r="328" spans="2:7" x14ac:dyDescent="0.45">
      <c r="B328" s="8">
        <v>40787</v>
      </c>
      <c r="C328" s="7">
        <v>2.2659699999999998</v>
      </c>
      <c r="D328" s="7">
        <v>101.05</v>
      </c>
      <c r="E328" s="9">
        <f t="shared" si="8"/>
        <v>4.61561544384963</v>
      </c>
      <c r="F328" s="9">
        <v>138.86023548414147</v>
      </c>
      <c r="G328" s="9">
        <f t="shared" si="9"/>
        <v>4.9334679271622424</v>
      </c>
    </row>
    <row r="329" spans="2:7" x14ac:dyDescent="0.45">
      <c r="B329" s="8">
        <v>40817</v>
      </c>
      <c r="C329" s="7">
        <v>2.2675000000000001</v>
      </c>
      <c r="D329" s="7">
        <v>101.99</v>
      </c>
      <c r="E329" s="9">
        <f t="shared" si="8"/>
        <v>4.6248747692624264</v>
      </c>
      <c r="F329" s="9">
        <v>140.057390800441</v>
      </c>
      <c r="G329" s="9">
        <f t="shared" si="9"/>
        <v>4.9420522728980636</v>
      </c>
    </row>
    <row r="330" spans="2:7" x14ac:dyDescent="0.45">
      <c r="B330" s="8">
        <v>40848</v>
      </c>
      <c r="C330" s="7">
        <v>2.27169</v>
      </c>
      <c r="D330" s="7">
        <v>107.67</v>
      </c>
      <c r="E330" s="9">
        <f t="shared" si="8"/>
        <v>4.6790709938276258</v>
      </c>
      <c r="F330" s="9">
        <v>147.58471539690714</v>
      </c>
      <c r="G330" s="9">
        <f t="shared" si="9"/>
        <v>4.9944023525827674</v>
      </c>
    </row>
    <row r="331" spans="2:7" x14ac:dyDescent="0.45">
      <c r="B331" s="8">
        <v>40878</v>
      </c>
      <c r="C331" s="7">
        <v>2.27223</v>
      </c>
      <c r="D331" s="7">
        <v>106.52</v>
      </c>
      <c r="E331" s="9">
        <f t="shared" si="8"/>
        <v>4.6683327609457317</v>
      </c>
      <c r="F331" s="9">
        <v>145.97369576143259</v>
      </c>
      <c r="G331" s="9">
        <f t="shared" si="9"/>
        <v>4.9834264394589045</v>
      </c>
    </row>
    <row r="332" spans="2:7" x14ac:dyDescent="0.45">
      <c r="B332" s="8">
        <v>40909</v>
      </c>
      <c r="C332" s="7">
        <v>2.2784200000000001</v>
      </c>
      <c r="D332" s="7">
        <v>105.25</v>
      </c>
      <c r="E332" s="9">
        <f t="shared" si="8"/>
        <v>4.6563384725624912</v>
      </c>
      <c r="F332" s="9">
        <v>143.84145109330149</v>
      </c>
      <c r="G332" s="9">
        <f t="shared" si="9"/>
        <v>4.9687116589184024</v>
      </c>
    </row>
    <row r="333" spans="2:7" x14ac:dyDescent="0.45">
      <c r="B333" s="8">
        <v>40940</v>
      </c>
      <c r="C333" s="7">
        <v>2.28329</v>
      </c>
      <c r="D333" s="7">
        <v>108.08</v>
      </c>
      <c r="E333" s="9">
        <f t="shared" si="8"/>
        <v>4.6828716936519434</v>
      </c>
      <c r="F333" s="9">
        <v>147.39406509028638</v>
      </c>
      <c r="G333" s="9">
        <f t="shared" si="9"/>
        <v>4.9931097149709869</v>
      </c>
    </row>
    <row r="334" spans="2:7" x14ac:dyDescent="0.45">
      <c r="B334" s="8">
        <v>40969</v>
      </c>
      <c r="C334" s="7">
        <v>2.2880699999999998</v>
      </c>
      <c r="D334" s="7">
        <v>111</v>
      </c>
      <c r="E334" s="9">
        <f t="shared" si="8"/>
        <v>4.7095302013123339</v>
      </c>
      <c r="F334" s="9">
        <v>151.05997456371529</v>
      </c>
      <c r="G334" s="9">
        <f t="shared" si="9"/>
        <v>5.017676940499979</v>
      </c>
    </row>
    <row r="335" spans="2:7" x14ac:dyDescent="0.45">
      <c r="B335" s="8">
        <v>41000</v>
      </c>
      <c r="C335" s="7">
        <v>2.2918699999999999</v>
      </c>
      <c r="D335" s="7">
        <v>108.54</v>
      </c>
      <c r="E335" s="9">
        <f t="shared" si="8"/>
        <v>4.6871187686352584</v>
      </c>
      <c r="F335" s="9">
        <v>147.46724702535488</v>
      </c>
      <c r="G335" s="9">
        <f t="shared" si="9"/>
        <v>4.9936060970568299</v>
      </c>
    </row>
    <row r="336" spans="2:7" x14ac:dyDescent="0.45">
      <c r="B336" s="8">
        <v>41030</v>
      </c>
      <c r="C336" s="7">
        <v>2.2871299999999999</v>
      </c>
      <c r="D336" s="7">
        <v>103.26</v>
      </c>
      <c r="E336" s="9">
        <f t="shared" si="8"/>
        <v>4.637250079451503</v>
      </c>
      <c r="F336" s="9">
        <v>140.58435915754683</v>
      </c>
      <c r="G336" s="9">
        <f t="shared" si="9"/>
        <v>4.9458077296433567</v>
      </c>
    </row>
    <row r="337" spans="2:7" x14ac:dyDescent="0.45">
      <c r="B337" s="8">
        <v>41061</v>
      </c>
      <c r="C337" s="7">
        <v>2.2852399999999999</v>
      </c>
      <c r="D337" s="7">
        <v>92.18</v>
      </c>
      <c r="E337" s="9">
        <f t="shared" si="8"/>
        <v>4.5237431872923626</v>
      </c>
      <c r="F337" s="9">
        <v>125.60317624407065</v>
      </c>
      <c r="G337" s="9">
        <f t="shared" si="9"/>
        <v>4.8331275422817894</v>
      </c>
    </row>
    <row r="338" spans="2:7" x14ac:dyDescent="0.45">
      <c r="B338" s="8">
        <v>41091</v>
      </c>
      <c r="C338" s="7">
        <v>2.2858999999999998</v>
      </c>
      <c r="D338" s="7">
        <v>92.99</v>
      </c>
      <c r="E338" s="9">
        <f t="shared" si="8"/>
        <v>4.5324919604901055</v>
      </c>
      <c r="F338" s="9">
        <v>126.6702872566604</v>
      </c>
      <c r="G338" s="9">
        <f t="shared" si="9"/>
        <v>4.8415875472490324</v>
      </c>
    </row>
    <row r="339" spans="2:7" x14ac:dyDescent="0.45">
      <c r="B339" s="8">
        <v>41122</v>
      </c>
      <c r="C339" s="7">
        <v>2.2991799999999998</v>
      </c>
      <c r="D339" s="7">
        <v>97.04</v>
      </c>
      <c r="E339" s="9">
        <f t="shared" si="8"/>
        <v>4.5751232646357947</v>
      </c>
      <c r="F339" s="9">
        <v>131.42365775624356</v>
      </c>
      <c r="G339" s="9">
        <f t="shared" si="9"/>
        <v>4.8784261336515975</v>
      </c>
    </row>
    <row r="340" spans="2:7" x14ac:dyDescent="0.45">
      <c r="B340" s="8">
        <v>41153</v>
      </c>
      <c r="C340" s="7">
        <v>2.3101500000000001</v>
      </c>
      <c r="D340" s="7">
        <v>101.82</v>
      </c>
      <c r="E340" s="9">
        <f t="shared" ref="E340:E403" si="10">LN(D340)</f>
        <v>4.6232065484741902</v>
      </c>
      <c r="F340" s="9">
        <v>137.24250872021295</v>
      </c>
      <c r="G340" s="9">
        <f t="shared" ref="G340:G403" si="11">LN(F340)</f>
        <v>4.9217494976265339</v>
      </c>
    </row>
    <row r="341" spans="2:7" x14ac:dyDescent="0.45">
      <c r="B341" s="8">
        <v>41183</v>
      </c>
      <c r="C341" s="7">
        <v>2.3163800000000001</v>
      </c>
      <c r="D341" s="7">
        <v>100.92</v>
      </c>
      <c r="E341" s="9">
        <f t="shared" si="10"/>
        <v>4.6143281237728573</v>
      </c>
      <c r="F341" s="9">
        <v>135.66354791528158</v>
      </c>
      <c r="G341" s="9">
        <f t="shared" si="11"/>
        <v>4.9101779081708017</v>
      </c>
    </row>
    <row r="342" spans="2:7" x14ac:dyDescent="0.45">
      <c r="B342" s="8">
        <v>41214</v>
      </c>
      <c r="C342" s="7">
        <v>2.3124899999999999</v>
      </c>
      <c r="D342" s="7">
        <v>98.07</v>
      </c>
      <c r="E342" s="9">
        <f t="shared" si="10"/>
        <v>4.5856815094042291</v>
      </c>
      <c r="F342" s="9">
        <v>132.05414791847747</v>
      </c>
      <c r="G342" s="9">
        <f t="shared" si="11"/>
        <v>4.883212049976251</v>
      </c>
    </row>
    <row r="343" spans="2:7" x14ac:dyDescent="0.45">
      <c r="B343" s="8">
        <v>41244</v>
      </c>
      <c r="C343" s="7">
        <v>2.3122099999999999</v>
      </c>
      <c r="D343" s="7">
        <v>93.7</v>
      </c>
      <c r="E343" s="9">
        <f t="shared" si="10"/>
        <v>4.5400981892443761</v>
      </c>
      <c r="F343" s="9">
        <v>126.18509270351741</v>
      </c>
      <c r="G343" s="9">
        <f t="shared" si="11"/>
        <v>4.8377498187520453</v>
      </c>
    </row>
    <row r="344" spans="2:7" x14ac:dyDescent="0.45">
      <c r="B344" s="8">
        <v>41275</v>
      </c>
      <c r="C344" s="7">
        <v>2.3167900000000001</v>
      </c>
      <c r="D344" s="7">
        <v>97.91</v>
      </c>
      <c r="E344" s="9">
        <f t="shared" si="10"/>
        <v>4.5840486893659795</v>
      </c>
      <c r="F344" s="9">
        <v>131.5940084168181</v>
      </c>
      <c r="G344" s="9">
        <f t="shared" si="11"/>
        <v>4.879721489107169</v>
      </c>
    </row>
    <row r="345" spans="2:7" x14ac:dyDescent="0.45">
      <c r="B345" s="8">
        <v>41306</v>
      </c>
      <c r="C345" s="7">
        <v>2.3293699999999999</v>
      </c>
      <c r="D345" s="7">
        <v>99.23</v>
      </c>
      <c r="E345" s="9">
        <f t="shared" si="10"/>
        <v>4.5974403879261505</v>
      </c>
      <c r="F345" s="9">
        <v>132.64786027123213</v>
      </c>
      <c r="G345" s="9">
        <f t="shared" si="11"/>
        <v>4.8876979498183841</v>
      </c>
    </row>
    <row r="346" spans="2:7" x14ac:dyDescent="0.45">
      <c r="B346" s="8">
        <v>41334</v>
      </c>
      <c r="C346" s="7">
        <v>2.3228200000000001</v>
      </c>
      <c r="D346" s="7">
        <v>99.11</v>
      </c>
      <c r="E346" s="9">
        <f t="shared" si="10"/>
        <v>4.5962303444186174</v>
      </c>
      <c r="F346" s="9">
        <v>132.86104216426585</v>
      </c>
      <c r="G346" s="9">
        <f t="shared" si="11"/>
        <v>4.8893037862848026</v>
      </c>
    </row>
    <row r="347" spans="2:7" x14ac:dyDescent="0.45">
      <c r="B347" s="8">
        <v>41365</v>
      </c>
      <c r="C347" s="7">
        <v>2.3179699999999999</v>
      </c>
      <c r="D347" s="7">
        <v>96.45</v>
      </c>
      <c r="E347" s="9">
        <f t="shared" si="10"/>
        <v>4.5690247393517378</v>
      </c>
      <c r="F347" s="9">
        <v>129.56573303364584</v>
      </c>
      <c r="G347" s="9">
        <f t="shared" si="11"/>
        <v>4.8641883433522652</v>
      </c>
    </row>
    <row r="348" spans="2:7" x14ac:dyDescent="0.45">
      <c r="B348" s="8">
        <v>41395</v>
      </c>
      <c r="C348" s="7">
        <v>2.3189299999999999</v>
      </c>
      <c r="D348" s="7">
        <v>98.5</v>
      </c>
      <c r="E348" s="9">
        <f t="shared" si="10"/>
        <v>4.5900565481780431</v>
      </c>
      <c r="F348" s="9">
        <v>132.26481437559565</v>
      </c>
      <c r="G348" s="9">
        <f t="shared" si="11"/>
        <v>4.8848060824277812</v>
      </c>
    </row>
    <row r="349" spans="2:7" x14ac:dyDescent="0.45">
      <c r="B349" s="8">
        <v>41426</v>
      </c>
      <c r="C349" s="7">
        <v>2.3244500000000001</v>
      </c>
      <c r="D349" s="7">
        <v>97.17</v>
      </c>
      <c r="E349" s="9">
        <f t="shared" si="10"/>
        <v>4.5764620218513477</v>
      </c>
      <c r="F349" s="9">
        <v>130.1690482135559</v>
      </c>
      <c r="G349" s="9">
        <f t="shared" si="11"/>
        <v>4.8688339765791309</v>
      </c>
    </row>
    <row r="350" spans="2:7" x14ac:dyDescent="0.45">
      <c r="B350" s="8">
        <v>41456</v>
      </c>
      <c r="C350" s="7">
        <v>2.3290000000000002</v>
      </c>
      <c r="D350" s="7">
        <v>101.56</v>
      </c>
      <c r="E350" s="9">
        <f t="shared" si="10"/>
        <v>4.6206497568364773</v>
      </c>
      <c r="F350" s="9">
        <v>135.78410655216831</v>
      </c>
      <c r="G350" s="9">
        <f t="shared" si="11"/>
        <v>4.9110661725770655</v>
      </c>
    </row>
    <row r="351" spans="2:7" x14ac:dyDescent="0.45">
      <c r="B351" s="8">
        <v>41487</v>
      </c>
      <c r="C351" s="7">
        <v>2.3345600000000002</v>
      </c>
      <c r="D351" s="7">
        <v>104.16</v>
      </c>
      <c r="E351" s="9">
        <f t="shared" si="10"/>
        <v>4.6459281784602595</v>
      </c>
      <c r="F351" s="9">
        <v>138.92860228908228</v>
      </c>
      <c r="G351" s="9">
        <f t="shared" si="11"/>
        <v>4.9339601485694748</v>
      </c>
    </row>
    <row r="352" spans="2:7" x14ac:dyDescent="0.45">
      <c r="B352" s="8">
        <v>41518</v>
      </c>
      <c r="C352" s="7">
        <v>2.3354400000000002</v>
      </c>
      <c r="D352" s="7">
        <v>103.49</v>
      </c>
      <c r="E352" s="9">
        <f t="shared" si="10"/>
        <v>4.6394749896800818</v>
      </c>
      <c r="F352" s="9">
        <v>137.98294438735311</v>
      </c>
      <c r="G352" s="9">
        <f t="shared" si="11"/>
        <v>4.9271300861231673</v>
      </c>
    </row>
    <row r="353" spans="2:7" x14ac:dyDescent="0.45">
      <c r="B353" s="8">
        <v>41548</v>
      </c>
      <c r="C353" s="7">
        <v>2.3366899999999999</v>
      </c>
      <c r="D353" s="7">
        <v>97.84</v>
      </c>
      <c r="E353" s="9">
        <f t="shared" si="10"/>
        <v>4.5833334913789168</v>
      </c>
      <c r="F353" s="9">
        <v>130.38003082993467</v>
      </c>
      <c r="G353" s="9">
        <f t="shared" si="11"/>
        <v>4.8704534999585123</v>
      </c>
    </row>
    <row r="354" spans="2:7" x14ac:dyDescent="0.45">
      <c r="B354" s="8">
        <v>41579</v>
      </c>
      <c r="C354" s="7">
        <v>2.3410000000000002</v>
      </c>
      <c r="D354" s="7">
        <v>90.36</v>
      </c>
      <c r="E354" s="9">
        <f t="shared" si="10"/>
        <v>4.5038016915998025</v>
      </c>
      <c r="F354" s="9">
        <v>120.19061126014523</v>
      </c>
      <c r="G354" s="9">
        <f t="shared" si="11"/>
        <v>4.7890789097338207</v>
      </c>
    </row>
    <row r="355" spans="2:7" x14ac:dyDescent="0.45">
      <c r="B355" s="8">
        <v>41609</v>
      </c>
      <c r="C355" s="7">
        <v>2.3471899999999999</v>
      </c>
      <c r="D355" s="7">
        <v>90.57</v>
      </c>
      <c r="E355" s="9">
        <f t="shared" si="10"/>
        <v>4.5061230323868573</v>
      </c>
      <c r="F355" s="9">
        <v>120.15223587353387</v>
      </c>
      <c r="G355" s="9">
        <f t="shared" si="11"/>
        <v>4.7887595710275086</v>
      </c>
    </row>
    <row r="356" spans="2:7" x14ac:dyDescent="0.45">
      <c r="B356" s="8">
        <v>41640</v>
      </c>
      <c r="C356" s="7">
        <v>2.3528799999999999</v>
      </c>
      <c r="D356" s="7">
        <v>89.71</v>
      </c>
      <c r="E356" s="9">
        <f t="shared" si="10"/>
        <v>4.4965822455711919</v>
      </c>
      <c r="F356" s="9">
        <v>118.72353352487164</v>
      </c>
      <c r="G356" s="9">
        <f t="shared" si="11"/>
        <v>4.7767975424942692</v>
      </c>
    </row>
    <row r="357" spans="2:7" x14ac:dyDescent="0.45">
      <c r="B357" s="8">
        <v>41671</v>
      </c>
      <c r="C357" s="7">
        <v>2.35547</v>
      </c>
      <c r="D357" s="7">
        <v>96.1</v>
      </c>
      <c r="E357" s="9">
        <f t="shared" si="10"/>
        <v>4.5653893159762466</v>
      </c>
      <c r="F357" s="9">
        <v>127.04031025655176</v>
      </c>
      <c r="G357" s="9">
        <f t="shared" si="11"/>
        <v>4.8445044396916224</v>
      </c>
    </row>
    <row r="358" spans="2:7" x14ac:dyDescent="0.45">
      <c r="B358" s="8">
        <v>41699</v>
      </c>
      <c r="C358" s="7">
        <v>2.3602799999999999</v>
      </c>
      <c r="D358" s="7">
        <v>97.13</v>
      </c>
      <c r="E358" s="9">
        <f t="shared" si="10"/>
        <v>4.5760502874142395</v>
      </c>
      <c r="F358" s="9">
        <v>128.14025907095768</v>
      </c>
      <c r="G358" s="9">
        <f t="shared" si="11"/>
        <v>4.853125437989366</v>
      </c>
    </row>
    <row r="359" spans="2:7" x14ac:dyDescent="0.45">
      <c r="B359" s="8">
        <v>41730</v>
      </c>
      <c r="C359" s="7">
        <v>2.3646799999999999</v>
      </c>
      <c r="D359" s="7">
        <v>97.33</v>
      </c>
      <c r="E359" s="9">
        <f t="shared" si="10"/>
        <v>4.5781072664384022</v>
      </c>
      <c r="F359" s="9">
        <v>128.16518847370469</v>
      </c>
      <c r="G359" s="9">
        <f t="shared" si="11"/>
        <v>4.8533199668459659</v>
      </c>
    </row>
    <row r="360" spans="2:7" x14ac:dyDescent="0.45">
      <c r="B360" s="8">
        <v>41760</v>
      </c>
      <c r="C360" s="7">
        <v>2.3691800000000001</v>
      </c>
      <c r="D360" s="7">
        <v>98.46</v>
      </c>
      <c r="E360" s="9">
        <f t="shared" si="10"/>
        <v>4.5896503743300547</v>
      </c>
      <c r="F360" s="9">
        <v>129.40692246262421</v>
      </c>
      <c r="G360" s="9">
        <f t="shared" si="11"/>
        <v>4.862961877255878</v>
      </c>
    </row>
    <row r="361" spans="2:7" x14ac:dyDescent="0.45">
      <c r="B361" s="8">
        <v>41791</v>
      </c>
      <c r="C361" s="7">
        <v>2.3723100000000001</v>
      </c>
      <c r="D361" s="7">
        <v>100.26</v>
      </c>
      <c r="E361" s="9">
        <f t="shared" si="10"/>
        <v>4.607766811835357</v>
      </c>
      <c r="F361" s="9">
        <v>131.59882028908532</v>
      </c>
      <c r="G361" s="9">
        <f t="shared" si="11"/>
        <v>4.8797580544823838</v>
      </c>
    </row>
    <row r="362" spans="2:7" x14ac:dyDescent="0.45">
      <c r="B362" s="8">
        <v>41821</v>
      </c>
      <c r="C362" s="7">
        <v>2.3749799999999999</v>
      </c>
      <c r="D362" s="7">
        <v>98.75</v>
      </c>
      <c r="E362" s="9">
        <f t="shared" si="10"/>
        <v>4.5925914037812312</v>
      </c>
      <c r="F362" s="9">
        <v>129.47111344095529</v>
      </c>
      <c r="G362" s="9">
        <f t="shared" si="11"/>
        <v>4.863457794025507</v>
      </c>
    </row>
    <row r="363" spans="2:7" x14ac:dyDescent="0.45">
      <c r="B363" s="8">
        <v>41852</v>
      </c>
      <c r="C363" s="7">
        <v>2.3746</v>
      </c>
      <c r="D363" s="7">
        <v>93.23</v>
      </c>
      <c r="E363" s="9">
        <f t="shared" si="10"/>
        <v>4.535069558308602</v>
      </c>
      <c r="F363" s="9">
        <v>122.25340279626042</v>
      </c>
      <c r="G363" s="9">
        <f t="shared" si="11"/>
        <v>4.8060959627018391</v>
      </c>
    </row>
    <row r="364" spans="2:7" x14ac:dyDescent="0.45">
      <c r="B364" s="8">
        <v>41883</v>
      </c>
      <c r="C364" s="7">
        <v>2.3747699999999998</v>
      </c>
      <c r="D364" s="7">
        <v>89.38</v>
      </c>
      <c r="E364" s="9">
        <f t="shared" si="10"/>
        <v>4.492896943505305</v>
      </c>
      <c r="F364" s="9">
        <v>117.19647026027783</v>
      </c>
      <c r="G364" s="9">
        <f t="shared" si="11"/>
        <v>4.7638517594562551</v>
      </c>
    </row>
    <row r="365" spans="2:7" x14ac:dyDescent="0.45">
      <c r="B365" s="8">
        <v>41913</v>
      </c>
      <c r="C365" s="7">
        <v>2.3742999999999999</v>
      </c>
      <c r="D365" s="7">
        <v>82.75</v>
      </c>
      <c r="E365" s="9">
        <f t="shared" si="10"/>
        <v>4.4158240142571721</v>
      </c>
      <c r="F365" s="9">
        <v>108.52458787853264</v>
      </c>
      <c r="G365" s="9">
        <f t="shared" si="11"/>
        <v>4.6869767636989046</v>
      </c>
    </row>
    <row r="366" spans="2:7" x14ac:dyDescent="0.45">
      <c r="B366" s="8">
        <v>41944</v>
      </c>
      <c r="C366" s="7">
        <v>2.3698299999999999</v>
      </c>
      <c r="D366" s="7">
        <v>74.34</v>
      </c>
      <c r="E366" s="9">
        <f t="shared" si="10"/>
        <v>4.3086491648691059</v>
      </c>
      <c r="F366" s="9">
        <v>97.678976230362522</v>
      </c>
      <c r="G366" s="9">
        <f t="shared" si="11"/>
        <v>4.5816863488953805</v>
      </c>
    </row>
    <row r="367" spans="2:7" x14ac:dyDescent="0.45">
      <c r="B367" s="8">
        <v>41974</v>
      </c>
      <c r="C367" s="7">
        <v>2.36252</v>
      </c>
      <c r="D367" s="7">
        <v>57.36</v>
      </c>
      <c r="E367" s="9">
        <f t="shared" si="10"/>
        <v>4.0493471962913645</v>
      </c>
      <c r="F367" s="9">
        <v>75.601321030086524</v>
      </c>
      <c r="G367" s="9">
        <f t="shared" si="11"/>
        <v>4.3254737569757635</v>
      </c>
    </row>
    <row r="368" spans="2:7" x14ac:dyDescent="0.45">
      <c r="B368" s="8">
        <v>42005</v>
      </c>
      <c r="C368" s="7">
        <v>2.3474699999999999</v>
      </c>
      <c r="D368" s="7">
        <v>44.74</v>
      </c>
      <c r="E368" s="9">
        <f t="shared" si="10"/>
        <v>3.8008679560619836</v>
      </c>
      <c r="F368" s="9">
        <v>59.346028975876166</v>
      </c>
      <c r="G368" s="9">
        <f t="shared" si="11"/>
        <v>4.0833852102388688</v>
      </c>
    </row>
    <row r="369" spans="2:7" x14ac:dyDescent="0.45">
      <c r="B369" s="8">
        <v>42036</v>
      </c>
      <c r="C369" s="7">
        <v>2.3534199999999998</v>
      </c>
      <c r="D369" s="7">
        <v>47.18</v>
      </c>
      <c r="E369" s="9">
        <f t="shared" si="10"/>
        <v>3.8539700739795291</v>
      </c>
      <c r="F369" s="9">
        <v>62.424379192834259</v>
      </c>
      <c r="G369" s="9">
        <f t="shared" si="11"/>
        <v>4.1339558912679166</v>
      </c>
    </row>
    <row r="370" spans="2:7" x14ac:dyDescent="0.45">
      <c r="B370" s="8">
        <v>42064</v>
      </c>
      <c r="C370" s="7">
        <v>2.3597600000000001</v>
      </c>
      <c r="D370" s="7">
        <v>47.22</v>
      </c>
      <c r="E370" s="9">
        <f t="shared" si="10"/>
        <v>3.8548175316573667</v>
      </c>
      <c r="F370" s="9">
        <v>62.309444994406206</v>
      </c>
      <c r="G370" s="9">
        <f t="shared" si="11"/>
        <v>4.1321130193491724</v>
      </c>
    </row>
    <row r="371" spans="2:7" x14ac:dyDescent="0.45">
      <c r="B371" s="8">
        <v>42095</v>
      </c>
      <c r="C371" s="7">
        <v>2.3622200000000002</v>
      </c>
      <c r="D371" s="7">
        <v>51.62</v>
      </c>
      <c r="E371" s="9">
        <f t="shared" si="10"/>
        <v>3.9439091942904678</v>
      </c>
      <c r="F371" s="9">
        <v>68.04455737399563</v>
      </c>
      <c r="G371" s="9">
        <f t="shared" si="11"/>
        <v>4.2201627460898914</v>
      </c>
    </row>
    <row r="372" spans="2:7" x14ac:dyDescent="0.45">
      <c r="B372" s="8">
        <v>42125</v>
      </c>
      <c r="C372" s="7">
        <v>2.3700100000000002</v>
      </c>
      <c r="D372" s="7">
        <v>57.51</v>
      </c>
      <c r="E372" s="9">
        <f t="shared" si="10"/>
        <v>4.0519588457256628</v>
      </c>
      <c r="F372" s="9">
        <v>75.559473740617122</v>
      </c>
      <c r="G372" s="9">
        <f t="shared" si="11"/>
        <v>4.3249200778210337</v>
      </c>
    </row>
    <row r="373" spans="2:7" x14ac:dyDescent="0.45">
      <c r="B373" s="8">
        <v>42156</v>
      </c>
      <c r="C373" s="7">
        <v>2.3765700000000001</v>
      </c>
      <c r="D373" s="7">
        <v>58.89</v>
      </c>
      <c r="E373" s="9">
        <f t="shared" si="10"/>
        <v>4.0756712969564797</v>
      </c>
      <c r="F373" s="9">
        <v>77.159015741173206</v>
      </c>
      <c r="G373" s="9">
        <f t="shared" si="11"/>
        <v>4.3458684318801346</v>
      </c>
    </row>
    <row r="374" spans="2:7" x14ac:dyDescent="0.45">
      <c r="B374" s="8">
        <v>42186</v>
      </c>
      <c r="C374" s="7">
        <v>2.3803399999999999</v>
      </c>
      <c r="D374" s="7">
        <v>52.42</v>
      </c>
      <c r="E374" s="9">
        <f t="shared" si="10"/>
        <v>3.9592881978952601</v>
      </c>
      <c r="F374" s="9">
        <v>68.573095910668229</v>
      </c>
      <c r="G374" s="9">
        <f t="shared" si="11"/>
        <v>4.2279002699149215</v>
      </c>
    </row>
    <row r="375" spans="2:7" x14ac:dyDescent="0.45">
      <c r="B375" s="8">
        <v>42217</v>
      </c>
      <c r="C375" s="7">
        <v>2.3803299999999998</v>
      </c>
      <c r="D375" s="7">
        <v>43.23</v>
      </c>
      <c r="E375" s="9">
        <f t="shared" si="10"/>
        <v>3.7665346986795405</v>
      </c>
      <c r="F375" s="9">
        <v>56.551457268529994</v>
      </c>
      <c r="G375" s="9">
        <f t="shared" si="11"/>
        <v>4.0351509717885437</v>
      </c>
    </row>
    <row r="376" spans="2:7" x14ac:dyDescent="0.45">
      <c r="B376" s="8">
        <v>42248</v>
      </c>
      <c r="C376" s="7">
        <v>2.3749799999999999</v>
      </c>
      <c r="D376" s="7">
        <v>41.12</v>
      </c>
      <c r="E376" s="9">
        <f t="shared" si="10"/>
        <v>3.7164946211469094</v>
      </c>
      <c r="F376" s="9">
        <v>53.912427186755252</v>
      </c>
      <c r="G376" s="9">
        <f t="shared" si="11"/>
        <v>3.9873610113911853</v>
      </c>
    </row>
    <row r="377" spans="2:7" x14ac:dyDescent="0.45">
      <c r="B377" s="8">
        <v>42278</v>
      </c>
      <c r="C377" s="7">
        <v>2.3773300000000002</v>
      </c>
      <c r="D377" s="7">
        <v>42.03</v>
      </c>
      <c r="E377" s="9">
        <f t="shared" si="10"/>
        <v>3.7383836490170252</v>
      </c>
      <c r="F377" s="9">
        <v>55.051056050274887</v>
      </c>
      <c r="G377" s="9">
        <f t="shared" si="11"/>
        <v>4.0082610464592552</v>
      </c>
    </row>
    <row r="378" spans="2:7" x14ac:dyDescent="0.45">
      <c r="B378" s="8">
        <v>42309</v>
      </c>
      <c r="C378" s="7">
        <v>2.3801700000000001</v>
      </c>
      <c r="D378" s="7">
        <v>39.049999999999997</v>
      </c>
      <c r="E378" s="9">
        <f t="shared" si="10"/>
        <v>3.6648428762856948</v>
      </c>
      <c r="F378" s="9">
        <v>51.086811362213616</v>
      </c>
      <c r="G378" s="9">
        <f t="shared" si="11"/>
        <v>3.9335263692245732</v>
      </c>
    </row>
    <row r="379" spans="2:7" x14ac:dyDescent="0.45">
      <c r="B379" s="8">
        <v>42339</v>
      </c>
      <c r="C379" s="7">
        <v>2.3776099999999998</v>
      </c>
      <c r="D379" s="7">
        <v>33.159999999999997</v>
      </c>
      <c r="E379" s="9">
        <f t="shared" si="10"/>
        <v>3.5013443302670941</v>
      </c>
      <c r="F379" s="9">
        <v>43.427980938841948</v>
      </c>
      <c r="G379" s="9">
        <f t="shared" si="11"/>
        <v>3.7711039554554895</v>
      </c>
    </row>
    <row r="380" spans="2:7" x14ac:dyDescent="0.45">
      <c r="B380" s="8">
        <v>42370</v>
      </c>
      <c r="C380" s="7">
        <v>2.3765200000000002</v>
      </c>
      <c r="D380" s="7">
        <v>27.48</v>
      </c>
      <c r="E380" s="9">
        <f t="shared" si="10"/>
        <v>3.3134584673541485</v>
      </c>
      <c r="F380" s="9">
        <v>36.005677747294364</v>
      </c>
      <c r="G380" s="9">
        <f t="shared" si="11"/>
        <v>3.5836766412229961</v>
      </c>
    </row>
    <row r="381" spans="2:7" x14ac:dyDescent="0.45">
      <c r="B381" s="8">
        <v>42401</v>
      </c>
      <c r="C381" s="7">
        <v>2.3733599999999999</v>
      </c>
      <c r="D381" s="7">
        <v>26.66</v>
      </c>
      <c r="E381" s="9">
        <f t="shared" si="10"/>
        <v>3.2831643147505627</v>
      </c>
      <c r="F381" s="9">
        <v>34.977781609195404</v>
      </c>
      <c r="G381" s="9">
        <f t="shared" si="11"/>
        <v>3.5547130487456462</v>
      </c>
    </row>
    <row r="382" spans="2:7" x14ac:dyDescent="0.45">
      <c r="B382" s="8">
        <v>42430</v>
      </c>
      <c r="C382" s="7">
        <v>2.3807999999999998</v>
      </c>
      <c r="D382" s="7">
        <v>32.24</v>
      </c>
      <c r="E382" s="9">
        <f t="shared" si="10"/>
        <v>3.4732079176384274</v>
      </c>
      <c r="F382" s="9">
        <v>42.166529166666677</v>
      </c>
      <c r="G382" s="9">
        <f t="shared" si="11"/>
        <v>3.7416267586245837</v>
      </c>
    </row>
    <row r="383" spans="2:7" x14ac:dyDescent="0.45">
      <c r="B383" s="8">
        <v>42461</v>
      </c>
      <c r="C383" s="7">
        <v>2.38992</v>
      </c>
      <c r="D383" s="7">
        <v>35.9</v>
      </c>
      <c r="E383" s="9">
        <f t="shared" si="10"/>
        <v>3.5807372954942331</v>
      </c>
      <c r="F383" s="9">
        <v>46.774248677780008</v>
      </c>
      <c r="G383" s="9">
        <f t="shared" si="11"/>
        <v>3.8453328095571795</v>
      </c>
    </row>
    <row r="384" spans="2:7" x14ac:dyDescent="0.45">
      <c r="B384" s="8">
        <v>42491</v>
      </c>
      <c r="C384" s="7">
        <v>2.3955700000000002</v>
      </c>
      <c r="D384" s="7">
        <v>40.880000000000003</v>
      </c>
      <c r="E384" s="9">
        <f t="shared" si="10"/>
        <v>3.7106409458954492</v>
      </c>
      <c r="F384" s="9">
        <v>53.1370887429714</v>
      </c>
      <c r="G384" s="9">
        <f t="shared" si="11"/>
        <v>3.9728751541672409</v>
      </c>
    </row>
    <row r="385" spans="2:7" x14ac:dyDescent="0.45">
      <c r="B385" s="8">
        <v>42522</v>
      </c>
      <c r="C385" s="7">
        <v>2.4022199999999998</v>
      </c>
      <c r="D385" s="7">
        <v>44.13</v>
      </c>
      <c r="E385" s="9">
        <f t="shared" si="10"/>
        <v>3.7871398232814557</v>
      </c>
      <c r="F385" s="9">
        <v>57.202746909109088</v>
      </c>
      <c r="G385" s="9">
        <f t="shared" si="11"/>
        <v>4.0466019201192127</v>
      </c>
    </row>
    <row r="386" spans="2:7" x14ac:dyDescent="0.45">
      <c r="B386" s="8">
        <v>42552</v>
      </c>
      <c r="C386" s="7">
        <v>2.4010099999999999</v>
      </c>
      <c r="D386" s="7">
        <v>41.48</v>
      </c>
      <c r="E386" s="9">
        <f t="shared" si="10"/>
        <v>3.7252113833613265</v>
      </c>
      <c r="F386" s="9">
        <v>53.794826877022579</v>
      </c>
      <c r="G386" s="9">
        <f t="shared" si="11"/>
        <v>3.9851773078423967</v>
      </c>
    </row>
    <row r="387" spans="2:7" x14ac:dyDescent="0.45">
      <c r="B387" s="8">
        <v>42583</v>
      </c>
      <c r="C387" s="7">
        <v>2.4054500000000001</v>
      </c>
      <c r="D387" s="7">
        <v>41.21</v>
      </c>
      <c r="E387" s="9">
        <f t="shared" si="10"/>
        <v>3.7186809453507261</v>
      </c>
      <c r="F387" s="9">
        <v>53.346019065039812</v>
      </c>
      <c r="G387" s="9">
        <f t="shared" si="11"/>
        <v>3.9767993557516106</v>
      </c>
    </row>
    <row r="388" spans="2:7" x14ac:dyDescent="0.45">
      <c r="B388" s="8">
        <v>42614</v>
      </c>
      <c r="C388" s="7">
        <v>2.4117600000000001</v>
      </c>
      <c r="D388" s="7">
        <v>40.86</v>
      </c>
      <c r="E388" s="9">
        <f t="shared" si="10"/>
        <v>3.7101515893894761</v>
      </c>
      <c r="F388" s="9">
        <v>52.754560553288883</v>
      </c>
      <c r="G388" s="9">
        <f t="shared" si="11"/>
        <v>3.9656502246055916</v>
      </c>
    </row>
    <row r="389" spans="2:7" x14ac:dyDescent="0.45">
      <c r="B389" s="8">
        <v>42644</v>
      </c>
      <c r="C389" s="7">
        <v>2.4174099999999998</v>
      </c>
      <c r="D389" s="7">
        <v>44.76</v>
      </c>
      <c r="E389" s="9">
        <f t="shared" si="10"/>
        <v>3.8013148834437245</v>
      </c>
      <c r="F389" s="9">
        <v>57.65480384378322</v>
      </c>
      <c r="G389" s="9">
        <f t="shared" si="11"/>
        <v>4.0544735709760849</v>
      </c>
    </row>
    <row r="390" spans="2:7" x14ac:dyDescent="0.45">
      <c r="B390" s="8">
        <v>42675</v>
      </c>
      <c r="C390" s="7">
        <v>2.4202599999999999</v>
      </c>
      <c r="D390" s="7">
        <v>41.8</v>
      </c>
      <c r="E390" s="9">
        <f t="shared" si="10"/>
        <v>3.7328963395307104</v>
      </c>
      <c r="F390" s="9">
        <v>53.778662127209472</v>
      </c>
      <c r="G390" s="9">
        <f t="shared" si="11"/>
        <v>3.9848767737594284</v>
      </c>
    </row>
    <row r="391" spans="2:7" x14ac:dyDescent="0.45">
      <c r="B391" s="8">
        <v>42705</v>
      </c>
      <c r="C391" s="7">
        <v>2.4263699999999999</v>
      </c>
      <c r="D391" s="7">
        <v>46.72</v>
      </c>
      <c r="E391" s="9">
        <f t="shared" si="10"/>
        <v>3.8441723385199715</v>
      </c>
      <c r="F391" s="9">
        <v>59.957227430276504</v>
      </c>
      <c r="G391" s="9">
        <f t="shared" si="11"/>
        <v>4.0936314318430069</v>
      </c>
    </row>
    <row r="392" spans="2:7" x14ac:dyDescent="0.45">
      <c r="B392" s="8">
        <v>42736</v>
      </c>
      <c r="C392" s="7">
        <v>2.4361799999999998</v>
      </c>
      <c r="D392" s="7">
        <v>48.12</v>
      </c>
      <c r="E392" s="9">
        <f t="shared" si="10"/>
        <v>3.8736978911064779</v>
      </c>
      <c r="F392" s="9">
        <v>61.505220599463094</v>
      </c>
      <c r="G392" s="9">
        <f t="shared" si="11"/>
        <v>4.1191220590058553</v>
      </c>
    </row>
    <row r="393" spans="2:7" x14ac:dyDescent="0.45">
      <c r="B393" s="8">
        <v>42767</v>
      </c>
      <c r="C393" s="7">
        <v>2.4400599999999999</v>
      </c>
      <c r="D393" s="7">
        <v>49.38</v>
      </c>
      <c r="E393" s="9">
        <f t="shared" si="10"/>
        <v>3.8995454839170334</v>
      </c>
      <c r="F393" s="9">
        <v>63.015344573494097</v>
      </c>
      <c r="G393" s="9">
        <f t="shared" si="11"/>
        <v>4.1433782613931136</v>
      </c>
    </row>
    <row r="394" spans="2:7" x14ac:dyDescent="0.45">
      <c r="B394" s="8">
        <v>42795</v>
      </c>
      <c r="C394" s="7">
        <v>2.43892</v>
      </c>
      <c r="D394" s="7">
        <v>46.53</v>
      </c>
      <c r="E394" s="9">
        <f t="shared" si="10"/>
        <v>3.8400972658565573</v>
      </c>
      <c r="F394" s="9">
        <v>59.406126104997291</v>
      </c>
      <c r="G394" s="9">
        <f t="shared" si="11"/>
        <v>4.0843973541315108</v>
      </c>
    </row>
    <row r="395" spans="2:7" x14ac:dyDescent="0.45">
      <c r="B395" s="8">
        <v>42826</v>
      </c>
      <c r="C395" s="7">
        <v>2.4419300000000002</v>
      </c>
      <c r="D395" s="7">
        <v>47.47</v>
      </c>
      <c r="E395" s="9">
        <f t="shared" si="10"/>
        <v>3.8600979325632268</v>
      </c>
      <c r="F395" s="9">
        <v>60.531544688013163</v>
      </c>
      <c r="G395" s="9">
        <f t="shared" si="11"/>
        <v>4.1031646289570203</v>
      </c>
    </row>
    <row r="396" spans="2:7" x14ac:dyDescent="0.45">
      <c r="B396" s="8">
        <v>42856</v>
      </c>
      <c r="C396" s="7">
        <v>2.4400400000000002</v>
      </c>
      <c r="D396" s="7">
        <v>47.21</v>
      </c>
      <c r="E396" s="9">
        <f t="shared" si="10"/>
        <v>3.8546057345581954</v>
      </c>
      <c r="F396" s="9">
        <v>60.246634301077023</v>
      </c>
      <c r="G396" s="9">
        <f t="shared" si="11"/>
        <v>4.0984467085876242</v>
      </c>
    </row>
    <row r="397" spans="2:7" x14ac:dyDescent="0.45">
      <c r="B397" s="8">
        <v>42887</v>
      </c>
      <c r="C397" s="7">
        <v>2.44163</v>
      </c>
      <c r="D397" s="7">
        <v>44.03</v>
      </c>
      <c r="E397" s="9">
        <f t="shared" si="10"/>
        <v>3.7848712197676626</v>
      </c>
      <c r="F397" s="9">
        <v>56.151914532504932</v>
      </c>
      <c r="G397" s="9">
        <f t="shared" si="11"/>
        <v>4.0280607773530361</v>
      </c>
    </row>
    <row r="398" spans="2:7" x14ac:dyDescent="0.45">
      <c r="B398" s="8">
        <v>42917</v>
      </c>
      <c r="C398" s="7">
        <v>2.4424299999999999</v>
      </c>
      <c r="D398" s="7">
        <v>44.76</v>
      </c>
      <c r="E398" s="9">
        <f t="shared" si="10"/>
        <v>3.8013148834437245</v>
      </c>
      <c r="F398" s="9">
        <v>57.064194003512888</v>
      </c>
      <c r="G398" s="9">
        <f t="shared" si="11"/>
        <v>4.0441768447230926</v>
      </c>
    </row>
    <row r="399" spans="2:7" x14ac:dyDescent="0.45">
      <c r="B399" s="8">
        <v>42948</v>
      </c>
      <c r="C399" s="7">
        <v>2.4518300000000002</v>
      </c>
      <c r="D399" s="7">
        <v>47.62</v>
      </c>
      <c r="E399" s="9">
        <f t="shared" si="10"/>
        <v>3.8632528410587166</v>
      </c>
      <c r="F399" s="9">
        <v>60.477631124506992</v>
      </c>
      <c r="G399" s="9">
        <f t="shared" si="11"/>
        <v>4.1022735631892973</v>
      </c>
    </row>
    <row r="400" spans="2:7" x14ac:dyDescent="0.45">
      <c r="B400" s="8">
        <v>42979</v>
      </c>
      <c r="C400" s="7">
        <v>2.46435</v>
      </c>
      <c r="D400" s="7">
        <v>50.46</v>
      </c>
      <c r="E400" s="9">
        <f t="shared" si="10"/>
        <v>3.9211809432129119</v>
      </c>
      <c r="F400" s="9">
        <v>63.758867271288572</v>
      </c>
      <c r="G400" s="9">
        <f t="shared" si="11"/>
        <v>4.1551082688173846</v>
      </c>
    </row>
    <row r="401" spans="2:7" x14ac:dyDescent="0.45">
      <c r="B401" s="8">
        <v>43009</v>
      </c>
      <c r="C401" s="7">
        <v>2.4662600000000001</v>
      </c>
      <c r="D401" s="7">
        <v>51.4</v>
      </c>
      <c r="E401" s="9">
        <f t="shared" si="10"/>
        <v>3.9396381724611196</v>
      </c>
      <c r="F401" s="9">
        <v>64.896308742792726</v>
      </c>
      <c r="G401" s="9">
        <f t="shared" si="11"/>
        <v>4.1727907460184674</v>
      </c>
    </row>
    <row r="402" spans="2:7" x14ac:dyDescent="0.45">
      <c r="B402" s="8">
        <v>43040</v>
      </c>
      <c r="C402" s="7">
        <v>2.4728400000000001</v>
      </c>
      <c r="D402" s="7">
        <v>56.3</v>
      </c>
      <c r="E402" s="9">
        <f t="shared" si="10"/>
        <v>4.0306945351456447</v>
      </c>
      <c r="F402" s="9">
        <v>70.893776710179381</v>
      </c>
      <c r="G402" s="9">
        <f t="shared" si="11"/>
        <v>4.2611826540886728</v>
      </c>
    </row>
    <row r="403" spans="2:7" x14ac:dyDescent="0.45">
      <c r="B403" s="8">
        <v>43070</v>
      </c>
      <c r="C403" s="7">
        <v>2.4780500000000001</v>
      </c>
      <c r="D403" s="7">
        <v>57.44</v>
      </c>
      <c r="E403" s="9">
        <f t="shared" si="10"/>
        <v>4.0507409247399684</v>
      </c>
      <c r="F403" s="9">
        <v>72.17721185609652</v>
      </c>
      <c r="G403" s="9">
        <f t="shared" si="11"/>
        <v>4.279124370816823</v>
      </c>
    </row>
    <row r="404" spans="2:7" x14ac:dyDescent="0.45">
      <c r="B404" s="8">
        <v>43101</v>
      </c>
      <c r="C404" s="7">
        <v>2.4885899999999999</v>
      </c>
      <c r="D404" s="7">
        <v>59.71</v>
      </c>
      <c r="E404" s="9">
        <f t="shared" ref="E404:E467" si="12">LN(D404)</f>
        <v>4.0894995105589009</v>
      </c>
      <c r="F404" s="9">
        <v>74.711843879465889</v>
      </c>
      <c r="G404" s="9">
        <f t="shared" ref="G404:G467" si="13">LN(F404)</f>
        <v>4.3136386321739275</v>
      </c>
    </row>
    <row r="405" spans="2:7" x14ac:dyDescent="0.45">
      <c r="B405" s="8">
        <v>43132</v>
      </c>
      <c r="C405" s="7">
        <v>2.4952899999999998</v>
      </c>
      <c r="D405" s="7">
        <v>58.03</v>
      </c>
      <c r="E405" s="9">
        <f t="shared" si="12"/>
        <v>4.0609601182025168</v>
      </c>
      <c r="F405" s="9">
        <v>72.41479069767442</v>
      </c>
      <c r="G405" s="9">
        <f t="shared" si="13"/>
        <v>4.2824105699313657</v>
      </c>
    </row>
    <row r="406" spans="2:7" x14ac:dyDescent="0.45">
      <c r="B406" s="8">
        <v>43160</v>
      </c>
      <c r="C406" s="7">
        <v>2.4957699999999998</v>
      </c>
      <c r="D406" s="7">
        <v>56.82</v>
      </c>
      <c r="E406" s="9">
        <f t="shared" si="12"/>
        <v>4.0398883764260418</v>
      </c>
      <c r="F406" s="9">
        <v>70.891212539617044</v>
      </c>
      <c r="G406" s="9">
        <f t="shared" si="13"/>
        <v>4.2611464842433859</v>
      </c>
    </row>
    <row r="407" spans="2:7" x14ac:dyDescent="0.45">
      <c r="B407" s="8">
        <v>43191</v>
      </c>
      <c r="C407" s="7">
        <v>2.5022700000000002</v>
      </c>
      <c r="D407" s="7">
        <v>61.24</v>
      </c>
      <c r="E407" s="9">
        <f t="shared" si="12"/>
        <v>4.114800570789483</v>
      </c>
      <c r="F407" s="9">
        <v>76.207330399996792</v>
      </c>
      <c r="G407" s="9">
        <f t="shared" si="13"/>
        <v>4.3334576575407517</v>
      </c>
    </row>
    <row r="408" spans="2:7" x14ac:dyDescent="0.45">
      <c r="B408" s="8">
        <v>43221</v>
      </c>
      <c r="C408" s="7">
        <v>2.5079199999999999</v>
      </c>
      <c r="D408" s="7">
        <v>65.89</v>
      </c>
      <c r="E408" s="9">
        <f t="shared" si="12"/>
        <v>4.1879866849257281</v>
      </c>
      <c r="F408" s="9">
        <v>81.809090417557186</v>
      </c>
      <c r="G408" s="9">
        <f t="shared" si="13"/>
        <v>4.4043883672332305</v>
      </c>
    </row>
    <row r="409" spans="2:7" x14ac:dyDescent="0.45">
      <c r="B409" s="8">
        <v>43252</v>
      </c>
      <c r="C409" s="7">
        <v>2.5101800000000001</v>
      </c>
      <c r="D409" s="7">
        <v>66.819999999999993</v>
      </c>
      <c r="E409" s="9">
        <f t="shared" si="12"/>
        <v>4.20200243692861</v>
      </c>
      <c r="F409" s="9">
        <v>82.889084256905875</v>
      </c>
      <c r="G409" s="9">
        <f t="shared" si="13"/>
        <v>4.4175033798515635</v>
      </c>
    </row>
    <row r="410" spans="2:7" x14ac:dyDescent="0.45">
      <c r="B410" s="8">
        <v>43282</v>
      </c>
      <c r="C410" s="7">
        <v>2.51214</v>
      </c>
      <c r="D410" s="7">
        <v>66.62</v>
      </c>
      <c r="E410" s="9">
        <f t="shared" si="12"/>
        <v>4.1990048327655334</v>
      </c>
      <c r="F410" s="9">
        <v>82.576510194495526</v>
      </c>
      <c r="G410" s="9">
        <f t="shared" si="13"/>
        <v>4.4137252598712937</v>
      </c>
    </row>
    <row r="411" spans="2:7" x14ac:dyDescent="0.45">
      <c r="B411" s="8">
        <v>43313</v>
      </c>
      <c r="C411" s="7">
        <v>2.5166300000000001</v>
      </c>
      <c r="D411" s="7">
        <v>65.48</v>
      </c>
      <c r="E411" s="9">
        <f t="shared" si="12"/>
        <v>4.1817447525029339</v>
      </c>
      <c r="F411" s="9">
        <v>81.01865640956359</v>
      </c>
      <c r="G411" s="9">
        <f t="shared" si="13"/>
        <v>4.3946794541954626</v>
      </c>
    </row>
    <row r="412" spans="2:7" x14ac:dyDescent="0.45">
      <c r="B412" s="8">
        <v>43344</v>
      </c>
      <c r="C412" s="7">
        <v>2.52182</v>
      </c>
      <c r="D412" s="7">
        <v>66.7</v>
      </c>
      <c r="E412" s="9">
        <f t="shared" si="12"/>
        <v>4.2002049529215784</v>
      </c>
      <c r="F412" s="9">
        <v>82.358321053842076</v>
      </c>
      <c r="G412" s="9">
        <f t="shared" si="13"/>
        <v>4.4110794964957813</v>
      </c>
    </row>
    <row r="413" spans="2:7" x14ac:dyDescent="0.45">
      <c r="B413" s="8">
        <v>43374</v>
      </c>
      <c r="C413" s="7">
        <v>2.52772</v>
      </c>
      <c r="D413" s="7">
        <v>67.790000000000006</v>
      </c>
      <c r="E413" s="9">
        <f t="shared" si="12"/>
        <v>4.216414691442874</v>
      </c>
      <c r="F413" s="9">
        <v>83.508831057237359</v>
      </c>
      <c r="G413" s="9">
        <f t="shared" si="13"/>
        <v>4.4249523874290118</v>
      </c>
    </row>
    <row r="414" spans="2:7" x14ac:dyDescent="0.45">
      <c r="B414" s="8">
        <v>43405</v>
      </c>
      <c r="C414" s="7">
        <v>2.5259399999999999</v>
      </c>
      <c r="D414" s="7">
        <v>54.4</v>
      </c>
      <c r="E414" s="9">
        <f t="shared" si="12"/>
        <v>3.9963641538618968</v>
      </c>
      <c r="F414" s="9">
        <v>67.061243893362473</v>
      </c>
      <c r="G414" s="9">
        <f t="shared" si="13"/>
        <v>4.2056062898276165</v>
      </c>
    </row>
    <row r="415" spans="2:7" x14ac:dyDescent="0.45">
      <c r="B415" s="8">
        <v>43435</v>
      </c>
      <c r="C415" s="7">
        <v>2.5276700000000001</v>
      </c>
      <c r="D415" s="7">
        <v>42.8</v>
      </c>
      <c r="E415" s="9">
        <f t="shared" si="12"/>
        <v>3.7565381025877511</v>
      </c>
      <c r="F415" s="9">
        <v>52.725308604366866</v>
      </c>
      <c r="G415" s="9">
        <f t="shared" si="13"/>
        <v>3.9650955794414382</v>
      </c>
    </row>
    <row r="416" spans="2:7" x14ac:dyDescent="0.45">
      <c r="B416" s="8">
        <v>43466</v>
      </c>
      <c r="C416" s="7">
        <v>2.5256099999999999</v>
      </c>
      <c r="D416" s="7">
        <v>49.71</v>
      </c>
      <c r="E416" s="9">
        <f t="shared" si="12"/>
        <v>3.9062061201065812</v>
      </c>
      <c r="F416" s="9">
        <v>61.287683989214493</v>
      </c>
      <c r="G416" s="9">
        <f t="shared" si="13"/>
        <v>4.115578909040388</v>
      </c>
    </row>
    <row r="417" spans="2:7" x14ac:dyDescent="0.45">
      <c r="B417" s="8">
        <v>43497</v>
      </c>
      <c r="C417" s="7">
        <v>2.5331899999999998</v>
      </c>
      <c r="D417" s="7">
        <v>56.66</v>
      </c>
      <c r="E417" s="9">
        <f t="shared" si="12"/>
        <v>4.0370684944023703</v>
      </c>
      <c r="F417" s="9">
        <v>69.647341004820021</v>
      </c>
      <c r="G417" s="9">
        <f t="shared" si="13"/>
        <v>4.2434445229690043</v>
      </c>
    </row>
    <row r="418" spans="2:7" x14ac:dyDescent="0.45">
      <c r="B418" s="8">
        <v>43525</v>
      </c>
      <c r="C418" s="7">
        <v>2.54277</v>
      </c>
      <c r="D418" s="7">
        <v>61.14</v>
      </c>
      <c r="E418" s="9">
        <f t="shared" si="12"/>
        <v>4.1131663164626886</v>
      </c>
      <c r="F418" s="9">
        <v>74.87107879989145</v>
      </c>
      <c r="G418" s="9">
        <f t="shared" si="13"/>
        <v>4.3157676851128937</v>
      </c>
    </row>
    <row r="419" spans="2:7" x14ac:dyDescent="0.45">
      <c r="B419" s="8">
        <v>43556</v>
      </c>
      <c r="C419" s="7">
        <v>2.55233</v>
      </c>
      <c r="D419" s="7">
        <v>65.42</v>
      </c>
      <c r="E419" s="9">
        <f t="shared" si="12"/>
        <v>4.1808280221102381</v>
      </c>
      <c r="F419" s="9">
        <v>79.812230832219981</v>
      </c>
      <c r="G419" s="9">
        <f t="shared" si="13"/>
        <v>4.3796767612855207</v>
      </c>
    </row>
    <row r="420" spans="2:7" x14ac:dyDescent="0.45">
      <c r="B420" s="8">
        <v>43586</v>
      </c>
      <c r="C420" s="7">
        <v>2.5529600000000001</v>
      </c>
      <c r="D420" s="7">
        <v>65.03</v>
      </c>
      <c r="E420" s="9">
        <f t="shared" si="12"/>
        <v>4.1748487018810607</v>
      </c>
      <c r="F420" s="9">
        <v>79.316853801077954</v>
      </c>
      <c r="G420" s="9">
        <f t="shared" si="13"/>
        <v>4.3734506382290022</v>
      </c>
    </row>
    <row r="421" spans="2:7" x14ac:dyDescent="0.45">
      <c r="B421" s="8">
        <v>43617</v>
      </c>
      <c r="C421" s="7">
        <v>2.55213</v>
      </c>
      <c r="D421" s="7">
        <v>58.16</v>
      </c>
      <c r="E421" s="9">
        <f t="shared" si="12"/>
        <v>4.0631978332252636</v>
      </c>
      <c r="F421" s="9">
        <v>70.960610062967007</v>
      </c>
      <c r="G421" s="9">
        <f t="shared" si="13"/>
        <v>4.2621249352440609</v>
      </c>
    </row>
    <row r="422" spans="2:7" x14ac:dyDescent="0.45">
      <c r="B422" s="8">
        <v>43647</v>
      </c>
      <c r="C422" s="7">
        <v>2.55802</v>
      </c>
      <c r="D422" s="7">
        <v>59.18</v>
      </c>
      <c r="E422" s="9">
        <f t="shared" si="12"/>
        <v>4.0805836469720633</v>
      </c>
      <c r="F422" s="9">
        <v>72.038848202906948</v>
      </c>
      <c r="G422" s="9">
        <f t="shared" si="13"/>
        <v>4.2772055318804814</v>
      </c>
    </row>
    <row r="423" spans="2:7" x14ac:dyDescent="0.45">
      <c r="B423" s="8">
        <v>43678</v>
      </c>
      <c r="C423" s="7">
        <v>2.5603600000000002</v>
      </c>
      <c r="D423" s="7">
        <v>55.41</v>
      </c>
      <c r="E423" s="9">
        <f t="shared" si="12"/>
        <v>4.014760082879258</v>
      </c>
      <c r="F423" s="9">
        <v>67.388044165664198</v>
      </c>
      <c r="G423" s="9">
        <f t="shared" si="13"/>
        <v>4.2104676159173469</v>
      </c>
    </row>
    <row r="424" spans="2:7" x14ac:dyDescent="0.45">
      <c r="B424" s="8">
        <v>43709</v>
      </c>
      <c r="C424" s="7">
        <v>2.5642999999999998</v>
      </c>
      <c r="D424" s="7">
        <v>57.31</v>
      </c>
      <c r="E424" s="9">
        <f t="shared" si="12"/>
        <v>4.0484751285636458</v>
      </c>
      <c r="F424" s="9">
        <v>69.591678493156039</v>
      </c>
      <c r="G424" s="9">
        <f t="shared" si="13"/>
        <v>4.2426449983123407</v>
      </c>
    </row>
    <row r="425" spans="2:7" x14ac:dyDescent="0.45">
      <c r="B425" s="8">
        <v>43739</v>
      </c>
      <c r="C425" s="7">
        <v>2.5715499999999998</v>
      </c>
      <c r="D425" s="7">
        <v>54.44</v>
      </c>
      <c r="E425" s="9">
        <f t="shared" si="12"/>
        <v>3.9970991777832654</v>
      </c>
      <c r="F425" s="9">
        <v>65.920255036845489</v>
      </c>
      <c r="G425" s="9">
        <f t="shared" si="13"/>
        <v>4.1884457544779172</v>
      </c>
    </row>
    <row r="426" spans="2:7" x14ac:dyDescent="0.45">
      <c r="B426" s="8">
        <v>43770</v>
      </c>
      <c r="C426" s="7">
        <v>2.5787900000000001</v>
      </c>
      <c r="D426" s="7">
        <v>55.27</v>
      </c>
      <c r="E426" s="9">
        <f t="shared" si="12"/>
        <v>4.0122302658451714</v>
      </c>
      <c r="F426" s="9">
        <v>66.737390683227403</v>
      </c>
      <c r="G426" s="9">
        <f t="shared" si="13"/>
        <v>4.2007653758137611</v>
      </c>
    </row>
    <row r="427" spans="2:7" x14ac:dyDescent="0.45">
      <c r="B427" s="8">
        <v>43800</v>
      </c>
      <c r="C427" s="7">
        <v>2.5863</v>
      </c>
      <c r="D427" s="7">
        <v>56.85</v>
      </c>
      <c r="E427" s="9">
        <f t="shared" si="12"/>
        <v>4.040416220196545</v>
      </c>
      <c r="F427" s="9">
        <v>68.445878900359588</v>
      </c>
      <c r="G427" s="9">
        <f t="shared" si="13"/>
        <v>4.2260433439374845</v>
      </c>
    </row>
    <row r="428" spans="2:7" x14ac:dyDescent="0.45">
      <c r="B428" s="8">
        <v>43831</v>
      </c>
      <c r="C428" s="7">
        <v>2.5890599999999999</v>
      </c>
      <c r="D428" s="7">
        <v>53.87</v>
      </c>
      <c r="E428" s="9">
        <f t="shared" si="12"/>
        <v>3.9865737366924425</v>
      </c>
      <c r="F428" s="9">
        <v>64.788898411006315</v>
      </c>
      <c r="G428" s="9">
        <f t="shared" si="13"/>
        <v>4.1711342678633372</v>
      </c>
    </row>
    <row r="429" spans="2:7" x14ac:dyDescent="0.45">
      <c r="B429" s="8">
        <v>43862</v>
      </c>
      <c r="C429" s="7">
        <v>2.59246</v>
      </c>
      <c r="D429" s="7">
        <v>47.39</v>
      </c>
      <c r="E429" s="9">
        <f t="shared" si="12"/>
        <v>3.8584112359794971</v>
      </c>
      <c r="F429" s="9">
        <v>56.920719332217274</v>
      </c>
      <c r="G429" s="9">
        <f t="shared" si="13"/>
        <v>4.0416594107422421</v>
      </c>
    </row>
    <row r="430" spans="2:7" x14ac:dyDescent="0.45">
      <c r="B430" s="8">
        <v>43891</v>
      </c>
      <c r="C430" s="7">
        <v>2.5815000000000001</v>
      </c>
      <c r="D430" s="7">
        <v>28.5</v>
      </c>
      <c r="E430" s="9">
        <f t="shared" si="12"/>
        <v>3.3499040872746049</v>
      </c>
      <c r="F430" s="9">
        <v>34.377038930854155</v>
      </c>
      <c r="G430" s="9">
        <f t="shared" si="13"/>
        <v>3.5373888685798298</v>
      </c>
    </row>
    <row r="431" spans="2:7" x14ac:dyDescent="0.45">
      <c r="B431" s="8">
        <v>43922</v>
      </c>
      <c r="C431" s="7">
        <v>2.5612599999999999</v>
      </c>
      <c r="D431" s="7">
        <v>16.739999999999998</v>
      </c>
      <c r="E431" s="9">
        <f t="shared" si="12"/>
        <v>2.817801065061329</v>
      </c>
      <c r="F431" s="9">
        <v>20.351551439525856</v>
      </c>
      <c r="G431" s="9">
        <f t="shared" si="13"/>
        <v>3.0131571467971878</v>
      </c>
    </row>
    <row r="432" spans="2:7" x14ac:dyDescent="0.45">
      <c r="B432" s="8">
        <v>43952</v>
      </c>
      <c r="C432" s="7">
        <v>2.5584799999999999</v>
      </c>
      <c r="D432" s="7">
        <v>22.56</v>
      </c>
      <c r="E432" s="9">
        <f t="shared" si="12"/>
        <v>3.1161784266298582</v>
      </c>
      <c r="F432" s="9">
        <v>27.45698233326037</v>
      </c>
      <c r="G432" s="9">
        <f t="shared" si="13"/>
        <v>3.3126205011205143</v>
      </c>
    </row>
    <row r="433" spans="2:7" x14ac:dyDescent="0.45">
      <c r="B433" s="8">
        <v>43983</v>
      </c>
      <c r="C433" s="7">
        <v>2.5700400000000001</v>
      </c>
      <c r="D433" s="7">
        <v>36.14</v>
      </c>
      <c r="E433" s="9">
        <f t="shared" si="12"/>
        <v>3.5874002851640823</v>
      </c>
      <c r="F433" s="9">
        <v>43.78687998630371</v>
      </c>
      <c r="G433" s="9">
        <f t="shared" si="13"/>
        <v>3.7793342288185316</v>
      </c>
    </row>
    <row r="434" spans="2:7" x14ac:dyDescent="0.45">
      <c r="B434" s="8">
        <v>44013</v>
      </c>
      <c r="C434" s="7">
        <v>2.5840800000000002</v>
      </c>
      <c r="D434" s="7">
        <v>39.33</v>
      </c>
      <c r="E434" s="9">
        <f t="shared" si="12"/>
        <v>3.6719875864437181</v>
      </c>
      <c r="F434" s="9">
        <v>47.392948314293669</v>
      </c>
      <c r="G434" s="9">
        <f t="shared" si="13"/>
        <v>3.8584734478930756</v>
      </c>
    </row>
    <row r="435" spans="2:7" x14ac:dyDescent="0.45">
      <c r="B435" s="8">
        <v>44044</v>
      </c>
      <c r="C435" s="7">
        <v>2.5936599999999999</v>
      </c>
      <c r="D435" s="7">
        <v>41.72</v>
      </c>
      <c r="E435" s="9">
        <f t="shared" si="12"/>
        <v>3.7309806301325716</v>
      </c>
      <c r="F435" s="9">
        <v>50.087227284994952</v>
      </c>
      <c r="G435" s="9">
        <f t="shared" si="13"/>
        <v>3.9137660311756899</v>
      </c>
    </row>
    <row r="436" spans="2:7" x14ac:dyDescent="0.45">
      <c r="B436" s="8">
        <v>44075</v>
      </c>
      <c r="C436" s="7">
        <v>2.59951</v>
      </c>
      <c r="D436" s="7">
        <v>38.729999999999997</v>
      </c>
      <c r="E436" s="9">
        <f t="shared" si="12"/>
        <v>3.6566144935266607</v>
      </c>
      <c r="F436" s="9">
        <v>46.392923389407997</v>
      </c>
      <c r="G436" s="9">
        <f t="shared" si="13"/>
        <v>3.8371469344415847</v>
      </c>
    </row>
    <row r="437" spans="2:7" x14ac:dyDescent="0.45">
      <c r="B437" s="8">
        <v>44105</v>
      </c>
      <c r="C437" s="7">
        <v>2.60249</v>
      </c>
      <c r="D437" s="7">
        <v>37.81</v>
      </c>
      <c r="E437" s="9">
        <f t="shared" si="12"/>
        <v>3.6325736179028416</v>
      </c>
      <c r="F437" s="9">
        <v>45.239036138467398</v>
      </c>
      <c r="G437" s="9">
        <f t="shared" si="13"/>
        <v>3.8119603455052022</v>
      </c>
    </row>
    <row r="438" spans="2:7" x14ac:dyDescent="0.45">
      <c r="B438" s="8">
        <v>44136</v>
      </c>
      <c r="C438" s="7">
        <v>2.6089500000000001</v>
      </c>
      <c r="D438" s="7">
        <v>39.15</v>
      </c>
      <c r="E438" s="9">
        <f t="shared" si="12"/>
        <v>3.667400422436812</v>
      </c>
      <c r="F438" s="9">
        <v>46.726337952049676</v>
      </c>
      <c r="G438" s="9">
        <f t="shared" si="13"/>
        <v>3.8443079875394686</v>
      </c>
    </row>
    <row r="439" spans="2:7" x14ac:dyDescent="0.45">
      <c r="B439" s="8">
        <v>44166</v>
      </c>
      <c r="C439" s="7">
        <v>2.62005</v>
      </c>
      <c r="D439" s="7">
        <v>45.34</v>
      </c>
      <c r="E439" s="9">
        <f t="shared" si="12"/>
        <v>3.8141896450793831</v>
      </c>
      <c r="F439" s="9">
        <v>53.884973279135899</v>
      </c>
      <c r="G439" s="9">
        <f t="shared" si="13"/>
        <v>3.9868516501618001</v>
      </c>
    </row>
    <row r="440" spans="2:7" x14ac:dyDescent="0.45">
      <c r="B440" s="8">
        <v>44197</v>
      </c>
      <c r="C440" s="7">
        <v>2.6251799999999998</v>
      </c>
      <c r="D440" s="7">
        <v>49.6</v>
      </c>
      <c r="E440" s="9">
        <f t="shared" si="12"/>
        <v>3.903990833730882</v>
      </c>
      <c r="F440" s="9">
        <v>58.832638371464057</v>
      </c>
      <c r="G440" s="9">
        <f t="shared" si="13"/>
        <v>4.0746967752524279</v>
      </c>
    </row>
    <row r="441" spans="2:7" x14ac:dyDescent="0.45">
      <c r="B441" s="8">
        <v>44228</v>
      </c>
      <c r="C441" s="7">
        <v>2.6358299999999999</v>
      </c>
      <c r="D441" s="7">
        <v>55.71</v>
      </c>
      <c r="E441" s="9">
        <f t="shared" si="12"/>
        <v>4.0201596640327244</v>
      </c>
      <c r="F441" s="9">
        <v>65.812971079318473</v>
      </c>
      <c r="G441" s="9">
        <f t="shared" si="13"/>
        <v>4.1868169477689525</v>
      </c>
    </row>
    <row r="442" spans="2:7" x14ac:dyDescent="0.45">
      <c r="B442" s="8">
        <v>44256</v>
      </c>
      <c r="C442" s="7">
        <v>2.6490999999999998</v>
      </c>
      <c r="D442" s="7">
        <v>59.84</v>
      </c>
      <c r="E442" s="9">
        <f t="shared" si="12"/>
        <v>4.091674333666222</v>
      </c>
      <c r="F442" s="9">
        <v>70.337830297082036</v>
      </c>
      <c r="G442" s="9">
        <f t="shared" si="13"/>
        <v>4.2533097806372222</v>
      </c>
    </row>
    <row r="443" spans="2:7" x14ac:dyDescent="0.45">
      <c r="B443" s="8">
        <v>44287</v>
      </c>
      <c r="C443" s="7">
        <v>2.6675200000000001</v>
      </c>
      <c r="D443" s="7">
        <v>60.88</v>
      </c>
      <c r="E443" s="9">
        <f t="shared" si="12"/>
        <v>4.1089047135534305</v>
      </c>
      <c r="F443" s="9">
        <v>71.066134716890588</v>
      </c>
      <c r="G443" s="9">
        <f t="shared" si="13"/>
        <v>4.2636109183735753</v>
      </c>
    </row>
    <row r="444" spans="2:7" x14ac:dyDescent="0.45">
      <c r="B444" s="8">
        <v>44317</v>
      </c>
      <c r="C444" s="7">
        <v>2.68452</v>
      </c>
      <c r="D444" s="7">
        <v>63.81</v>
      </c>
      <c r="E444" s="9">
        <f t="shared" si="12"/>
        <v>4.1559099178802557</v>
      </c>
      <c r="F444" s="9">
        <v>74.014674936301461</v>
      </c>
      <c r="G444" s="9">
        <f t="shared" si="13"/>
        <v>4.304263383493371</v>
      </c>
    </row>
    <row r="445" spans="2:7" x14ac:dyDescent="0.45">
      <c r="B445" s="8">
        <v>44348</v>
      </c>
      <c r="C445" s="7">
        <v>2.7066400000000002</v>
      </c>
      <c r="D445" s="7">
        <v>68.86</v>
      </c>
      <c r="E445" s="9">
        <f t="shared" si="12"/>
        <v>4.2320754579103781</v>
      </c>
      <c r="F445" s="9">
        <v>79.219529364821327</v>
      </c>
      <c r="G445" s="9">
        <f t="shared" si="13"/>
        <v>4.3722228513129746</v>
      </c>
    </row>
    <row r="446" spans="2:7" x14ac:dyDescent="0.45">
      <c r="B446" s="8">
        <v>44378</v>
      </c>
      <c r="C446" s="7">
        <v>2.7199399999999998</v>
      </c>
      <c r="D446" s="7">
        <v>69.91</v>
      </c>
      <c r="E446" s="9">
        <f t="shared" si="12"/>
        <v>4.2472087005238937</v>
      </c>
      <c r="F446" s="9">
        <v>80.034219416604785</v>
      </c>
      <c r="G446" s="9">
        <f t="shared" si="13"/>
        <v>4.3824542859256086</v>
      </c>
    </row>
    <row r="447" spans="2:7" x14ac:dyDescent="0.45">
      <c r="B447" s="8">
        <v>44409</v>
      </c>
      <c r="C447" s="7">
        <v>2.7278899999999999</v>
      </c>
      <c r="D447" s="7">
        <v>65.72</v>
      </c>
      <c r="E447" s="9">
        <f t="shared" si="12"/>
        <v>4.1854032931690677</v>
      </c>
      <c r="F447" s="9">
        <v>75.018164926005085</v>
      </c>
      <c r="G447" s="9">
        <f t="shared" si="13"/>
        <v>4.3177302832242654</v>
      </c>
    </row>
    <row r="448" spans="2:7" x14ac:dyDescent="0.45">
      <c r="B448" s="8">
        <v>44440</v>
      </c>
      <c r="C448" s="7">
        <v>2.7388699999999999</v>
      </c>
      <c r="D448" s="7">
        <v>69.27</v>
      </c>
      <c r="E448" s="9">
        <f t="shared" si="12"/>
        <v>4.2380119120345139</v>
      </c>
      <c r="F448" s="9">
        <v>78.753434708474657</v>
      </c>
      <c r="G448" s="9">
        <f t="shared" si="13"/>
        <v>4.3663218921003306</v>
      </c>
    </row>
    <row r="449" spans="2:7" x14ac:dyDescent="0.45">
      <c r="B449" s="8">
        <v>44470</v>
      </c>
      <c r="C449" s="7">
        <v>2.7643399999999998</v>
      </c>
      <c r="D449" s="7">
        <v>75.94</v>
      </c>
      <c r="E449" s="9">
        <f t="shared" si="12"/>
        <v>4.3299435548036564</v>
      </c>
      <c r="F449" s="9">
        <v>85.541107765325549</v>
      </c>
      <c r="G449" s="9">
        <f t="shared" si="13"/>
        <v>4.448997052975904</v>
      </c>
    </row>
    <row r="450" spans="2:7" x14ac:dyDescent="0.45">
      <c r="B450" s="8">
        <v>44501</v>
      </c>
      <c r="C450" s="7">
        <v>2.7879900000000002</v>
      </c>
      <c r="D450" s="7">
        <v>76.61</v>
      </c>
      <c r="E450" s="9">
        <f t="shared" si="12"/>
        <v>4.3387276165287298</v>
      </c>
      <c r="F450" s="9">
        <v>85.563784647721107</v>
      </c>
      <c r="G450" s="9">
        <f t="shared" si="13"/>
        <v>4.4492621170802495</v>
      </c>
    </row>
    <row r="451" spans="2:7" x14ac:dyDescent="0.45">
      <c r="B451" s="8">
        <v>44531</v>
      </c>
      <c r="C451" s="7">
        <v>2.8080799999999999</v>
      </c>
      <c r="D451" s="7">
        <v>68.22</v>
      </c>
      <c r="E451" s="9">
        <f t="shared" si="12"/>
        <v>4.2227377769904999</v>
      </c>
      <c r="F451" s="9">
        <v>75.648091193983078</v>
      </c>
      <c r="G451" s="9">
        <f t="shared" si="13"/>
        <v>4.3260922078470694</v>
      </c>
    </row>
    <row r="452" spans="2:7" x14ac:dyDescent="0.45">
      <c r="B452" s="8">
        <v>44562</v>
      </c>
      <c r="C452" s="7">
        <v>2.8239000000000001</v>
      </c>
      <c r="D452" s="7">
        <v>76.92</v>
      </c>
      <c r="E452" s="9">
        <f t="shared" si="12"/>
        <v>4.3427659207205789</v>
      </c>
      <c r="F452" s="9">
        <v>84.817544927228298</v>
      </c>
      <c r="G452" s="9">
        <f t="shared" si="13"/>
        <v>4.4405024191242228</v>
      </c>
    </row>
    <row r="453" spans="2:7" x14ac:dyDescent="0.45">
      <c r="B453" s="8">
        <v>44593</v>
      </c>
      <c r="C453" s="7">
        <v>2.8453499999999998</v>
      </c>
      <c r="D453" s="7">
        <v>87.73</v>
      </c>
      <c r="E453" s="9">
        <f t="shared" si="12"/>
        <v>4.4742639161402922</v>
      </c>
      <c r="F453" s="9">
        <v>96.008164999033525</v>
      </c>
      <c r="G453" s="9">
        <f t="shared" si="13"/>
        <v>4.5644332399243792</v>
      </c>
    </row>
    <row r="454" spans="2:7" x14ac:dyDescent="0.45">
      <c r="B454" s="8">
        <v>44621</v>
      </c>
      <c r="C454" s="7">
        <v>2.8755299999999999</v>
      </c>
      <c r="D454" s="7">
        <v>104.39</v>
      </c>
      <c r="E454" s="9">
        <f t="shared" si="12"/>
        <v>4.648133885420207</v>
      </c>
      <c r="F454" s="9">
        <v>113.04119242017994</v>
      </c>
      <c r="G454" s="9">
        <f t="shared" si="13"/>
        <v>4.7277522869775703</v>
      </c>
    </row>
    <row r="455" spans="2:7" x14ac:dyDescent="0.45">
      <c r="B455" s="8">
        <v>44652</v>
      </c>
      <c r="C455" s="7">
        <v>2.8876400000000002</v>
      </c>
      <c r="D455" s="7">
        <v>102.7</v>
      </c>
      <c r="E455" s="9">
        <f t="shared" si="12"/>
        <v>4.6318121169345128</v>
      </c>
      <c r="F455" s="9">
        <v>110.74474560540789</v>
      </c>
      <c r="G455" s="9">
        <f t="shared" si="13"/>
        <v>4.7072279640562593</v>
      </c>
    </row>
    <row r="456" spans="2:7" x14ac:dyDescent="0.45">
      <c r="B456" s="8">
        <v>44682</v>
      </c>
      <c r="C456" s="7">
        <v>2.9135900000000001</v>
      </c>
      <c r="D456" s="7">
        <v>108.71</v>
      </c>
      <c r="E456" s="9">
        <f t="shared" si="12"/>
        <v>4.6886837862159085</v>
      </c>
      <c r="F456" s="9">
        <v>116.18145022463695</v>
      </c>
      <c r="G456" s="9">
        <f t="shared" si="13"/>
        <v>4.7551531950535049</v>
      </c>
    </row>
    <row r="457" spans="2:7" x14ac:dyDescent="0.45">
      <c r="B457" s="8">
        <v>44713</v>
      </c>
      <c r="C457" s="7">
        <v>2.9499599999999999</v>
      </c>
      <c r="D457" s="7">
        <v>112.06</v>
      </c>
      <c r="E457" s="9">
        <f t="shared" si="12"/>
        <v>4.7190344421371382</v>
      </c>
      <c r="F457" s="9">
        <v>118.28515036136085</v>
      </c>
      <c r="G457" s="9">
        <f t="shared" si="13"/>
        <v>4.7730982378421638</v>
      </c>
    </row>
    <row r="458" spans="2:7" x14ac:dyDescent="0.45">
      <c r="B458" s="8">
        <v>44743</v>
      </c>
      <c r="C458" s="7">
        <v>2.94977</v>
      </c>
      <c r="D458" s="7">
        <v>99.67</v>
      </c>
      <c r="E458" s="9">
        <f t="shared" si="12"/>
        <v>4.6018647289793648</v>
      </c>
      <c r="F458" s="9">
        <v>105.21363839214582</v>
      </c>
      <c r="G458" s="9">
        <f t="shared" si="13"/>
        <v>4.6559929344116373</v>
      </c>
    </row>
    <row r="459" spans="2:7" x14ac:dyDescent="0.45">
      <c r="B459" s="8">
        <v>44774</v>
      </c>
      <c r="C459" s="7">
        <v>2.9520900000000001</v>
      </c>
      <c r="D459" s="7">
        <v>92.21</v>
      </c>
      <c r="E459" s="9">
        <f t="shared" si="12"/>
        <v>4.52406858455105</v>
      </c>
      <c r="F459" s="9">
        <v>97.262216788783533</v>
      </c>
      <c r="G459" s="9">
        <f t="shared" si="13"/>
        <v>4.577410597115481</v>
      </c>
    </row>
    <row r="460" spans="2:7" x14ac:dyDescent="0.45">
      <c r="B460" s="8">
        <v>44805</v>
      </c>
      <c r="C460" s="7">
        <v>2.9634100000000001</v>
      </c>
      <c r="D460" s="7">
        <v>83.3</v>
      </c>
      <c r="E460" s="9">
        <f t="shared" si="12"/>
        <v>4.4224485491727972</v>
      </c>
      <c r="F460" s="9">
        <v>87.528400997499503</v>
      </c>
      <c r="G460" s="9">
        <f t="shared" si="13"/>
        <v>4.4719633235265244</v>
      </c>
    </row>
    <row r="461" spans="2:7" x14ac:dyDescent="0.45">
      <c r="B461" s="8">
        <v>44835</v>
      </c>
      <c r="C461" s="7">
        <v>2.9786299999999999</v>
      </c>
      <c r="D461" s="7">
        <v>84.26</v>
      </c>
      <c r="E461" s="9">
        <f t="shared" si="12"/>
        <v>4.4339072565508708</v>
      </c>
      <c r="F461" s="9">
        <v>88.084730684912202</v>
      </c>
      <c r="G461" s="9">
        <f t="shared" si="13"/>
        <v>4.4782991999289194</v>
      </c>
    </row>
    <row r="462" spans="2:7" x14ac:dyDescent="0.45">
      <c r="B462" s="8">
        <v>44866</v>
      </c>
      <c r="C462" s="7">
        <v>2.9864799999999998</v>
      </c>
      <c r="D462" s="7">
        <v>79.31</v>
      </c>
      <c r="E462" s="9">
        <f t="shared" si="12"/>
        <v>4.3733642240952282</v>
      </c>
      <c r="F462" s="9">
        <v>82.692110163135212</v>
      </c>
      <c r="G462" s="9">
        <f t="shared" si="13"/>
        <v>4.4151241943724973</v>
      </c>
    </row>
    <row r="463" spans="2:7" x14ac:dyDescent="0.45">
      <c r="B463" s="8">
        <v>44896</v>
      </c>
      <c r="C463" s="7">
        <v>2.9881199999999999</v>
      </c>
      <c r="D463" s="7">
        <v>70.89</v>
      </c>
      <c r="E463" s="9">
        <f t="shared" si="12"/>
        <v>4.2611293798669259</v>
      </c>
      <c r="F463" s="9">
        <v>73.872479699610466</v>
      </c>
      <c r="G463" s="9">
        <f t="shared" si="13"/>
        <v>4.3023403594029936</v>
      </c>
    </row>
    <row r="464" spans="2:7" x14ac:dyDescent="0.45">
      <c r="B464" s="8">
        <v>44927</v>
      </c>
      <c r="C464" s="7">
        <v>3.0035599999999998</v>
      </c>
      <c r="D464" s="7">
        <v>70.23</v>
      </c>
      <c r="E464" s="9">
        <f t="shared" si="12"/>
        <v>4.2517755701709294</v>
      </c>
      <c r="F464" s="9">
        <v>72.808501338411759</v>
      </c>
      <c r="G464" s="9">
        <f t="shared" si="13"/>
        <v>4.2878327250113157</v>
      </c>
    </row>
    <row r="465" spans="2:7" x14ac:dyDescent="0.45">
      <c r="B465" s="8">
        <v>44958</v>
      </c>
      <c r="C465" s="7">
        <v>3.0150899999999998</v>
      </c>
      <c r="D465" s="7">
        <v>69.52</v>
      </c>
      <c r="E465" s="9">
        <f t="shared" si="12"/>
        <v>4.2416144809571366</v>
      </c>
      <c r="F465" s="9">
        <v>71.796821560882094</v>
      </c>
      <c r="G465" s="9">
        <f t="shared" si="13"/>
        <v>4.2738402071200357</v>
      </c>
    </row>
    <row r="466" spans="2:7" x14ac:dyDescent="0.45">
      <c r="B466" s="8">
        <v>44986</v>
      </c>
      <c r="C466" s="7">
        <v>3.0174400000000001</v>
      </c>
      <c r="D466" s="7">
        <v>68.45</v>
      </c>
      <c r="E466" s="9">
        <f t="shared" si="12"/>
        <v>4.2261035517344583</v>
      </c>
      <c r="F466" s="9">
        <v>70.636723248846707</v>
      </c>
      <c r="G466" s="9">
        <f t="shared" si="13"/>
        <v>4.2575501685953316</v>
      </c>
    </row>
    <row r="467" spans="2:7" x14ac:dyDescent="0.45">
      <c r="B467" s="8">
        <v>45017</v>
      </c>
      <c r="C467" s="7">
        <v>3.0303200000000001</v>
      </c>
      <c r="D467" s="7">
        <v>74.83</v>
      </c>
      <c r="E467" s="9">
        <f t="shared" si="12"/>
        <v>4.3152188740922668</v>
      </c>
      <c r="F467" s="9">
        <v>76.892324203384462</v>
      </c>
      <c r="G467" s="9">
        <f t="shared" si="13"/>
        <v>4.3424060562291276</v>
      </c>
    </row>
    <row r="468" spans="2:7" x14ac:dyDescent="0.45">
      <c r="B468" s="8">
        <v>45047</v>
      </c>
      <c r="C468" s="7">
        <v>3.0336500000000002</v>
      </c>
      <c r="D468" s="7">
        <v>69.510000000000005</v>
      </c>
      <c r="E468" s="9">
        <f t="shared" ref="E468:E477" si="14">LN(D468)</f>
        <v>4.2414706271123945</v>
      </c>
      <c r="F468" s="9">
        <v>71.34730122459743</v>
      </c>
      <c r="G468" s="9">
        <f t="shared" ref="G468:G477" si="15">LN(F468)</f>
        <v>4.267559518744938</v>
      </c>
    </row>
    <row r="469" spans="2:7" x14ac:dyDescent="0.45">
      <c r="B469" s="8">
        <v>45078</v>
      </c>
      <c r="C469" s="7">
        <v>3.0400299999999998</v>
      </c>
      <c r="D469" s="7">
        <v>69.63</v>
      </c>
      <c r="E469" s="9">
        <f t="shared" si="14"/>
        <v>4.2431955089544555</v>
      </c>
      <c r="F469" s="9">
        <v>71.320480613678157</v>
      </c>
      <c r="G469" s="9">
        <f t="shared" si="15"/>
        <v>4.2671835318067561</v>
      </c>
    </row>
    <row r="470" spans="2:7" x14ac:dyDescent="0.45">
      <c r="B470" s="8">
        <v>45108</v>
      </c>
      <c r="C470" s="7">
        <v>3.0462799999999999</v>
      </c>
      <c r="D470" s="7">
        <v>74.83</v>
      </c>
      <c r="E470" s="9">
        <f t="shared" si="14"/>
        <v>4.3152188740922668</v>
      </c>
      <c r="F470" s="9">
        <v>76.489471709757481</v>
      </c>
      <c r="G470" s="9">
        <f t="shared" si="15"/>
        <v>4.3371531066522886</v>
      </c>
    </row>
    <row r="471" spans="2:7" x14ac:dyDescent="0.45">
      <c r="B471" s="8">
        <v>45139</v>
      </c>
      <c r="C471" s="7">
        <v>3.0618699999999999</v>
      </c>
      <c r="D471" s="7">
        <v>81.02</v>
      </c>
      <c r="E471" s="9">
        <f t="shared" si="14"/>
        <v>4.3946960377745441</v>
      </c>
      <c r="F471" s="9">
        <v>82.395069914790625</v>
      </c>
      <c r="G471" s="9">
        <f t="shared" si="15"/>
        <v>4.4115256039942912</v>
      </c>
    </row>
    <row r="472" spans="2:7" x14ac:dyDescent="0.45">
      <c r="B472" s="8">
        <v>45170</v>
      </c>
      <c r="C472" s="7">
        <v>3.0728800000000001</v>
      </c>
      <c r="D472" s="7">
        <v>87.17</v>
      </c>
      <c r="E472" s="9">
        <f t="shared" si="14"/>
        <v>4.4678602350234851</v>
      </c>
      <c r="F472" s="9">
        <v>88.331820350941129</v>
      </c>
      <c r="G472" s="9">
        <f t="shared" si="15"/>
        <v>4.4811004090688717</v>
      </c>
    </row>
    <row r="473" spans="2:7" x14ac:dyDescent="0.45">
      <c r="B473" s="8">
        <v>45200</v>
      </c>
      <c r="C473" s="7">
        <v>3.07531</v>
      </c>
      <c r="D473" s="7">
        <v>83.3</v>
      </c>
      <c r="E473" s="9">
        <f t="shared" si="14"/>
        <v>4.4224485491727972</v>
      </c>
      <c r="F473" s="9">
        <v>84.34354221200465</v>
      </c>
      <c r="G473" s="9">
        <f t="shared" si="15"/>
        <v>4.4348982466302669</v>
      </c>
    </row>
    <row r="474" spans="2:7" x14ac:dyDescent="0.45">
      <c r="B474" s="8">
        <v>45231</v>
      </c>
      <c r="C474" s="7">
        <v>3.0802399999999999</v>
      </c>
      <c r="D474" s="7">
        <v>76.39</v>
      </c>
      <c r="E474" s="9">
        <f t="shared" si="14"/>
        <v>4.3358517975532687</v>
      </c>
      <c r="F474" s="9">
        <v>77.22318132353324</v>
      </c>
      <c r="G474" s="9">
        <f t="shared" si="15"/>
        <v>4.3466996881684219</v>
      </c>
    </row>
    <row r="475" spans="2:7" x14ac:dyDescent="0.45">
      <c r="B475" s="8">
        <v>45261</v>
      </c>
      <c r="C475" s="7">
        <v>3.0874199999999998</v>
      </c>
      <c r="D475" s="7">
        <v>67.73</v>
      </c>
      <c r="E475" s="9">
        <f t="shared" si="14"/>
        <v>4.2155292132268123</v>
      </c>
      <c r="F475" s="9">
        <v>68.309498636401912</v>
      </c>
      <c r="G475" s="9">
        <f t="shared" si="15"/>
        <v>4.2240488291823759</v>
      </c>
    </row>
    <row r="476" spans="2:7" x14ac:dyDescent="0.45">
      <c r="B476" s="8">
        <v>45292</v>
      </c>
      <c r="C476" s="7">
        <v>3.0968499999999999</v>
      </c>
      <c r="D476" s="7">
        <v>68.63</v>
      </c>
      <c r="E476" s="9">
        <f t="shared" si="14"/>
        <v>4.2287297569205435</v>
      </c>
      <c r="F476" s="9">
        <v>69.006430624667004</v>
      </c>
      <c r="G476" s="9">
        <f t="shared" si="15"/>
        <v>4.2341996977135885</v>
      </c>
    </row>
    <row r="477" spans="2:7" x14ac:dyDescent="0.45">
      <c r="B477" s="8">
        <v>45323</v>
      </c>
      <c r="C477" s="7">
        <v>3.1105399999999999</v>
      </c>
      <c r="D477" s="7">
        <v>74.5</v>
      </c>
      <c r="E477" s="9">
        <f t="shared" si="14"/>
        <v>4.3107991253855138</v>
      </c>
      <c r="F477" s="9">
        <v>74.578941920052472</v>
      </c>
      <c r="G477" s="9">
        <f t="shared" si="15"/>
        <v>4.3118581874691895</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109</vt:i4>
      </vt:variant>
    </vt:vector>
  </HeadingPairs>
  <TitlesOfParts>
    <vt:vector size="119" baseType="lpstr">
      <vt:lpstr>Output.NPVDistributions</vt:lpstr>
      <vt:lpstr>Output.OilPriceDistributions</vt:lpstr>
      <vt:lpstr>Inputs</vt:lpstr>
      <vt:lpstr>Calculations</vt:lpstr>
      <vt:lpstr>Data.YearlyGrowthRate</vt:lpstr>
      <vt:lpstr>Data.OilPrice1974-2024</vt:lpstr>
      <vt:lpstr>MC.Lognormal_infl_adj</vt:lpstr>
      <vt:lpstr>MC.Lognormal_nominal</vt:lpstr>
      <vt:lpstr>MC.Uniform</vt:lpstr>
      <vt:lpstr>Appendix.OilPrice1986-2024</vt:lpstr>
      <vt:lpstr>base_year</vt:lpstr>
      <vt:lpstr>Calendar_year</vt:lpstr>
      <vt:lpstr>corporate_income_tax</vt:lpstr>
      <vt:lpstr>Cumulative_DevEx_USDM</vt:lpstr>
      <vt:lpstr>Cumulative_NCF_Post_Tax_Discounted_Positive_Indicator</vt:lpstr>
      <vt:lpstr>Cumulative_NCF_Post_Tax_Discounted_Positive_Indicator_Lagged</vt:lpstr>
      <vt:lpstr>Cumulative_NCF_Post_Tax_Positive_Indicator</vt:lpstr>
      <vt:lpstr>Cumulative_NCF_Post_Tax_Positive_Indicator_Lagged</vt:lpstr>
      <vt:lpstr>Cumulative_Net_Cash_Flow_Post_Tax</vt:lpstr>
      <vt:lpstr>Cumulative_Net_Cash_Flow_Post_Tax_Discounted</vt:lpstr>
      <vt:lpstr>Cumulative_Net_Cash_Flow_Pre_Tax</vt:lpstr>
      <vt:lpstr>decommissioning_cost_base_usd_bbl</vt:lpstr>
      <vt:lpstr>Decommissioning_Cost_Perc_Years</vt:lpstr>
      <vt:lpstr>Decommissioning_Cost_USDM_Year</vt:lpstr>
      <vt:lpstr>Decommissioning_Perc_Installments</vt:lpstr>
      <vt:lpstr>decommissioning_start</vt:lpstr>
      <vt:lpstr>Decommissioning_Timeline</vt:lpstr>
      <vt:lpstr>dev_ex_installment_1_cal_year</vt:lpstr>
      <vt:lpstr>dev_ex_installment_2_cal_year</vt:lpstr>
      <vt:lpstr>dev_ex_installment_3_cal_year</vt:lpstr>
      <vt:lpstr>dev_ex_installment_4_cal_year</vt:lpstr>
      <vt:lpstr>dev_ex_installment_5_cal_year</vt:lpstr>
      <vt:lpstr>dev_ex_installment_6_cal_year</vt:lpstr>
      <vt:lpstr>dev_ex_installment_7_cal_year</vt:lpstr>
      <vt:lpstr>dev_ex_installment_8_cal_year</vt:lpstr>
      <vt:lpstr>dev_ex_perc_installment_1</vt:lpstr>
      <vt:lpstr>dev_ex_perc_installment_2</vt:lpstr>
      <vt:lpstr>dev_ex_perc_installment_3</vt:lpstr>
      <vt:lpstr>dev_ex_perc_installment_4</vt:lpstr>
      <vt:lpstr>dev_ex_perc_installment_5</vt:lpstr>
      <vt:lpstr>dev_ex_perc_installment_6</vt:lpstr>
      <vt:lpstr>dev_ex_perc_installment_7</vt:lpstr>
      <vt:lpstr>dev_ex_perc_installment_8</vt:lpstr>
      <vt:lpstr>Dev_Ex_Timeline_Year</vt:lpstr>
      <vt:lpstr>development_start</vt:lpstr>
      <vt:lpstr>devex_base_usd_bbl</vt:lpstr>
      <vt:lpstr>DevEx_Perc_Installments</vt:lpstr>
      <vt:lpstr>DevEx_Perc_Years</vt:lpstr>
      <vt:lpstr>DevEx_Timeline</vt:lpstr>
      <vt:lpstr>DevEx_USDM_Years</vt:lpstr>
      <vt:lpstr>DevEx_USDM_Years_Discounted</vt:lpstr>
      <vt:lpstr>discount_rate</vt:lpstr>
      <vt:lpstr>field_cost_inflation</vt:lpstr>
      <vt:lpstr>lag</vt:lpstr>
      <vt:lpstr>MC_max_oil_price_uniform</vt:lpstr>
      <vt:lpstr>MC_min_oil_price_uniform</vt:lpstr>
      <vt:lpstr>Data.YearlyGrowthRate!mean_growth_rate_oil_price_infl_adj_log_transformed_yearly</vt:lpstr>
      <vt:lpstr>mean_oil_price_infl_adj_log_transformed</vt:lpstr>
      <vt:lpstr>mean_oil_price_nominal_log_transformed</vt:lpstr>
      <vt:lpstr>Net_Cash_Flow_Post_Tax_Discounted</vt:lpstr>
      <vt:lpstr>Net_Cash_Flow_Post_Tax_Undiscounted</vt:lpstr>
      <vt:lpstr>Net_Cash_Flow_Pre_Tax</vt:lpstr>
      <vt:lpstr>Net_Cash_Flow_Pre_Tax_Discounted</vt:lpstr>
      <vt:lpstr>npv_devex</vt:lpstr>
      <vt:lpstr>NPV_Inflation_Adjusted_Oil_Price_MC_Log_Normal_1000_Trials</vt:lpstr>
      <vt:lpstr>NPV_MC_Uniform_1000_Trials</vt:lpstr>
      <vt:lpstr>NPV_Nominal_Oil_Price_MC_Log_Normal_1000_Trials</vt:lpstr>
      <vt:lpstr>npv_post_tax</vt:lpstr>
      <vt:lpstr>npv_pre_tax</vt:lpstr>
      <vt:lpstr>oil_price_base</vt:lpstr>
      <vt:lpstr>oil_price_infl_adj_MC_log_normal</vt:lpstr>
      <vt:lpstr>oil_price_inflation</vt:lpstr>
      <vt:lpstr>Oil_Price_Inflation_Adjusted_MC_Log_Normal_1000_Trials</vt:lpstr>
      <vt:lpstr>oil_price_MC_uniform</vt:lpstr>
      <vt:lpstr>Oil_Price_MC_Uniform_1000_Trials</vt:lpstr>
      <vt:lpstr>oil_price_no_uncertainty</vt:lpstr>
      <vt:lpstr>oil_price_nominal_MC_log_normal</vt:lpstr>
      <vt:lpstr>Oil_Price_Nominal_MC_Log_Normal_1000_Trials</vt:lpstr>
      <vt:lpstr>Payback_Year_Discounted</vt:lpstr>
      <vt:lpstr>Payback_Year_Undiscounted</vt:lpstr>
      <vt:lpstr>Prob_Loss_MC_Inflation_Adjusted_Log_Normal_1000_Trials</vt:lpstr>
      <vt:lpstr>Prob_Loss_MC_Nominal_Log_Normal_1000_Trials</vt:lpstr>
      <vt:lpstr>Prob_Loss_MC_Uniform_1000_Trials</vt:lpstr>
      <vt:lpstr>production_cost_base_perc</vt:lpstr>
      <vt:lpstr>Production_Cost_USDM_Year</vt:lpstr>
      <vt:lpstr>production_perc_installment_1</vt:lpstr>
      <vt:lpstr>production_perc_installment_10</vt:lpstr>
      <vt:lpstr>production_perc_installment_11</vt:lpstr>
      <vt:lpstr>production_perc_installment_12</vt:lpstr>
      <vt:lpstr>production_perc_installment_13</vt:lpstr>
      <vt:lpstr>production_perc_installment_14</vt:lpstr>
      <vt:lpstr>production_perc_installment_15</vt:lpstr>
      <vt:lpstr>production_perc_installment_2</vt:lpstr>
      <vt:lpstr>production_perc_installment_3</vt:lpstr>
      <vt:lpstr>production_perc_installment_4</vt:lpstr>
      <vt:lpstr>production_perc_installment_5</vt:lpstr>
      <vt:lpstr>production_perc_installment_6</vt:lpstr>
      <vt:lpstr>production_perc_installment_7</vt:lpstr>
      <vt:lpstr>production_perc_installment_8</vt:lpstr>
      <vt:lpstr>production_perc_installment_9</vt:lpstr>
      <vt:lpstr>Production_Perc_Installments</vt:lpstr>
      <vt:lpstr>Production_Perc_Per_Year</vt:lpstr>
      <vt:lpstr>production_start</vt:lpstr>
      <vt:lpstr>Production_Timeline</vt:lpstr>
      <vt:lpstr>Production_Vol_Per_Year</vt:lpstr>
      <vt:lpstr>Revenue_Sales</vt:lpstr>
      <vt:lpstr>Data.YearlyGrowthRate!std_dev_growth_rate_oil_price_infl_adj_log_transformed_yearly</vt:lpstr>
      <vt:lpstr>std_dev_oil_price_infl_adj_log_transformed</vt:lpstr>
      <vt:lpstr>std_dev_oil_price_nominal_log_transformed</vt:lpstr>
      <vt:lpstr>Tax_Paid</vt:lpstr>
      <vt:lpstr>to_date</vt:lpstr>
      <vt:lpstr>to_date_minus_1_year</vt:lpstr>
      <vt:lpstr>to_date_plus_1_year</vt:lpstr>
      <vt:lpstr>Total_Expenditure_Discounted</vt:lpstr>
      <vt:lpstr>Total_Expenditure_Undiscounted</vt:lpstr>
      <vt:lpstr>total_field_production</vt:lpstr>
      <vt:lpstr>Total_Revenue_Discounted</vt:lpstr>
      <vt:lpstr>Total_Revenue_Undiscounted</vt:lpstr>
      <vt:lpstr>Year</vt:lpstr>
    </vt:vector>
  </TitlesOfParts>
  <Company>University of Aberdeen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pec144</dc:creator>
  <cp:lastModifiedBy>DAVIES, JAMES (PGT)</cp:lastModifiedBy>
  <cp:lastPrinted>2010-05-21T09:01:25Z</cp:lastPrinted>
  <dcterms:created xsi:type="dcterms:W3CDTF">2010-03-02T07:56:48Z</dcterms:created>
  <dcterms:modified xsi:type="dcterms:W3CDTF">2024-10-04T15:18:08Z</dcterms:modified>
</cp:coreProperties>
</file>