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mateur Radio\AK2W-Satellite_Antenna-System\"/>
    </mc:Choice>
  </mc:AlternateContent>
  <xr:revisionPtr revIDLastSave="0" documentId="13_ncr:1_{9019E46B-E94E-4156-9511-44DB23DC3B7D}" xr6:coauthVersionLast="47" xr6:coauthVersionMax="47" xr10:uidLastSave="{00000000-0000-0000-0000-000000000000}"/>
  <bookViews>
    <workbookView xWindow="-24465" yWindow="135" windowWidth="22260" windowHeight="15000" xr2:uid="{67C7B1F0-BE86-41F0-9065-EF9629C71311}"/>
  </bookViews>
  <sheets>
    <sheet name="Crossed Yagi Design 146 MHz (3)" sheetId="13" r:id="rId1"/>
    <sheet name="Crossed Yagi Design 435 MHz (3)" sheetId="12" r:id="rId2"/>
    <sheet name="Misc Info" sheetId="10" r:id="rId3"/>
  </sheets>
  <definedNames>
    <definedName name="_xlnm.Print_Area" localSheetId="0">'Crossed Yagi Design 146 MHz (3)'!$A$1:$G$325</definedName>
    <definedName name="_xlnm.Print_Area" localSheetId="1">'Crossed Yagi Design 435 MHz (3)'!$A$1:$G$327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3" l="1"/>
  <c r="C52" i="13" s="1"/>
  <c r="B77" i="13"/>
  <c r="B76" i="13"/>
  <c r="B75" i="13"/>
  <c r="B74" i="13"/>
  <c r="B73" i="13"/>
  <c r="B72" i="13"/>
  <c r="G68" i="13"/>
  <c r="G67" i="13"/>
  <c r="F67" i="13"/>
  <c r="G66" i="13"/>
  <c r="G65" i="13"/>
  <c r="G64" i="13"/>
  <c r="F64" i="13"/>
  <c r="C64" i="13"/>
  <c r="C65" i="13" s="1"/>
  <c r="C66" i="13" s="1"/>
  <c r="C67" i="13" s="1"/>
  <c r="C68" i="13" s="1"/>
  <c r="C69" i="13" s="1"/>
  <c r="G69" i="13" s="1"/>
  <c r="G63" i="13"/>
  <c r="E58" i="13"/>
  <c r="C58" i="13"/>
  <c r="C57" i="13"/>
  <c r="E57" i="13" s="1"/>
  <c r="I55" i="13"/>
  <c r="G55" i="13"/>
  <c r="I54" i="13"/>
  <c r="G54" i="13"/>
  <c r="F54" i="13"/>
  <c r="I53" i="13"/>
  <c r="G53" i="13"/>
  <c r="F53" i="13"/>
  <c r="I52" i="13"/>
  <c r="G52" i="13"/>
  <c r="I51" i="13"/>
  <c r="H51" i="13"/>
  <c r="G51" i="13"/>
  <c r="F51" i="13"/>
  <c r="I50" i="13"/>
  <c r="G50" i="13"/>
  <c r="F50" i="13"/>
  <c r="I42" i="13"/>
  <c r="I43" i="13" s="1"/>
  <c r="I35" i="13"/>
  <c r="I36" i="13" s="1"/>
  <c r="I27" i="13"/>
  <c r="I28" i="13" s="1"/>
  <c r="M12" i="13"/>
  <c r="F55" i="13" s="1"/>
  <c r="M11" i="13"/>
  <c r="L7" i="13"/>
  <c r="N7" i="13" s="1"/>
  <c r="I7" i="13"/>
  <c r="I14" i="13" s="1"/>
  <c r="N6" i="13"/>
  <c r="M6" i="13"/>
  <c r="E93" i="12"/>
  <c r="E92" i="12"/>
  <c r="E91" i="12"/>
  <c r="E90" i="12"/>
  <c r="E89" i="12"/>
  <c r="E88" i="12"/>
  <c r="E87" i="12"/>
  <c r="E86" i="12"/>
  <c r="E85" i="12"/>
  <c r="E84" i="12"/>
  <c r="E83" i="12"/>
  <c r="K60" i="12"/>
  <c r="K59" i="12"/>
  <c r="K58" i="12"/>
  <c r="K57" i="12"/>
  <c r="K56" i="12"/>
  <c r="K55" i="12"/>
  <c r="K54" i="12"/>
  <c r="K53" i="12"/>
  <c r="K52" i="12"/>
  <c r="K51" i="12"/>
  <c r="K50" i="12"/>
  <c r="F324" i="12"/>
  <c r="K316" i="12"/>
  <c r="B93" i="12"/>
  <c r="B92" i="12"/>
  <c r="B91" i="12"/>
  <c r="B90" i="12"/>
  <c r="B89" i="12"/>
  <c r="B88" i="12"/>
  <c r="B87" i="12"/>
  <c r="B86" i="12"/>
  <c r="B85" i="12"/>
  <c r="B84" i="12"/>
  <c r="B83" i="12"/>
  <c r="G77" i="12"/>
  <c r="G76" i="12"/>
  <c r="G75" i="12"/>
  <c r="G74" i="12"/>
  <c r="G73" i="12"/>
  <c r="G72" i="12"/>
  <c r="G71" i="12"/>
  <c r="G70" i="12"/>
  <c r="G69" i="12"/>
  <c r="G68" i="12"/>
  <c r="C68" i="12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G67" i="12"/>
  <c r="C62" i="12"/>
  <c r="E62" i="12" s="1"/>
  <c r="C61" i="12"/>
  <c r="E61" i="12" s="1"/>
  <c r="J60" i="12"/>
  <c r="G60" i="12"/>
  <c r="J59" i="12"/>
  <c r="G59" i="12"/>
  <c r="J58" i="12"/>
  <c r="G58" i="12"/>
  <c r="J57" i="12"/>
  <c r="G57" i="12"/>
  <c r="J56" i="12"/>
  <c r="G56" i="12"/>
  <c r="J55" i="12"/>
  <c r="G55" i="12"/>
  <c r="J54" i="12"/>
  <c r="G54" i="12"/>
  <c r="J53" i="12"/>
  <c r="G53" i="12"/>
  <c r="J52" i="12"/>
  <c r="G52" i="12"/>
  <c r="J51" i="12"/>
  <c r="G51" i="12"/>
  <c r="C51" i="12"/>
  <c r="C52" i="12" s="1"/>
  <c r="C53" i="12" s="1"/>
  <c r="C54" i="12" s="1"/>
  <c r="C55" i="12" s="1"/>
  <c r="C56" i="12" s="1"/>
  <c r="C57" i="12" s="1"/>
  <c r="C58" i="12" s="1"/>
  <c r="C59" i="12" s="1"/>
  <c r="C60" i="12" s="1"/>
  <c r="J50" i="12"/>
  <c r="G50" i="12"/>
  <c r="I42" i="12"/>
  <c r="I35" i="12"/>
  <c r="I27" i="12"/>
  <c r="M11" i="12"/>
  <c r="M12" i="12" s="1"/>
  <c r="L7" i="12"/>
  <c r="N7" i="12" s="1"/>
  <c r="I7" i="12"/>
  <c r="E306" i="12" s="1"/>
  <c r="E308" i="12" s="1"/>
  <c r="E309" i="12" s="1"/>
  <c r="N6" i="12"/>
  <c r="E318" i="13" l="1"/>
  <c r="F318" i="13" s="1"/>
  <c r="G318" i="13" s="1"/>
  <c r="E317" i="13"/>
  <c r="F317" i="13" s="1"/>
  <c r="G317" i="13" s="1"/>
  <c r="L21" i="13"/>
  <c r="K14" i="13"/>
  <c r="E319" i="13"/>
  <c r="F319" i="13" s="1"/>
  <c r="G319" i="13" s="1"/>
  <c r="E316" i="13"/>
  <c r="F316" i="13" s="1"/>
  <c r="G316" i="13" s="1"/>
  <c r="I19" i="13"/>
  <c r="H52" i="13"/>
  <c r="C53" i="13"/>
  <c r="E304" i="13"/>
  <c r="E306" i="13" s="1"/>
  <c r="E307" i="13" s="1"/>
  <c r="E305" i="13"/>
  <c r="H50" i="13"/>
  <c r="F52" i="13"/>
  <c r="F65" i="13"/>
  <c r="I13" i="13"/>
  <c r="F59" i="13"/>
  <c r="F68" i="13"/>
  <c r="F63" i="13"/>
  <c r="F66" i="13"/>
  <c r="F79" i="13"/>
  <c r="I14" i="12"/>
  <c r="E319" i="12" s="1"/>
  <c r="F319" i="12" s="1"/>
  <c r="G319" i="12" s="1"/>
  <c r="G324" i="12"/>
  <c r="G78" i="12"/>
  <c r="E307" i="12"/>
  <c r="F77" i="12"/>
  <c r="F69" i="12"/>
  <c r="F59" i="12"/>
  <c r="F57" i="12"/>
  <c r="F53" i="12"/>
  <c r="F80" i="12"/>
  <c r="F73" i="12"/>
  <c r="F70" i="12"/>
  <c r="F75" i="12"/>
  <c r="F67" i="12"/>
  <c r="F60" i="12"/>
  <c r="F58" i="12"/>
  <c r="F56" i="12"/>
  <c r="F52" i="12"/>
  <c r="F74" i="12"/>
  <c r="F71" i="12"/>
  <c r="F55" i="12"/>
  <c r="F51" i="12"/>
  <c r="F76" i="12"/>
  <c r="F68" i="12"/>
  <c r="F50" i="12"/>
  <c r="M6" i="12"/>
  <c r="F54" i="12"/>
  <c r="F72" i="12"/>
  <c r="F63" i="12"/>
  <c r="I13" i="12"/>
  <c r="H53" i="13" l="1"/>
  <c r="C54" i="13"/>
  <c r="I20" i="13"/>
  <c r="F325" i="13"/>
  <c r="G325" i="13" s="1"/>
  <c r="F324" i="13"/>
  <c r="G324" i="13" s="1"/>
  <c r="I15" i="13"/>
  <c r="L20" i="13"/>
  <c r="I43" i="12"/>
  <c r="I28" i="12"/>
  <c r="E321" i="12"/>
  <c r="F321" i="12" s="1"/>
  <c r="G321" i="12" s="1"/>
  <c r="E318" i="12"/>
  <c r="F318" i="12" s="1"/>
  <c r="G318" i="12" s="1"/>
  <c r="I19" i="12"/>
  <c r="I20" i="12" s="1"/>
  <c r="I36" i="12"/>
  <c r="E320" i="12"/>
  <c r="F320" i="12" s="1"/>
  <c r="G320" i="12" s="1"/>
  <c r="L21" i="12"/>
  <c r="I15" i="12"/>
  <c r="L20" i="12"/>
  <c r="L16" i="13" l="1"/>
  <c r="K16" i="13"/>
  <c r="L22" i="13"/>
  <c r="I16" i="13"/>
  <c r="I22" i="13"/>
  <c r="C55" i="13"/>
  <c r="H54" i="13"/>
  <c r="I22" i="12"/>
  <c r="I16" i="12"/>
  <c r="L22" i="12"/>
  <c r="C56" i="13" l="1"/>
  <c r="H56" i="13" s="1"/>
  <c r="H55" i="13"/>
  <c r="L23" i="13"/>
  <c r="I23" i="13"/>
  <c r="L23" i="12"/>
  <c r="I23" i="12"/>
</calcChain>
</file>

<file path=xl/sharedStrings.xml><?xml version="1.0" encoding="utf-8"?>
<sst xmlns="http://schemas.openxmlformats.org/spreadsheetml/2006/main" count="288" uniqueCount="121">
  <si>
    <t>Wavelength (m)</t>
  </si>
  <si>
    <t>Wavelength (mm)</t>
  </si>
  <si>
    <t>DE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</si>
  <si>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</si>
  <si>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</si>
  <si>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</si>
  <si>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</si>
  <si>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</si>
  <si>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</si>
  <si>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</si>
  <si>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</si>
  <si>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</si>
  <si>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Frequency</t>
  </si>
  <si>
    <t>Wavelength (in)</t>
  </si>
  <si>
    <t>Wavelength (ft)</t>
  </si>
  <si>
    <t>Antenna Operating Frequency</t>
  </si>
  <si>
    <t>Length (mm)</t>
  </si>
  <si>
    <t>Boom Length</t>
  </si>
  <si>
    <t>Wavelengths</t>
  </si>
  <si>
    <t>Length (m)</t>
  </si>
  <si>
    <t>Length (in)</t>
  </si>
  <si>
    <t>Length (ft)</t>
  </si>
  <si>
    <t>Speed of Light (m/sec)</t>
  </si>
  <si>
    <t xml:space="preserve">Boom Diameter </t>
  </si>
  <si>
    <t>Diameter (mm)</t>
  </si>
  <si>
    <t>Diameter (in)</t>
  </si>
  <si>
    <t>Conversions</t>
  </si>
  <si>
    <t>AK2W</t>
  </si>
  <si>
    <t>Driven Element Tube Diameter</t>
  </si>
  <si>
    <t>Boom Wall Thickness</t>
  </si>
  <si>
    <t>Driven Element Wall Thickness</t>
  </si>
  <si>
    <t>Element Solid Rod Diameter</t>
  </si>
  <si>
    <t>Diameter/Wavelength</t>
  </si>
  <si>
    <t>Element</t>
  </si>
  <si>
    <t>REF</t>
  </si>
  <si>
    <t>Spacing (mm)</t>
  </si>
  <si>
    <t>(in)</t>
  </si>
  <si>
    <t>mm</t>
  </si>
  <si>
    <t>in</t>
  </si>
  <si>
    <t>Calculator</t>
  </si>
  <si>
    <r>
      <t xml:space="preserve">Dir element Length in </t>
    </r>
    <r>
      <rPr>
        <b/>
        <sz val="11"/>
        <color rgb="FF0000CC"/>
        <rFont val="Calibri"/>
        <family val="2"/>
      </rPr>
      <t>λ</t>
    </r>
  </si>
  <si>
    <r>
      <t xml:space="preserve">Ref element Length in </t>
    </r>
    <r>
      <rPr>
        <b/>
        <sz val="11"/>
        <color rgb="FF0000CC"/>
        <rFont val="Calibri"/>
        <family val="2"/>
      </rPr>
      <t>λ</t>
    </r>
  </si>
  <si>
    <t>NIST</t>
  </si>
  <si>
    <t>Calcs</t>
  </si>
  <si>
    <t>SoL / 1,000,000 (mm/s)</t>
  </si>
  <si>
    <t>1/2</t>
  </si>
  <si>
    <t>Velocity Factor</t>
  </si>
  <si>
    <t>Aluminum Tubing</t>
  </si>
  <si>
    <t>Coax</t>
  </si>
  <si>
    <t>Len (mm)</t>
  </si>
  <si>
    <t>NEC (L/2)</t>
  </si>
  <si>
    <t>Pos (mm)</t>
  </si>
  <si>
    <t>Gain (dBd)</t>
  </si>
  <si>
    <t>Gain (dBi)</t>
  </si>
  <si>
    <t>Len (in)</t>
  </si>
  <si>
    <t>End Allow</t>
  </si>
  <si>
    <t>Balun Loop Length</t>
  </si>
  <si>
    <t>End Allowance</t>
  </si>
  <si>
    <t>Balun Coax Loop Length</t>
  </si>
  <si>
    <t>https://www.vk5dj.com/yagi.html</t>
  </si>
  <si>
    <t>From VK5DJ Yagi Calculator by John Drew</t>
  </si>
  <si>
    <t>Insert to (mm)</t>
  </si>
  <si>
    <t>VK5DJ Yagi Calculator Results - 435 MHz - Horizontal Elements</t>
  </si>
  <si>
    <t>VK5DJ Yagi Calculator Results - 435 MHz - Vertical Elements</t>
  </si>
  <si>
    <t>VK5DJ Yagi Calculator Results - 146 MHz - Horizontal Elements</t>
  </si>
  <si>
    <t>VK5DJ Yagi Calculator Results - 146 MHz - Vertical Elements</t>
  </si>
  <si>
    <t>435 MHz 11-Element Crossed Yagi Antenna Build Specifications</t>
  </si>
  <si>
    <t>146 MHz 6-Element Crossed Yagi Antenna Build Specifications</t>
  </si>
  <si>
    <t>Boom Length (in):</t>
  </si>
  <si>
    <t>+ 2" for shorting bars &amp; end caps</t>
  </si>
  <si>
    <t>DE 2</t>
  </si>
  <si>
    <t>DE 1</t>
  </si>
  <si>
    <t>DE 2 (x 2)</t>
  </si>
  <si>
    <t>+ 1.5" for short bars + caps - feed gap / 2</t>
  </si>
  <si>
    <t>VF</t>
  </si>
  <si>
    <t>Value</t>
  </si>
  <si>
    <t>Variable</t>
  </si>
  <si>
    <t>Formula</t>
  </si>
  <si>
    <t>L</t>
  </si>
  <si>
    <t>= [ATAN(SQRT(B/(B^2 + B +1)))]/(2 * PI())</t>
  </si>
  <si>
    <t>1/12 Wave Transformer Calculations</t>
  </si>
  <si>
    <t>1/4 (in)</t>
  </si>
  <si>
    <t>1/2 (in)</t>
  </si>
  <si>
    <t>1/2 (mm)</t>
  </si>
  <si>
    <t xml:space="preserve">RG-8X  </t>
  </si>
  <si>
    <t>DIELECTRIC CONSTANTS &amp; VELOCITY FACTORS</t>
  </si>
  <si>
    <t>OF COMMONLY USED COAX CABLE DIELECTRIC MATERIALS</t>
  </si>
  <si>
    <t>COAX CABLE DIELECTRIC MATERIAL</t>
  </si>
  <si>
    <t>Polyethylene (PE)</t>
  </si>
  <si>
    <t>Foam polyethylene</t>
  </si>
  <si>
    <t>1.3 - 1.6</t>
  </si>
  <si>
    <t>0.88 - 0.79</t>
  </si>
  <si>
    <t>Air spaced polythene</t>
  </si>
  <si>
    <t>0.84 – 0.88</t>
  </si>
  <si>
    <t>Foam polystyrene</t>
  </si>
  <si>
    <t>Solid PTFE</t>
  </si>
  <si>
    <t>Air spaced PTFE</t>
  </si>
  <si>
    <t>0.85 – 0.90</t>
  </si>
  <si>
    <t>DIELECTRIC CONSTANT</t>
  </si>
  <si>
    <t>VELOCITY FACTOR</t>
  </si>
  <si>
    <t>Also see:</t>
  </si>
  <si>
    <t>https://www.febo.com/reference/cable_data.html</t>
  </si>
  <si>
    <t>1/2 λ</t>
  </si>
  <si>
    <t>4:1 Coax Balun Calculations</t>
  </si>
  <si>
    <t>Length w/ VF</t>
  </si>
  <si>
    <r>
      <t>1/12 Wave Impedance Transformer: 75</t>
    </r>
    <r>
      <rPr>
        <b/>
        <sz val="12"/>
        <color rgb="FF0000CC"/>
        <rFont val="Calibri"/>
        <family val="2"/>
      </rPr>
      <t>Ω to 50Ω</t>
    </r>
  </si>
  <si>
    <t>RG-8X  Foam PE</t>
  </si>
  <si>
    <t>RG-8U</t>
  </si>
  <si>
    <t>(per above)</t>
  </si>
  <si>
    <t>https://pa0fri.home.xs4all.nl/Ant/Eentwaalfde%20golf%20trafo/One-twelfth%20wave%20transformer.htm</t>
  </si>
  <si>
    <t>1.5 Ratio</t>
  </si>
  <si>
    <t>1/12 λ Length w/ VF</t>
  </si>
  <si>
    <t>RG-6 Foam</t>
  </si>
  <si>
    <t>75Ω RG-6 Foam</t>
  </si>
  <si>
    <t>50Ω RG-8X F</t>
  </si>
  <si>
    <t>435 MHz Crossed Yagi Antenna Design Specifications (3)</t>
  </si>
  <si>
    <t>Array Positional Difference (mm)</t>
  </si>
  <si>
    <t>(2) Plot</t>
  </si>
  <si>
    <t>Coax Length Difference (FWD vs BACK array)</t>
  </si>
  <si>
    <t>+ 5 mm freq correction on vertical elements</t>
  </si>
  <si>
    <t>146 MHz Crossed Yagi Antenna Design Specifications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</si>
</sst>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\ &quot;MHz&quot;"/>
    <numFmt numFmtId="165" formatCode="0.000\ &quot;m&quot;"/>
    <numFmt numFmtId="166" formatCode="0\ &quot;mm&quot;"/>
    <numFmt numFmtId="167" formatCode="0.0\ &quot;mm&quot;"/>
    <numFmt numFmtId="168" formatCode="0.00\ &quot;in&quot;"/>
    <numFmt numFmtId="169" formatCode="0.00\ &quot;ft&quot;"/>
    <numFmt numFmtId="170" formatCode="#,##0.000000"/>
    <numFmt numFmtId="173" formatCode="0.00\ &quot;mm&quot;"/>
    <numFmt numFmtId="174" formatCode="0.00\ &quot;cm&quot;"/>
    <numFmt numFmtId="175" formatCode="0.000\ &quot;in&quot;"/>
    <numFmt numFmtId="176" formatCode="0.0000\ &quot;m&quot;"/>
    <numFmt numFmtId="177" formatCode="0.000\ &quot;D/λ&quot;"/>
    <numFmt numFmtId="178" formatCode="0.0"/>
    <numFmt numFmtId="181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00CC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0" borderId="1" xfId="0" applyNumberFormat="1" applyBorder="1"/>
    <xf numFmtId="168" fontId="0" fillId="2" borderId="1" xfId="0" applyNumberFormat="1" applyFill="1" applyBorder="1"/>
    <xf numFmtId="169" fontId="0" fillId="2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3" fontId="0" fillId="2" borderId="1" xfId="0" applyNumberFormat="1" applyFill="1" applyBorder="1"/>
    <xf numFmtId="170" fontId="0" fillId="2" borderId="1" xfId="0" applyNumberFormat="1" applyFill="1" applyBorder="1"/>
    <xf numFmtId="165" fontId="0" fillId="2" borderId="1" xfId="0" applyNumberFormat="1" applyFill="1" applyBorder="1" applyAlignment="1">
      <alignment horizontal="right"/>
    </xf>
    <xf numFmtId="168" fontId="0" fillId="2" borderId="1" xfId="0" applyNumberFormat="1" applyFill="1" applyBorder="1" applyAlignment="1">
      <alignment horizontal="right"/>
    </xf>
    <xf numFmtId="168" fontId="0" fillId="2" borderId="1" xfId="0" applyNumberFormat="1" applyFill="1" applyBorder="1" applyAlignment="1">
      <alignment horizontal="left"/>
    </xf>
    <xf numFmtId="173" fontId="0" fillId="2" borderId="1" xfId="0" applyNumberFormat="1" applyFill="1" applyBorder="1" applyAlignment="1">
      <alignment horizontal="right"/>
    </xf>
    <xf numFmtId="174" fontId="0" fillId="2" borderId="1" xfId="0" applyNumberForma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169" fontId="0" fillId="2" borderId="1" xfId="0" applyNumberFormat="1" applyFill="1" applyBorder="1" applyAlignment="1">
      <alignment horizontal="right"/>
    </xf>
    <xf numFmtId="175" fontId="0" fillId="2" borderId="1" xfId="0" applyNumberFormat="1" applyFill="1" applyBorder="1" applyAlignment="1">
      <alignment horizontal="left"/>
    </xf>
    <xf numFmtId="176" fontId="0" fillId="2" borderId="1" xfId="0" applyNumberFormat="1" applyFill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173" fontId="0" fillId="2" borderId="1" xfId="0" applyNumberFormat="1" applyFill="1" applyBorder="1"/>
    <xf numFmtId="177" fontId="0" fillId="2" borderId="1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164" fontId="3" fillId="0" borderId="1" xfId="0" applyNumberFormat="1" applyFont="1" applyBorder="1"/>
    <xf numFmtId="178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177" fontId="0" fillId="2" borderId="1" xfId="0" applyNumberFormat="1" applyFont="1" applyFill="1" applyBorder="1"/>
    <xf numFmtId="0" fontId="6" fillId="0" borderId="1" xfId="0" applyFont="1" applyBorder="1"/>
    <xf numFmtId="0" fontId="6" fillId="4" borderId="1" xfId="0" applyFont="1" applyFill="1" applyBorder="1"/>
    <xf numFmtId="0" fontId="6" fillId="0" borderId="0" xfId="0" applyFont="1" applyAlignment="1">
      <alignment horizontal="right"/>
    </xf>
    <xf numFmtId="2" fontId="0" fillId="0" borderId="1" xfId="0" applyNumberFormat="1" applyBorder="1" applyAlignment="1">
      <alignment horizontal="left"/>
    </xf>
    <xf numFmtId="166" fontId="0" fillId="0" borderId="0" xfId="0" applyNumberFormat="1"/>
    <xf numFmtId="178" fontId="0" fillId="0" borderId="0" xfId="0" applyNumberFormat="1"/>
    <xf numFmtId="16" fontId="1" fillId="0" borderId="0" xfId="0" quotePrefix="1" applyNumberFormat="1" applyFont="1" applyAlignment="1">
      <alignment horizontal="center"/>
    </xf>
    <xf numFmtId="0" fontId="8" fillId="0" borderId="0" xfId="1"/>
    <xf numFmtId="4" fontId="0" fillId="2" borderId="1" xfId="0" applyNumberFormat="1" applyFill="1" applyBorder="1"/>
    <xf numFmtId="178" fontId="6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10" fillId="0" borderId="0" xfId="1" applyFont="1"/>
    <xf numFmtId="178" fontId="0" fillId="0" borderId="0" xfId="0" applyNumberFormat="1" applyFont="1" applyAlignment="1">
      <alignment horizontal="center"/>
    </xf>
    <xf numFmtId="166" fontId="0" fillId="0" borderId="1" xfId="0" applyNumberFormat="1" applyFill="1" applyBorder="1"/>
    <xf numFmtId="178" fontId="1" fillId="3" borderId="1" xfId="0" applyNumberFormat="1" applyFont="1" applyFill="1" applyBorder="1"/>
    <xf numFmtId="0" fontId="0" fillId="0" borderId="0" xfId="0" quotePrefix="1"/>
    <xf numFmtId="0" fontId="5" fillId="0" borderId="0" xfId="0" quotePrefix="1" applyFont="1" applyAlignment="1">
      <alignment horizontal="left"/>
    </xf>
    <xf numFmtId="173" fontId="0" fillId="2" borderId="0" xfId="0" applyNumberForma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81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/>
    <xf numFmtId="4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6" fontId="0" fillId="0" borderId="0" xfId="0" applyNumberFormat="1" applyAlignment="1">
      <alignment horizontal="left"/>
    </xf>
    <xf numFmtId="166" fontId="11" fillId="0" borderId="0" xfId="0" applyNumberFormat="1" applyFont="1" applyAlignment="1">
      <alignment horizontal="left"/>
    </xf>
    <xf numFmtId="0" fontId="11" fillId="0" borderId="0" xfId="0" applyFont="1"/>
    <xf numFmtId="166" fontId="0" fillId="3" borderId="1" xfId="0" applyNumberFormat="1" applyFill="1" applyBorder="1" applyAlignment="1">
      <alignment horizontal="right"/>
    </xf>
    <xf numFmtId="175" fontId="0" fillId="3" borderId="1" xfId="0" applyNumberFormat="1" applyFill="1" applyBorder="1" applyAlignment="1">
      <alignment horizontal="left"/>
    </xf>
    <xf numFmtId="166" fontId="11" fillId="3" borderId="1" xfId="0" applyNumberFormat="1" applyFont="1" applyFill="1" applyBorder="1" applyAlignment="1">
      <alignment horizontal="right"/>
    </xf>
    <xf numFmtId="0" fontId="6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257</xdr:row>
      <xdr:rowOff>1</xdr:rowOff>
    </xdr:from>
    <xdr:to>
      <xdr:col>5</xdr:col>
      <xdr:colOff>1352628</xdr:colOff>
      <xdr:row>278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D4B86-3655-4727-B190-D7395D288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215676"/>
          <a:ext cx="5238828" cy="4162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38101</xdr:rowOff>
    </xdr:from>
    <xdr:to>
      <xdr:col>5</xdr:col>
      <xdr:colOff>1362075</xdr:colOff>
      <xdr:row>301</xdr:row>
      <xdr:rowOff>17031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E13CC6-ABAC-4223-9EB9-8B1FA1089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444776"/>
          <a:ext cx="5248275" cy="416993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301</xdr:row>
      <xdr:rowOff>76200</xdr:rowOff>
    </xdr:from>
    <xdr:to>
      <xdr:col>3</xdr:col>
      <xdr:colOff>190500</xdr:colOff>
      <xdr:row>312</xdr:row>
      <xdr:rowOff>103854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359C83-C268-4201-BEE1-4C2934865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7673875"/>
          <a:ext cx="3019424" cy="2132679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142876</xdr:colOff>
      <xdr:row>319</xdr:row>
      <xdr:rowOff>66674</xdr:rowOff>
    </xdr:from>
    <xdr:to>
      <xdr:col>6</xdr:col>
      <xdr:colOff>506738</xdr:colOff>
      <xdr:row>321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DB30C-20A0-4B2F-9058-A2A3A068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1" y="61121924"/>
          <a:ext cx="2745112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19050</xdr:rowOff>
    </xdr:from>
    <xdr:to>
      <xdr:col>6</xdr:col>
      <xdr:colOff>208851</xdr:colOff>
      <xdr:row>44</xdr:row>
      <xdr:rowOff>132836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C2D5A6-8388-46CB-9106-ADE662992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610100"/>
          <a:ext cx="5590476" cy="4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57150</xdr:rowOff>
    </xdr:from>
    <xdr:to>
      <xdr:col>5</xdr:col>
      <xdr:colOff>609600</xdr:colOff>
      <xdr:row>110</xdr:row>
      <xdr:rowOff>94478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A2400-2DD7-491D-8EAD-0353E3146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649825"/>
          <a:ext cx="4495800" cy="3656828"/>
        </a:xfrm>
        <a:prstGeom prst="rect">
          <a:avLst/>
        </a:prstGeom>
      </xdr:spPr>
    </xdr:pic>
    <xdr:clientData/>
  </xdr:twoCellAnchor>
  <xdr:twoCellAnchor editAs="oneCell">
    <xdr:from>
      <xdr:col>5</xdr:col>
      <xdr:colOff>723724</xdr:colOff>
      <xdr:row>91</xdr:row>
      <xdr:rowOff>76376</xdr:rowOff>
    </xdr:from>
    <xdr:to>
      <xdr:col>6</xdr:col>
      <xdr:colOff>438150</xdr:colOff>
      <xdr:row>110</xdr:row>
      <xdr:rowOff>88011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4039CF-6B4C-4B3D-8EF9-78997EE3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3418332" y="18860643"/>
          <a:ext cx="3631135" cy="1247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</xdr:rowOff>
    </xdr:from>
    <xdr:to>
      <xdr:col>6</xdr:col>
      <xdr:colOff>574176</xdr:colOff>
      <xdr:row>131</xdr:row>
      <xdr:rowOff>95251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1A0E95B-8C86-4FDC-BC64-F372B7CD0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402676"/>
          <a:ext cx="5993901" cy="3905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66675</xdr:rowOff>
    </xdr:from>
    <xdr:to>
      <xdr:col>6</xdr:col>
      <xdr:colOff>551905</xdr:colOff>
      <xdr:row>158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9B7E85-0882-44CA-A732-DA745C7E2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6612850"/>
          <a:ext cx="5971630" cy="3867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6</xdr:col>
      <xdr:colOff>493071</xdr:colOff>
      <xdr:row>180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7291D9-8970-4DEF-A6DF-2587E638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737175"/>
          <a:ext cx="5912796" cy="3829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47625</xdr:rowOff>
    </xdr:from>
    <xdr:to>
      <xdr:col>3</xdr:col>
      <xdr:colOff>139974</xdr:colOff>
      <xdr:row>197</xdr:row>
      <xdr:rowOff>152401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BF6C19-F218-4E87-AD73-169BC791E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547300"/>
          <a:ext cx="2968899" cy="2390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123825</xdr:rowOff>
    </xdr:from>
    <xdr:to>
      <xdr:col>6</xdr:col>
      <xdr:colOff>571500</xdr:colOff>
      <xdr:row>223</xdr:row>
      <xdr:rowOff>50673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276074-60F8-46BF-B2D5-7E831BCC7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8100000"/>
          <a:ext cx="5991225" cy="4689348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185</xdr:row>
      <xdr:rowOff>57150</xdr:rowOff>
    </xdr:from>
    <xdr:to>
      <xdr:col>6</xdr:col>
      <xdr:colOff>549547</xdr:colOff>
      <xdr:row>197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77F831-8213-4DEC-997E-AE8C08CD8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00375" y="35556825"/>
          <a:ext cx="2968897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57150</xdr:rowOff>
    </xdr:from>
    <xdr:to>
      <xdr:col>6</xdr:col>
      <xdr:colOff>542925</xdr:colOff>
      <xdr:row>256</xdr:row>
      <xdr:rowOff>152132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BEB5D72-0A10-4EA2-9600-D71023F7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4510325"/>
          <a:ext cx="5962650" cy="4666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190499</xdr:rowOff>
    </xdr:from>
    <xdr:to>
      <xdr:col>6</xdr:col>
      <xdr:colOff>511184</xdr:colOff>
      <xdr:row>22</xdr:row>
      <xdr:rowOff>123824</xdr:rowOff>
    </xdr:to>
    <xdr:pic>
      <xdr:nvPicPr>
        <xdr:cNvPr id="17" name="Picture 16" descr="Chart&#10;&#10;Description automatically generated">
          <a:extLst>
            <a:ext uri="{FF2B5EF4-FFF2-40B4-BE49-F238E27FC236}">
              <a16:creationId xmlns:a16="http://schemas.microsoft.com/office/drawing/2014/main" id="{BD9394C9-ED74-4312-B1C6-2BE95184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61999"/>
          <a:ext cx="5930909" cy="376237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49</xdr:row>
      <xdr:rowOff>19050</xdr:rowOff>
    </xdr:from>
    <xdr:to>
      <xdr:col>17</xdr:col>
      <xdr:colOff>37287</xdr:colOff>
      <xdr:row>71</xdr:row>
      <xdr:rowOff>66145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9833C0-A908-4132-8DC2-4D13126F1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15225" y="9610725"/>
          <a:ext cx="6504762" cy="4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857077</xdr:colOff>
      <xdr:row>93</xdr:row>
      <xdr:rowOff>28574</xdr:rowOff>
    </xdr:from>
    <xdr:to>
      <xdr:col>6</xdr:col>
      <xdr:colOff>542928</xdr:colOff>
      <xdr:row>111</xdr:row>
      <xdr:rowOff>147565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290AFB-287B-4BD6-9031-DFD4CA653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578969" y="18937957"/>
          <a:ext cx="3547991" cy="121937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234</xdr:row>
      <xdr:rowOff>38099</xdr:rowOff>
    </xdr:from>
    <xdr:to>
      <xdr:col>12</xdr:col>
      <xdr:colOff>732176</xdr:colOff>
      <xdr:row>258</xdr:row>
      <xdr:rowOff>161924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D07CA1-3A3E-49F3-8AD4-39E4CA743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44643674"/>
          <a:ext cx="5999501" cy="469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281</xdr:row>
      <xdr:rowOff>76200</xdr:rowOff>
    </xdr:from>
    <xdr:to>
      <xdr:col>5</xdr:col>
      <xdr:colOff>1495425</xdr:colOff>
      <xdr:row>302</xdr:row>
      <xdr:rowOff>143629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4B2A9E-01AD-4B5B-8551-3D142DE36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635275"/>
          <a:ext cx="5381625" cy="4067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19051</xdr:rowOff>
    </xdr:from>
    <xdr:to>
      <xdr:col>3</xdr:col>
      <xdr:colOff>104774</xdr:colOff>
      <xdr:row>314</xdr:row>
      <xdr:rowOff>167131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94FAA5-5329-4A68-A035-32D83BEF9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959626"/>
          <a:ext cx="2933699" cy="2072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28575</xdr:rowOff>
    </xdr:from>
    <xdr:to>
      <xdr:col>6</xdr:col>
      <xdr:colOff>542925</xdr:colOff>
      <xdr:row>280</xdr:row>
      <xdr:rowOff>122326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A967B9-2680-4B1A-8AFF-FD5CB76A8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396650"/>
          <a:ext cx="5962650" cy="40942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29399</xdr:rowOff>
    </xdr:from>
    <xdr:to>
      <xdr:col>6</xdr:col>
      <xdr:colOff>449788</xdr:colOff>
      <xdr:row>22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FF67E7C-07A7-48A0-A424-38A185FD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91399"/>
          <a:ext cx="5869513" cy="3723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209549</xdr:colOff>
      <xdr:row>44</xdr:row>
      <xdr:rowOff>142340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2BF721-6C31-4845-9AFB-775F50AF5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91050"/>
          <a:ext cx="5629274" cy="414284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93</xdr:row>
      <xdr:rowOff>47625</xdr:rowOff>
    </xdr:from>
    <xdr:to>
      <xdr:col>5</xdr:col>
      <xdr:colOff>856663</xdr:colOff>
      <xdr:row>113</xdr:row>
      <xdr:rowOff>56673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BF0CD8-2879-4FE2-B553-780F36AB1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" y="17792700"/>
          <a:ext cx="4695238" cy="3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57151</xdr:rowOff>
    </xdr:from>
    <xdr:to>
      <xdr:col>6</xdr:col>
      <xdr:colOff>438149</xdr:colOff>
      <xdr:row>21</xdr:row>
      <xdr:rowOff>134669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410873B-23DB-45E8-8576-FFC91FE86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8651"/>
          <a:ext cx="5857874" cy="3716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95250</xdr:rowOff>
    </xdr:from>
    <xdr:to>
      <xdr:col>6</xdr:col>
      <xdr:colOff>247115</xdr:colOff>
      <xdr:row>139</xdr:row>
      <xdr:rowOff>161925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80BA818-85FB-4D76-8CC3-E375E0C77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650325"/>
          <a:ext cx="5666840" cy="5019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46523</xdr:rowOff>
    </xdr:from>
    <xdr:to>
      <xdr:col>6</xdr:col>
      <xdr:colOff>583021</xdr:colOff>
      <xdr:row>160</xdr:row>
      <xdr:rowOff>123824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03709E-B85A-4955-BFCD-46BA2221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6745098"/>
          <a:ext cx="6002746" cy="3887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6</xdr:col>
      <xdr:colOff>571500</xdr:colOff>
      <xdr:row>182</xdr:row>
      <xdr:rowOff>69839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8FA0ED-7E98-4C34-A5F7-AF762869D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0889575"/>
          <a:ext cx="5991225" cy="38798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47625</xdr:rowOff>
    </xdr:from>
    <xdr:to>
      <xdr:col>6</xdr:col>
      <xdr:colOff>567606</xdr:colOff>
      <xdr:row>224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C69982A-1F91-43BB-AAD1-F66C98D5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8176200"/>
          <a:ext cx="5987331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47624</xdr:rowOff>
    </xdr:from>
    <xdr:to>
      <xdr:col>3</xdr:col>
      <xdr:colOff>163629</xdr:colOff>
      <xdr:row>199</xdr:row>
      <xdr:rowOff>171449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386C1E3-45B0-4D4C-9B10-B0486663C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5699699"/>
          <a:ext cx="2992554" cy="240982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187</xdr:row>
      <xdr:rowOff>57150</xdr:rowOff>
    </xdr:from>
    <xdr:to>
      <xdr:col>6</xdr:col>
      <xdr:colOff>570901</xdr:colOff>
      <xdr:row>199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F05CF0-1854-41E6-90E4-1EAFB6AE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09900" y="35709225"/>
          <a:ext cx="2980726" cy="240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38099</xdr:rowOff>
    </xdr:from>
    <xdr:to>
      <xdr:col>6</xdr:col>
      <xdr:colOff>579777</xdr:colOff>
      <xdr:row>258</xdr:row>
      <xdr:rowOff>161925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8E9D283-8526-4F0A-870E-1037AAB6B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4643674"/>
          <a:ext cx="5999502" cy="469582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200</xdr:row>
      <xdr:rowOff>66675</xdr:rowOff>
    </xdr:from>
    <xdr:to>
      <xdr:col>12</xdr:col>
      <xdr:colOff>687195</xdr:colOff>
      <xdr:row>225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FE353F7-3ED6-4E52-A867-0FD6BDF4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86475" y="38195250"/>
          <a:ext cx="6011670" cy="470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0fri.home.xs4all.nl/Ant/Eentwaalfde%20golf%20trafo/One-twelfth%20wave%20transformer.htm" TargetMode="External"/><Relationship Id="rId1" Type="http://schemas.openxmlformats.org/officeDocument/2006/relationships/hyperlink" Target="https://www.vk5dj.com/yagi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k5dj.com/yagi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ebo.com/reference/cable_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D4E2-6EC2-4A3D-89BE-400122132C8F}">
  <dimension ref="A1:N325"/>
  <sheetViews>
    <sheetView showGridLines="0" tabSelected="1" zoomScaleNormal="100" workbookViewId="0"/>
  </sheetViews>
  <sheetFormatPr defaultRowHeight="15" x14ac:dyDescent="0.25"/>
  <cols>
    <col min="1" max="1" width="9" customWidth="1"/>
    <col min="2" max="2" width="12.7109375" customWidth="1"/>
    <col min="3" max="3" width="20.7109375" customWidth="1"/>
    <col min="4" max="4" width="3.140625" customWidth="1"/>
    <col min="5" max="5" width="12.7109375" customWidth="1"/>
    <col min="6" max="6" width="23" customWidth="1"/>
    <col min="7" max="7" width="9.140625" customWidth="1"/>
    <col min="8" max="8" width="10.42578125" bestFit="1" customWidth="1"/>
    <col min="9" max="9" width="11.5703125" customWidth="1"/>
    <col min="10" max="10" width="22.42578125" bestFit="1" customWidth="1"/>
    <col min="12" max="12" width="11.85546875" bestFit="1" customWidth="1"/>
    <col min="13" max="13" width="17.28515625" bestFit="1" customWidth="1"/>
  </cols>
  <sheetData>
    <row r="1" spans="1:14" ht="26.25" x14ac:dyDescent="0.4">
      <c r="A1" s="9" t="s">
        <v>120</v>
      </c>
      <c r="F1" s="8"/>
    </row>
    <row r="2" spans="1:14" ht="18.75" x14ac:dyDescent="0.3">
      <c r="A2" s="19" t="s">
        <v>27</v>
      </c>
      <c r="B2" s="36">
        <v>44557</v>
      </c>
      <c r="C2" t="s">
        <v>60</v>
      </c>
      <c r="F2" s="54" t="s">
        <v>59</v>
      </c>
    </row>
    <row r="4" spans="1:14" x14ac:dyDescent="0.25">
      <c r="L4" s="8" t="s">
        <v>39</v>
      </c>
    </row>
    <row r="5" spans="1:14" x14ac:dyDescent="0.25">
      <c r="I5" s="8" t="s">
        <v>22</v>
      </c>
      <c r="L5" s="26" t="s">
        <v>37</v>
      </c>
      <c r="M5" s="26" t="s">
        <v>38</v>
      </c>
      <c r="N5" s="44" t="s">
        <v>45</v>
      </c>
    </row>
    <row r="6" spans="1:14" x14ac:dyDescent="0.25">
      <c r="I6" s="11">
        <v>299792458</v>
      </c>
      <c r="J6" s="7" t="s">
        <v>22</v>
      </c>
      <c r="L6" s="3">
        <v>6.2</v>
      </c>
      <c r="M6" s="15">
        <f>L6*M12</f>
        <v>0.24409462000000004</v>
      </c>
      <c r="N6" s="43">
        <f>L6/2</f>
        <v>3.1</v>
      </c>
    </row>
    <row r="7" spans="1:14" x14ac:dyDescent="0.25">
      <c r="I7" s="12">
        <f>I6/1000000</f>
        <v>299.79245800000001</v>
      </c>
      <c r="J7" s="7" t="s">
        <v>44</v>
      </c>
      <c r="L7" s="16">
        <f>M7*M14</f>
        <v>63.5</v>
      </c>
      <c r="M7" s="41">
        <v>2.5</v>
      </c>
      <c r="N7" s="43">
        <f>L7/2</f>
        <v>31.75</v>
      </c>
    </row>
    <row r="9" spans="1:14" x14ac:dyDescent="0.25">
      <c r="I9" s="8" t="s">
        <v>46</v>
      </c>
      <c r="L9" s="8" t="s">
        <v>26</v>
      </c>
    </row>
    <row r="10" spans="1:14" x14ac:dyDescent="0.25">
      <c r="I10" s="46">
        <v>0.94</v>
      </c>
      <c r="J10" s="7" t="s">
        <v>47</v>
      </c>
      <c r="L10" s="13">
        <v>1</v>
      </c>
      <c r="M10" s="15">
        <v>39.370100000000001</v>
      </c>
    </row>
    <row r="11" spans="1:14" ht="15.75" x14ac:dyDescent="0.25">
      <c r="I11" s="18" t="s">
        <v>15</v>
      </c>
      <c r="L11" s="17">
        <v>1</v>
      </c>
      <c r="M11" s="15">
        <f>M10/100</f>
        <v>0.39370100000000002</v>
      </c>
    </row>
    <row r="12" spans="1:14" ht="15.75" x14ac:dyDescent="0.25">
      <c r="I12" s="34">
        <v>146</v>
      </c>
      <c r="J12" s="6" t="s">
        <v>12</v>
      </c>
      <c r="L12" s="16">
        <v>1</v>
      </c>
      <c r="M12" s="21">
        <f>M11/10</f>
        <v>3.9370100000000005E-2</v>
      </c>
    </row>
    <row r="13" spans="1:14" x14ac:dyDescent="0.25">
      <c r="I13" s="1">
        <f>$I$7/I12</f>
        <v>2.0533730000000001</v>
      </c>
      <c r="J13" s="7" t="s">
        <v>0</v>
      </c>
      <c r="K13" s="35" t="s">
        <v>83</v>
      </c>
      <c r="L13" s="20">
        <v>1</v>
      </c>
      <c r="M13" s="22">
        <v>0.30480000000000002</v>
      </c>
    </row>
    <row r="14" spans="1:14" x14ac:dyDescent="0.25">
      <c r="I14" s="2">
        <f>$I$7/I12*1000</f>
        <v>2053.373</v>
      </c>
      <c r="J14" s="7" t="s">
        <v>1</v>
      </c>
      <c r="K14" s="35">
        <f>I14/2</f>
        <v>1026.6865</v>
      </c>
      <c r="L14" s="67">
        <v>1</v>
      </c>
      <c r="M14" s="23">
        <v>25.4</v>
      </c>
    </row>
    <row r="15" spans="1:14" x14ac:dyDescent="0.25">
      <c r="I15" s="4">
        <f>I13*39.3701</f>
        <v>80.841500347300013</v>
      </c>
      <c r="J15" s="7" t="s">
        <v>13</v>
      </c>
      <c r="K15" s="35" t="s">
        <v>81</v>
      </c>
      <c r="L15" s="66" t="s">
        <v>82</v>
      </c>
    </row>
    <row r="16" spans="1:14" x14ac:dyDescent="0.25">
      <c r="I16" s="5">
        <f>I15/12</f>
        <v>6.7367916956083347</v>
      </c>
      <c r="J16" s="7" t="s">
        <v>14</v>
      </c>
      <c r="K16" s="35">
        <f>I15/4</f>
        <v>20.210375086825003</v>
      </c>
      <c r="L16" s="64">
        <f>I15/2</f>
        <v>40.420750173650006</v>
      </c>
    </row>
    <row r="18" spans="9:13" x14ac:dyDescent="0.25">
      <c r="I18" s="8" t="s">
        <v>17</v>
      </c>
      <c r="L18" s="8" t="s">
        <v>17</v>
      </c>
    </row>
    <row r="19" spans="9:13" x14ac:dyDescent="0.25">
      <c r="I19" s="57">
        <f>I21/I14</f>
        <v>0.93504687165945977</v>
      </c>
      <c r="J19" s="7" t="s">
        <v>18</v>
      </c>
      <c r="L19" s="10">
        <v>2</v>
      </c>
      <c r="M19" s="7" t="s">
        <v>18</v>
      </c>
    </row>
    <row r="20" spans="9:13" x14ac:dyDescent="0.25">
      <c r="I20" s="1">
        <f>I19*I13</f>
        <v>1.92</v>
      </c>
      <c r="J20" s="7" t="s">
        <v>19</v>
      </c>
      <c r="L20" s="1">
        <f>L19*I13</f>
        <v>4.1067460000000002</v>
      </c>
      <c r="M20" s="7" t="s">
        <v>19</v>
      </c>
    </row>
    <row r="21" spans="9:13" x14ac:dyDescent="0.25">
      <c r="I21" s="56">
        <v>1920</v>
      </c>
      <c r="J21" s="7" t="s">
        <v>16</v>
      </c>
      <c r="L21" s="2">
        <f>L19*I14</f>
        <v>4106.7460000000001</v>
      </c>
      <c r="M21" s="7" t="s">
        <v>16</v>
      </c>
    </row>
    <row r="22" spans="9:13" x14ac:dyDescent="0.25">
      <c r="I22" s="4">
        <f>I19*I15</f>
        <v>75.590592000000001</v>
      </c>
      <c r="J22" s="7" t="s">
        <v>20</v>
      </c>
      <c r="L22" s="4">
        <f>L19*I15</f>
        <v>161.68300069460003</v>
      </c>
      <c r="M22" s="7" t="s">
        <v>20</v>
      </c>
    </row>
    <row r="23" spans="9:13" x14ac:dyDescent="0.25">
      <c r="I23" s="5">
        <f>I19*I16</f>
        <v>6.2992160000000013</v>
      </c>
      <c r="J23" s="7" t="s">
        <v>21</v>
      </c>
      <c r="L23" s="5">
        <f>L19*I16</f>
        <v>13.473583391216669</v>
      </c>
      <c r="M23" s="7" t="s">
        <v>21</v>
      </c>
    </row>
    <row r="25" spans="9:13" x14ac:dyDescent="0.25">
      <c r="I25" s="8" t="s">
        <v>23</v>
      </c>
    </row>
    <row r="26" spans="9:13" x14ac:dyDescent="0.25">
      <c r="I26" s="10">
        <v>0.75</v>
      </c>
      <c r="J26" s="7" t="s">
        <v>25</v>
      </c>
    </row>
    <row r="27" spans="9:13" x14ac:dyDescent="0.25">
      <c r="I27" s="24">
        <f>I26*M14</f>
        <v>19.049999999999997</v>
      </c>
      <c r="J27" s="7" t="s">
        <v>24</v>
      </c>
    </row>
    <row r="28" spans="9:13" x14ac:dyDescent="0.25">
      <c r="I28" s="25">
        <f>I27/I14</f>
        <v>9.2774181797462014E-3</v>
      </c>
      <c r="J28" s="7" t="s">
        <v>32</v>
      </c>
    </row>
    <row r="30" spans="9:13" x14ac:dyDescent="0.25">
      <c r="I30" s="8" t="s">
        <v>29</v>
      </c>
    </row>
    <row r="31" spans="9:13" x14ac:dyDescent="0.25">
      <c r="I31" s="24">
        <v>1.5</v>
      </c>
      <c r="J31" s="7" t="s">
        <v>24</v>
      </c>
    </row>
    <row r="33" spans="1:10" x14ac:dyDescent="0.25">
      <c r="I33" s="8" t="s">
        <v>31</v>
      </c>
    </row>
    <row r="34" spans="1:10" x14ac:dyDescent="0.25">
      <c r="I34" s="10">
        <v>0.25</v>
      </c>
      <c r="J34" s="7" t="s">
        <v>25</v>
      </c>
    </row>
    <row r="35" spans="1:10" x14ac:dyDescent="0.25">
      <c r="H35" s="40" t="s">
        <v>42</v>
      </c>
      <c r="I35" s="24">
        <f>I34*M14</f>
        <v>6.35</v>
      </c>
      <c r="J35" s="7" t="s">
        <v>24</v>
      </c>
    </row>
    <row r="36" spans="1:10" x14ac:dyDescent="0.25">
      <c r="H36" s="40" t="s">
        <v>43</v>
      </c>
      <c r="I36" s="37">
        <f>I35/I14</f>
        <v>3.0924727265820673E-3</v>
      </c>
      <c r="J36" s="7" t="s">
        <v>32</v>
      </c>
    </row>
    <row r="37" spans="1:10" x14ac:dyDescent="0.25">
      <c r="I37" s="38">
        <v>0.48599999999999999</v>
      </c>
      <c r="J37" s="39" t="s">
        <v>41</v>
      </c>
    </row>
    <row r="38" spans="1:10" x14ac:dyDescent="0.25">
      <c r="I38" s="38">
        <v>0.44700000000000001</v>
      </c>
      <c r="J38" s="39" t="s">
        <v>40</v>
      </c>
    </row>
    <row r="40" spans="1:10" x14ac:dyDescent="0.25">
      <c r="I40" s="8" t="s">
        <v>28</v>
      </c>
    </row>
    <row r="41" spans="1:10" x14ac:dyDescent="0.25">
      <c r="I41" s="10">
        <v>0.375</v>
      </c>
      <c r="J41" s="7" t="s">
        <v>25</v>
      </c>
    </row>
    <row r="42" spans="1:10" x14ac:dyDescent="0.25">
      <c r="I42" s="24">
        <f>I41*M14</f>
        <v>9.5249999999999986</v>
      </c>
      <c r="J42" s="7" t="s">
        <v>24</v>
      </c>
    </row>
    <row r="43" spans="1:10" x14ac:dyDescent="0.25">
      <c r="I43" s="25">
        <f>I42/I14</f>
        <v>4.6387090898731007E-3</v>
      </c>
      <c r="J43" s="7" t="s">
        <v>32</v>
      </c>
    </row>
    <row r="44" spans="1:10" x14ac:dyDescent="0.25">
      <c r="I44" s="8" t="s">
        <v>30</v>
      </c>
    </row>
    <row r="45" spans="1:10" x14ac:dyDescent="0.25">
      <c r="E45" s="8"/>
      <c r="I45" s="24">
        <v>1.7</v>
      </c>
      <c r="J45" s="7" t="s">
        <v>24</v>
      </c>
    </row>
    <row r="46" spans="1:10" ht="18.75" x14ac:dyDescent="0.3">
      <c r="A46" s="53" t="s">
        <v>67</v>
      </c>
      <c r="E46" s="8"/>
    </row>
    <row r="47" spans="1:10" x14ac:dyDescent="0.25">
      <c r="F47" s="26" t="s">
        <v>52</v>
      </c>
      <c r="G47" s="26" t="s">
        <v>53</v>
      </c>
      <c r="H47" s="26"/>
    </row>
    <row r="48" spans="1:10" x14ac:dyDescent="0.25">
      <c r="A48" s="8" t="s">
        <v>64</v>
      </c>
      <c r="F48" s="35">
        <v>8.9</v>
      </c>
      <c r="G48" s="35">
        <v>11</v>
      </c>
      <c r="H48" s="33" t="s">
        <v>17</v>
      </c>
    </row>
    <row r="49" spans="1:9" x14ac:dyDescent="0.25">
      <c r="A49" s="8" t="s">
        <v>33</v>
      </c>
      <c r="B49" s="26" t="s">
        <v>35</v>
      </c>
      <c r="C49" s="26" t="s">
        <v>51</v>
      </c>
      <c r="E49" s="26" t="s">
        <v>49</v>
      </c>
      <c r="F49" s="26" t="s">
        <v>54</v>
      </c>
      <c r="G49" s="26" t="s">
        <v>50</v>
      </c>
      <c r="H49" s="26" t="s">
        <v>36</v>
      </c>
      <c r="I49" s="33" t="s">
        <v>61</v>
      </c>
    </row>
    <row r="50" spans="1:9" x14ac:dyDescent="0.25">
      <c r="A50" s="8" t="s">
        <v>34</v>
      </c>
      <c r="B50" s="28">
        <v>30</v>
      </c>
      <c r="C50" s="48">
        <v>30</v>
      </c>
      <c r="E50" s="52">
        <v>1007</v>
      </c>
      <c r="F50" s="32">
        <f>E50 *$M$12</f>
        <v>39.645690700000003</v>
      </c>
      <c r="G50" s="51">
        <f t="shared" ref="G50:G55" si="0">E50/2</f>
        <v>503.5</v>
      </c>
      <c r="H50" s="55">
        <f t="shared" ref="H50:H56" si="1">C50*$M$12</f>
        <v>1.1811030000000002</v>
      </c>
      <c r="I50" s="28">
        <f t="shared" ref="I50:I55" si="2">(E50-19)/2</f>
        <v>494</v>
      </c>
    </row>
    <row r="51" spans="1:9" x14ac:dyDescent="0.25">
      <c r="A51" s="8" t="s">
        <v>2</v>
      </c>
      <c r="B51" s="28">
        <v>411</v>
      </c>
      <c r="C51" s="48">
        <f t="shared" ref="C51:C56" si="3">B51+C50</f>
        <v>441</v>
      </c>
      <c r="E51" s="52">
        <v>986</v>
      </c>
      <c r="F51" s="32">
        <f t="shared" ref="F51:F59" si="4">E51 *$M$12</f>
        <v>38.818918600000003</v>
      </c>
      <c r="G51" s="51">
        <f t="shared" si="0"/>
        <v>493</v>
      </c>
      <c r="H51" s="55">
        <f t="shared" si="1"/>
        <v>17.362214100000003</v>
      </c>
      <c r="I51" s="28">
        <f t="shared" si="2"/>
        <v>483.5</v>
      </c>
    </row>
    <row r="52" spans="1:9" x14ac:dyDescent="0.25">
      <c r="A52" s="8" t="s">
        <v>3</v>
      </c>
      <c r="B52" s="28">
        <v>154</v>
      </c>
      <c r="C52" s="48">
        <f t="shared" si="3"/>
        <v>595</v>
      </c>
      <c r="E52" s="52">
        <v>923</v>
      </c>
      <c r="F52" s="32">
        <f t="shared" si="4"/>
        <v>36.338602300000005</v>
      </c>
      <c r="G52" s="51">
        <f t="shared" si="0"/>
        <v>461.5</v>
      </c>
      <c r="H52" s="55">
        <f t="shared" si="1"/>
        <v>23.425209500000005</v>
      </c>
      <c r="I52" s="28">
        <f t="shared" si="2"/>
        <v>452</v>
      </c>
    </row>
    <row r="53" spans="1:9" x14ac:dyDescent="0.25">
      <c r="A53" s="8" t="s">
        <v>4</v>
      </c>
      <c r="B53" s="28">
        <v>370</v>
      </c>
      <c r="C53" s="48">
        <f t="shared" si="3"/>
        <v>965</v>
      </c>
      <c r="E53" s="52">
        <v>914</v>
      </c>
      <c r="F53" s="32">
        <f t="shared" si="4"/>
        <v>35.984271400000004</v>
      </c>
      <c r="G53" s="51">
        <f t="shared" si="0"/>
        <v>457</v>
      </c>
      <c r="H53" s="55">
        <f t="shared" si="1"/>
        <v>37.992146500000004</v>
      </c>
      <c r="I53" s="28">
        <f t="shared" si="2"/>
        <v>447.5</v>
      </c>
    </row>
    <row r="54" spans="1:9" x14ac:dyDescent="0.25">
      <c r="A54" s="8" t="s">
        <v>5</v>
      </c>
      <c r="B54" s="28">
        <v>442</v>
      </c>
      <c r="C54" s="48">
        <f t="shared" si="3"/>
        <v>1407</v>
      </c>
      <c r="E54" s="52">
        <v>906</v>
      </c>
      <c r="F54" s="32">
        <f t="shared" si="4"/>
        <v>35.669310600000003</v>
      </c>
      <c r="G54" s="51">
        <f t="shared" si="0"/>
        <v>453</v>
      </c>
      <c r="H54" s="55">
        <f t="shared" si="1"/>
        <v>55.393730700000006</v>
      </c>
      <c r="I54" s="28">
        <f t="shared" si="2"/>
        <v>443.5</v>
      </c>
    </row>
    <row r="55" spans="1:9" x14ac:dyDescent="0.25">
      <c r="A55" s="8" t="s">
        <v>6</v>
      </c>
      <c r="B55" s="28">
        <v>513</v>
      </c>
      <c r="C55" s="48">
        <f t="shared" si="3"/>
        <v>1920</v>
      </c>
      <c r="E55" s="52">
        <v>898</v>
      </c>
      <c r="F55" s="32">
        <f t="shared" si="4"/>
        <v>35.354349800000001</v>
      </c>
      <c r="G55" s="51">
        <f t="shared" si="0"/>
        <v>449</v>
      </c>
      <c r="H55" s="55">
        <f t="shared" si="1"/>
        <v>75.590592000000015</v>
      </c>
      <c r="I55" s="28">
        <f t="shared" si="2"/>
        <v>439.5</v>
      </c>
    </row>
    <row r="56" spans="1:9" x14ac:dyDescent="0.25">
      <c r="A56" s="8" t="s">
        <v>57</v>
      </c>
      <c r="B56" s="28">
        <v>30</v>
      </c>
      <c r="C56" s="48">
        <f t="shared" si="3"/>
        <v>1950</v>
      </c>
      <c r="E56" s="31"/>
      <c r="F56" s="31"/>
      <c r="G56" s="51"/>
      <c r="H56" s="55">
        <f t="shared" si="1"/>
        <v>76.771695000000008</v>
      </c>
    </row>
    <row r="57" spans="1:9" x14ac:dyDescent="0.25">
      <c r="A57" s="8" t="s">
        <v>71</v>
      </c>
      <c r="B57" s="28">
        <v>2</v>
      </c>
      <c r="C57" s="60">
        <f>B57*25.4</f>
        <v>50.8</v>
      </c>
      <c r="D57" s="26"/>
      <c r="E57" s="48">
        <f>E51+C57</f>
        <v>1036.8</v>
      </c>
      <c r="F57" s="59" t="s">
        <v>69</v>
      </c>
    </row>
    <row r="58" spans="1:9" x14ac:dyDescent="0.25">
      <c r="A58" s="8" t="s">
        <v>72</v>
      </c>
      <c r="B58" s="28">
        <v>1.5</v>
      </c>
      <c r="C58" s="60">
        <f>B58*25.4</f>
        <v>38.099999999999994</v>
      </c>
      <c r="D58" s="26"/>
      <c r="E58" s="48">
        <f>(E51+C58) /2</f>
        <v>512.04999999999995</v>
      </c>
      <c r="F58" s="59" t="s">
        <v>73</v>
      </c>
    </row>
    <row r="59" spans="1:9" x14ac:dyDescent="0.25">
      <c r="A59" s="8" t="s">
        <v>56</v>
      </c>
      <c r="E59" s="52">
        <v>770</v>
      </c>
      <c r="F59" s="32">
        <f t="shared" si="4"/>
        <v>30.314977000000003</v>
      </c>
      <c r="G59" s="49"/>
    </row>
    <row r="60" spans="1:9" x14ac:dyDescent="0.25">
      <c r="B60" s="28"/>
      <c r="C60" s="50"/>
      <c r="D60" s="28"/>
      <c r="E60" s="29"/>
      <c r="F60" s="49"/>
      <c r="G60" s="28"/>
      <c r="H60" s="26"/>
    </row>
    <row r="61" spans="1:9" x14ac:dyDescent="0.25">
      <c r="A61" s="8" t="s">
        <v>65</v>
      </c>
    </row>
    <row r="62" spans="1:9" x14ac:dyDescent="0.25">
      <c r="A62" s="8" t="s">
        <v>33</v>
      </c>
      <c r="B62" s="26" t="s">
        <v>35</v>
      </c>
      <c r="C62" s="26" t="s">
        <v>51</v>
      </c>
      <c r="E62" s="26" t="s">
        <v>49</v>
      </c>
      <c r="F62" s="26" t="s">
        <v>54</v>
      </c>
      <c r="G62" s="26" t="s">
        <v>50</v>
      </c>
    </row>
    <row r="63" spans="1:9" x14ac:dyDescent="0.25">
      <c r="A63" s="8" t="s">
        <v>34</v>
      </c>
      <c r="B63" s="28">
        <v>95</v>
      </c>
      <c r="C63" s="48">
        <v>95</v>
      </c>
      <c r="E63" s="52">
        <v>1007</v>
      </c>
      <c r="F63" s="32">
        <f t="shared" ref="F63:F68" si="5">E63 *$M$12</f>
        <v>39.645690700000003</v>
      </c>
      <c r="G63" s="51">
        <f t="shared" ref="G63:G68" si="6">E63/2</f>
        <v>503.5</v>
      </c>
    </row>
    <row r="64" spans="1:9" x14ac:dyDescent="0.25">
      <c r="A64" s="8" t="s">
        <v>2</v>
      </c>
      <c r="B64" s="28">
        <v>411</v>
      </c>
      <c r="C64" s="48">
        <f t="shared" ref="C64:C69" si="7">B64+C63</f>
        <v>506</v>
      </c>
      <c r="E64" s="52">
        <v>986</v>
      </c>
      <c r="F64" s="32">
        <f t="shared" si="5"/>
        <v>38.818918600000003</v>
      </c>
      <c r="G64" s="51">
        <f t="shared" si="6"/>
        <v>493</v>
      </c>
    </row>
    <row r="65" spans="1:7" x14ac:dyDescent="0.25">
      <c r="A65" s="8" t="s">
        <v>3</v>
      </c>
      <c r="B65" s="28">
        <v>154</v>
      </c>
      <c r="C65" s="48">
        <f t="shared" si="7"/>
        <v>660</v>
      </c>
      <c r="E65" s="52">
        <v>923</v>
      </c>
      <c r="F65" s="32">
        <f t="shared" si="5"/>
        <v>36.338602300000005</v>
      </c>
      <c r="G65" s="51">
        <f t="shared" si="6"/>
        <v>461.5</v>
      </c>
    </row>
    <row r="66" spans="1:7" x14ac:dyDescent="0.25">
      <c r="A66" s="8" t="s">
        <v>4</v>
      </c>
      <c r="B66" s="28">
        <v>370</v>
      </c>
      <c r="C66" s="48">
        <f t="shared" si="7"/>
        <v>1030</v>
      </c>
      <c r="E66" s="52">
        <v>914</v>
      </c>
      <c r="F66" s="32">
        <f t="shared" si="5"/>
        <v>35.984271400000004</v>
      </c>
      <c r="G66" s="51">
        <f t="shared" si="6"/>
        <v>457</v>
      </c>
    </row>
    <row r="67" spans="1:7" x14ac:dyDescent="0.25">
      <c r="A67" s="8" t="s">
        <v>5</v>
      </c>
      <c r="B67" s="28">
        <v>442</v>
      </c>
      <c r="C67" s="48">
        <f t="shared" si="7"/>
        <v>1472</v>
      </c>
      <c r="E67" s="52">
        <v>906</v>
      </c>
      <c r="F67" s="32">
        <f t="shared" si="5"/>
        <v>35.669310600000003</v>
      </c>
      <c r="G67" s="51">
        <f t="shared" si="6"/>
        <v>453</v>
      </c>
    </row>
    <row r="68" spans="1:7" x14ac:dyDescent="0.25">
      <c r="A68" s="8" t="s">
        <v>6</v>
      </c>
      <c r="B68" s="28">
        <v>513</v>
      </c>
      <c r="C68" s="48">
        <f t="shared" si="7"/>
        <v>1985</v>
      </c>
      <c r="E68" s="52">
        <v>899</v>
      </c>
      <c r="F68" s="32">
        <f t="shared" si="5"/>
        <v>35.393719900000008</v>
      </c>
      <c r="G68" s="51">
        <f t="shared" si="6"/>
        <v>449.5</v>
      </c>
    </row>
    <row r="69" spans="1:7" x14ac:dyDescent="0.25">
      <c r="A69" s="8" t="s">
        <v>57</v>
      </c>
      <c r="B69" s="28">
        <v>30</v>
      </c>
      <c r="C69" s="48">
        <f t="shared" si="7"/>
        <v>2015</v>
      </c>
      <c r="F69" s="27" t="s">
        <v>68</v>
      </c>
      <c r="G69" s="47">
        <f>C69*$M$12</f>
        <v>79.330751500000005</v>
      </c>
    </row>
    <row r="70" spans="1:7" x14ac:dyDescent="0.25">
      <c r="A70" s="8"/>
      <c r="B70" s="28"/>
    </row>
    <row r="71" spans="1:7" x14ac:dyDescent="0.25">
      <c r="A71" s="8" t="s">
        <v>33</v>
      </c>
      <c r="B71" s="33" t="s">
        <v>61</v>
      </c>
    </row>
    <row r="72" spans="1:7" x14ac:dyDescent="0.25">
      <c r="A72" s="8" t="s">
        <v>34</v>
      </c>
      <c r="B72" s="30">
        <f t="shared" ref="B72:B77" si="8">(E63-19)/2</f>
        <v>494</v>
      </c>
    </row>
    <row r="73" spans="1:7" x14ac:dyDescent="0.25">
      <c r="A73" s="8" t="s">
        <v>2</v>
      </c>
      <c r="B73" s="30">
        <f t="shared" si="8"/>
        <v>483.5</v>
      </c>
    </row>
    <row r="74" spans="1:7" x14ac:dyDescent="0.25">
      <c r="A74" s="8" t="s">
        <v>3</v>
      </c>
      <c r="B74" s="30">
        <f t="shared" si="8"/>
        <v>452</v>
      </c>
    </row>
    <row r="75" spans="1:7" x14ac:dyDescent="0.25">
      <c r="A75" s="8" t="s">
        <v>4</v>
      </c>
      <c r="B75" s="30">
        <f t="shared" si="8"/>
        <v>447.5</v>
      </c>
    </row>
    <row r="76" spans="1:7" x14ac:dyDescent="0.25">
      <c r="A76" s="8" t="s">
        <v>5</v>
      </c>
      <c r="B76" s="30">
        <f t="shared" si="8"/>
        <v>443.5</v>
      </c>
    </row>
    <row r="77" spans="1:7" x14ac:dyDescent="0.25">
      <c r="A77" s="8" t="s">
        <v>6</v>
      </c>
      <c r="B77" s="30">
        <f t="shared" si="8"/>
        <v>440</v>
      </c>
    </row>
    <row r="79" spans="1:7" x14ac:dyDescent="0.25">
      <c r="A79" s="8" t="s">
        <v>58</v>
      </c>
      <c r="E79" s="52">
        <v>770</v>
      </c>
      <c r="F79" s="32">
        <f>E79 *$M$12</f>
        <v>30.314977000000003</v>
      </c>
      <c r="G79" s="49"/>
    </row>
    <row r="303" spans="5:6" ht="15.75" x14ac:dyDescent="0.25">
      <c r="E303" s="34">
        <v>146</v>
      </c>
      <c r="F303" s="10" t="s">
        <v>12</v>
      </c>
    </row>
    <row r="304" spans="5:6" x14ac:dyDescent="0.25">
      <c r="E304" s="1">
        <f>$I$7/E303</f>
        <v>2.0533730000000001</v>
      </c>
      <c r="F304" s="7" t="s">
        <v>0</v>
      </c>
    </row>
    <row r="305" spans="1:7" x14ac:dyDescent="0.25">
      <c r="E305" s="2">
        <f>$I$7/E303*1000</f>
        <v>2053.373</v>
      </c>
      <c r="F305" s="7" t="s">
        <v>1</v>
      </c>
    </row>
    <row r="306" spans="1:7" x14ac:dyDescent="0.25">
      <c r="E306" s="4">
        <f>E304*39.3701</f>
        <v>80.841500347300013</v>
      </c>
      <c r="F306" s="7" t="s">
        <v>13</v>
      </c>
    </row>
    <row r="307" spans="1:7" x14ac:dyDescent="0.25">
      <c r="E307" s="5">
        <f>E306/12</f>
        <v>6.7367916956083347</v>
      </c>
      <c r="F307" s="7" t="s">
        <v>14</v>
      </c>
    </row>
    <row r="314" spans="1:7" ht="15.75" x14ac:dyDescent="0.25">
      <c r="A314" s="72" t="s">
        <v>103</v>
      </c>
    </row>
    <row r="315" spans="1:7" x14ac:dyDescent="0.25">
      <c r="A315" s="8" t="s">
        <v>48</v>
      </c>
      <c r="C315" s="8" t="s">
        <v>74</v>
      </c>
      <c r="E315" s="8" t="s">
        <v>102</v>
      </c>
      <c r="F315" s="27" t="s">
        <v>104</v>
      </c>
      <c r="G315" s="26" t="s">
        <v>36</v>
      </c>
    </row>
    <row r="316" spans="1:7" x14ac:dyDescent="0.25">
      <c r="A316" s="65" t="s">
        <v>107</v>
      </c>
      <c r="C316" s="63">
        <v>0.66</v>
      </c>
      <c r="E316" s="70">
        <f>$I$14/2</f>
        <v>1026.6865</v>
      </c>
      <c r="F316" s="73">
        <f>E316*C316</f>
        <v>677.61309000000006</v>
      </c>
      <c r="G316" s="74">
        <f>F316*$M$12</f>
        <v>26.677695114609005</v>
      </c>
    </row>
    <row r="317" spans="1:7" x14ac:dyDescent="0.25">
      <c r="A317" s="65" t="s">
        <v>106</v>
      </c>
      <c r="C317" s="63">
        <v>0.82</v>
      </c>
      <c r="E317" s="70">
        <f>$I$14/2</f>
        <v>1026.6865</v>
      </c>
      <c r="F317" s="73">
        <f>E317*C317</f>
        <v>841.88292999999999</v>
      </c>
      <c r="G317" s="74">
        <f>F317*$M$12</f>
        <v>33.145015142393007</v>
      </c>
    </row>
    <row r="318" spans="1:7" ht="15.75" x14ac:dyDescent="0.25">
      <c r="A318" s="61" t="s">
        <v>112</v>
      </c>
      <c r="C318" s="61">
        <v>0.81</v>
      </c>
      <c r="D318" s="72"/>
      <c r="E318" s="71">
        <f>$I$14/2</f>
        <v>1026.6865</v>
      </c>
      <c r="F318" s="75">
        <f>E318*C318</f>
        <v>831.61606500000005</v>
      </c>
      <c r="G318" s="74">
        <f>F318*$M$12</f>
        <v>32.740807640656506</v>
      </c>
    </row>
    <row r="319" spans="1:7" x14ac:dyDescent="0.25">
      <c r="A319" s="65" t="s">
        <v>84</v>
      </c>
      <c r="B319" t="s">
        <v>108</v>
      </c>
      <c r="C319" s="63">
        <v>0.75</v>
      </c>
      <c r="E319" s="70">
        <f>$I$14/2</f>
        <v>1026.6865</v>
      </c>
      <c r="F319" s="73">
        <f>E319*C319</f>
        <v>770.01487500000007</v>
      </c>
      <c r="G319" s="74">
        <f>F319*$M$12</f>
        <v>30.315562630237508</v>
      </c>
    </row>
    <row r="321" spans="1:7" ht="15.75" x14ac:dyDescent="0.25">
      <c r="A321" s="72" t="s">
        <v>105</v>
      </c>
    </row>
    <row r="322" spans="1:7" x14ac:dyDescent="0.25">
      <c r="A322" s="54" t="s">
        <v>109</v>
      </c>
    </row>
    <row r="323" spans="1:7" x14ac:dyDescent="0.25">
      <c r="A323" s="8" t="s">
        <v>110</v>
      </c>
      <c r="B323" s="8" t="s">
        <v>48</v>
      </c>
      <c r="C323" s="8" t="s">
        <v>74</v>
      </c>
      <c r="E323" s="8"/>
      <c r="F323" s="27" t="s">
        <v>111</v>
      </c>
      <c r="G323" s="26" t="s">
        <v>36</v>
      </c>
    </row>
    <row r="324" spans="1:7" x14ac:dyDescent="0.25">
      <c r="A324" s="63">
        <v>8.1500000000000003E-2</v>
      </c>
      <c r="B324" t="s">
        <v>114</v>
      </c>
      <c r="C324" s="63">
        <v>0.82</v>
      </c>
      <c r="F324" s="73">
        <f>$E$305*A324*C324</f>
        <v>137.22691759</v>
      </c>
      <c r="G324" s="74">
        <f>F324*$M$12</f>
        <v>5.4026374682100595</v>
      </c>
    </row>
    <row r="325" spans="1:7" x14ac:dyDescent="0.25">
      <c r="A325" s="63">
        <v>8.1500000000000003E-2</v>
      </c>
      <c r="B325" t="s">
        <v>113</v>
      </c>
      <c r="C325" s="63">
        <v>0.81</v>
      </c>
      <c r="F325" s="73">
        <f>$E$305*A325*C325</f>
        <v>135.55341859500004</v>
      </c>
      <c r="G325" s="74">
        <f>F325*$M$12</f>
        <v>5.3367516454270119</v>
      </c>
    </row>
  </sheetData>
  <hyperlinks>
    <hyperlink ref="F2" r:id="rId1" xr:uid="{8E6C0778-9FE0-4884-B39C-63B152D959DD}"/>
    <hyperlink ref="A322" r:id="rId2" xr:uid="{5642465E-E1C5-42FD-B5D3-0CAEB24A9E5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FE89-E661-4E24-83EF-06025B05B644}">
  <dimension ref="A1:N325"/>
  <sheetViews>
    <sheetView zoomScaleNormal="100" workbookViewId="0"/>
  </sheetViews>
  <sheetFormatPr defaultRowHeight="15" x14ac:dyDescent="0.25"/>
  <cols>
    <col min="1" max="1" width="9" customWidth="1"/>
    <col min="2" max="2" width="12.7109375" customWidth="1"/>
    <col min="3" max="3" width="20.7109375" customWidth="1"/>
    <col min="4" max="4" width="3.140625" customWidth="1"/>
    <col min="5" max="5" width="12.7109375" customWidth="1"/>
    <col min="6" max="6" width="23" customWidth="1"/>
    <col min="7" max="7" width="9.140625" customWidth="1"/>
    <col min="8" max="8" width="10.42578125" bestFit="1" customWidth="1"/>
    <col min="9" max="9" width="11.5703125" customWidth="1"/>
    <col min="10" max="10" width="37.7109375" customWidth="1"/>
    <col min="12" max="12" width="11.85546875" bestFit="1" customWidth="1"/>
    <col min="13" max="13" width="17.28515625" bestFit="1" customWidth="1"/>
  </cols>
  <sheetData>
    <row r="1" spans="1:14" ht="26.25" x14ac:dyDescent="0.4">
      <c r="A1" s="9" t="s">
        <v>115</v>
      </c>
      <c r="F1" s="8"/>
    </row>
    <row r="2" spans="1:14" ht="18.75" x14ac:dyDescent="0.3">
      <c r="A2" s="19" t="s">
        <v>27</v>
      </c>
      <c r="B2" s="36">
        <v>44616</v>
      </c>
      <c r="C2" t="s">
        <v>60</v>
      </c>
      <c r="F2" s="54" t="s">
        <v>59</v>
      </c>
    </row>
    <row r="4" spans="1:14" x14ac:dyDescent="0.25">
      <c r="L4" s="8" t="s">
        <v>39</v>
      </c>
    </row>
    <row r="5" spans="1:14" x14ac:dyDescent="0.25">
      <c r="I5" s="8" t="s">
        <v>22</v>
      </c>
      <c r="L5" s="26" t="s">
        <v>37</v>
      </c>
      <c r="M5" s="26" t="s">
        <v>38</v>
      </c>
      <c r="N5" s="44" t="s">
        <v>45</v>
      </c>
    </row>
    <row r="6" spans="1:14" x14ac:dyDescent="0.25">
      <c r="I6" s="11">
        <v>299792458</v>
      </c>
      <c r="J6" s="7" t="s">
        <v>22</v>
      </c>
      <c r="L6" s="3">
        <v>462</v>
      </c>
      <c r="M6" s="15">
        <f>L6*M12</f>
        <v>18.188986200000002</v>
      </c>
      <c r="N6" s="43">
        <f>L6/2</f>
        <v>231</v>
      </c>
    </row>
    <row r="7" spans="1:14" x14ac:dyDescent="0.25">
      <c r="I7" s="12">
        <f>I6/1000000</f>
        <v>299.79245800000001</v>
      </c>
      <c r="J7" s="7" t="s">
        <v>44</v>
      </c>
      <c r="L7" s="16">
        <f>M7*M14</f>
        <v>50.8</v>
      </c>
      <c r="M7" s="41">
        <v>2</v>
      </c>
      <c r="N7" s="43">
        <f>L7/2</f>
        <v>25.4</v>
      </c>
    </row>
    <row r="9" spans="1:14" x14ac:dyDescent="0.25">
      <c r="I9" s="8" t="s">
        <v>46</v>
      </c>
      <c r="L9" s="8" t="s">
        <v>26</v>
      </c>
    </row>
    <row r="10" spans="1:14" x14ac:dyDescent="0.25">
      <c r="I10" s="46">
        <v>0.94</v>
      </c>
      <c r="J10" s="7" t="s">
        <v>47</v>
      </c>
      <c r="L10" s="13">
        <v>1</v>
      </c>
      <c r="M10" s="15">
        <v>39.370100000000001</v>
      </c>
    </row>
    <row r="11" spans="1:14" ht="15.75" x14ac:dyDescent="0.25">
      <c r="I11" s="18" t="s">
        <v>15</v>
      </c>
      <c r="L11" s="17">
        <v>1</v>
      </c>
      <c r="M11" s="15">
        <f>M10/100</f>
        <v>0.39370100000000002</v>
      </c>
    </row>
    <row r="12" spans="1:14" ht="15.75" x14ac:dyDescent="0.25">
      <c r="I12" s="34">
        <v>437</v>
      </c>
      <c r="J12" s="6" t="s">
        <v>12</v>
      </c>
      <c r="L12" s="16">
        <v>1</v>
      </c>
      <c r="M12" s="21">
        <f>M11/10</f>
        <v>3.9370100000000005E-2</v>
      </c>
    </row>
    <row r="13" spans="1:14" x14ac:dyDescent="0.25">
      <c r="I13" s="1">
        <f>I7/I12</f>
        <v>0.68602393135011441</v>
      </c>
      <c r="J13" s="7" t="s">
        <v>0</v>
      </c>
      <c r="L13" s="20">
        <v>1</v>
      </c>
      <c r="M13" s="22">
        <v>0.30480000000000002</v>
      </c>
    </row>
    <row r="14" spans="1:14" x14ac:dyDescent="0.25">
      <c r="I14" s="2">
        <f>I7/I12*1000</f>
        <v>686.02393135011437</v>
      </c>
      <c r="J14" s="7" t="s">
        <v>1</v>
      </c>
      <c r="L14" s="14">
        <v>1</v>
      </c>
      <c r="M14" s="23">
        <v>25.4</v>
      </c>
    </row>
    <row r="15" spans="1:14" x14ac:dyDescent="0.25">
      <c r="I15" s="4">
        <f>I13*39.3701</f>
        <v>27.008830779647141</v>
      </c>
      <c r="J15" s="7" t="s">
        <v>13</v>
      </c>
    </row>
    <row r="16" spans="1:14" x14ac:dyDescent="0.25">
      <c r="I16" s="5">
        <f>I15/12</f>
        <v>2.2507358983039283</v>
      </c>
      <c r="J16" s="7" t="s">
        <v>14</v>
      </c>
    </row>
    <row r="17" spans="9:13" x14ac:dyDescent="0.25">
      <c r="I17" s="42">
        <v>689.17806436781609</v>
      </c>
    </row>
    <row r="18" spans="9:13" x14ac:dyDescent="0.25">
      <c r="I18" s="8" t="s">
        <v>17</v>
      </c>
      <c r="L18" s="8" t="s">
        <v>17</v>
      </c>
    </row>
    <row r="19" spans="9:13" x14ac:dyDescent="0.25">
      <c r="I19" s="57">
        <f>I21/I14</f>
        <v>2.5451007176438041</v>
      </c>
      <c r="J19" s="7" t="s">
        <v>18</v>
      </c>
      <c r="L19" s="10">
        <v>2</v>
      </c>
      <c r="M19" s="7" t="s">
        <v>18</v>
      </c>
    </row>
    <row r="20" spans="9:13" x14ac:dyDescent="0.25">
      <c r="I20" s="1">
        <f>I19*I13</f>
        <v>1.746</v>
      </c>
      <c r="J20" s="7" t="s">
        <v>19</v>
      </c>
      <c r="L20" s="1">
        <f>L19*I13</f>
        <v>1.3720478627002288</v>
      </c>
      <c r="M20" s="7" t="s">
        <v>19</v>
      </c>
    </row>
    <row r="21" spans="9:13" x14ac:dyDescent="0.25">
      <c r="I21" s="56">
        <v>1746</v>
      </c>
      <c r="J21" s="7" t="s">
        <v>16</v>
      </c>
      <c r="L21" s="2">
        <f>L19*I14</f>
        <v>1372.0478627002287</v>
      </c>
      <c r="M21" s="7" t="s">
        <v>16</v>
      </c>
    </row>
    <row r="22" spans="9:13" x14ac:dyDescent="0.25">
      <c r="I22" s="4">
        <f>I19*I15</f>
        <v>68.740194600000009</v>
      </c>
      <c r="J22" s="7" t="s">
        <v>20</v>
      </c>
      <c r="L22" s="4">
        <f>L19*I15</f>
        <v>54.017661559294282</v>
      </c>
      <c r="M22" s="7" t="s">
        <v>20</v>
      </c>
    </row>
    <row r="23" spans="9:13" x14ac:dyDescent="0.25">
      <c r="I23" s="5">
        <f>I19*I16</f>
        <v>5.7283495499999999</v>
      </c>
      <c r="J23" s="7" t="s">
        <v>21</v>
      </c>
      <c r="L23" s="5">
        <f>L19*I16</f>
        <v>4.5014717966078566</v>
      </c>
      <c r="M23" s="7" t="s">
        <v>21</v>
      </c>
    </row>
    <row r="25" spans="9:13" x14ac:dyDescent="0.25">
      <c r="I25" s="8" t="s">
        <v>23</v>
      </c>
    </row>
    <row r="26" spans="9:13" x14ac:dyDescent="0.25">
      <c r="I26" s="10">
        <v>0.75</v>
      </c>
      <c r="J26" s="7" t="s">
        <v>25</v>
      </c>
    </row>
    <row r="27" spans="9:13" x14ac:dyDescent="0.25">
      <c r="I27" s="24">
        <f>I26*M14</f>
        <v>19.049999999999997</v>
      </c>
      <c r="J27" s="7" t="s">
        <v>24</v>
      </c>
    </row>
    <row r="28" spans="9:13" x14ac:dyDescent="0.25">
      <c r="I28" s="25">
        <f>I27/I14</f>
        <v>2.7768710579103358E-2</v>
      </c>
      <c r="J28" s="7" t="s">
        <v>32</v>
      </c>
    </row>
    <row r="30" spans="9:13" x14ac:dyDescent="0.25">
      <c r="I30" s="8" t="s">
        <v>29</v>
      </c>
    </row>
    <row r="31" spans="9:13" x14ac:dyDescent="0.25">
      <c r="I31" s="24">
        <v>1.5</v>
      </c>
      <c r="J31" s="7" t="s">
        <v>24</v>
      </c>
    </row>
    <row r="33" spans="1:10" x14ac:dyDescent="0.25">
      <c r="I33" s="8" t="s">
        <v>31</v>
      </c>
    </row>
    <row r="34" spans="1:10" x14ac:dyDescent="0.25">
      <c r="I34" s="10">
        <v>0.25</v>
      </c>
      <c r="J34" s="7" t="s">
        <v>25</v>
      </c>
    </row>
    <row r="35" spans="1:10" x14ac:dyDescent="0.25">
      <c r="H35" s="40" t="s">
        <v>42</v>
      </c>
      <c r="I35" s="24">
        <f>I34*M14</f>
        <v>6.35</v>
      </c>
      <c r="J35" s="7" t="s">
        <v>24</v>
      </c>
    </row>
    <row r="36" spans="1:10" x14ac:dyDescent="0.25">
      <c r="H36" s="40" t="s">
        <v>43</v>
      </c>
      <c r="I36" s="37">
        <f>I35/I14</f>
        <v>9.2562368597011203E-3</v>
      </c>
      <c r="J36" s="7" t="s">
        <v>32</v>
      </c>
    </row>
    <row r="37" spans="1:10" x14ac:dyDescent="0.25">
      <c r="I37" s="38">
        <v>0.48599999999999999</v>
      </c>
      <c r="J37" s="39" t="s">
        <v>41</v>
      </c>
    </row>
    <row r="38" spans="1:10" x14ac:dyDescent="0.25">
      <c r="I38" s="38">
        <v>0.44700000000000001</v>
      </c>
      <c r="J38" s="39" t="s">
        <v>40</v>
      </c>
    </row>
    <row r="40" spans="1:10" x14ac:dyDescent="0.25">
      <c r="I40" s="8" t="s">
        <v>28</v>
      </c>
    </row>
    <row r="41" spans="1:10" x14ac:dyDescent="0.25">
      <c r="I41" s="10">
        <v>0.375</v>
      </c>
      <c r="J41" s="7" t="s">
        <v>25</v>
      </c>
    </row>
    <row r="42" spans="1:10" x14ac:dyDescent="0.25">
      <c r="I42" s="24">
        <f>I41*M14</f>
        <v>9.5249999999999986</v>
      </c>
      <c r="J42" s="7" t="s">
        <v>24</v>
      </c>
    </row>
    <row r="43" spans="1:10" x14ac:dyDescent="0.25">
      <c r="I43" s="25">
        <f>I42/I14</f>
        <v>1.3884355289551679E-2</v>
      </c>
      <c r="J43" s="7" t="s">
        <v>32</v>
      </c>
    </row>
    <row r="44" spans="1:10" x14ac:dyDescent="0.25">
      <c r="I44" s="8" t="s">
        <v>30</v>
      </c>
    </row>
    <row r="45" spans="1:10" x14ac:dyDescent="0.25">
      <c r="E45" s="8"/>
      <c r="I45" s="24">
        <v>1.7</v>
      </c>
      <c r="J45" s="7" t="s">
        <v>24</v>
      </c>
    </row>
    <row r="46" spans="1:10" ht="18.75" x14ac:dyDescent="0.3">
      <c r="A46" s="53" t="s">
        <v>66</v>
      </c>
      <c r="E46" s="8"/>
    </row>
    <row r="47" spans="1:10" x14ac:dyDescent="0.25">
      <c r="F47" s="26" t="s">
        <v>52</v>
      </c>
      <c r="G47" s="26" t="s">
        <v>53</v>
      </c>
      <c r="H47" s="26"/>
    </row>
    <row r="48" spans="1:10" x14ac:dyDescent="0.25">
      <c r="A48" s="8" t="s">
        <v>62</v>
      </c>
      <c r="F48" s="35">
        <v>12.2</v>
      </c>
      <c r="G48" s="35">
        <v>14.4</v>
      </c>
    </row>
    <row r="49" spans="1:11" x14ac:dyDescent="0.25">
      <c r="A49" s="8" t="s">
        <v>33</v>
      </c>
      <c r="B49" s="8" t="s">
        <v>35</v>
      </c>
      <c r="C49" s="8" t="s">
        <v>51</v>
      </c>
      <c r="E49" s="8" t="s">
        <v>49</v>
      </c>
      <c r="F49" s="8" t="s">
        <v>54</v>
      </c>
      <c r="G49" s="8" t="s">
        <v>50</v>
      </c>
      <c r="H49" s="8" t="s">
        <v>52</v>
      </c>
      <c r="I49" s="8" t="s">
        <v>53</v>
      </c>
      <c r="J49" s="26" t="s">
        <v>61</v>
      </c>
    </row>
    <row r="50" spans="1:11" x14ac:dyDescent="0.25">
      <c r="A50" s="8" t="s">
        <v>34</v>
      </c>
      <c r="B50" s="28">
        <v>30</v>
      </c>
      <c r="C50" s="48">
        <v>30</v>
      </c>
      <c r="E50" s="52">
        <v>341</v>
      </c>
      <c r="F50" s="32">
        <f>E50 *$M$12</f>
        <v>13.425204100000002</v>
      </c>
      <c r="G50" s="51">
        <f t="shared" ref="G50:G60" si="0">E50/2</f>
        <v>170.5</v>
      </c>
      <c r="J50" s="28">
        <f t="shared" ref="J50:J60" si="1">(E50-19)/2</f>
        <v>161</v>
      </c>
      <c r="K50" s="52">
        <f>E50+5</f>
        <v>346</v>
      </c>
    </row>
    <row r="51" spans="1:11" x14ac:dyDescent="0.25">
      <c r="A51" s="8" t="s">
        <v>2</v>
      </c>
      <c r="B51" s="28">
        <v>138</v>
      </c>
      <c r="C51" s="48">
        <f>B51+C50</f>
        <v>168</v>
      </c>
      <c r="E51" s="52">
        <v>325</v>
      </c>
      <c r="F51" s="32">
        <f t="shared" ref="F51:F60" si="2">E51 *$M$12</f>
        <v>12.795282500000001</v>
      </c>
      <c r="G51" s="51">
        <f t="shared" si="0"/>
        <v>162.5</v>
      </c>
      <c r="J51" s="28">
        <f t="shared" si="1"/>
        <v>153</v>
      </c>
      <c r="K51" s="52">
        <f t="shared" ref="K51:K60" si="3">E51+5</f>
        <v>330</v>
      </c>
    </row>
    <row r="52" spans="1:11" x14ac:dyDescent="0.25">
      <c r="A52" s="8" t="s">
        <v>3</v>
      </c>
      <c r="B52" s="28">
        <v>52</v>
      </c>
      <c r="C52" s="48">
        <f t="shared" ref="C52:C60" si="4">B52+C51</f>
        <v>220</v>
      </c>
      <c r="E52" s="52">
        <v>301</v>
      </c>
      <c r="F52" s="32">
        <f t="shared" si="2"/>
        <v>11.850400100000002</v>
      </c>
      <c r="G52" s="51">
        <f t="shared" si="0"/>
        <v>150.5</v>
      </c>
      <c r="H52" s="35">
        <v>4.8</v>
      </c>
      <c r="I52" s="35">
        <v>6.9</v>
      </c>
      <c r="J52" s="28">
        <f t="shared" si="1"/>
        <v>141</v>
      </c>
      <c r="K52" s="52">
        <f t="shared" si="3"/>
        <v>306</v>
      </c>
    </row>
    <row r="53" spans="1:11" x14ac:dyDescent="0.25">
      <c r="A53" s="8" t="s">
        <v>4</v>
      </c>
      <c r="B53" s="28">
        <v>124</v>
      </c>
      <c r="C53" s="48">
        <f t="shared" si="4"/>
        <v>344</v>
      </c>
      <c r="E53" s="52">
        <v>297</v>
      </c>
      <c r="F53" s="32">
        <f t="shared" si="2"/>
        <v>11.692919700000001</v>
      </c>
      <c r="G53" s="51">
        <f t="shared" si="0"/>
        <v>148.5</v>
      </c>
      <c r="H53" s="35">
        <v>6.5</v>
      </c>
      <c r="I53" s="35">
        <v>8.6</v>
      </c>
      <c r="J53" s="28">
        <f t="shared" si="1"/>
        <v>139</v>
      </c>
      <c r="K53" s="52">
        <f t="shared" si="3"/>
        <v>302</v>
      </c>
    </row>
    <row r="54" spans="1:11" x14ac:dyDescent="0.25">
      <c r="A54" s="8" t="s">
        <v>5</v>
      </c>
      <c r="B54" s="28">
        <v>148</v>
      </c>
      <c r="C54" s="48">
        <f t="shared" si="4"/>
        <v>492</v>
      </c>
      <c r="E54" s="52">
        <v>294</v>
      </c>
      <c r="F54" s="32">
        <f t="shared" si="2"/>
        <v>11.574809400000001</v>
      </c>
      <c r="G54" s="51">
        <f t="shared" si="0"/>
        <v>147</v>
      </c>
      <c r="H54" s="35">
        <v>7.8</v>
      </c>
      <c r="I54" s="35">
        <v>9.9</v>
      </c>
      <c r="J54" s="28">
        <f t="shared" si="1"/>
        <v>137.5</v>
      </c>
      <c r="K54" s="52">
        <f t="shared" si="3"/>
        <v>299</v>
      </c>
    </row>
    <row r="55" spans="1:11" x14ac:dyDescent="0.25">
      <c r="A55" s="8" t="s">
        <v>6</v>
      </c>
      <c r="B55" s="28">
        <v>172</v>
      </c>
      <c r="C55" s="48">
        <f t="shared" si="4"/>
        <v>664</v>
      </c>
      <c r="E55" s="52">
        <v>291</v>
      </c>
      <c r="F55" s="32">
        <f t="shared" si="2"/>
        <v>11.456699100000002</v>
      </c>
      <c r="G55" s="51">
        <f t="shared" si="0"/>
        <v>145.5</v>
      </c>
      <c r="H55" s="35">
        <v>8.9</v>
      </c>
      <c r="I55" s="35">
        <v>11</v>
      </c>
      <c r="J55" s="28">
        <f t="shared" si="1"/>
        <v>136</v>
      </c>
      <c r="K55" s="52">
        <f t="shared" si="3"/>
        <v>296</v>
      </c>
    </row>
    <row r="56" spans="1:11" x14ac:dyDescent="0.25">
      <c r="A56" s="8" t="s">
        <v>7</v>
      </c>
      <c r="B56" s="28">
        <v>193</v>
      </c>
      <c r="C56" s="48">
        <f t="shared" si="4"/>
        <v>857</v>
      </c>
      <c r="E56" s="52">
        <v>288</v>
      </c>
      <c r="F56" s="32">
        <f t="shared" si="2"/>
        <v>11.338588800000002</v>
      </c>
      <c r="G56" s="51">
        <f t="shared" si="0"/>
        <v>144</v>
      </c>
      <c r="H56" s="35">
        <v>9.8000000000000007</v>
      </c>
      <c r="I56" s="35">
        <v>11.9</v>
      </c>
      <c r="J56" s="28">
        <f t="shared" si="1"/>
        <v>134.5</v>
      </c>
      <c r="K56" s="52">
        <f t="shared" si="3"/>
        <v>293</v>
      </c>
    </row>
    <row r="57" spans="1:11" x14ac:dyDescent="0.25">
      <c r="A57" s="8" t="s">
        <v>8</v>
      </c>
      <c r="B57" s="28">
        <v>207</v>
      </c>
      <c r="C57" s="48">
        <f t="shared" si="4"/>
        <v>1064</v>
      </c>
      <c r="E57" s="52">
        <v>286</v>
      </c>
      <c r="F57" s="32">
        <f t="shared" si="2"/>
        <v>11.259848600000002</v>
      </c>
      <c r="G57" s="51">
        <f t="shared" si="0"/>
        <v>143</v>
      </c>
      <c r="H57" s="35">
        <v>10.5</v>
      </c>
      <c r="I57" s="35">
        <v>12.7</v>
      </c>
      <c r="J57" s="28">
        <f t="shared" si="1"/>
        <v>133.5</v>
      </c>
      <c r="K57" s="52">
        <f t="shared" si="3"/>
        <v>291</v>
      </c>
    </row>
    <row r="58" spans="1:11" x14ac:dyDescent="0.25">
      <c r="A58" s="8" t="s">
        <v>9</v>
      </c>
      <c r="B58" s="28">
        <v>217</v>
      </c>
      <c r="C58" s="48">
        <f t="shared" si="4"/>
        <v>1281</v>
      </c>
      <c r="E58" s="52">
        <v>283</v>
      </c>
      <c r="F58" s="32">
        <f t="shared" si="2"/>
        <v>11.141738300000002</v>
      </c>
      <c r="G58" s="51">
        <f t="shared" si="0"/>
        <v>141.5</v>
      </c>
      <c r="H58" s="35">
        <v>11.2</v>
      </c>
      <c r="I58" s="35">
        <v>13.3</v>
      </c>
      <c r="J58" s="28">
        <f t="shared" si="1"/>
        <v>132</v>
      </c>
      <c r="K58" s="52">
        <f t="shared" si="3"/>
        <v>288</v>
      </c>
    </row>
    <row r="59" spans="1:11" x14ac:dyDescent="0.25">
      <c r="A59" s="8" t="s">
        <v>10</v>
      </c>
      <c r="B59" s="28">
        <v>227</v>
      </c>
      <c r="C59" s="48">
        <f t="shared" si="4"/>
        <v>1508</v>
      </c>
      <c r="E59" s="52">
        <v>281</v>
      </c>
      <c r="F59" s="32">
        <f t="shared" si="2"/>
        <v>11.062998100000002</v>
      </c>
      <c r="G59" s="51">
        <f t="shared" si="0"/>
        <v>140.5</v>
      </c>
      <c r="H59" s="35">
        <v>11.7</v>
      </c>
      <c r="I59" s="35">
        <v>13.9</v>
      </c>
      <c r="J59" s="28">
        <f t="shared" si="1"/>
        <v>131</v>
      </c>
      <c r="K59" s="52">
        <f t="shared" si="3"/>
        <v>286</v>
      </c>
    </row>
    <row r="60" spans="1:11" x14ac:dyDescent="0.25">
      <c r="A60" s="8" t="s">
        <v>11</v>
      </c>
      <c r="B60" s="28">
        <v>238</v>
      </c>
      <c r="C60" s="48">
        <f t="shared" si="4"/>
        <v>1746</v>
      </c>
      <c r="E60" s="52">
        <v>279</v>
      </c>
      <c r="F60" s="32">
        <f t="shared" si="2"/>
        <v>10.984257900000001</v>
      </c>
      <c r="G60" s="51">
        <f t="shared" si="0"/>
        <v>139.5</v>
      </c>
      <c r="H60" s="35">
        <v>12.2</v>
      </c>
      <c r="I60" s="35">
        <v>14.4</v>
      </c>
      <c r="J60" s="28">
        <f t="shared" si="1"/>
        <v>130</v>
      </c>
      <c r="K60" s="52">
        <f t="shared" si="3"/>
        <v>284</v>
      </c>
    </row>
    <row r="61" spans="1:11" x14ac:dyDescent="0.25">
      <c r="A61" s="8" t="s">
        <v>71</v>
      </c>
      <c r="B61" s="28">
        <v>2</v>
      </c>
      <c r="C61" s="60">
        <f>B61*25.4</f>
        <v>50.8</v>
      </c>
      <c r="D61" s="26"/>
      <c r="E61" s="48">
        <f>E51+C61</f>
        <v>375.8</v>
      </c>
      <c r="F61" s="59" t="s">
        <v>69</v>
      </c>
      <c r="J61" s="26"/>
    </row>
    <row r="62" spans="1:11" x14ac:dyDescent="0.25">
      <c r="A62" s="8" t="s">
        <v>70</v>
      </c>
      <c r="B62" s="28">
        <v>1.5</v>
      </c>
      <c r="C62" s="60">
        <f>B62*25.4</f>
        <v>38.099999999999994</v>
      </c>
      <c r="D62" s="26"/>
      <c r="E62" s="48">
        <f>(E51+C62) /2</f>
        <v>181.55</v>
      </c>
      <c r="F62" s="59" t="s">
        <v>73</v>
      </c>
      <c r="J62" s="26"/>
    </row>
    <row r="63" spans="1:11" x14ac:dyDescent="0.25">
      <c r="A63" s="8" t="s">
        <v>56</v>
      </c>
      <c r="E63" s="52">
        <v>258</v>
      </c>
      <c r="F63" s="32">
        <f>E63 *$M$12</f>
        <v>10.157485800000002</v>
      </c>
      <c r="J63" s="28"/>
    </row>
    <row r="64" spans="1:11" ht="9" customHeight="1" x14ac:dyDescent="0.25">
      <c r="J64" s="28"/>
    </row>
    <row r="65" spans="1:10" x14ac:dyDescent="0.25">
      <c r="A65" s="8" t="s">
        <v>63</v>
      </c>
      <c r="J65" s="28"/>
    </row>
    <row r="66" spans="1:10" x14ac:dyDescent="0.25">
      <c r="A66" s="8" t="s">
        <v>33</v>
      </c>
      <c r="B66" s="8" t="s">
        <v>35</v>
      </c>
      <c r="C66" s="8" t="s">
        <v>51</v>
      </c>
      <c r="E66" s="8" t="s">
        <v>49</v>
      </c>
      <c r="F66" s="8" t="s">
        <v>54</v>
      </c>
      <c r="G66" s="8" t="s">
        <v>50</v>
      </c>
    </row>
    <row r="67" spans="1:10" x14ac:dyDescent="0.25">
      <c r="A67" s="8" t="s">
        <v>34</v>
      </c>
      <c r="B67" s="28">
        <v>202</v>
      </c>
      <c r="C67" s="48">
        <v>130</v>
      </c>
      <c r="E67" s="52">
        <v>341</v>
      </c>
      <c r="F67" s="32">
        <f t="shared" ref="F67:F77" si="5">E67 *$M$12</f>
        <v>13.425204100000002</v>
      </c>
      <c r="G67" s="51">
        <f t="shared" ref="G67:G77" si="6">E67/2</f>
        <v>170.5</v>
      </c>
    </row>
    <row r="68" spans="1:10" x14ac:dyDescent="0.25">
      <c r="A68" s="8" t="s">
        <v>2</v>
      </c>
      <c r="B68" s="28">
        <v>138</v>
      </c>
      <c r="C68" s="48">
        <f>B68+C67</f>
        <v>268</v>
      </c>
      <c r="E68" s="52">
        <v>326</v>
      </c>
      <c r="F68" s="32">
        <f t="shared" si="5"/>
        <v>12.834652600000002</v>
      </c>
      <c r="G68" s="51">
        <f t="shared" si="6"/>
        <v>163</v>
      </c>
    </row>
    <row r="69" spans="1:10" x14ac:dyDescent="0.25">
      <c r="A69" s="8" t="s">
        <v>3</v>
      </c>
      <c r="B69" s="28">
        <v>52</v>
      </c>
      <c r="C69" s="48">
        <f t="shared" ref="C69:C77" si="7">B69+C68</f>
        <v>320</v>
      </c>
      <c r="E69" s="52">
        <v>301</v>
      </c>
      <c r="F69" s="32">
        <f t="shared" si="5"/>
        <v>11.850400100000002</v>
      </c>
      <c r="G69" s="51">
        <f t="shared" si="6"/>
        <v>150.5</v>
      </c>
    </row>
    <row r="70" spans="1:10" x14ac:dyDescent="0.25">
      <c r="A70" s="8" t="s">
        <v>4</v>
      </c>
      <c r="B70" s="28">
        <v>124</v>
      </c>
      <c r="C70" s="48">
        <f t="shared" si="7"/>
        <v>444</v>
      </c>
      <c r="E70" s="52">
        <v>298</v>
      </c>
      <c r="F70" s="32">
        <f t="shared" si="5"/>
        <v>11.732289800000002</v>
      </c>
      <c r="G70" s="51">
        <f t="shared" si="6"/>
        <v>149</v>
      </c>
    </row>
    <row r="71" spans="1:10" x14ac:dyDescent="0.25">
      <c r="A71" s="8" t="s">
        <v>5</v>
      </c>
      <c r="B71" s="28">
        <v>148</v>
      </c>
      <c r="C71" s="48">
        <f t="shared" si="7"/>
        <v>592</v>
      </c>
      <c r="E71" s="52">
        <v>294</v>
      </c>
      <c r="F71" s="32">
        <f t="shared" si="5"/>
        <v>11.574809400000001</v>
      </c>
      <c r="G71" s="51">
        <f t="shared" si="6"/>
        <v>147</v>
      </c>
    </row>
    <row r="72" spans="1:10" x14ac:dyDescent="0.25">
      <c r="A72" s="8" t="s">
        <v>6</v>
      </c>
      <c r="B72" s="28">
        <v>172</v>
      </c>
      <c r="C72" s="48">
        <f t="shared" si="7"/>
        <v>764</v>
      </c>
      <c r="E72" s="52">
        <v>291</v>
      </c>
      <c r="F72" s="32">
        <f t="shared" si="5"/>
        <v>11.456699100000002</v>
      </c>
      <c r="G72" s="51">
        <f t="shared" si="6"/>
        <v>145.5</v>
      </c>
    </row>
    <row r="73" spans="1:10" x14ac:dyDescent="0.25">
      <c r="A73" s="8" t="s">
        <v>7</v>
      </c>
      <c r="B73" s="28">
        <v>193</v>
      </c>
      <c r="C73" s="48">
        <f t="shared" si="7"/>
        <v>957</v>
      </c>
      <c r="E73" s="52">
        <v>288</v>
      </c>
      <c r="F73" s="32">
        <f t="shared" si="5"/>
        <v>11.338588800000002</v>
      </c>
      <c r="G73" s="51">
        <f t="shared" si="6"/>
        <v>144</v>
      </c>
    </row>
    <row r="74" spans="1:10" x14ac:dyDescent="0.25">
      <c r="A74" s="8" t="s">
        <v>8</v>
      </c>
      <c r="B74" s="28">
        <v>207</v>
      </c>
      <c r="C74" s="48">
        <f t="shared" si="7"/>
        <v>1164</v>
      </c>
      <c r="E74" s="52">
        <v>286</v>
      </c>
      <c r="F74" s="32">
        <f t="shared" si="5"/>
        <v>11.259848600000002</v>
      </c>
      <c r="G74" s="51">
        <f t="shared" si="6"/>
        <v>143</v>
      </c>
    </row>
    <row r="75" spans="1:10" x14ac:dyDescent="0.25">
      <c r="A75" s="8" t="s">
        <v>9</v>
      </c>
      <c r="B75" s="28">
        <v>217</v>
      </c>
      <c r="C75" s="48">
        <f t="shared" si="7"/>
        <v>1381</v>
      </c>
      <c r="E75" s="52">
        <v>283</v>
      </c>
      <c r="F75" s="32">
        <f t="shared" si="5"/>
        <v>11.141738300000002</v>
      </c>
      <c r="G75" s="51">
        <f t="shared" si="6"/>
        <v>141.5</v>
      </c>
    </row>
    <row r="76" spans="1:10" x14ac:dyDescent="0.25">
      <c r="A76" s="8" t="s">
        <v>10</v>
      </c>
      <c r="B76" s="28">
        <v>227</v>
      </c>
      <c r="C76" s="48">
        <f t="shared" si="7"/>
        <v>1608</v>
      </c>
      <c r="E76" s="52">
        <v>281</v>
      </c>
      <c r="F76" s="32">
        <f t="shared" si="5"/>
        <v>11.062998100000002</v>
      </c>
      <c r="G76" s="51">
        <f t="shared" si="6"/>
        <v>140.5</v>
      </c>
    </row>
    <row r="77" spans="1:10" x14ac:dyDescent="0.25">
      <c r="A77" s="8" t="s">
        <v>11</v>
      </c>
      <c r="B77" s="28">
        <v>238</v>
      </c>
      <c r="C77" s="48">
        <f t="shared" si="7"/>
        <v>1846</v>
      </c>
      <c r="E77" s="52">
        <v>279</v>
      </c>
      <c r="F77" s="32">
        <f t="shared" si="5"/>
        <v>10.984257900000001</v>
      </c>
      <c r="G77" s="51">
        <f t="shared" si="6"/>
        <v>139.5</v>
      </c>
    </row>
    <row r="78" spans="1:10" x14ac:dyDescent="0.25">
      <c r="A78" s="8" t="s">
        <v>55</v>
      </c>
      <c r="B78" s="28">
        <v>30</v>
      </c>
      <c r="C78" s="48">
        <f>B78+C77</f>
        <v>1876</v>
      </c>
      <c r="F78" s="27" t="s">
        <v>68</v>
      </c>
      <c r="G78" s="47">
        <f>C78*$M$12</f>
        <v>73.858307600000003</v>
      </c>
    </row>
    <row r="79" spans="1:10" ht="9" customHeight="1" x14ac:dyDescent="0.25">
      <c r="A79" s="8"/>
      <c r="B79" s="28"/>
    </row>
    <row r="80" spans="1:10" x14ac:dyDescent="0.25">
      <c r="A80" s="8" t="s">
        <v>56</v>
      </c>
      <c r="E80" s="52">
        <v>258</v>
      </c>
      <c r="F80" s="32">
        <f>E80 *$M$12</f>
        <v>10.157485800000002</v>
      </c>
    </row>
    <row r="81" spans="1:5" ht="9" customHeight="1" x14ac:dyDescent="0.25">
      <c r="A81" s="8"/>
    </row>
    <row r="82" spans="1:5" x14ac:dyDescent="0.25">
      <c r="A82" s="8" t="s">
        <v>33</v>
      </c>
      <c r="B82" s="26" t="s">
        <v>61</v>
      </c>
      <c r="E82" s="76" t="s">
        <v>119</v>
      </c>
    </row>
    <row r="83" spans="1:5" x14ac:dyDescent="0.25">
      <c r="A83" s="8" t="s">
        <v>34</v>
      </c>
      <c r="B83" s="30">
        <f t="shared" ref="B83:B93" si="8">(E67-19)/2</f>
        <v>161</v>
      </c>
      <c r="E83" s="52">
        <f t="shared" ref="E83:E93" si="9">E67+5</f>
        <v>346</v>
      </c>
    </row>
    <row r="84" spans="1:5" x14ac:dyDescent="0.25">
      <c r="A84" s="8" t="s">
        <v>2</v>
      </c>
      <c r="B84" s="30">
        <f t="shared" si="8"/>
        <v>153.5</v>
      </c>
      <c r="E84" s="52">
        <f t="shared" si="9"/>
        <v>331</v>
      </c>
    </row>
    <row r="85" spans="1:5" x14ac:dyDescent="0.25">
      <c r="A85" s="8" t="s">
        <v>3</v>
      </c>
      <c r="B85" s="30">
        <f t="shared" si="8"/>
        <v>141</v>
      </c>
      <c r="E85" s="52">
        <f t="shared" si="9"/>
        <v>306</v>
      </c>
    </row>
    <row r="86" spans="1:5" x14ac:dyDescent="0.25">
      <c r="A86" s="8" t="s">
        <v>4</v>
      </c>
      <c r="B86" s="30">
        <f t="shared" si="8"/>
        <v>139.5</v>
      </c>
      <c r="E86" s="52">
        <f t="shared" si="9"/>
        <v>303</v>
      </c>
    </row>
    <row r="87" spans="1:5" x14ac:dyDescent="0.25">
      <c r="A87" s="8" t="s">
        <v>5</v>
      </c>
      <c r="B87" s="30">
        <f t="shared" si="8"/>
        <v>137.5</v>
      </c>
      <c r="E87" s="52">
        <f t="shared" si="9"/>
        <v>299</v>
      </c>
    </row>
    <row r="88" spans="1:5" x14ac:dyDescent="0.25">
      <c r="A88" s="8" t="s">
        <v>6</v>
      </c>
      <c r="B88" s="30">
        <f t="shared" si="8"/>
        <v>136</v>
      </c>
      <c r="E88" s="52">
        <f t="shared" si="9"/>
        <v>296</v>
      </c>
    </row>
    <row r="89" spans="1:5" x14ac:dyDescent="0.25">
      <c r="A89" s="8" t="s">
        <v>7</v>
      </c>
      <c r="B89" s="30">
        <f t="shared" si="8"/>
        <v>134.5</v>
      </c>
      <c r="E89" s="52">
        <f t="shared" si="9"/>
        <v>293</v>
      </c>
    </row>
    <row r="90" spans="1:5" x14ac:dyDescent="0.25">
      <c r="A90" s="8" t="s">
        <v>8</v>
      </c>
      <c r="B90" s="30">
        <f t="shared" si="8"/>
        <v>133.5</v>
      </c>
      <c r="E90" s="52">
        <f t="shared" si="9"/>
        <v>291</v>
      </c>
    </row>
    <row r="91" spans="1:5" x14ac:dyDescent="0.25">
      <c r="A91" s="8" t="s">
        <v>9</v>
      </c>
      <c r="B91" s="30">
        <f t="shared" si="8"/>
        <v>132</v>
      </c>
      <c r="E91" s="52">
        <f t="shared" si="9"/>
        <v>288</v>
      </c>
    </row>
    <row r="92" spans="1:5" x14ac:dyDescent="0.25">
      <c r="A92" s="8" t="s">
        <v>10</v>
      </c>
      <c r="B92" s="30">
        <f t="shared" si="8"/>
        <v>131</v>
      </c>
      <c r="E92" s="52">
        <f t="shared" si="9"/>
        <v>286</v>
      </c>
    </row>
    <row r="93" spans="1:5" x14ac:dyDescent="0.25">
      <c r="A93" s="8" t="s">
        <v>11</v>
      </c>
      <c r="B93" s="30">
        <f t="shared" si="8"/>
        <v>130</v>
      </c>
      <c r="E93" s="52">
        <f t="shared" si="9"/>
        <v>284</v>
      </c>
    </row>
    <row r="200" spans="10:10" x14ac:dyDescent="0.25">
      <c r="J200" s="8" t="s">
        <v>117</v>
      </c>
    </row>
    <row r="229" spans="1:1" x14ac:dyDescent="0.25">
      <c r="A229" s="58"/>
    </row>
    <row r="305" spans="1:11" ht="15.75" x14ac:dyDescent="0.25">
      <c r="E305" s="34">
        <v>435</v>
      </c>
      <c r="F305" s="10" t="s">
        <v>12</v>
      </c>
    </row>
    <row r="306" spans="1:11" x14ac:dyDescent="0.25">
      <c r="E306" s="1">
        <f>$I$7/E305</f>
        <v>0.68917806436781615</v>
      </c>
      <c r="F306" s="7" t="s">
        <v>0</v>
      </c>
    </row>
    <row r="307" spans="1:11" x14ac:dyDescent="0.25">
      <c r="E307" s="2">
        <f>$I$7/E305*1000</f>
        <v>689.17806436781609</v>
      </c>
      <c r="F307" s="7" t="s">
        <v>1</v>
      </c>
    </row>
    <row r="308" spans="1:11" x14ac:dyDescent="0.25">
      <c r="E308" s="4">
        <f>E306*39.3701</f>
        <v>27.13300931196736</v>
      </c>
      <c r="F308" s="7" t="s">
        <v>13</v>
      </c>
    </row>
    <row r="309" spans="1:11" x14ac:dyDescent="0.25">
      <c r="E309" s="5">
        <f>E308/12</f>
        <v>2.2610841093306133</v>
      </c>
      <c r="F309" s="7" t="s">
        <v>14</v>
      </c>
    </row>
    <row r="314" spans="1:11" ht="15.75" x14ac:dyDescent="0.25">
      <c r="F314" s="61"/>
      <c r="I314" s="61" t="s">
        <v>80</v>
      </c>
    </row>
    <row r="315" spans="1:11" x14ac:dyDescent="0.25">
      <c r="F315" s="27"/>
      <c r="G315" s="26"/>
      <c r="I315" s="8" t="s">
        <v>76</v>
      </c>
      <c r="J315" s="8" t="s">
        <v>77</v>
      </c>
      <c r="K315" s="8" t="s">
        <v>75</v>
      </c>
    </row>
    <row r="316" spans="1:11" ht="15.75" x14ac:dyDescent="0.25">
      <c r="A316" s="72" t="s">
        <v>103</v>
      </c>
      <c r="I316" s="28" t="s">
        <v>78</v>
      </c>
      <c r="J316" s="62" t="s">
        <v>79</v>
      </c>
      <c r="K316" s="63" t="e">
        <f>(ATAN(SQRT(#REF!/((#REF!*#REF!)+#REF!+1))))/2 * PI()</f>
        <v>#REF!</v>
      </c>
    </row>
    <row r="317" spans="1:11" x14ac:dyDescent="0.25">
      <c r="A317" s="8" t="s">
        <v>48</v>
      </c>
      <c r="C317" s="8" t="s">
        <v>74</v>
      </c>
      <c r="E317" s="8" t="s">
        <v>102</v>
      </c>
      <c r="F317" s="27" t="s">
        <v>104</v>
      </c>
      <c r="G317" s="26" t="s">
        <v>36</v>
      </c>
      <c r="I317" s="28"/>
      <c r="J317" s="28"/>
      <c r="K317" s="28"/>
    </row>
    <row r="318" spans="1:11" x14ac:dyDescent="0.25">
      <c r="A318" s="65" t="s">
        <v>107</v>
      </c>
      <c r="C318" s="63">
        <v>0.66</v>
      </c>
      <c r="E318" s="70">
        <f>$I$14/2</f>
        <v>343.01196567505718</v>
      </c>
      <c r="F318" s="73">
        <f>E318*C318</f>
        <v>226.38789734553774</v>
      </c>
      <c r="G318" s="74">
        <f>F318*$M$12</f>
        <v>8.9129141572835557</v>
      </c>
      <c r="I318" s="28"/>
      <c r="J318" s="28"/>
      <c r="K318" s="28"/>
    </row>
    <row r="319" spans="1:11" x14ac:dyDescent="0.25">
      <c r="A319" s="65" t="s">
        <v>106</v>
      </c>
      <c r="C319" s="63">
        <v>0.82</v>
      </c>
      <c r="E319" s="70">
        <f>$I$14/2</f>
        <v>343.01196567505718</v>
      </c>
      <c r="F319" s="73">
        <f>E319*C319</f>
        <v>281.26981185354686</v>
      </c>
      <c r="G319" s="74">
        <f>F319*$M$12</f>
        <v>11.073620619655326</v>
      </c>
      <c r="I319" s="28"/>
      <c r="J319" s="28"/>
      <c r="K319" s="28"/>
    </row>
    <row r="320" spans="1:11" ht="15.75" x14ac:dyDescent="0.25">
      <c r="A320" s="61" t="s">
        <v>112</v>
      </c>
      <c r="C320" s="61">
        <v>0.81</v>
      </c>
      <c r="D320" s="72"/>
      <c r="E320" s="71">
        <f>$I$14/2</f>
        <v>343.01196567505718</v>
      </c>
      <c r="F320" s="75">
        <f>E320*C320</f>
        <v>277.83969219679636</v>
      </c>
      <c r="G320" s="74">
        <f>F320*$M$12</f>
        <v>10.938576465757095</v>
      </c>
    </row>
    <row r="321" spans="1:7" x14ac:dyDescent="0.25">
      <c r="A321" s="65" t="s">
        <v>84</v>
      </c>
      <c r="B321" t="s">
        <v>108</v>
      </c>
      <c r="C321" s="63">
        <v>0.75</v>
      </c>
      <c r="E321" s="70">
        <f>$I$14/2</f>
        <v>343.01196567505718</v>
      </c>
      <c r="F321" s="73">
        <f>E321*C321</f>
        <v>257.2589742562929</v>
      </c>
      <c r="G321" s="74">
        <f>F321*$M$12</f>
        <v>10.128311542367678</v>
      </c>
    </row>
    <row r="323" spans="1:7" x14ac:dyDescent="0.25">
      <c r="A323" s="8" t="s">
        <v>118</v>
      </c>
      <c r="E323" s="8" t="s">
        <v>116</v>
      </c>
    </row>
    <row r="324" spans="1:7" x14ac:dyDescent="0.25">
      <c r="A324" s="65" t="s">
        <v>106</v>
      </c>
      <c r="C324" s="63">
        <v>0.82</v>
      </c>
      <c r="E324" s="70">
        <v>100</v>
      </c>
      <c r="F324" s="73">
        <f>E324*C324</f>
        <v>82</v>
      </c>
      <c r="G324" s="74">
        <f>F324*$M$12</f>
        <v>3.2283482000000006</v>
      </c>
    </row>
    <row r="325" spans="1:7" x14ac:dyDescent="0.25">
      <c r="A325" s="8"/>
      <c r="B325" s="8"/>
      <c r="C325" s="8"/>
      <c r="E325" s="8"/>
      <c r="F325" s="27"/>
      <c r="G325" s="26"/>
    </row>
  </sheetData>
  <hyperlinks>
    <hyperlink ref="F2" r:id="rId1" xr:uid="{DD3D9AC8-75EC-4B6E-B81C-13F30A57150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4D1D-53D9-4C90-A551-83E0D940051C}">
  <dimension ref="A1:C13"/>
  <sheetViews>
    <sheetView workbookViewId="0"/>
  </sheetViews>
  <sheetFormatPr defaultRowHeight="15" x14ac:dyDescent="0.25"/>
  <cols>
    <col min="1" max="1" width="21.42578125" customWidth="1"/>
    <col min="2" max="2" width="13.85546875" style="28" customWidth="1"/>
    <col min="3" max="3" width="12.28515625" style="28" customWidth="1"/>
  </cols>
  <sheetData>
    <row r="1" spans="1:3" ht="15.75" x14ac:dyDescent="0.25">
      <c r="A1" s="18" t="s">
        <v>85</v>
      </c>
    </row>
    <row r="2" spans="1:3" ht="15.75" x14ac:dyDescent="0.25">
      <c r="A2" s="18" t="s">
        <v>86</v>
      </c>
    </row>
    <row r="4" spans="1:3" ht="30" x14ac:dyDescent="0.25">
      <c r="A4" s="68" t="s">
        <v>87</v>
      </c>
      <c r="B4" s="69" t="s">
        <v>98</v>
      </c>
      <c r="C4" s="69" t="s">
        <v>99</v>
      </c>
    </row>
    <row r="5" spans="1:3" x14ac:dyDescent="0.25">
      <c r="A5" t="s">
        <v>88</v>
      </c>
      <c r="B5" s="28">
        <v>2.2999999999999998</v>
      </c>
      <c r="C5" s="28">
        <v>0.65900000000000003</v>
      </c>
    </row>
    <row r="6" spans="1:3" x14ac:dyDescent="0.25">
      <c r="A6" t="s">
        <v>89</v>
      </c>
      <c r="B6" s="28" t="s">
        <v>90</v>
      </c>
      <c r="C6" s="28" t="s">
        <v>91</v>
      </c>
    </row>
    <row r="7" spans="1:3" x14ac:dyDescent="0.25">
      <c r="A7" t="s">
        <v>92</v>
      </c>
      <c r="C7" s="28" t="s">
        <v>93</v>
      </c>
    </row>
    <row r="8" spans="1:3" x14ac:dyDescent="0.25">
      <c r="A8" t="s">
        <v>94</v>
      </c>
      <c r="C8" s="28">
        <v>0.91</v>
      </c>
    </row>
    <row r="9" spans="1:3" x14ac:dyDescent="0.25">
      <c r="A9" t="s">
        <v>95</v>
      </c>
      <c r="B9" s="28">
        <v>2.0699999999999998</v>
      </c>
      <c r="C9" s="28">
        <v>0.69499999999999995</v>
      </c>
    </row>
    <row r="10" spans="1:3" x14ac:dyDescent="0.25">
      <c r="A10" t="s">
        <v>96</v>
      </c>
      <c r="C10" s="28" t="s">
        <v>97</v>
      </c>
    </row>
    <row r="12" spans="1:3" x14ac:dyDescent="0.25">
      <c r="A12" t="s">
        <v>100</v>
      </c>
    </row>
    <row r="13" spans="1:3" x14ac:dyDescent="0.25">
      <c r="A13" s="45" t="s">
        <v>101</v>
      </c>
    </row>
  </sheetData>
  <hyperlinks>
    <hyperlink ref="A13" r:id="rId1" xr:uid="{79E651B7-EA7F-4442-89E3-3CE8F99D869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Crossed Yagi Design 146 MHz (3)</vt:lpstr>
      <vt:lpstr>Crossed Yagi Design 435 MHz (3)</vt:lpstr>
      <vt:lpstr>Misc Info</vt:lpstr>
      <vt:lpstr>'Crossed Yagi Design 146 MHz (3)'!Print_Area</vt:lpstr>
      <vt:lpstr>'Crossed Yagi Design 435 MHz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Baxter</dc:creator>
  <cp:lastModifiedBy>James Baxter</cp:lastModifiedBy>
  <cp:lastPrinted>2022-04-11T01:53:41Z</cp:lastPrinted>
  <dcterms:created xsi:type="dcterms:W3CDTF">2021-11-14T21:06:12Z</dcterms:created>
  <dcterms:modified xsi:type="dcterms:W3CDTF">2022-04-11T02:16:54Z</dcterms:modified>
</cp:coreProperties>
</file>