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ekb15182\LocalCodeFolder\TEAM-Kenya\data\sources\"/>
    </mc:Choice>
  </mc:AlternateContent>
  <xr:revisionPtr revIDLastSave="0" documentId="13_ncr:1_{6EB48BAC-2AA1-4139-A0B6-D88762858A45}" xr6:coauthVersionLast="47" xr6:coauthVersionMax="47" xr10:uidLastSave="{00000000-0000-0000-0000-000000000000}"/>
  <bookViews>
    <workbookView xWindow="-19320" yWindow="-120" windowWidth="19440" windowHeight="14880"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13" l="1"/>
  <c r="D46" i="13" s="1"/>
  <c r="C45" i="13"/>
  <c r="D45" i="13"/>
  <c r="D43" i="13"/>
  <c r="D44" i="13"/>
  <c r="D42" i="13"/>
  <c r="B47" i="13"/>
  <c r="B46" i="13"/>
  <c r="B45" i="13"/>
  <c r="C44" i="13"/>
  <c r="AJ17" i="13"/>
  <c r="AJ18" i="13"/>
  <c r="AJ19" i="13"/>
  <c r="AJ20" i="13"/>
  <c r="AJ21" i="13"/>
  <c r="AJ22" i="13"/>
  <c r="AJ23" i="13"/>
  <c r="AJ24" i="13"/>
  <c r="AJ16" i="13"/>
  <c r="L10" i="13"/>
  <c r="D47" i="13" l="1"/>
  <c r="AI15" i="25"/>
  <c r="AI16" i="25"/>
  <c r="AI14" i="25"/>
  <c r="AH15" i="25"/>
  <c r="AH16" i="25"/>
  <c r="AH14" i="25"/>
  <c r="AH11" i="25"/>
  <c r="AH12" i="25"/>
  <c r="AH10" i="25"/>
  <c r="E47" i="13" l="1"/>
  <c r="F47" i="13" s="1"/>
  <c r="E43" i="13"/>
  <c r="E44" i="13"/>
  <c r="E45" i="13"/>
  <c r="E46" i="13"/>
  <c r="E42" i="13"/>
  <c r="R15" i="25"/>
  <c r="R16" i="25"/>
  <c r="R14" i="25"/>
  <c r="U16" i="25"/>
  <c r="U15" i="25"/>
  <c r="U14" i="25"/>
  <c r="BA14" i="25"/>
  <c r="BA16" i="25"/>
  <c r="BA15" i="25"/>
  <c r="AZ14" i="25"/>
  <c r="AA11" i="25"/>
  <c r="AA12" i="25"/>
  <c r="AA14" i="25"/>
  <c r="AA15" i="25"/>
  <c r="AA16" i="25"/>
  <c r="H3" i="33"/>
  <c r="I3" i="33" s="1"/>
  <c r="H6" i="33"/>
  <c r="I6" i="33" s="1"/>
  <c r="H12" i="33"/>
  <c r="I12" i="33" s="1"/>
  <c r="F3" i="32"/>
  <c r="G3" i="32" s="1"/>
  <c r="F4" i="32"/>
  <c r="G4" i="32" s="1"/>
  <c r="F5" i="32"/>
  <c r="G5" i="32" s="1"/>
  <c r="C8" i="32"/>
  <c r="D8" i="32"/>
  <c r="E8" i="32"/>
  <c r="AZ10" i="25"/>
  <c r="AZ11" i="25"/>
  <c r="AZ12" i="25"/>
  <c r="AU11" i="25"/>
  <c r="R11" i="25"/>
  <c r="AI11" i="25" s="1"/>
  <c r="U11" i="25"/>
  <c r="I8" i="30"/>
  <c r="I9" i="30"/>
  <c r="I10" i="30"/>
  <c r="I11" i="30"/>
  <c r="I7" i="30"/>
  <c r="H8" i="30"/>
  <c r="H9" i="30"/>
  <c r="H10" i="30"/>
  <c r="H11" i="30"/>
  <c r="H7" i="30"/>
  <c r="G7" i="30"/>
  <c r="G8" i="30"/>
  <c r="G9" i="30"/>
  <c r="G10" i="30"/>
  <c r="G11" i="30"/>
  <c r="F42" i="13" l="1"/>
  <c r="F46" i="13"/>
  <c r="F45" i="13"/>
  <c r="F44" i="13"/>
  <c r="F43" i="13"/>
  <c r="H18" i="33"/>
  <c r="G8" i="32"/>
  <c r="AZ15" i="25"/>
  <c r="AZ16" i="25"/>
  <c r="I18" i="33"/>
  <c r="AV11" i="25"/>
  <c r="AA63" i="19"/>
  <c r="AA57" i="19"/>
  <c r="J11" i="30"/>
  <c r="AA62" i="19" s="1"/>
  <c r="J7" i="30"/>
  <c r="AA58" i="19" s="1"/>
  <c r="J8" i="30"/>
  <c r="AA59" i="19" s="1"/>
  <c r="J10" i="30"/>
  <c r="AA61" i="19" s="1"/>
  <c r="AC61" i="19"/>
  <c r="AC58" i="19"/>
  <c r="AC57" i="19"/>
  <c r="BA11" i="25" l="1"/>
  <c r="J9" i="30"/>
  <c r="AA60" i="19" s="1"/>
  <c r="G13" i="30"/>
  <c r="AD58" i="19"/>
  <c r="AD61" i="19"/>
  <c r="AD57" i="19"/>
  <c r="H13" i="30"/>
  <c r="I13" i="30"/>
  <c r="D3" i="31"/>
  <c r="E3" i="31" s="1"/>
  <c r="AD10" i="23" s="1"/>
  <c r="C13" i="30"/>
  <c r="C14" i="30" s="1"/>
  <c r="AA28" i="19" s="1"/>
  <c r="B13" i="30"/>
  <c r="B14" i="30" s="1"/>
  <c r="P13" i="23"/>
  <c r="W13" i="23"/>
  <c r="J13" i="30" l="1"/>
  <c r="AD11" i="23"/>
  <c r="E11" i="20"/>
  <c r="E12" i="20"/>
  <c r="H25" i="13" l="1"/>
  <c r="H160" i="29"/>
  <c r="H159" i="29"/>
  <c r="H158" i="29"/>
  <c r="H5" i="29"/>
  <c r="I160" i="29"/>
  <c r="A4" i="29"/>
  <c r="A5" i="29"/>
  <c r="I5" i="29"/>
  <c r="A6" i="29"/>
  <c r="A7" i="29"/>
  <c r="A8" i="29"/>
  <c r="A11" i="29"/>
  <c r="H4" i="29"/>
  <c r="I4" i="29" s="1"/>
  <c r="H6" i="29"/>
  <c r="I6" i="29" s="1"/>
  <c r="H7" i="29"/>
  <c r="I7" i="29" s="1"/>
  <c r="H8" i="29"/>
  <c r="I8" i="29"/>
  <c r="H9" i="29"/>
  <c r="I9" i="29" s="1"/>
  <c r="H10" i="29"/>
  <c r="I10" i="29" s="1"/>
  <c r="H11" i="29"/>
  <c r="I11" i="29" s="1"/>
  <c r="A12" i="29"/>
  <c r="H12" i="29"/>
  <c r="I12" i="29" s="1"/>
  <c r="A13" i="29"/>
  <c r="H13" i="29"/>
  <c r="I13" i="29" s="1"/>
  <c r="A14" i="29"/>
  <c r="H14" i="29"/>
  <c r="I14" i="29" s="1"/>
  <c r="A15" i="29"/>
  <c r="H15" i="29"/>
  <c r="I15" i="29" s="1"/>
  <c r="A16" i="29"/>
  <c r="H16" i="29"/>
  <c r="I16" i="29" s="1"/>
  <c r="A17" i="29"/>
  <c r="H17" i="29"/>
  <c r="I17" i="29" s="1"/>
  <c r="A18" i="29"/>
  <c r="H18" i="29"/>
  <c r="I18" i="29" s="1"/>
  <c r="A19" i="29"/>
  <c r="H19" i="29"/>
  <c r="I19" i="29" s="1"/>
  <c r="A20" i="29"/>
  <c r="H20" i="29"/>
  <c r="I20" i="29" s="1"/>
  <c r="A21" i="29"/>
  <c r="H21" i="29"/>
  <c r="I21" i="29"/>
  <c r="A22" i="29"/>
  <c r="H22" i="29"/>
  <c r="I22" i="29"/>
  <c r="A23" i="29"/>
  <c r="H23" i="29"/>
  <c r="I23" i="29"/>
  <c r="A24" i="29"/>
  <c r="H24" i="29"/>
  <c r="I24" i="29" s="1"/>
  <c r="A25" i="29"/>
  <c r="H25" i="29"/>
  <c r="I25" i="29" s="1"/>
  <c r="A26" i="29"/>
  <c r="H26" i="29"/>
  <c r="I26" i="29" s="1"/>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s="1"/>
  <c r="A42" i="29"/>
  <c r="H42" i="29"/>
  <c r="I42" i="29" s="1"/>
  <c r="A43" i="29"/>
  <c r="H43" i="29"/>
  <c r="I43" i="29"/>
  <c r="A44" i="29"/>
  <c r="H44" i="29"/>
  <c r="I44" i="29" s="1"/>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s="1"/>
  <c r="A70" i="29"/>
  <c r="H70" i="29"/>
  <c r="I70" i="29" s="1"/>
  <c r="A71" i="29"/>
  <c r="H71" i="29"/>
  <c r="I71" i="29"/>
  <c r="A72" i="29"/>
  <c r="I72" i="29"/>
  <c r="A73" i="29"/>
  <c r="I73" i="29"/>
  <c r="A74" i="29"/>
  <c r="I74" i="29"/>
  <c r="A75" i="29"/>
  <c r="I75" i="29"/>
  <c r="A76" i="29"/>
  <c r="I76" i="29"/>
  <c r="A77" i="29"/>
  <c r="I77" i="29"/>
  <c r="A78" i="29"/>
  <c r="H78" i="29"/>
  <c r="I78" i="29" s="1"/>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s="1"/>
  <c r="A89" i="29"/>
  <c r="H89" i="29"/>
  <c r="I89" i="29"/>
  <c r="A90" i="29"/>
  <c r="H90" i="29"/>
  <c r="I90" i="29" s="1"/>
  <c r="A91" i="29"/>
  <c r="H91" i="29"/>
  <c r="I91" i="29"/>
  <c r="A92" i="29"/>
  <c r="H92" i="29"/>
  <c r="I92" i="29" s="1"/>
  <c r="A93" i="29"/>
  <c r="H93" i="29"/>
  <c r="I93" i="29"/>
  <c r="A94" i="29"/>
  <c r="H94" i="29"/>
  <c r="I94" i="29" s="1"/>
  <c r="A95" i="29"/>
  <c r="H95" i="29"/>
  <c r="I95" i="29" s="1"/>
  <c r="A96" i="29"/>
  <c r="H96" i="29"/>
  <c r="I96" i="29" s="1"/>
  <c r="A97" i="29"/>
  <c r="H97" i="29"/>
  <c r="I97" i="29" s="1"/>
  <c r="A98" i="29"/>
  <c r="H98" i="29"/>
  <c r="I98" i="29"/>
  <c r="A99" i="29"/>
  <c r="H99" i="29"/>
  <c r="I99" i="29" s="1"/>
  <c r="A100" i="29"/>
  <c r="H100" i="29"/>
  <c r="I100" i="29" s="1"/>
  <c r="A101" i="29"/>
  <c r="H101" i="29"/>
  <c r="I101" i="29" s="1"/>
  <c r="A102" i="29"/>
  <c r="H102" i="29"/>
  <c r="I102" i="29" s="1"/>
  <c r="A103" i="29"/>
  <c r="H103" i="29"/>
  <c r="I103" i="29" s="1"/>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s="1"/>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AN20" i="13" s="1"/>
  <c r="P20" i="13"/>
  <c r="L22" i="13"/>
  <c r="P22" i="13"/>
  <c r="L17" i="13"/>
  <c r="P17" i="13"/>
  <c r="L19" i="13"/>
  <c r="P19" i="13"/>
  <c r="L21" i="13"/>
  <c r="AM21" i="13" s="1"/>
  <c r="P21" i="13"/>
  <c r="I17" i="17"/>
  <c r="L11" i="13"/>
  <c r="AM11" i="13" s="1"/>
  <c r="P11" i="13"/>
  <c r="L13" i="13"/>
  <c r="AM13" i="13" s="1"/>
  <c r="P13" i="13"/>
  <c r="L15" i="13"/>
  <c r="P15" i="13"/>
  <c r="L26" i="13"/>
  <c r="AN26" i="13" s="1"/>
  <c r="P26" i="13"/>
  <c r="L27" i="13"/>
  <c r="P27" i="13"/>
  <c r="L28" i="13"/>
  <c r="P28" i="13"/>
  <c r="L29" i="13"/>
  <c r="AN29" i="13" s="1"/>
  <c r="P29" i="13"/>
  <c r="P10" i="13"/>
  <c r="L12" i="13"/>
  <c r="L9" i="13" s="1"/>
  <c r="B42" i="13" s="1"/>
  <c r="P12" i="13"/>
  <c r="L14" i="13"/>
  <c r="P14" i="13"/>
  <c r="L24" i="13"/>
  <c r="AM24" i="13" s="1"/>
  <c r="M22" i="17" s="1"/>
  <c r="P24" i="13"/>
  <c r="L30" i="13"/>
  <c r="AM30" i="13" s="1"/>
  <c r="P30" i="13"/>
  <c r="L31" i="13"/>
  <c r="AM31" i="13" s="1"/>
  <c r="P31" i="13"/>
  <c r="L32" i="13"/>
  <c r="AM32" i="13" s="1"/>
  <c r="P32" i="13"/>
  <c r="L33" i="13"/>
  <c r="AM33" i="13" s="1"/>
  <c r="P33" i="13"/>
  <c r="L35" i="13"/>
  <c r="AN35" i="13" s="1"/>
  <c r="P35" i="13"/>
  <c r="L36" i="13"/>
  <c r="L34" i="13" s="1"/>
  <c r="P36" i="13"/>
  <c r="L37" i="13"/>
  <c r="AM37" i="13" s="1"/>
  <c r="P37" i="13"/>
  <c r="U27" i="13"/>
  <c r="U10" i="13"/>
  <c r="M9" i="17"/>
  <c r="F21" i="26" s="1"/>
  <c r="M11" i="17"/>
  <c r="AM10" i="13"/>
  <c r="AM14" i="13"/>
  <c r="AM15" i="13"/>
  <c r="M16" i="17"/>
  <c r="M17" i="17"/>
  <c r="M21" i="17"/>
  <c r="M23" i="17"/>
  <c r="AM35" i="13"/>
  <c r="AM36" i="13"/>
  <c r="M27" i="17"/>
  <c r="M28" i="17"/>
  <c r="F25" i="26" s="1"/>
  <c r="AI12" i="23"/>
  <c r="AU10" i="25"/>
  <c r="M10" i="17"/>
  <c r="F27" i="26" s="1"/>
  <c r="AM17" i="13"/>
  <c r="AM19" i="13"/>
  <c r="M18" i="17" s="1"/>
  <c r="AM28" i="13"/>
  <c r="AI15" i="23"/>
  <c r="O28" i="19"/>
  <c r="AJ12" i="23"/>
  <c r="AJ13" i="23" s="1"/>
  <c r="AK12" i="23"/>
  <c r="AK13" i="23" s="1"/>
  <c r="AJ15" i="23"/>
  <c r="AJ17" i="23" s="1"/>
  <c r="AK15" i="23"/>
  <c r="AK16" i="23" s="1"/>
  <c r="I29" i="19"/>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Q31" i="13"/>
  <c r="V31" i="13"/>
  <c r="X31" i="13"/>
  <c r="Y31" i="13"/>
  <c r="Z31" i="13"/>
  <c r="AA31" i="13"/>
  <c r="Q32" i="13"/>
  <c r="V32" i="13"/>
  <c r="X32" i="13"/>
  <c r="Y32" i="13"/>
  <c r="Z32" i="13"/>
  <c r="AA32" i="13"/>
  <c r="H34" i="13"/>
  <c r="Q35" i="13"/>
  <c r="V35" i="13"/>
  <c r="X35" i="13"/>
  <c r="Y35" i="13"/>
  <c r="Z35" i="13"/>
  <c r="AA35" i="13"/>
  <c r="Q36" i="13"/>
  <c r="V36" i="13"/>
  <c r="X36" i="13"/>
  <c r="Y36" i="13"/>
  <c r="Z36" i="13"/>
  <c r="AA36" i="13"/>
  <c r="AN36" i="13"/>
  <c r="Q37" i="13"/>
  <c r="V37" i="13"/>
  <c r="X37" i="13"/>
  <c r="Y37" i="13"/>
  <c r="Z37" i="13"/>
  <c r="AA37" i="13"/>
  <c r="H23" i="13"/>
  <c r="Q22" i="13"/>
  <c r="Z22" i="13"/>
  <c r="X22" i="13"/>
  <c r="V22" i="13"/>
  <c r="AA22" i="13"/>
  <c r="Y22" i="13"/>
  <c r="AN21" i="13"/>
  <c r="Q21" i="13"/>
  <c r="Z21" i="13"/>
  <c r="X21" i="13"/>
  <c r="V21" i="13"/>
  <c r="AA21" i="13"/>
  <c r="Y21" i="13"/>
  <c r="Q20" i="13"/>
  <c r="Z20" i="13"/>
  <c r="X20" i="13"/>
  <c r="V20" i="13"/>
  <c r="AA20" i="13"/>
  <c r="Y20" i="13"/>
  <c r="AN19" i="13"/>
  <c r="Q19" i="13"/>
  <c r="Z19" i="13"/>
  <c r="X19" i="13"/>
  <c r="V19" i="13"/>
  <c r="AA19" i="13"/>
  <c r="Y19" i="13"/>
  <c r="Q18" i="13"/>
  <c r="Z18" i="13"/>
  <c r="X18" i="13"/>
  <c r="V18" i="13"/>
  <c r="AA18" i="13"/>
  <c r="Y18"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s="1"/>
  <c r="K28" i="17" s="1"/>
  <c r="R11" i="21"/>
  <c r="P10" i="21"/>
  <c r="R10" i="21"/>
  <c r="I28" i="17"/>
  <c r="I27" i="17"/>
  <c r="H24" i="15"/>
  <c r="U10" i="25"/>
  <c r="R10" i="25"/>
  <c r="AI10" i="25" s="1"/>
  <c r="AC10" i="25"/>
  <c r="U12" i="25"/>
  <c r="R12" i="25"/>
  <c r="AI12" i="25" s="1"/>
  <c r="Q10" i="13"/>
  <c r="X10" i="13"/>
  <c r="Q11" i="13"/>
  <c r="X11" i="13"/>
  <c r="Q12" i="13"/>
  <c r="X12" i="13"/>
  <c r="Q13" i="13"/>
  <c r="X13" i="13"/>
  <c r="Q14" i="13"/>
  <c r="X14" i="13"/>
  <c r="Q15" i="13"/>
  <c r="X15" i="13"/>
  <c r="Q24" i="13"/>
  <c r="X24" i="13"/>
  <c r="Q26" i="13"/>
  <c r="X26" i="13"/>
  <c r="Q33" i="13"/>
  <c r="X33" i="13"/>
  <c r="H11" i="20"/>
  <c r="K11" i="20"/>
  <c r="H13" i="20"/>
  <c r="T13" i="20" s="1"/>
  <c r="K11" i="17" s="1"/>
  <c r="K13" i="20"/>
  <c r="AA17" i="23"/>
  <c r="AA14" i="23"/>
  <c r="O13" i="20"/>
  <c r="O12" i="20"/>
  <c r="O11" i="20"/>
  <c r="V11" i="20" s="1"/>
  <c r="L9" i="17" s="1"/>
  <c r="O10" i="20"/>
  <c r="Y17" i="23"/>
  <c r="Y14" i="23"/>
  <c r="M13" i="20"/>
  <c r="M12" i="20"/>
  <c r="M11" i="20"/>
  <c r="T11" i="20" s="1"/>
  <c r="K9" i="17" s="1"/>
  <c r="M10" i="20"/>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s="1"/>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H22" i="15"/>
  <c r="Y13" i="23" s="1"/>
  <c r="I27" i="26"/>
  <c r="I21" i="26"/>
  <c r="W28" i="19"/>
  <c r="X28" i="19" s="1"/>
  <c r="H31" i="17"/>
  <c r="N28" i="17"/>
  <c r="N27" i="17"/>
  <c r="N10" i="17"/>
  <c r="O27" i="26" s="1"/>
  <c r="N11" i="17"/>
  <c r="O21" i="26" s="1"/>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L10" i="21"/>
  <c r="L11" i="21"/>
  <c r="M11" i="21"/>
  <c r="M10" i="21"/>
  <c r="K11" i="21"/>
  <c r="K10" i="21"/>
  <c r="E9" i="21"/>
  <c r="H10" i="17"/>
  <c r="F34" i="19"/>
  <c r="H10" i="20"/>
  <c r="H27" i="17" a="1"/>
  <c r="H27" i="17" s="1"/>
  <c r="AN15" i="13"/>
  <c r="H32" i="17"/>
  <c r="H37" i="17"/>
  <c r="P14" i="23"/>
  <c r="P17" i="23"/>
  <c r="P16" i="23"/>
  <c r="H12" i="20"/>
  <c r="H33" i="17"/>
  <c r="H34" i="17"/>
  <c r="H38" i="17"/>
  <c r="H39" i="17"/>
  <c r="H28" i="17"/>
  <c r="H9" i="17"/>
  <c r="H11" i="17"/>
  <c r="A9" i="18"/>
  <c r="B9" i="18"/>
  <c r="A10" i="18"/>
  <c r="B10" i="18"/>
  <c r="A11" i="18"/>
  <c r="B11" i="18"/>
  <c r="B8" i="18"/>
  <c r="A8" i="18"/>
  <c r="B13" i="18"/>
  <c r="A13" i="18"/>
  <c r="B14" i="18"/>
  <c r="A14" i="18"/>
  <c r="B12" i="18"/>
  <c r="A12" i="18"/>
  <c r="AN14" i="13"/>
  <c r="AN24" i="13"/>
  <c r="N22" i="17" s="1"/>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N23" i="17"/>
  <c r="N21" i="17"/>
  <c r="L23" i="13"/>
  <c r="B44" i="13" s="1"/>
  <c r="I9" i="23"/>
  <c r="N16" i="17"/>
  <c r="AN10" i="13"/>
  <c r="N17" i="17"/>
  <c r="K17" i="17"/>
  <c r="J17" i="17"/>
  <c r="J23" i="17"/>
  <c r="I16" i="17"/>
  <c r="Q32" i="19" s="1"/>
  <c r="R32" i="19" s="1"/>
  <c r="L17" i="17"/>
  <c r="I21" i="17"/>
  <c r="I23" i="17"/>
  <c r="F33" i="19"/>
  <c r="K16" i="17"/>
  <c r="L23" i="17"/>
  <c r="K23" i="17"/>
  <c r="J16" i="17"/>
  <c r="L16" i="17"/>
  <c r="K21" i="17"/>
  <c r="L21" i="17"/>
  <c r="J21" i="17"/>
  <c r="F32" i="19"/>
  <c r="F31" i="19"/>
  <c r="Q33" i="19" l="1"/>
  <c r="R33" i="19" s="1"/>
  <c r="AM29" i="13"/>
  <c r="AM20" i="13"/>
  <c r="AN13" i="13"/>
  <c r="AN11" i="13"/>
  <c r="AN12" i="13"/>
  <c r="N18" i="17"/>
  <c r="J34" i="13"/>
  <c r="B43" i="13"/>
  <c r="AN33" i="13"/>
  <c r="N15" i="17"/>
  <c r="J9" i="13"/>
  <c r="Y16" i="23"/>
  <c r="R11" i="20"/>
  <c r="J9" i="17" s="1"/>
  <c r="AN31" i="13"/>
  <c r="AC14" i="25"/>
  <c r="AJ14" i="25" s="1"/>
  <c r="BB14" i="25" s="1"/>
  <c r="AC11" i="25"/>
  <c r="AJ11" i="25" s="1"/>
  <c r="BB11" i="25" s="1"/>
  <c r="AC16" i="25"/>
  <c r="AJ16" i="25" s="1"/>
  <c r="BB16" i="25" s="1"/>
  <c r="AC15" i="25"/>
  <c r="AJ15" i="25" s="1"/>
  <c r="BB15" i="25" s="1"/>
  <c r="T12" i="20"/>
  <c r="K10" i="17" s="1"/>
  <c r="AA16" i="23"/>
  <c r="AA13" i="23"/>
  <c r="N14" i="17"/>
  <c r="AE11" i="25"/>
  <c r="AK11" i="25" s="1"/>
  <c r="BC11" i="25" s="1"/>
  <c r="AE16" i="25"/>
  <c r="AK16" i="25" s="1"/>
  <c r="BC16" i="25" s="1"/>
  <c r="AE15" i="25"/>
  <c r="AK15" i="25" s="1"/>
  <c r="BC15" i="25" s="1"/>
  <c r="AE14" i="25"/>
  <c r="AK14" i="25" s="1"/>
  <c r="BC14" i="25" s="1"/>
  <c r="U22" i="13"/>
  <c r="T12" i="13"/>
  <c r="AI9" i="23"/>
  <c r="AK17" i="23"/>
  <c r="AL17" i="23" s="1"/>
  <c r="N33" i="17" s="1"/>
  <c r="AN37" i="13"/>
  <c r="N24" i="17" s="1"/>
  <c r="AN30" i="13"/>
  <c r="U26" i="13"/>
  <c r="AN9" i="13"/>
  <c r="AM9" i="13"/>
  <c r="AC12" i="25"/>
  <c r="T10" i="20"/>
  <c r="M24" i="17"/>
  <c r="F24" i="26" s="1"/>
  <c r="M15" i="17"/>
  <c r="F23" i="26"/>
  <c r="AV12" i="25"/>
  <c r="AU12" i="25"/>
  <c r="M39" i="17"/>
  <c r="BA12" i="25"/>
  <c r="N39" i="17"/>
  <c r="M9" i="25"/>
  <c r="AV10" i="25"/>
  <c r="R10" i="20"/>
  <c r="R12" i="20"/>
  <c r="J10" i="17" s="1"/>
  <c r="V12" i="20"/>
  <c r="L10" i="17" s="1"/>
  <c r="W11" i="21"/>
  <c r="L28" i="17" s="1"/>
  <c r="U10" i="21"/>
  <c r="J27" i="17" s="1"/>
  <c r="E13" i="18" s="1"/>
  <c r="R13" i="20"/>
  <c r="J11" i="17" s="1"/>
  <c r="W10" i="21"/>
  <c r="L27" i="17" s="1"/>
  <c r="G13" i="18" s="1"/>
  <c r="V10" i="21"/>
  <c r="K27" i="17" s="1"/>
  <c r="F13" i="18" s="1"/>
  <c r="AL16" i="23"/>
  <c r="N34" i="17" s="1"/>
  <c r="AL15" i="23"/>
  <c r="AL13" i="23"/>
  <c r="N32" i="17" s="1"/>
  <c r="AK9" i="23"/>
  <c r="AL9" i="23" s="1"/>
  <c r="AD15" i="23"/>
  <c r="AD17" i="23" s="1"/>
  <c r="AI14" i="23"/>
  <c r="M31" i="17" s="1"/>
  <c r="AI13" i="23"/>
  <c r="M32" i="17" s="1"/>
  <c r="AL12" i="23"/>
  <c r="AK14" i="23"/>
  <c r="AL14" i="23" s="1"/>
  <c r="N31" i="17" s="1"/>
  <c r="AD12" i="23"/>
  <c r="AD13" i="23" s="1"/>
  <c r="AC12" i="13"/>
  <c r="L25" i="13"/>
  <c r="J25" i="13" s="1"/>
  <c r="AM27" i="13"/>
  <c r="AM12" i="13"/>
  <c r="M14" i="17" s="1"/>
  <c r="U28" i="13"/>
  <c r="U29" i="13"/>
  <c r="T30" i="13"/>
  <c r="AC30" i="13" s="1"/>
  <c r="T20" i="13"/>
  <c r="AC20" i="13" s="1"/>
  <c r="U30" i="13"/>
  <c r="T37" i="13"/>
  <c r="AC37" i="13" s="1"/>
  <c r="T10" i="13"/>
  <c r="AC10" i="13" s="1"/>
  <c r="L16" i="13"/>
  <c r="AM22" i="13"/>
  <c r="M19" i="17" s="1"/>
  <c r="U31" i="13"/>
  <c r="U32" i="13"/>
  <c r="T24" i="13"/>
  <c r="AC24" i="13" s="1"/>
  <c r="T18" i="13"/>
  <c r="AC18" i="13" s="1"/>
  <c r="AN18" i="13"/>
  <c r="U33" i="13"/>
  <c r="T29" i="13"/>
  <c r="AC29" i="13" s="1"/>
  <c r="U11" i="13"/>
  <c r="U35" i="13"/>
  <c r="T36" i="13"/>
  <c r="AC36" i="13" s="1"/>
  <c r="AN32" i="13"/>
  <c r="U12" i="13"/>
  <c r="U36" i="13"/>
  <c r="T21" i="13"/>
  <c r="AC21" i="13" s="1"/>
  <c r="AE12" i="25"/>
  <c r="AK12" i="25" s="1"/>
  <c r="BC12" i="25" s="1"/>
  <c r="U13" i="13"/>
  <c r="U37" i="13"/>
  <c r="T28" i="13"/>
  <c r="AC28" i="13" s="1"/>
  <c r="T15" i="13"/>
  <c r="AC15" i="13" s="1"/>
  <c r="AE10" i="25"/>
  <c r="AN22" i="13"/>
  <c r="AI16" i="23"/>
  <c r="M34" i="17" s="1"/>
  <c r="U14" i="13"/>
  <c r="T35" i="13"/>
  <c r="AC35" i="13" s="1"/>
  <c r="AN27" i="13"/>
  <c r="U15" i="13"/>
  <c r="T19" i="13"/>
  <c r="AC19" i="13" s="1"/>
  <c r="V13" i="20"/>
  <c r="L11" i="17" s="1"/>
  <c r="G12" i="18" s="1"/>
  <c r="AI17" i="23"/>
  <c r="M33" i="17" s="1"/>
  <c r="U17" i="13"/>
  <c r="AC33" i="13"/>
  <c r="T27" i="13"/>
  <c r="AC27" i="13" s="1"/>
  <c r="T13" i="13"/>
  <c r="AC13" i="13" s="1"/>
  <c r="U18" i="13"/>
  <c r="T33" i="13"/>
  <c r="AM26" i="13"/>
  <c r="U19" i="13"/>
  <c r="T17" i="13"/>
  <c r="AC17" i="13" s="1"/>
  <c r="U20" i="13"/>
  <c r="T26" i="13"/>
  <c r="AC26" i="13" s="1"/>
  <c r="T11" i="13"/>
  <c r="AC11" i="13" s="1"/>
  <c r="U21" i="13"/>
  <c r="T32" i="13"/>
  <c r="AC32" i="13" s="1"/>
  <c r="V10" i="20"/>
  <c r="T14" i="13"/>
  <c r="AC14" i="13" s="1"/>
  <c r="U24" i="13"/>
  <c r="T31" i="13"/>
  <c r="AC31" i="13" s="1"/>
  <c r="T22" i="13"/>
  <c r="AC22" i="13" s="1"/>
  <c r="E12" i="18"/>
  <c r="E29" i="19"/>
  <c r="F29" i="19" s="1"/>
  <c r="F12" i="18"/>
  <c r="E30" i="19"/>
  <c r="F30" i="19" s="1"/>
  <c r="K29" i="19"/>
  <c r="L29" i="19" s="1"/>
  <c r="AD16" i="23" l="1"/>
  <c r="L38" i="13"/>
  <c r="N19" i="17"/>
  <c r="O22" i="26" s="1"/>
  <c r="N20" i="17"/>
  <c r="O23" i="26" s="1"/>
  <c r="J16" i="13"/>
  <c r="AM16" i="13"/>
  <c r="F22" i="26"/>
  <c r="M38" i="17"/>
  <c r="N38" i="17"/>
  <c r="I39" i="17"/>
  <c r="N37" i="17"/>
  <c r="I38" i="17"/>
  <c r="L39" i="17"/>
  <c r="J39" i="17"/>
  <c r="AJ10" i="25"/>
  <c r="BB10" i="25" s="1"/>
  <c r="K39" i="17"/>
  <c r="AJ12" i="25"/>
  <c r="BB12" i="25" s="1"/>
  <c r="I37" i="17"/>
  <c r="AK10" i="25"/>
  <c r="BC10" i="25" s="1"/>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M20" i="17"/>
  <c r="L32" i="17"/>
  <c r="AE14" i="23" l="1"/>
  <c r="J31" i="17" s="1"/>
  <c r="AN38" i="13"/>
  <c r="AM38" i="13"/>
  <c r="AG14" i="23"/>
  <c r="L31" i="17" s="1"/>
  <c r="I31" i="17"/>
  <c r="AC28" i="19"/>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AF13" i="13"/>
  <c r="AH13" i="13"/>
  <c r="AG13" i="13"/>
  <c r="AH20" i="13"/>
  <c r="AG20" i="13"/>
  <c r="AF20" i="13"/>
  <c r="AF11" i="13"/>
  <c r="AH11" i="13"/>
  <c r="AG11" i="13"/>
  <c r="I15" i="17"/>
  <c r="AH17" i="13"/>
  <c r="AG17" i="13"/>
  <c r="I18" i="17"/>
  <c r="AF17" i="13"/>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AG18" i="13"/>
  <c r="AG15" i="13"/>
  <c r="AF15" i="13"/>
  <c r="AH15" i="13"/>
  <c r="AH21" i="13"/>
  <c r="AG21" i="13"/>
  <c r="AF21" i="13"/>
  <c r="AG37" i="13"/>
  <c r="AH37" i="13"/>
  <c r="I22" i="17"/>
  <c r="I23" i="26" s="1"/>
  <c r="AH24" i="13"/>
  <c r="L22" i="17" s="1"/>
  <c r="AG24" i="13"/>
  <c r="K22" i="17" s="1"/>
  <c r="AF24" i="13"/>
  <c r="J22" i="17" s="1"/>
  <c r="K19" i="17" l="1"/>
  <c r="L19" i="17"/>
  <c r="J18" i="17"/>
  <c r="L24" i="17"/>
  <c r="G11" i="18" s="1"/>
  <c r="E14" i="18"/>
  <c r="F14" i="18"/>
  <c r="K15" i="17"/>
  <c r="J15" i="17"/>
  <c r="K20" i="17"/>
  <c r="F10" i="18" s="1"/>
  <c r="L20" i="17"/>
  <c r="G10" i="18" s="1"/>
  <c r="AE9" i="23"/>
  <c r="AG9" i="23"/>
  <c r="J20" i="17"/>
  <c r="E10" i="18" s="1"/>
  <c r="J19" i="17"/>
  <c r="E9" i="18" s="1"/>
  <c r="K24" i="17"/>
  <c r="F11" i="18" s="1"/>
  <c r="K18" i="17"/>
  <c r="K14" i="17"/>
  <c r="L18" i="17"/>
  <c r="L14" i="17"/>
  <c r="E28" i="19"/>
  <c r="F28" i="19" s="1"/>
  <c r="Q28" i="19"/>
  <c r="R28" i="19" s="1"/>
  <c r="J14" i="17"/>
  <c r="E8" i="18" s="1"/>
  <c r="I22" i="26"/>
  <c r="Q27" i="19"/>
  <c r="R27" i="19" s="1"/>
  <c r="E27" i="19"/>
  <c r="F27" i="19" s="1"/>
  <c r="L15" i="17"/>
  <c r="F8" i="18" l="1"/>
  <c r="F9" i="18"/>
  <c r="G9" i="18"/>
  <c r="H11" i="18"/>
  <c r="H14" i="18"/>
  <c r="H10" i="18"/>
  <c r="E15" i="18"/>
  <c r="G8" i="18"/>
  <c r="F15" i="18" l="1"/>
  <c r="G15" i="18"/>
  <c r="H9" i="18"/>
  <c r="H8" i="18"/>
  <c r="H15"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<sst xmlns="http://schemas.openxmlformats.org/spreadsheetml/2006/main" count="2923" uniqueCount="569">
  <si>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</si>
  <si>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</si>
  <si>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</si>
  <si>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</si>
  <si>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</si>
  <si>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</si>
  <si>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</si>
  <si>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</si>
  <si>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</si>
  <si>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</si>
  <si>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</si>
  <si>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</si>
  <si>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</si>
  <si>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</si>
  <si>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</si>
  <si>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</si>
  <si>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</si>
  <si>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</si>
  <si>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</si>
  <si>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</si>
  <si>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</si>
  <si>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</si>
  <si>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</si>
  <si>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</si>
  <si>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</si>
  <si>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</si>
  <si>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</si>
  <si>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</si>
  <si>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</si>
  <si>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</si>
  <si>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</si>
  <si>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</si>
  <si>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</si>
  <si>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</si>
  <si>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</si>
  <si>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</si>
  <si>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</si>
  <si>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</si>
  <si>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</si>
  <si>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</si>
  <si>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</si>
  <si>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</si>
  <si>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</si>
  <si>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</si>
  <si>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</si>
  <si>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</si>
  <si>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</si>
  <si>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</si>
  <si>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</si>
  <si>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</si>
  <si>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</si>
  <si>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</si>
  <si>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</si>
  <si>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</si>
  <si>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</si>
  <si>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</si>
  <si>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</si>
  <si>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</si>
  <si>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</si>
  <si>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</si>
  <si>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</si>
  <si>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</si>
  <si>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</si>
  <si>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</si>
  <si>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</si>
  <si>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</si>
  <si>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</si>
  <si>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</si>
  <si>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</si>
  <si>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</si>
  <si>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</si>
  <si>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</si>
  <si>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</si>
  <si>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</si>
  <si>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</si>
  <si>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</si>
  <si>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</si>
  <si>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</si>
  <si>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</si>
  <si>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</si>
  <si>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</si>
  <si>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</si>
  <si>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</si>
  <si>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</si>
  <si>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</si>
  <si>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</si>
  <si>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</si>
  <si>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</si>
  <si>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</si>
  <si>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</si>
  <si>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</si>
  <si>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</si>
  <si>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</si>
  <si>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</si>
  <si>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</si>
  <si>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</si>
  <si>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</si>
  <si>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</si>
  <si>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</si>
  <si>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</si>
  <si>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</si>
  <si>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</si>
  <si>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</si>
  <si>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</si>
  <si>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</si>
  <si>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</si>
  <si>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</si>
  <si>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</si>
  <si>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</si>
  <si>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</si>
  <si>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</si>
  <si>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</si>
  <si>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</si>
  <si>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</si>
  <si>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</si>
  <si>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</si>
  <si>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</si>
  <si>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</si>
  <si>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</si>
  <si>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</si>
  <si>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</si>
  <si>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</si>
  <si>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</si>
  <si>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</si>
  <si>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</si>
  <si>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</si>
  <si>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</si>
  <si>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</si>
  <si>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</si>
  <si>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</si>
  <si>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</si>
  <si>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</si>
  <si>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</si>
  <si>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</si>
  <si>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</si>
  <si>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</si>
  <si>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</si>
  <si>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</si>
  <si>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</si>
  <si>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</si>
  <si>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</si>
  <si>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</si>
  <si>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</si>
  <si>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</si>
  <si>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</si>
  <si>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</si>
  <si>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</si>
  <si>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</si>
  <si>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</si>
  <si>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</si>
  <si>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</si>
  <si>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</si>
  <si>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</si>
  <si>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</si>
  <si>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</si>
  <si>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</si>
  <si>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</si>
  <si>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</si>
  <si>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</si>
  <si>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</si>
  <si>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</si>
  <si>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</si>
  <si>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</si>
  <si>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</si>
  <si>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</si>
  <si>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</si>
  <si>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</si>
  <si>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</si>
  <si>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</si>
  <si>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</si>
  <si>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</si>
  <si>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</si>
  <si>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</si>
  <si>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</si>
  <si>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</si>
  <si>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</si>
  <si>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</si>
  <si>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</si>
  <si>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</si>
  <si>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</si>
  <si>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</si>
  <si>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</si>
  <si>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</si>
  <si>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</si>
  <si>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</si>
  <si>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</si>
  <si>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</si>
  <si>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</si>
  <si>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</si>
  <si>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</si>
  <si>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</si>
  <si>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</si>
  <si>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</si>
  <si>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</si>
  <si>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</si>
  <si>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</si>
  <si>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</si>
  <si>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</si>
  <si>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</si>
  <si>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</si>
  <si>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</si>
  <si>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</si>
  <si>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</si>
  <si>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</si>
  <si>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</si>
  <si>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</si>
  <si>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</si>
  <si>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</si>
  <si>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</si>
  <si>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</si>
  <si>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</si>
  <si>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</si>
  <si>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</si>
  <si>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</si>
  <si>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</si>
  <si>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</si>
  <si>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</si>
  <si>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</si>
  <si>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</si>
  <si>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</si>
  <si>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</si>
  <si>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</si>
  <si>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</si>
  <si>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</si>
  <si>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</si>
  <si>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</si>
  <si>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</si>
  <si>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</si>
  <si>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</si>
  <si>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</si>
  <si>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</si>
  <si>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</si>
  <si>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</si>
  <si>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</si>
  <si>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</si>
  <si>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</si>
  <si>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</si>
  <si>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</si>
  <si>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</si>
  <si>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</si>
  <si>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</si>
  <si>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</si>
  <si>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</si>
  <si>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</si>
  <si>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</si>
  <si>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</si>
  <si>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</si>
  <si>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</si>
  <si>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</si>
  <si>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</si>
  <si>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</si>
  <si>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</si>
  <si>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</si>
  <si>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</si>
  <si>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</si>
  <si>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</si>
  <si>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</si>
  <si>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</si>
  <si>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</si>
  <si>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</si>
  <si>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</si>
  <si>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</si>
  <si>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</si>
  <si>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</si>
  <si>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</si>
  <si>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</si>
  <si>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</si>
  <si>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</si>
  <si>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</si>
  <si>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</si>
  <si>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</si>
  <si>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</si>
  <si>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</si>
  <si>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</si>
  <si>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</si>
  <si>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</si>
  <si>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</si>
  <si>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</si>
  <si>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</si>
  <si>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</si>
  <si>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</si>
  <si>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</si>
  <si>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</si>
  <si>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</si>
  <si>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</si>
  <si>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</si>
  <si>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</si>
  <si>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</si>
  <si>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</si>
  <si>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</si>
  <si>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</si>
  <si>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</si>
  <si>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</si>
  <si>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</si>
  <si>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</si>
  <si>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</si>
  <si>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</si>
  <si>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</si>
  <si>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</si>
  <si>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</si>
  <si>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</si>
  <si>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</si>
  <si>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</si>
  <si>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</si>
  <si>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</si>
  <si>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</si>
  <si>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</si>
  <si>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</si>
  <si>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</si>
  <si>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</si>
  <si>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</si>
  <si>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</si>
  <si>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</si>
  <si>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</si>
  <si>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</si>
  <si>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</si>
  <si>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</si>
  <si>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</si>
  <si>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</si>
  <si>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</si>
  <si>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</si>
  <si>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</si>
  <si>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</si>
  <si>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</si>
  <si>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</si>
  <si>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</si>
  <si>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</si>
  <si>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</si>
  <si>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</si>
  <si>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</si>
  <si>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</si>
  <si>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</si>
  <si>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</si>
  <si>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</si>
  <si>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</si>
  <si>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</si>
  <si>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</si>
  <si>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</si>
  <si>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</si>
  <si>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</si>
  <si>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</si>
  <si>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</si>
  <si>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</si>
  <si>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</si>
  <si>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</si>
  <si>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</si>
  <si>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</si>
  <si>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</si>
  <si>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</si>
  <si>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</si>
  <si>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</si>
  <si>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</si>
  <si>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</si>
  <si>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</si>
  <si>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</si>
  <si>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</si>
  <si>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</si>
  <si>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</si>
  <si>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</si>
  <si>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</si>
  <si>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</si>
  <si>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</si>
  <si>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</si>
  <si>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</si>
  <si>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</si>
  <si>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</si>
  <si>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</si>
  <si>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</si>
  <si>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</si>
  <si>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</si>
  <si>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</si>
  <si>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</si>
  <si>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</si>
  <si>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</si>
  <si>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</si>
  <si>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</si>
  <si>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</si>
  <si>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</si>
  <si>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</si>
  <si>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</si>
  <si>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</si>
  <si>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</si>
  <si>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</si>
  <si>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</si>
  <si>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</si>
  <si>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</si>
  <si>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</si>
  <si>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</si>
  <si>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</si>
  <si>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</si>
  <si>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</si>
  <si>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</si>
  <si>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</si>
  <si>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</si>
  <si>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</si>
  <si>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</si>
  <si>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</si>
  <si>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</si>
  <si>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</si>
  <si>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</si>
  <si>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</si>
  <si>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</si>
  <si>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</si>
  <si>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</si>
  <si>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</si>
  <si>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</si>
  <si>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</si>
  <si>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</si>
  <si>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</si>
  <si>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</si>
  <si>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</si>
  <si>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</si>
  <si>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</si>
  <si>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</si>
  <si>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</si>
  <si>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</si>
  <si>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</si>
  <si>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</si>
  <si>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</si>
  <si>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</si>
  <si>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</si>
  <si>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</si>
  <si>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</si>
  <si>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</si>
  <si>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</si>
  <si>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</si>
  <si>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</si>
  <si>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</si>
  <si>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</si>
  <si>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</si>
  <si>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</si>
  <si>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</si>
  <si>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</si>
  <si>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</si>
  <si>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</si>
  <si>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</si>
  <si>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</si>
  <si>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</si>
  <si>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</si>
  <si>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</si>
  <si>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</si>
  <si>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</si>
  <si>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</si>
  <si>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</si>
  <si>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</si>
  <si>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</si>
  <si>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</si>
  <si>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</si>
  <si>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</si>
  <si>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</si>
  <si>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</si>
  <si>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</si>
  <si>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</si>
  <si>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</si>
  <si>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</si>
  <si>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</si>
  <si>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</si>
  <si>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</si>
  <si>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</si>
  <si>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</si>
  <si>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</si>
  <si>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</si>
  <si>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</si>
  <si>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</si>
  <si>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</si>
  <si>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</si>
  <si>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</si>
  <si>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</si>
  <si>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</si>
  <si>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</si>
  <si>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</si>
  <si>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</si>
  <si>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</si>
  <si>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</si>
  <si>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</si>
  <si>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</si>
  <si>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</si>
  <si>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</si>
  <si>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</si>
  <si>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</si>
  <si>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</si>
  <si>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</si>
  <si>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</si>
  <si>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</si>
  <si>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</si>
  <si>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</si>
  <si>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</si>
  <si>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</si>
  <si>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</si>
  <si>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</si>
  <si>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</si>
  <si>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</si>
  <si>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</si>
  <si>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</si>
  <si>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</si>
  <si>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</si>
  <si>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</si>
  <si>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</si>
  <si>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</si>
  <si>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</si>
  <si>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</si>
  <si>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</si>
  <si>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</si>
  <si>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</si>
  <si>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</si>
  <si>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</si>
  <si>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</si>
  <si>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</si>
  <si>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</si>
  <si>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</si>
  <si>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</si>
  <si>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</si>
  <si>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</si>
  <si>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</si>
  <si>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</si>
  <si>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</si>
  <si>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</si>
  <si>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</si>
  <si>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</si>
  <si>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</si>
  <si>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</si>
  <si>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</si>
  <si>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</si>
  <si>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</si>
  <si>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</si>
  <si>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</si>
  <si>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</si>
  <si>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</si>
  <si>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</si>
  <si>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</si>
  <si>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</si>
  <si>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</si>
  <si>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</si>
  <si>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</si>
  <si>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</si>
  <si>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</si>
  <si>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</si>
  <si>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</si>
  <si>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</si>
  <si>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</si>
  <si>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</si>
  <si>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</si>
  <si>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</si>
  <si>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</si>
  <si>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</si>
  <si>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</si>
  <si>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</si>
  <si>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</si>
  <si>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</si>
  <si>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</si>
  <si>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</si>
  <si>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</si>
  <si>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</si>
  <si>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</si>
  <si>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</si>
  <si>
    <t>GIZ assumptions TABLE 7 https://www.changing-transport.org/wp-content/uploads/2018_GIZ_INFRAS_Transport_Mitigation_Options_Kenya.pdf</t>
  </si>
  <si>
    <t>Car</t>
  </si>
  <si>
    <t>2W</t>
  </si>
  <si>
    <t>million vkm peryear</t>
  </si>
  <si>
    <t>avg occupancy (passengers)</t>
  </si>
  <si>
    <t>Minibus fleet</t>
  </si>
  <si>
    <t>Big bus fleet</t>
  </si>
  <si>
    <t>intercity coach fleet</t>
  </si>
  <si>
    <t>Matatu-minibus</t>
  </si>
  <si>
    <t>Matatu-bus</t>
  </si>
  <si>
    <t>Coach</t>
  </si>
  <si>
    <t>million pkm per year</t>
  </si>
  <si>
    <t>UNDESA value, total road</t>
  </si>
  <si>
    <t>(scaled to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</si>
</sst>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52">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1"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3"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2" fontId="76" fillId="23" borderId="8" xfId="0" applyNumberFormat="1" applyFont="1" applyFill="1" applyBorder="1"/>
    <xf numFmtId="0" fontId="76" fillId="23" borderId="7" xfId="0" applyFont="1" applyFill="1" applyBorder="1"/>
    <xf numFmtId="172"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2" fontId="76" fillId="23" borderId="11" xfId="0" applyNumberFormat="1" applyFont="1" applyFill="1" applyBorder="1"/>
    <xf numFmtId="0" fontId="76" fillId="23" borderId="10" xfId="0" applyFont="1" applyFill="1" applyBorder="1"/>
    <xf numFmtId="172"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xf numFmtId="172"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2"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7" applyNumberFormat="1" applyFont="1" applyFill="1" applyBorder="1" applyAlignment="1">
      <alignment vertical="center"/>
    </xf>
    <xf numFmtId="174" fontId="97" fillId="23" borderId="47" xfId="1167" applyNumberFormat="1" applyFont="1" applyFill="1" applyBorder="1" applyAlignment="1">
      <alignment vertical="center"/>
    </xf>
    <xf numFmtId="174" fontId="75" fillId="23" borderId="7" xfId="1167" applyNumberFormat="1" applyFont="1" applyFill="1" applyBorder="1" applyAlignment="1"/>
    <xf numFmtId="174" fontId="15" fillId="22" borderId="56" xfId="1167" applyNumberFormat="1" applyFont="1" applyFill="1" applyBorder="1" applyAlignment="1">
      <alignment vertical="center"/>
    </xf>
    <xf numFmtId="174" fontId="97" fillId="23" borderId="50" xfId="1167" applyNumberFormat="1" applyFont="1" applyFill="1" applyBorder="1" applyAlignment="1">
      <alignment vertical="center"/>
    </xf>
    <xf numFmtId="174" fontId="15" fillId="22" borderId="7" xfId="1167" applyNumberFormat="1" applyFont="1" applyFill="1" applyBorder="1" applyAlignment="1">
      <alignment vertical="center"/>
    </xf>
    <xf numFmtId="166" fontId="15" fillId="23" borderId="7" xfId="1167" applyFont="1" applyFill="1" applyBorder="1" applyAlignment="1">
      <alignment vertical="center"/>
    </xf>
    <xf numFmtId="166" fontId="15" fillId="23" borderId="12" xfId="1167" applyFont="1" applyFill="1" applyBorder="1" applyAlignment="1">
      <alignment vertical="center"/>
    </xf>
    <xf numFmtId="166" fontId="75" fillId="23" borderId="7" xfId="1167" applyFont="1" applyFill="1" applyBorder="1" applyAlignment="1"/>
    <xf numFmtId="166"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xf numFmtId="172" fontId="75" fillId="23" borderId="46" xfId="0" applyNumberFormat="1" applyFont="1" applyFill="1" applyBorder="1"/>
    <xf numFmtId="172"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xf numFmtId="172" fontId="75" fillId="23" borderId="12" xfId="0" applyNumberFormat="1" applyFont="1" applyFill="1" applyBorder="1"/>
    <xf numFmtId="172" fontId="75" fillId="23" borderId="47" xfId="0" applyNumberFormat="1" applyFont="1" applyFill="1" applyBorder="1"/>
    <xf numFmtId="172" fontId="75" fillId="23" borderId="48" xfId="0" applyNumberFormat="1" applyFont="1" applyFill="1" applyBorder="1"/>
    <xf numFmtId="166" fontId="75" fillId="23" borderId="12" xfId="1167" applyFont="1" applyFill="1" applyBorder="1" applyAlignment="1"/>
    <xf numFmtId="172" fontId="75" fillId="23" borderId="43" xfId="0" applyNumberFormat="1" applyFont="1" applyFill="1" applyBorder="1"/>
    <xf numFmtId="172" fontId="75" fillId="23" borderId="63" xfId="0" applyNumberFormat="1" applyFont="1" applyFill="1" applyBorder="1"/>
    <xf numFmtId="0" fontId="95" fillId="55" borderId="18" xfId="1" applyFont="1" applyFill="1" applyBorder="1" applyAlignment="1">
      <alignment horizontal="center" vertical="center" wrapText="1"/>
    </xf>
    <xf numFmtId="172"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xf numFmtId="172"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Alignment="1">
      <alignment vertical="center" wrapText="1"/>
    </xf>
    <xf numFmtId="175" fontId="15" fillId="22" borderId="7" xfId="1167" applyNumberFormat="1" applyFont="1" applyFill="1" applyBorder="1" applyAlignment="1">
      <alignment vertical="center"/>
    </xf>
    <xf numFmtId="175" fontId="15" fillId="22" borderId="15" xfId="1167" applyNumberFormat="1" applyFont="1" applyFill="1" applyBorder="1" applyAlignment="1">
      <alignment vertical="center"/>
    </xf>
    <xf numFmtId="175" fontId="15" fillId="22" borderId="46" xfId="1167" applyNumberFormat="1" applyFont="1" applyFill="1" applyBorder="1" applyAlignment="1">
      <alignment vertical="center"/>
    </xf>
    <xf numFmtId="174"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2"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5" fontId="15" fillId="24" borderId="7" xfId="1167" applyNumberFormat="1" applyFont="1" applyFill="1" applyBorder="1" applyAlignment="1">
      <alignment vertical="center"/>
    </xf>
    <xf numFmtId="174" fontId="15" fillId="24" borderId="7" xfId="1167" applyNumberFormat="1" applyFont="1" applyFill="1" applyBorder="1" applyAlignment="1">
      <alignment vertical="center"/>
    </xf>
    <xf numFmtId="174" fontId="15" fillId="24" borderId="10" xfId="1167" applyNumberFormat="1" applyFont="1" applyFill="1" applyBorder="1" applyAlignment="1">
      <alignment vertical="center"/>
    </xf>
    <xf numFmtId="166"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7" applyNumberFormat="1" applyFont="1" applyFill="1" applyBorder="1" applyAlignment="1">
      <alignment vertical="center"/>
    </xf>
    <xf numFmtId="0" fontId="15" fillId="58" borderId="86" xfId="1" applyFont="1" applyFill="1" applyBorder="1" applyAlignment="1">
      <alignment vertical="center"/>
    </xf>
    <xf numFmtId="175" fontId="15" fillId="59" borderId="42" xfId="1167" applyNumberFormat="1" applyFont="1" applyFill="1" applyBorder="1" applyAlignment="1">
      <alignment vertical="center"/>
    </xf>
    <xf numFmtId="174" fontId="99" fillId="59" borderId="7" xfId="1167" applyNumberFormat="1" applyFont="1" applyFill="1" applyBorder="1" applyAlignment="1">
      <alignment vertical="center"/>
    </xf>
    <xf numFmtId="175" fontId="15" fillId="59" borderId="7" xfId="1167" applyNumberFormat="1" applyFont="1" applyFill="1" applyBorder="1" applyAlignment="1">
      <alignment vertical="center"/>
    </xf>
    <xf numFmtId="175"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5" fontId="99" fillId="59" borderId="12" xfId="1167" applyNumberFormat="1" applyFont="1" applyFill="1" applyBorder="1" applyAlignment="1">
      <alignment vertical="center"/>
    </xf>
    <xf numFmtId="175" fontId="99" fillId="59" borderId="10" xfId="1167" applyNumberFormat="1" applyFont="1" applyFill="1" applyBorder="1" applyAlignment="1">
      <alignment vertical="center"/>
    </xf>
    <xf numFmtId="175" fontId="15"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4" fontId="0" fillId="0" borderId="0" xfId="1167" applyNumberFormat="1" applyFont="1"/>
    <xf numFmtId="178"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5"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xf numFmtId="172"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2"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2"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2"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4"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6" fontId="93" fillId="23" borderId="88" xfId="1167" applyFont="1" applyFill="1" applyBorder="1" applyAlignment="1">
      <alignment horizontal="center" vertical="center"/>
    </xf>
    <xf numFmtId="166" fontId="0" fillId="23" borderId="88" xfId="0" applyNumberForma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3" fontId="1" fillId="0" borderId="0" xfId="1" applyNumberFormat="1" applyFont="1" applyAlignment="1">
      <alignment vertical="center"/>
    </xf>
    <xf numFmtId="4" fontId="107" fillId="24" borderId="18" xfId="1" applyNumberFormat="1" applyFont="1" applyFill="1" applyBorder="1" applyAlignment="1">
      <alignment vertical="center"/>
    </xf>
    <xf numFmtId="172" fontId="87" fillId="23" borderId="18" xfId="0" applyNumberFormat="1" applyFont="1" applyFill="1" applyBorder="1"/>
    <xf numFmtId="172" fontId="87" fillId="23" borderId="7" xfId="0" applyNumberFormat="1" applyFont="1" applyFill="1" applyBorder="1"/>
    <xf numFmtId="166" fontId="107" fillId="23" borderId="6" xfId="1167" applyFont="1" applyFill="1" applyBorder="1" applyAlignment="1">
      <alignment vertical="center"/>
    </xf>
    <xf numFmtId="4" fontId="107" fillId="23" borderId="55" xfId="1" applyNumberFormat="1" applyFont="1" applyFill="1" applyBorder="1" applyAlignment="1">
      <alignment vertical="center"/>
    </xf>
    <xf numFmtId="4" fontId="107" fillId="59" borderId="49" xfId="1" applyNumberFormat="1" applyFont="1" applyFill="1" applyBorder="1" applyAlignment="1">
      <alignment vertical="center"/>
    </xf>
    <xf numFmtId="4" fontId="107" fillId="24" borderId="7" xfId="1" applyNumberFormat="1" applyFont="1" applyFill="1" applyBorder="1" applyAlignment="1">
      <alignment vertical="center"/>
    </xf>
    <xf numFmtId="0" fontId="94" fillId="55" borderId="56"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90" fillId="60" borderId="30" xfId="393" applyFont="1" applyFill="1" applyBorder="1">
      <alignment horizontal="center" vertical="center"/>
    </xf>
    <xf numFmtId="0" fontId="90" fillId="60" borderId="32" xfId="393" applyFont="1" applyFill="1" applyBorder="1">
      <alignment horizontal="center" vertical="center"/>
    </xf>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0" fillId="60" borderId="31" xfId="393" applyFont="1" applyFill="1" applyBorder="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8"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77" fillId="58" borderId="0" xfId="0" applyFont="1" applyFill="1" applyAlignment="1">
      <alignment horizontal="left" vertical="center"/>
    </xf>
    <xf numFmtId="0" fontId="94" fillId="55" borderId="35"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xf numFmtId="3" fontId="81" fillId="0" borderId="0" xfId="1" applyNumberFormat="1" applyFont="1" applyAlignment="1">
      <alignment vertical="center"/>
    </xf>
    <xf numFmtId="0" fontId="1" fillId="0" borderId="0" xfId="1" applyFont="1" applyAlignment="1">
      <alignment vertical="center" wrapText="1"/>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pkm</a:t>
            </a:r>
            <a:r>
              <a:rPr lang="en-GB" baseline="0"/>
              <a:t> by mode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'1A3b Road'!$A$42:$A$46</c:f>
              <c:strCache>
                <c:ptCount val="5"/>
                <c:pt idx="0">
                  <c:v>Car</c:v>
                </c:pt>
                <c:pt idx="1">
                  <c:v>2W</c:v>
                </c:pt>
                <c:pt idx="2">
                  <c:v>Coach</c:v>
                </c:pt>
                <c:pt idx="3">
                  <c:v>Matatu-minibus</c:v>
                </c:pt>
                <c:pt idx="4">
                  <c:v>Matatu-bus</c:v>
                </c:pt>
              </c:strCache>
            </c:strRef>
          </c:cat>
          <c:val>
            <c:numRef>
              <c:f>'1A3b Road'!$E$42:$E$46</c:f>
              <c:numCache>
                <c:formatCode>General</c:formatCode>
                <c:ptCount val="5"/>
                <c:pt idx="0">
                  <c:v>9902.2555391915357</c:v>
                </c:pt>
                <c:pt idx="1">
                  <c:v>7541.5264235128343</c:v>
                </c:pt>
                <c:pt idx="2">
                  <c:v>6075.3851535608037</c:v>
                </c:pt>
                <c:pt idx="3">
                  <c:v>10357.067435704859</c:v>
                </c:pt>
                <c:pt idx="4">
                  <c:v>18608.83978802996</c:v>
                </c:pt>
              </c:numCache>
            </c:numRef>
          </c:val>
          <c:extLst>
            <c:ext xmlns:c16="http://schemas.microsoft.com/office/drawing/2014/chart" uri="{C3380CC4-5D6E-409C-BE32-E72D297353CC}">
              <c16:uniqueId val="{00000000-BD42-45F5-AB0E-B10C854EA31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vkm</a:t>
            </a:r>
            <a:r>
              <a:rPr lang="en-GB" baseline="0"/>
              <a:t> by mode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78-4D68-A79E-7772786A36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78-4D68-A79E-7772786A36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78-4D68-A79E-7772786A36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578-4D68-A79E-7772786A36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578-4D68-A79E-7772786A36AC}"/>
              </c:ext>
            </c:extLst>
          </c:dPt>
          <c:cat>
            <c:strRef>
              <c:f>'1A3b Road'!$A$42:$A$46</c:f>
              <c:strCache>
                <c:ptCount val="5"/>
                <c:pt idx="0">
                  <c:v>Car</c:v>
                </c:pt>
                <c:pt idx="1">
                  <c:v>2W</c:v>
                </c:pt>
                <c:pt idx="2">
                  <c:v>Coach</c:v>
                </c:pt>
                <c:pt idx="3">
                  <c:v>Matatu-minibus</c:v>
                </c:pt>
                <c:pt idx="4">
                  <c:v>Matatu-bus</c:v>
                </c:pt>
              </c:strCache>
            </c:strRef>
          </c:cat>
          <c:val>
            <c:numRef>
              <c:f>'1A3b Road'!$B$42:$B$46</c:f>
              <c:numCache>
                <c:formatCode>#,##0</c:formatCode>
                <c:ptCount val="5"/>
                <c:pt idx="0">
                  <c:v>11831.6153266112</c:v>
                </c:pt>
                <c:pt idx="1">
                  <c:v>9611.6487686077544</c:v>
                </c:pt>
                <c:pt idx="2">
                  <c:v>439.94641492285933</c:v>
                </c:pt>
                <c:pt idx="3">
                  <c:v>2020.4151789999999</c:v>
                </c:pt>
                <c:pt idx="4">
                  <c:v>1540.0584760000002</c:v>
                </c:pt>
              </c:numCache>
            </c:numRef>
          </c:val>
          <c:extLst>
            <c:ext xmlns:c16="http://schemas.microsoft.com/office/drawing/2014/chart" uri="{C3380CC4-5D6E-409C-BE32-E72D297353CC}">
              <c16:uniqueId val="{0000000A-5578-4D68-A79E-7772786A36A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30.09097842712039</c:v>
                </c:pt>
                <c:pt idx="2">
                  <c:v>10.060348114731296</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twoCellAnchor>
    <xdr:from>
      <xdr:col>7</xdr:col>
      <xdr:colOff>1223366</xdr:colOff>
      <xdr:row>37</xdr:row>
      <xdr:rowOff>75009</xdr:rowOff>
    </xdr:from>
    <xdr:to>
      <xdr:col>11</xdr:col>
      <xdr:colOff>586381</xdr:colOff>
      <xdr:row>50</xdr:row>
      <xdr:rowOff>26193</xdr:rowOff>
    </xdr:to>
    <xdr:graphicFrame macro="">
      <xdr:nvGraphicFramePr>
        <xdr:cNvPr id="3" name="Chart 2">
          <a:extLst>
            <a:ext uri="{FF2B5EF4-FFF2-40B4-BE49-F238E27FC236}">
              <a16:creationId xmlns:a16="http://schemas.microsoft.com/office/drawing/2014/main" id="{EEBB22D9-1F6C-D9C0-4522-17F803746F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1232297</xdr:colOff>
      <xdr:row>50</xdr:row>
      <xdr:rowOff>136921</xdr:rowOff>
    </xdr:from>
    <xdr:to>
      <xdr:col>11</xdr:col>
      <xdr:colOff>595312</xdr:colOff>
      <xdr:row>64</xdr:row>
      <xdr:rowOff>46433</xdr:rowOff>
    </xdr:to>
    <xdr:graphicFrame macro="">
      <xdr:nvGraphicFramePr>
        <xdr:cNvPr id="5" name="Chart 4">
          <a:extLst>
            <a:ext uri="{FF2B5EF4-FFF2-40B4-BE49-F238E27FC236}">
              <a16:creationId xmlns:a16="http://schemas.microsoft.com/office/drawing/2014/main" id="{60A034C2-8515-431C-8D8A-42BAB44AE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3984375" defaultRowHeight="14.25"/>
  <cols>
    <col min="1" max="1" width="12.3984375" style="33"/>
    <col min="2" max="2" width="16" style="33" customWidth="1"/>
    <col min="3" max="16384" width="12.398437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8">
      <c r="H3" s="74" t="s">
        <v>316</v>
      </c>
      <c r="I3" s="36"/>
      <c r="J3" s="36"/>
      <c r="K3" s="74"/>
    </row>
    <row r="4" spans="1:40" ht="15.4">
      <c r="H4" s="73" t="s">
        <v>297</v>
      </c>
      <c r="I4" s="72" t="s">
        <v>296</v>
      </c>
      <c r="J4" s="36"/>
      <c r="K4" s="36"/>
    </row>
    <row r="5" spans="1:40" ht="15.4">
      <c r="H5" s="73" t="s">
        <v>298</v>
      </c>
      <c r="I5" s="72" t="s">
        <v>305</v>
      </c>
      <c r="J5" s="36"/>
      <c r="K5" s="36"/>
    </row>
    <row r="6" spans="1:40" ht="15.4">
      <c r="H6" s="73" t="s">
        <v>299</v>
      </c>
      <c r="I6" s="72" t="s">
        <v>306</v>
      </c>
      <c r="J6" s="36"/>
      <c r="K6" s="36"/>
    </row>
    <row r="7" spans="1:40" ht="15.4">
      <c r="B7" s="34"/>
      <c r="H7" s="73" t="s">
        <v>300</v>
      </c>
      <c r="I7" s="72" t="s">
        <v>543</v>
      </c>
      <c r="J7" s="36"/>
      <c r="K7" s="36"/>
    </row>
    <row r="8" spans="1:40" ht="15.4">
      <c r="H8" s="73" t="s">
        <v>301</v>
      </c>
      <c r="I8" s="72" t="s">
        <v>544</v>
      </c>
      <c r="J8" s="36"/>
      <c r="K8" s="36"/>
    </row>
    <row r="9" spans="1:40" ht="15.4">
      <c r="H9" s="73" t="s">
        <v>302</v>
      </c>
      <c r="I9" s="72" t="s">
        <v>307</v>
      </c>
      <c r="J9" s="36"/>
      <c r="K9" s="36"/>
    </row>
    <row r="10" spans="1:40" ht="15" customHeight="1">
      <c r="H10" s="73" t="s">
        <v>303</v>
      </c>
      <c r="I10" s="72" t="s">
        <v>356</v>
      </c>
      <c r="J10" s="36"/>
      <c r="K10" s="36"/>
    </row>
    <row r="11" spans="1:40" ht="15.4">
      <c r="B11" s="35"/>
      <c r="C11" s="36"/>
      <c r="D11" s="36"/>
      <c r="E11" s="36"/>
      <c r="F11" s="36"/>
      <c r="G11" s="36"/>
      <c r="H11" s="73" t="s">
        <v>304</v>
      </c>
      <c r="I11" s="72" t="s">
        <v>308</v>
      </c>
      <c r="J11" s="36"/>
      <c r="K11" s="36"/>
    </row>
    <row r="12" spans="1:40" ht="15.4">
      <c r="B12" s="36"/>
      <c r="C12" s="36"/>
      <c r="D12" s="36"/>
      <c r="E12" s="36"/>
      <c r="F12" s="36"/>
      <c r="G12" s="36"/>
      <c r="H12" s="73" t="s">
        <v>309</v>
      </c>
      <c r="I12" s="72" t="s">
        <v>355</v>
      </c>
      <c r="J12" s="36"/>
      <c r="K12" s="36"/>
    </row>
    <row r="13" spans="1:40" ht="15.4">
      <c r="B13" s="36"/>
      <c r="C13" s="36"/>
      <c r="D13" s="36"/>
      <c r="E13" s="36"/>
      <c r="F13" s="36"/>
      <c r="G13" s="36"/>
      <c r="H13" s="73" t="s">
        <v>310</v>
      </c>
      <c r="I13" s="72" t="s">
        <v>313</v>
      </c>
      <c r="J13" s="36"/>
      <c r="K13" s="36"/>
    </row>
    <row r="14" spans="1:40" ht="15.4">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5.4">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5.75">
      <c r="B58" s="37"/>
      <c r="C58" s="37"/>
      <c r="D58" s="37"/>
      <c r="E58" s="39"/>
      <c r="F58" s="39"/>
      <c r="G58" s="39"/>
      <c r="H58" s="39"/>
    </row>
    <row r="59" spans="2:8" ht="15.75">
      <c r="B59" s="37"/>
      <c r="C59" s="37"/>
      <c r="D59" s="37"/>
      <c r="E59" s="39"/>
      <c r="F59" s="39"/>
      <c r="G59" s="39"/>
      <c r="H59" s="39"/>
    </row>
    <row r="60" spans="2:8" ht="15.75">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defaultColWidth="9.1328125" defaultRowHeight="14.25"/>
  <cols>
    <col min="1" max="1" width="28.3984375" style="335" customWidth="1"/>
    <col min="2" max="2" width="29.3984375" style="335" customWidth="1"/>
    <col min="3" max="3" width="18.265625" style="335" bestFit="1" customWidth="1"/>
    <col min="4" max="4" width="3" style="335" customWidth="1"/>
    <col min="5" max="5" width="12" style="335" bestFit="1" customWidth="1"/>
    <col min="6" max="6" width="11.1328125" style="336" bestFit="1" customWidth="1"/>
    <col min="7" max="7" width="2.3984375" style="335" customWidth="1"/>
    <col min="8" max="8" width="13.86328125" style="335" customWidth="1"/>
    <col min="9" max="9" width="11" style="336" bestFit="1" customWidth="1"/>
    <col min="10" max="10" width="2.3984375" style="335" customWidth="1"/>
    <col min="11" max="11" width="18.3984375" style="335" customWidth="1"/>
    <col min="12" max="12" width="9.1328125" style="335" customWidth="1"/>
    <col min="13" max="13" width="17.1328125" style="335" customWidth="1"/>
    <col min="14" max="14" width="9.1328125" style="335" customWidth="1"/>
    <col min="15" max="15" width="16.86328125" style="335" customWidth="1"/>
    <col min="16" max="16" width="11" style="336" bestFit="1" customWidth="1"/>
    <col min="17" max="17" width="2" style="335" customWidth="1"/>
    <col min="18" max="18" width="13.86328125" style="335" bestFit="1" customWidth="1"/>
    <col min="19" max="19" width="14.3984375" style="335" customWidth="1"/>
    <col min="20" max="20" width="13.86328125" style="335" bestFit="1" customWidth="1"/>
    <col min="21" max="21" width="11.3984375" style="335" bestFit="1" customWidth="1"/>
    <col min="22" max="22" width="13.86328125" style="335" bestFit="1" customWidth="1"/>
    <col min="23" max="23" width="11.3984375" style="335" bestFit="1" customWidth="1"/>
    <col min="24" max="24" width="2.1328125" style="335" customWidth="1"/>
    <col min="25" max="26" width="14" style="335" customWidth="1"/>
    <col min="27" max="29" width="9.1328125" style="335"/>
    <col min="30" max="30" width="16.265625" style="335" customWidth="1"/>
    <col min="31" max="16384" width="9.13281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72" t="s">
        <v>350</v>
      </c>
      <c r="B4" s="573"/>
      <c r="F4" s="336"/>
      <c r="I4" s="336"/>
      <c r="P4" s="336"/>
    </row>
    <row r="5" spans="1:147" s="19" customFormat="1" ht="26.25" customHeight="1">
      <c r="A5" s="337"/>
      <c r="B5" s="335"/>
      <c r="F5" s="336"/>
      <c r="I5" s="336"/>
      <c r="P5" s="336"/>
    </row>
    <row r="6" spans="1:147" s="19" customFormat="1" ht="16.149999999999999" thickBot="1">
      <c r="A6" s="20"/>
      <c r="B6" s="335"/>
      <c r="F6" s="336"/>
      <c r="I6" s="336"/>
      <c r="P6" s="336"/>
    </row>
    <row r="7" spans="1:147" s="19" customFormat="1" ht="19.899999999999999" thickBot="1">
      <c r="A7" s="570" t="s">
        <v>218</v>
      </c>
      <c r="B7" s="574"/>
      <c r="C7" s="571"/>
      <c r="D7" s="335"/>
      <c r="E7" s="570" t="s">
        <v>219</v>
      </c>
      <c r="F7" s="571"/>
      <c r="G7" s="335"/>
      <c r="H7" s="570" t="s">
        <v>5</v>
      </c>
      <c r="I7" s="571"/>
      <c r="J7" s="335"/>
      <c r="K7" s="570" t="s">
        <v>220</v>
      </c>
      <c r="L7" s="574"/>
      <c r="M7" s="574"/>
      <c r="N7" s="574"/>
      <c r="O7" s="574"/>
      <c r="P7" s="571"/>
      <c r="Q7" s="335"/>
      <c r="R7" s="570" t="s">
        <v>284</v>
      </c>
      <c r="S7" s="574"/>
      <c r="T7" s="574"/>
      <c r="U7" s="574"/>
      <c r="V7" s="574"/>
      <c r="W7" s="571"/>
      <c r="Y7" s="570" t="s">
        <v>8</v>
      </c>
      <c r="Z7" s="574"/>
      <c r="AA7" s="571"/>
    </row>
    <row r="8" spans="1:147" s="22" customFormat="1" ht="36.75" customHeight="1">
      <c r="A8" s="575" t="s">
        <v>376</v>
      </c>
      <c r="B8" s="581" t="s">
        <v>200</v>
      </c>
      <c r="C8" s="577" t="s">
        <v>196</v>
      </c>
      <c r="D8" s="80"/>
      <c r="E8" s="568" t="s">
        <v>24</v>
      </c>
      <c r="F8" s="583"/>
      <c r="G8" s="80"/>
      <c r="H8" s="568" t="s">
        <v>19</v>
      </c>
      <c r="I8" s="583"/>
      <c r="J8" s="80"/>
      <c r="K8" s="568" t="s">
        <v>21</v>
      </c>
      <c r="L8" s="569"/>
      <c r="M8" s="568" t="s">
        <v>22</v>
      </c>
      <c r="N8" s="569"/>
      <c r="O8" s="568" t="s">
        <v>23</v>
      </c>
      <c r="P8" s="583"/>
      <c r="Q8" s="80"/>
      <c r="R8" s="568" t="s">
        <v>25</v>
      </c>
      <c r="S8" s="569"/>
      <c r="T8" s="568" t="s">
        <v>26</v>
      </c>
      <c r="U8" s="569"/>
      <c r="V8" s="568" t="s">
        <v>27</v>
      </c>
      <c r="W8" s="583"/>
      <c r="X8" s="21"/>
      <c r="Y8" s="360" t="s">
        <v>357</v>
      </c>
      <c r="Z8" s="361" t="s">
        <v>358</v>
      </c>
      <c r="AA8" s="579"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1.9" thickBot="1">
      <c r="A9" s="576"/>
      <c r="B9" s="582"/>
      <c r="C9" s="578"/>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80"/>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5.75">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5.75">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AA8:AA9"/>
    <mergeCell ref="Y7:AA7"/>
    <mergeCell ref="B8:B9"/>
    <mergeCell ref="A7:C7"/>
    <mergeCell ref="V8:W8"/>
    <mergeCell ref="E7:F7"/>
    <mergeCell ref="R7:W7"/>
    <mergeCell ref="E8:F8"/>
    <mergeCell ref="H8:I8"/>
    <mergeCell ref="K8:L8"/>
    <mergeCell ref="M8:N8"/>
    <mergeCell ref="O8:P8"/>
    <mergeCell ref="R8:S8"/>
    <mergeCell ref="T8:U8"/>
    <mergeCell ref="H7:I7"/>
    <mergeCell ref="A4:B4"/>
    <mergeCell ref="K7:P7"/>
    <mergeCell ref="A8:A9"/>
    <mergeCell ref="C8:C9"/>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4"/>
  <sheetViews>
    <sheetView showGridLines="0" tabSelected="1" zoomScale="80" zoomScaleNormal="80" workbookViewId="0">
      <pane xSplit="7" ySplit="9" topLeftCell="H37" activePane="bottomRight" state="frozen"/>
      <selection activeCell="I5" sqref="I5"/>
      <selection pane="topRight" activeCell="I5" sqref="I5"/>
      <selection pane="bottomLeft" activeCell="I5" sqref="I5"/>
      <selection pane="bottomRight" activeCell="E44" sqref="E44"/>
    </sheetView>
  </sheetViews>
  <sheetFormatPr defaultColWidth="11.3984375" defaultRowHeight="15.75" outlineLevelRow="1"/>
  <cols>
    <col min="1" max="1" width="21.3984375" style="1" customWidth="1"/>
    <col min="2" max="2" width="42.3984375" style="11" customWidth="1"/>
    <col min="3" max="3" width="30.3984375" style="11" customWidth="1"/>
    <col min="4" max="4" width="15.1328125" style="1" bestFit="1" customWidth="1"/>
    <col min="5" max="5" width="13.3984375" style="1" customWidth="1"/>
    <col min="6" max="6" width="11.3984375" style="1" customWidth="1"/>
    <col min="7" max="7" width="1.3984375" style="3" customWidth="1"/>
    <col min="8" max="8" width="21.265625" style="1" customWidth="1"/>
    <col min="9" max="9" width="18.3984375" style="4" customWidth="1"/>
    <col min="10" max="10" width="16.3984375" style="5" customWidth="1"/>
    <col min="11" max="11" width="16.86328125" style="1" customWidth="1"/>
    <col min="12" max="12" width="15.73046875" style="1" customWidth="1"/>
    <col min="13" max="13" width="15.73046875" style="1" hidden="1" customWidth="1"/>
    <col min="14" max="14" width="1.86328125" style="3" customWidth="1"/>
    <col min="15" max="15" width="10.73046875" style="1" hidden="1" customWidth="1"/>
    <col min="16" max="17" width="10.73046875" style="1" customWidth="1"/>
    <col min="18" max="18" width="12.3984375" style="1" customWidth="1"/>
    <col min="19" max="19" width="1.3984375" style="3" customWidth="1"/>
    <col min="20" max="20" width="10.1328125" style="1" customWidth="1"/>
    <col min="21" max="21" width="16.3984375" style="3" customWidth="1"/>
    <col min="22" max="22" width="11.73046875" style="1" customWidth="1"/>
    <col min="23" max="23" width="13" style="1" customWidth="1"/>
    <col min="24" max="24" width="11.265625" style="1" customWidth="1"/>
    <col min="25" max="25" width="11.3984375" style="1" customWidth="1"/>
    <col min="26" max="26" width="7" style="1" customWidth="1"/>
    <col min="27" max="27" width="27.3984375" style="1" customWidth="1"/>
    <col min="28" max="28" width="1.3984375" style="1" customWidth="1"/>
    <col min="29" max="29" width="11.3984375" style="1" customWidth="1"/>
    <col min="30" max="30" width="10.73046875" style="1" customWidth="1"/>
    <col min="31" max="31" width="13.1328125" style="1" customWidth="1"/>
    <col min="32" max="32" width="15.1328125" style="6" customWidth="1"/>
    <col min="33" max="34" width="12.3984375" style="6" customWidth="1"/>
    <col min="35" max="35" width="1.73046875" style="3" customWidth="1"/>
    <col min="36" max="36" width="13.1328125" style="3" customWidth="1"/>
    <col min="37" max="37" width="11" style="3" customWidth="1"/>
    <col min="38" max="38" width="17.265625" style="3" customWidth="1"/>
    <col min="39" max="39" width="14.3984375" style="3" bestFit="1" customWidth="1"/>
    <col min="40" max="40" width="11.265625" style="3" customWidth="1"/>
    <col min="41" max="16384" width="11.3984375" style="1"/>
  </cols>
  <sheetData>
    <row r="1" spans="1:40"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52" t="s">
        <v>289</v>
      </c>
      <c r="B2" s="54" t="s">
        <v>397</v>
      </c>
      <c r="C2" s="1"/>
    </row>
    <row r="3" spans="1:40" ht="27.75" customHeight="1" thickBot="1">
      <c r="A3" s="53" t="s">
        <v>3</v>
      </c>
      <c r="B3" s="54">
        <v>2015</v>
      </c>
      <c r="C3" s="1"/>
    </row>
    <row r="4" spans="1:40" ht="27.75" customHeight="1" thickBot="1">
      <c r="A4" s="572" t="s">
        <v>350</v>
      </c>
      <c r="B4" s="573"/>
      <c r="C4" s="1"/>
    </row>
    <row r="5" spans="1:40" ht="102" customHeight="1" thickBot="1">
      <c r="B5" s="1"/>
      <c r="C5" s="1"/>
    </row>
    <row r="6" spans="1:40" ht="28.5" customHeight="1" thickBot="1">
      <c r="A6" s="570" t="s">
        <v>218</v>
      </c>
      <c r="B6" s="574"/>
      <c r="C6" s="574"/>
      <c r="D6" s="574"/>
      <c r="E6" s="574"/>
      <c r="F6" s="571"/>
      <c r="H6" s="570" t="s">
        <v>4</v>
      </c>
      <c r="I6" s="574"/>
      <c r="J6" s="574"/>
      <c r="K6" s="574"/>
      <c r="L6" s="571"/>
      <c r="M6" s="40"/>
      <c r="O6" s="41"/>
      <c r="P6" s="570" t="s">
        <v>5</v>
      </c>
      <c r="Q6" s="574"/>
      <c r="R6" s="571"/>
      <c r="T6" s="570" t="s">
        <v>321</v>
      </c>
      <c r="U6" s="574"/>
      <c r="V6" s="574"/>
      <c r="W6" s="574"/>
      <c r="X6" s="574"/>
      <c r="Y6" s="574"/>
      <c r="Z6" s="574"/>
      <c r="AA6" s="571"/>
      <c r="AC6" s="570" t="s">
        <v>7</v>
      </c>
      <c r="AD6" s="574"/>
      <c r="AE6" s="574"/>
      <c r="AF6" s="574"/>
      <c r="AG6" s="574"/>
      <c r="AH6" s="571"/>
      <c r="AJ6" s="570" t="s">
        <v>8</v>
      </c>
      <c r="AK6" s="574"/>
      <c r="AL6" s="574"/>
      <c r="AM6" s="574"/>
      <c r="AN6" s="571"/>
    </row>
    <row r="7" spans="1:40" s="7" customFormat="1" ht="31.5">
      <c r="A7" s="591" t="s">
        <v>9</v>
      </c>
      <c r="B7" s="589" t="s">
        <v>200</v>
      </c>
      <c r="C7" s="589" t="s">
        <v>10</v>
      </c>
      <c r="D7" s="589" t="s">
        <v>11</v>
      </c>
      <c r="E7" s="593" t="s">
        <v>13</v>
      </c>
      <c r="F7" s="583" t="s">
        <v>14</v>
      </c>
      <c r="G7" s="99"/>
      <c r="H7" s="568" t="s">
        <v>15</v>
      </c>
      <c r="I7" s="569"/>
      <c r="J7" s="596" t="s">
        <v>16</v>
      </c>
      <c r="K7" s="569"/>
      <c r="L7" s="596" t="s">
        <v>17</v>
      </c>
      <c r="M7" s="588"/>
      <c r="N7" s="99"/>
      <c r="O7" s="100"/>
      <c r="P7" s="396" t="s">
        <v>18</v>
      </c>
      <c r="Q7" s="597" t="s">
        <v>19</v>
      </c>
      <c r="R7" s="583"/>
      <c r="S7" s="99"/>
      <c r="T7" s="584" t="s">
        <v>20</v>
      </c>
      <c r="U7" s="586"/>
      <c r="V7" s="587" t="s">
        <v>21</v>
      </c>
      <c r="W7" s="585"/>
      <c r="X7" s="587" t="s">
        <v>22</v>
      </c>
      <c r="Y7" s="586"/>
      <c r="Z7" s="587" t="s">
        <v>23</v>
      </c>
      <c r="AA7" s="588"/>
      <c r="AB7" s="101"/>
      <c r="AC7" s="584" t="s">
        <v>24</v>
      </c>
      <c r="AD7" s="585"/>
      <c r="AE7" s="586"/>
      <c r="AF7" s="102" t="s">
        <v>25</v>
      </c>
      <c r="AG7" s="102" t="s">
        <v>26</v>
      </c>
      <c r="AH7" s="103" t="s">
        <v>27</v>
      </c>
      <c r="AI7" s="99"/>
      <c r="AJ7" s="584" t="s">
        <v>28</v>
      </c>
      <c r="AK7" s="585"/>
      <c r="AL7" s="585"/>
      <c r="AM7" s="585" t="s">
        <v>8</v>
      </c>
      <c r="AN7" s="588"/>
    </row>
    <row r="8" spans="1:40" s="8" customFormat="1" ht="47.65" thickBot="1">
      <c r="A8" s="592"/>
      <c r="B8" s="590"/>
      <c r="C8" s="590"/>
      <c r="D8" s="590"/>
      <c r="E8" s="594"/>
      <c r="F8" s="595"/>
      <c r="G8" s="104"/>
      <c r="H8" s="82" t="s">
        <v>29</v>
      </c>
      <c r="I8" s="84" t="s">
        <v>30</v>
      </c>
      <c r="J8" s="105" t="s">
        <v>31</v>
      </c>
      <c r="K8" s="106" t="s">
        <v>30</v>
      </c>
      <c r="L8" s="84" t="s">
        <v>32</v>
      </c>
      <c r="M8" s="83" t="s">
        <v>30</v>
      </c>
      <c r="N8" s="104"/>
      <c r="O8" s="107" t="s">
        <v>30</v>
      </c>
      <c r="P8" s="108" t="s">
        <v>33</v>
      </c>
      <c r="Q8" s="109" t="s">
        <v>34</v>
      </c>
      <c r="R8" s="110" t="s">
        <v>30</v>
      </c>
      <c r="S8" s="104"/>
      <c r="T8" s="108" t="s">
        <v>35</v>
      </c>
      <c r="U8" s="108" t="s">
        <v>30</v>
      </c>
      <c r="V8" s="109" t="s">
        <v>36</v>
      </c>
      <c r="W8" s="109" t="s">
        <v>30</v>
      </c>
      <c r="X8" s="109" t="s">
        <v>36</v>
      </c>
      <c r="Y8" s="109" t="s">
        <v>30</v>
      </c>
      <c r="Z8" s="109" t="s">
        <v>36</v>
      </c>
      <c r="AA8" s="110" t="s">
        <v>30</v>
      </c>
      <c r="AB8" s="111"/>
      <c r="AC8" s="269" t="s">
        <v>37</v>
      </c>
      <c r="AD8" s="270" t="s">
        <v>38</v>
      </c>
      <c r="AE8" s="270" t="s">
        <v>39</v>
      </c>
      <c r="AF8" s="271" t="s">
        <v>40</v>
      </c>
      <c r="AG8" s="271" t="s">
        <v>40</v>
      </c>
      <c r="AH8" s="272" t="s">
        <v>40</v>
      </c>
      <c r="AI8" s="104"/>
      <c r="AJ8" s="281" t="s">
        <v>41</v>
      </c>
      <c r="AK8" s="112" t="s">
        <v>42</v>
      </c>
      <c r="AL8" s="112" t="s">
        <v>30</v>
      </c>
      <c r="AM8" s="112" t="s">
        <v>43</v>
      </c>
      <c r="AN8" s="273" t="s">
        <v>44</v>
      </c>
    </row>
    <row r="9" spans="1:40" s="9" customFormat="1">
      <c r="A9" s="274" t="s">
        <v>45</v>
      </c>
      <c r="B9" s="113" t="s">
        <v>363</v>
      </c>
      <c r="C9" s="113" t="s">
        <v>46</v>
      </c>
      <c r="D9" s="113" t="s">
        <v>46</v>
      </c>
      <c r="E9" s="275" t="s">
        <v>46</v>
      </c>
      <c r="F9" s="403" t="s">
        <v>46</v>
      </c>
      <c r="G9" s="114"/>
      <c r="H9" s="115">
        <f>+SUM(H10:H15)</f>
        <v>532406.00060870918</v>
      </c>
      <c r="I9" s="116"/>
      <c r="J9" s="258">
        <f>+L9/H9*10^6</f>
        <v>22222.918812116888</v>
      </c>
      <c r="K9" s="116"/>
      <c r="L9" s="117">
        <f>+SUM(L10:L15)</f>
        <v>11831.6153266112</v>
      </c>
      <c r="M9" s="118" t="s">
        <v>47</v>
      </c>
      <c r="N9" s="114"/>
      <c r="O9" s="119" t="s">
        <v>47</v>
      </c>
      <c r="P9" s="401"/>
      <c r="Q9" s="120"/>
      <c r="R9" s="121"/>
      <c r="S9" s="122"/>
      <c r="T9" s="279"/>
      <c r="U9" s="267"/>
      <c r="V9" s="267"/>
      <c r="W9" s="267"/>
      <c r="X9" s="267"/>
      <c r="Y9" s="267"/>
      <c r="Z9" s="267"/>
      <c r="AA9" s="280"/>
      <c r="AB9" s="123"/>
      <c r="AC9" s="276"/>
      <c r="AD9" s="268"/>
      <c r="AE9" s="268"/>
      <c r="AF9" s="268"/>
      <c r="AG9" s="268"/>
      <c r="AH9" s="277"/>
      <c r="AI9" s="114"/>
      <c r="AJ9" s="562">
        <v>2</v>
      </c>
      <c r="AK9" s="563"/>
      <c r="AL9" s="563" t="s">
        <v>555</v>
      </c>
      <c r="AM9" s="564">
        <f>+$L9*AJ9</f>
        <v>23663.230653222399</v>
      </c>
      <c r="AN9" s="565">
        <f t="shared" ref="AN9:AN15" si="0">+$L9*AK9</f>
        <v>0</v>
      </c>
    </row>
    <row r="10" spans="1:40" s="10" customFormat="1" ht="15.75" customHeight="1" outlineLevel="1">
      <c r="A10" s="136" t="s">
        <v>323</v>
      </c>
      <c r="B10" s="124" t="s">
        <v>363</v>
      </c>
      <c r="C10" s="124" t="s">
        <v>48</v>
      </c>
      <c r="D10" s="124" t="s">
        <v>49</v>
      </c>
      <c r="E10" s="404" t="s">
        <v>54</v>
      </c>
      <c r="F10" s="137" t="s">
        <v>55</v>
      </c>
      <c r="G10" s="114"/>
      <c r="H10" s="254">
        <v>395252.056925721</v>
      </c>
      <c r="I10" s="125" t="s">
        <v>398</v>
      </c>
      <c r="J10" s="259">
        <v>23023</v>
      </c>
      <c r="K10" s="125" t="s">
        <v>398</v>
      </c>
      <c r="L10" s="127">
        <f>H10*J10/10^6</f>
        <v>9099.8881066008744</v>
      </c>
      <c r="M10" s="128" t="s">
        <v>47</v>
      </c>
      <c r="N10" s="114"/>
      <c r="O10" s="129" t="s">
        <v>47</v>
      </c>
      <c r="P10" s="130">
        <f>+VLOOKUP($B$1&amp;" - "&amp;$D10,'Default Parameter'!$A$8:$M$25,4,FALSE)</f>
        <v>0.7407407407407407</v>
      </c>
      <c r="Q10" s="138">
        <f>+VLOOKUP($B$1&amp;" - "&amp;$D10,'Default Parameter'!$A$8:$M$25,3,FALSE)</f>
        <v>44.3</v>
      </c>
      <c r="R10" s="131" t="s">
        <v>52</v>
      </c>
      <c r="S10" s="114"/>
      <c r="T10" s="130">
        <f>+VLOOKUP($F10,'(Edited)Spec. Fuel Consumption '!$A$4:$J$163,9,FALSE)</f>
        <v>7.7879221386633333</v>
      </c>
      <c r="U10" s="130" t="str">
        <f>+VLOOKUP($F10,'(Edited)Spec. Fuel Consumption '!$A$4:$J$163,10,FALSE)</f>
        <v>Infras,2018</v>
      </c>
      <c r="V10" s="398">
        <f>+VLOOKUP($B$1&amp;" - "&amp;$D10,'Default Parameter'!$A$8:$M$25,5,FALSE)</f>
        <v>69300</v>
      </c>
      <c r="W10" s="135" t="s">
        <v>52</v>
      </c>
      <c r="X10" s="138">
        <f>+VLOOKUP($B$1&amp;" - "&amp;$D10,'Default Parameter'!$A$8:$M$25,8,FALSE)</f>
        <v>33</v>
      </c>
      <c r="Y10" s="265" t="str">
        <f>+"IPCC 2006 - "&amp;+VLOOKUP($B$1&amp;" - "&amp;$D10,'Default Parameter'!$A$8:$M$25,2,FALSE)</f>
        <v>IPCC 2006 - Motor Gasoline- uncontrolled</v>
      </c>
      <c r="Z10" s="135">
        <f>+VLOOKUP($B$1&amp;" - "&amp;$D10,'Default Parameter'!$A$8:$M$25,11,FALSE)</f>
        <v>3.2</v>
      </c>
      <c r="AA10" s="131" t="str">
        <f>+"IPCC 2006 - "&amp;+VLOOKUP($B$1&amp;" - "&amp;$D10,'Default Parameter'!$A$8:$M$25,2,FALSE)</f>
        <v>IPCC 2006 - Motor Gasoline- uncontrolled</v>
      </c>
      <c r="AB10" s="132"/>
      <c r="AC10" s="133">
        <f t="shared" ref="AC10:AC15" si="1">IFERROR(L10*T10/10^2,0)</f>
        <v>708.69220044756116</v>
      </c>
      <c r="AD10" s="134">
        <f t="shared" ref="AD10:AD15" si="2">+AC10*P10</f>
        <v>524.95718551671189</v>
      </c>
      <c r="AE10" s="134">
        <f t="shared" ref="AE10:AE15" si="3">+AC10*Q10</f>
        <v>31395.064479826957</v>
      </c>
      <c r="AF10" s="260">
        <f t="shared" ref="AF10:AF15" si="4">+$AD10*$Q10*V10/10^6</f>
        <v>1611.6133099644501</v>
      </c>
      <c r="AG10" s="260">
        <f t="shared" ref="AG10:AG15" si="5">+$AD10*$Q10*X10/10^6</f>
        <v>0.76743490950688098</v>
      </c>
      <c r="AH10" s="261">
        <f t="shared" ref="AH10:AH15" si="6">+$AD10*$Q10*Z10/10^6</f>
        <v>7.4417930618849076E-2</v>
      </c>
      <c r="AI10" s="114"/>
      <c r="AJ10" s="561">
        <v>2</v>
      </c>
      <c r="AK10" s="566"/>
      <c r="AL10" s="567"/>
      <c r="AM10" s="564">
        <f t="shared" ref="AM10:AM15" si="7">+$L10*AJ10</f>
        <v>18199.776213201749</v>
      </c>
      <c r="AN10" s="565">
        <f t="shared" si="0"/>
        <v>0</v>
      </c>
    </row>
    <row r="11" spans="1:40" s="10" customFormat="1" ht="13.5" customHeight="1" outlineLevel="1">
      <c r="A11" s="136" t="s">
        <v>323</v>
      </c>
      <c r="B11" s="124" t="s">
        <v>363</v>
      </c>
      <c r="C11" s="124" t="s">
        <v>48</v>
      </c>
      <c r="D11" s="124" t="s">
        <v>53</v>
      </c>
      <c r="E11" s="404" t="s">
        <v>54</v>
      </c>
      <c r="F11" s="137" t="s">
        <v>56</v>
      </c>
      <c r="G11" s="114"/>
      <c r="H11" s="254">
        <v>14285.327159856501</v>
      </c>
      <c r="I11" s="125" t="s">
        <v>398</v>
      </c>
      <c r="J11" s="259">
        <v>15448</v>
      </c>
      <c r="K11" s="125" t="s">
        <v>398</v>
      </c>
      <c r="L11" s="127">
        <f t="shared" ref="L11:L15" si="8">H11*J11/10^6</f>
        <v>220.67973396546321</v>
      </c>
      <c r="M11" s="128" t="s">
        <v>47</v>
      </c>
      <c r="N11" s="114"/>
      <c r="O11" s="129" t="s">
        <v>47</v>
      </c>
      <c r="P11" s="130">
        <f>+VLOOKUP($B$1&amp;" - "&amp;$D11,'Default Parameter'!$A$8:$M$25,4,FALSE)</f>
        <v>0.84388185654008396</v>
      </c>
      <c r="Q11" s="138">
        <f>+VLOOKUP($B$1&amp;" - "&amp;$D11,'Default Parameter'!$A$8:$M$25,3,FALSE)</f>
        <v>43</v>
      </c>
      <c r="R11" s="131" t="s">
        <v>52</v>
      </c>
      <c r="S11" s="114"/>
      <c r="T11" s="130">
        <f>+VLOOKUP($F11,'(Edited)Spec. Fuel Consumption '!$A$4:$J$163,9,FALSE)</f>
        <v>5.3056031165560169</v>
      </c>
      <c r="U11" s="130" t="str">
        <f>+VLOOKUP($F11,'(Edited)Spec. Fuel Consumption '!$A$4:$J$163,10,FALSE)</f>
        <v>Infras,2018</v>
      </c>
      <c r="V11" s="399">
        <f>+VLOOKUP($B$1&amp;" - "&amp;$D11,'Default Parameter'!$A$8:$M$25,5,FALSE)</f>
        <v>74100</v>
      </c>
      <c r="W11" s="135" t="s">
        <v>52</v>
      </c>
      <c r="X11" s="138">
        <f>+VLOOKUP($B$1&amp;" - "&amp;$D11,'Default Parameter'!$A$8:$M$25,8,FALSE)</f>
        <v>3.9</v>
      </c>
      <c r="Y11" s="265" t="str">
        <f>+"IPCC 2006 - "&amp;+VLOOKUP($B$1&amp;" - "&amp;$D11,'Default Parameter'!$A$8:$M$25,2,FALSE)</f>
        <v>IPCC 2006 - Gas/ Diesel Oil</v>
      </c>
      <c r="Z11" s="135">
        <f>+VLOOKUP($B$1&amp;" - "&amp;$D11,'Default Parameter'!$A$8:$M$25,11,FALSE)</f>
        <v>3.9</v>
      </c>
      <c r="AA11" s="131" t="str">
        <f>+"IPCC 2006 - "&amp;+VLOOKUP($B$1&amp;" - "&amp;$D11,'Default Parameter'!$A$8:$M$25,2,FALSE)</f>
        <v>IPCC 2006 - Gas/ Diesel Oil</v>
      </c>
      <c r="AB11" s="132"/>
      <c r="AC11" s="133">
        <f t="shared" si="1"/>
        <v>11.708390842879144</v>
      </c>
      <c r="AD11" s="134">
        <f t="shared" si="2"/>
        <v>9.8804986015857708</v>
      </c>
      <c r="AE11" s="134">
        <f t="shared" si="3"/>
        <v>503.46080624380318</v>
      </c>
      <c r="AF11" s="260">
        <f t="shared" si="4"/>
        <v>31.482232694232739</v>
      </c>
      <c r="AG11" s="260">
        <f t="shared" si="5"/>
        <v>1.6569596154859337E-3</v>
      </c>
      <c r="AH11" s="261">
        <f t="shared" si="6"/>
        <v>1.6569596154859337E-3</v>
      </c>
      <c r="AI11" s="114"/>
      <c r="AJ11" s="561">
        <v>2</v>
      </c>
      <c r="AK11" s="566"/>
      <c r="AL11" s="567"/>
      <c r="AM11" s="564">
        <f t="shared" si="7"/>
        <v>441.35946793092643</v>
      </c>
      <c r="AN11" s="565">
        <f t="shared" si="0"/>
        <v>0</v>
      </c>
    </row>
    <row r="12" spans="1:40" s="10" customFormat="1" outlineLevel="1">
      <c r="A12" s="136" t="s">
        <v>323</v>
      </c>
      <c r="B12" s="124" t="s">
        <v>363</v>
      </c>
      <c r="C12" s="124" t="s">
        <v>64</v>
      </c>
      <c r="D12" s="124" t="s">
        <v>49</v>
      </c>
      <c r="E12" s="404" t="s">
        <v>54</v>
      </c>
      <c r="F12" s="137" t="s">
        <v>65</v>
      </c>
      <c r="G12" s="114"/>
      <c r="H12" s="254">
        <v>95260.186315699699</v>
      </c>
      <c r="I12" s="125" t="s">
        <v>398</v>
      </c>
      <c r="J12" s="259">
        <v>19014</v>
      </c>
      <c r="K12" s="125" t="s">
        <v>398</v>
      </c>
      <c r="L12" s="127">
        <f t="shared" si="8"/>
        <v>1811.277182606714</v>
      </c>
      <c r="M12" s="134" t="s">
        <v>47</v>
      </c>
      <c r="N12" s="114"/>
      <c r="O12" s="129" t="s">
        <v>47</v>
      </c>
      <c r="P12" s="130">
        <f>+VLOOKUP($B$1&amp;" - "&amp;$D12,'Default Parameter'!$A$8:$M$25,4,FALSE)</f>
        <v>0.7407407407407407</v>
      </c>
      <c r="Q12" s="138">
        <f>+VLOOKUP($B$1&amp;" - "&amp;$D12,'Default Parameter'!$A$8:$M$25,3,FALSE)</f>
        <v>44.3</v>
      </c>
      <c r="R12" s="131" t="s">
        <v>52</v>
      </c>
      <c r="S12" s="114"/>
      <c r="T12" s="130">
        <f>+VLOOKUP($F12,'(Edited)Spec. Fuel Consumption '!$A$4:$J$163,9,FALSE)</f>
        <v>9.2721511262458929</v>
      </c>
      <c r="U12" s="130" t="str">
        <f>+VLOOKUP($F12,'(Edited)Spec. Fuel Consumption '!$A$4:$J$163,10,FALSE)</f>
        <v>Infras,2018</v>
      </c>
      <c r="V12" s="399">
        <f>+VLOOKUP($B$1&amp;" - "&amp;$D12,'Default Parameter'!$A$8:$M$25,5,FALSE)</f>
        <v>69300</v>
      </c>
      <c r="W12" s="135" t="s">
        <v>52</v>
      </c>
      <c r="X12" s="138">
        <f>+VLOOKUP($B$1&amp;" - "&amp;$D12,'Default Parameter'!$A$8:$M$25,8,FALSE)</f>
        <v>33</v>
      </c>
      <c r="Y12" s="265" t="str">
        <f>+"IPCC 2006 - "&amp;+VLOOKUP($B$1&amp;" - "&amp;$D12,'Default Parameter'!$A$8:$M$25,2,FALSE)</f>
        <v>IPCC 2006 - Motor Gasoline- uncontrolled</v>
      </c>
      <c r="Z12" s="135">
        <f>+VLOOKUP($B$1&amp;" - "&amp;$D12,'Default Parameter'!$A$8:$M$25,11,FALSE)</f>
        <v>3.2</v>
      </c>
      <c r="AA12" s="131" t="str">
        <f>+"IPCC 2006 - "&amp;+VLOOKUP($B$1&amp;" - "&amp;$D12,'Default Parameter'!$A$8:$M$25,2,FALSE)</f>
        <v>IPCC 2006 - Motor Gasoline- uncontrolled</v>
      </c>
      <c r="AB12" s="132"/>
      <c r="AC12" s="133">
        <f t="shared" si="1"/>
        <v>167.94435768650331</v>
      </c>
      <c r="AD12" s="134">
        <f t="shared" si="2"/>
        <v>124.40322791592837</v>
      </c>
      <c r="AE12" s="134">
        <f t="shared" si="3"/>
        <v>7439.9350455120957</v>
      </c>
      <c r="AF12" s="260">
        <f t="shared" si="4"/>
        <v>381.9166656696209</v>
      </c>
      <c r="AG12" s="260">
        <f t="shared" si="5"/>
        <v>0.18186507889029568</v>
      </c>
      <c r="AH12" s="261">
        <f t="shared" si="6"/>
        <v>1.7635401589362006E-2</v>
      </c>
      <c r="AI12" s="114"/>
      <c r="AJ12" s="561">
        <v>2</v>
      </c>
      <c r="AK12" s="566"/>
      <c r="AL12" s="567"/>
      <c r="AM12" s="564">
        <f t="shared" si="7"/>
        <v>3622.5543652134279</v>
      </c>
      <c r="AN12" s="565">
        <f t="shared" si="0"/>
        <v>0</v>
      </c>
    </row>
    <row r="13" spans="1:40" s="10" customFormat="1" outlineLevel="1">
      <c r="A13" s="136" t="s">
        <v>323</v>
      </c>
      <c r="B13" s="124" t="s">
        <v>363</v>
      </c>
      <c r="C13" s="124" t="s">
        <v>64</v>
      </c>
      <c r="D13" s="124" t="s">
        <v>53</v>
      </c>
      <c r="E13" s="404" t="s">
        <v>54</v>
      </c>
      <c r="F13" s="137" t="s">
        <v>66</v>
      </c>
      <c r="G13" s="114"/>
      <c r="H13" s="254">
        <v>11842.7583648328</v>
      </c>
      <c r="I13" s="125" t="s">
        <v>398</v>
      </c>
      <c r="J13" s="259">
        <v>13108</v>
      </c>
      <c r="K13" s="125" t="s">
        <v>398</v>
      </c>
      <c r="L13" s="127">
        <f t="shared" si="8"/>
        <v>155.23487664622834</v>
      </c>
      <c r="M13" s="134" t="s">
        <v>47</v>
      </c>
      <c r="N13" s="114"/>
      <c r="O13" s="129" t="s">
        <v>47</v>
      </c>
      <c r="P13" s="130">
        <f>+VLOOKUP($B$1&amp;" - "&amp;$D13,'Default Parameter'!$A$8:$M$25,4,FALSE)</f>
        <v>0.84388185654008396</v>
      </c>
      <c r="Q13" s="138">
        <f>+VLOOKUP($B$1&amp;" - "&amp;$D13,'Default Parameter'!$A$8:$M$25,3,FALSE)</f>
        <v>43</v>
      </c>
      <c r="R13" s="131" t="s">
        <v>52</v>
      </c>
      <c r="S13" s="114"/>
      <c r="T13" s="130">
        <f>+VLOOKUP($F13,'(Edited)Spec. Fuel Consumption '!$A$4:$J$163,9,FALSE)</f>
        <v>6.8345467207097306</v>
      </c>
      <c r="U13" s="130" t="str">
        <f>+VLOOKUP($F13,'(Edited)Spec. Fuel Consumption '!$A$4:$J$163,10,FALSE)</f>
        <v>Infras,2018</v>
      </c>
      <c r="V13" s="399">
        <f>+VLOOKUP($B$1&amp;" - "&amp;$D13,'Default Parameter'!$A$8:$M$25,5,FALSE)</f>
        <v>74100</v>
      </c>
      <c r="W13" s="135" t="s">
        <v>52</v>
      </c>
      <c r="X13" s="138">
        <f>+VLOOKUP($B$1&amp;" - "&amp;$D13,'Default Parameter'!$A$8:$M$25,8,FALSE)</f>
        <v>3.9</v>
      </c>
      <c r="Y13" s="265" t="str">
        <f>+"IPCC 2006 - "&amp;+VLOOKUP($B$1&amp;" - "&amp;$D13,'Default Parameter'!$A$8:$M$25,2,FALSE)</f>
        <v>IPCC 2006 - Gas/ Diesel Oil</v>
      </c>
      <c r="Z13" s="135">
        <f>+VLOOKUP($B$1&amp;" - "&amp;$D13,'Default Parameter'!$A$8:$M$25,11,FALSE)</f>
        <v>3.9</v>
      </c>
      <c r="AA13" s="131" t="str">
        <f>+"IPCC 2006 - "&amp;+VLOOKUP($B$1&amp;" - "&amp;$D13,'Default Parameter'!$A$8:$M$25,2,FALSE)</f>
        <v>IPCC 2006 - Gas/ Diesel Oil</v>
      </c>
      <c r="AB13" s="132"/>
      <c r="AC13" s="133">
        <f t="shared" si="1"/>
        <v>10.609600171222594</v>
      </c>
      <c r="AD13" s="134">
        <f t="shared" si="2"/>
        <v>8.953249089639316</v>
      </c>
      <c r="AE13" s="134">
        <f t="shared" si="3"/>
        <v>456.21280736257154</v>
      </c>
      <c r="AF13" s="260">
        <f t="shared" si="4"/>
        <v>28.527737574317751</v>
      </c>
      <c r="AG13" s="260">
        <f t="shared" si="5"/>
        <v>1.5014598723325132E-3</v>
      </c>
      <c r="AH13" s="261">
        <f t="shared" si="6"/>
        <v>1.5014598723325132E-3</v>
      </c>
      <c r="AI13" s="114"/>
      <c r="AJ13" s="561">
        <v>2</v>
      </c>
      <c r="AK13" s="566"/>
      <c r="AL13" s="567"/>
      <c r="AM13" s="564">
        <f t="shared" si="7"/>
        <v>310.46975329245669</v>
      </c>
      <c r="AN13" s="565">
        <f t="shared" si="0"/>
        <v>0</v>
      </c>
    </row>
    <row r="14" spans="1:40" s="10" customFormat="1" outlineLevel="1">
      <c r="A14" s="136" t="s">
        <v>323</v>
      </c>
      <c r="B14" s="124" t="s">
        <v>363</v>
      </c>
      <c r="C14" s="124" t="s">
        <v>67</v>
      </c>
      <c r="D14" s="124" t="s">
        <v>49</v>
      </c>
      <c r="E14" s="404" t="s">
        <v>54</v>
      </c>
      <c r="F14" s="137" t="s">
        <v>68</v>
      </c>
      <c r="G14" s="114"/>
      <c r="H14" s="254">
        <v>8067.8789194819101</v>
      </c>
      <c r="I14" s="125" t="s">
        <v>398</v>
      </c>
      <c r="J14" s="259">
        <v>25213</v>
      </c>
      <c r="K14" s="125" t="s">
        <v>398</v>
      </c>
      <c r="L14" s="127">
        <f t="shared" si="8"/>
        <v>203.4154311968974</v>
      </c>
      <c r="M14" s="134" t="s">
        <v>47</v>
      </c>
      <c r="N14" s="114"/>
      <c r="O14" s="129" t="s">
        <v>47</v>
      </c>
      <c r="P14" s="130">
        <f>+VLOOKUP($B$1&amp;" - "&amp;$D14,'Default Parameter'!$A$8:$M$25,4,FALSE)</f>
        <v>0.7407407407407407</v>
      </c>
      <c r="Q14" s="138">
        <f>+VLOOKUP($B$1&amp;" - "&amp;$D14,'Default Parameter'!$A$8:$M$25,3,FALSE)</f>
        <v>44.3</v>
      </c>
      <c r="R14" s="131" t="s">
        <v>52</v>
      </c>
      <c r="S14" s="114"/>
      <c r="T14" s="130">
        <f>+VLOOKUP($F14,'(Edited)Spec. Fuel Consumption '!$A$4:$J$163,9,FALSE)</f>
        <v>11.942744908518209</v>
      </c>
      <c r="U14" s="130" t="str">
        <f>+VLOOKUP($F14,'(Edited)Spec. Fuel Consumption '!$A$4:$J$163,10,FALSE)</f>
        <v>Infras,2018</v>
      </c>
      <c r="V14" s="399">
        <f>+VLOOKUP($B$1&amp;" - "&amp;$D14,'Default Parameter'!$A$8:$M$25,5,FALSE)</f>
        <v>69300</v>
      </c>
      <c r="W14" s="135" t="s">
        <v>52</v>
      </c>
      <c r="X14" s="138">
        <f>+VLOOKUP($B$1&amp;" - "&amp;$D14,'Default Parameter'!$A$8:$M$25,8,FALSE)</f>
        <v>33</v>
      </c>
      <c r="Y14" s="265" t="str">
        <f>+"IPCC 2006 - "&amp;+VLOOKUP($B$1&amp;" - "&amp;$D14,'Default Parameter'!$A$8:$M$25,2,FALSE)</f>
        <v>IPCC 2006 - Motor Gasoline- uncontrolled</v>
      </c>
      <c r="Z14" s="135">
        <f>+VLOOKUP($B$1&amp;" - "&amp;$D14,'Default Parameter'!$A$8:$M$25,11,FALSE)</f>
        <v>3.2</v>
      </c>
      <c r="AA14" s="131" t="str">
        <f>+"IPCC 2006 - "&amp;+VLOOKUP($B$1&amp;" - "&amp;$D14,'Default Parameter'!$A$8:$M$25,2,FALSE)</f>
        <v>IPCC 2006 - Motor Gasoline- uncontrolled</v>
      </c>
      <c r="AB14" s="132"/>
      <c r="AC14" s="133">
        <f t="shared" si="1"/>
        <v>24.293386052407826</v>
      </c>
      <c r="AD14" s="134">
        <f t="shared" si="2"/>
        <v>17.995100779561351</v>
      </c>
      <c r="AE14" s="134">
        <f t="shared" si="3"/>
        <v>1076.1970021216666</v>
      </c>
      <c r="AF14" s="260">
        <f t="shared" si="4"/>
        <v>55.244779442245544</v>
      </c>
      <c r="AG14" s="260">
        <f t="shared" si="5"/>
        <v>2.6307037829640736E-2</v>
      </c>
      <c r="AH14" s="261">
        <f t="shared" si="6"/>
        <v>2.5509854865106174E-3</v>
      </c>
      <c r="AI14" s="114"/>
      <c r="AJ14" s="561">
        <v>2</v>
      </c>
      <c r="AK14" s="566"/>
      <c r="AL14" s="567"/>
      <c r="AM14" s="564">
        <f t="shared" si="7"/>
        <v>406.8308623937948</v>
      </c>
      <c r="AN14" s="565">
        <f t="shared" si="0"/>
        <v>0</v>
      </c>
    </row>
    <row r="15" spans="1:40" s="10" customFormat="1" ht="16.149999999999999" outlineLevel="1" thickBot="1">
      <c r="A15" s="136" t="s">
        <v>323</v>
      </c>
      <c r="B15" s="124" t="s">
        <v>363</v>
      </c>
      <c r="C15" s="124" t="s">
        <v>67</v>
      </c>
      <c r="D15" s="124" t="s">
        <v>53</v>
      </c>
      <c r="E15" s="404" t="s">
        <v>54</v>
      </c>
      <c r="F15" s="137" t="s">
        <v>69</v>
      </c>
      <c r="G15" s="114"/>
      <c r="H15" s="254">
        <v>7697.7929231172902</v>
      </c>
      <c r="I15" s="125" t="s">
        <v>398</v>
      </c>
      <c r="J15" s="259">
        <v>44314</v>
      </c>
      <c r="K15" s="125" t="s">
        <v>398</v>
      </c>
      <c r="L15" s="127">
        <f t="shared" si="8"/>
        <v>341.11999559501959</v>
      </c>
      <c r="M15" s="134" t="s">
        <v>47</v>
      </c>
      <c r="N15" s="114"/>
      <c r="O15" s="129" t="s">
        <v>47</v>
      </c>
      <c r="P15" s="130">
        <f>+VLOOKUP($B$1&amp;" - "&amp;$D15,'Default Parameter'!$A$8:$M$25,4,FALSE)</f>
        <v>0.84388185654008396</v>
      </c>
      <c r="Q15" s="138">
        <f>+VLOOKUP($B$1&amp;" - "&amp;$D15,'Default Parameter'!$A$8:$M$25,3,FALSE)</f>
        <v>43</v>
      </c>
      <c r="R15" s="131" t="s">
        <v>52</v>
      </c>
      <c r="S15" s="114"/>
      <c r="T15" s="130">
        <f>+VLOOKUP($F15,'(Edited)Spec. Fuel Consumption '!$A$4:$J$163,9,FALSE)</f>
        <v>8.9835525082489092</v>
      </c>
      <c r="U15" s="130" t="str">
        <f>+VLOOKUP($F15,'(Edited)Spec. Fuel Consumption '!$A$4:$J$163,10,FALSE)</f>
        <v>Infras,2018</v>
      </c>
      <c r="V15" s="399">
        <f>+VLOOKUP($B$1&amp;" - "&amp;$D15,'Default Parameter'!$A$8:$M$25,5,FALSE)</f>
        <v>74100</v>
      </c>
      <c r="W15" s="135" t="s">
        <v>52</v>
      </c>
      <c r="X15" s="138">
        <f>+VLOOKUP($B$1&amp;" - "&amp;$D15,'Default Parameter'!$A$8:$M$25,8,FALSE)</f>
        <v>3.9</v>
      </c>
      <c r="Y15" s="265" t="str">
        <f>+"IPCC 2006 - "&amp;+VLOOKUP($B$1&amp;" - "&amp;$D15,'Default Parameter'!$A$8:$M$25,2,FALSE)</f>
        <v>IPCC 2006 - Gas/ Diesel Oil</v>
      </c>
      <c r="Z15" s="135">
        <f>+VLOOKUP($B$1&amp;" - "&amp;$D15,'Default Parameter'!$A$8:$M$25,11,FALSE)</f>
        <v>3.9</v>
      </c>
      <c r="AA15" s="131" t="str">
        <f>+"IPCC 2006 - "&amp;+VLOOKUP($B$1&amp;" - "&amp;$D15,'Default Parameter'!$A$8:$M$25,2,FALSE)</f>
        <v>IPCC 2006 - Gas/ Diesel Oil</v>
      </c>
      <c r="AB15" s="132"/>
      <c r="AC15" s="133">
        <f t="shared" si="1"/>
        <v>30.644693920414952</v>
      </c>
      <c r="AD15" s="134">
        <f t="shared" si="2"/>
        <v>25.860501198662394</v>
      </c>
      <c r="AE15" s="134">
        <f t="shared" si="3"/>
        <v>1317.7218385778428</v>
      </c>
      <c r="AF15" s="260">
        <f t="shared" si="4"/>
        <v>82.39931496929799</v>
      </c>
      <c r="AG15" s="260">
        <f t="shared" si="5"/>
        <v>4.3368060510156842E-3</v>
      </c>
      <c r="AH15" s="261">
        <f t="shared" si="6"/>
        <v>4.3368060510156842E-3</v>
      </c>
      <c r="AI15" s="114"/>
      <c r="AJ15" s="561">
        <v>2</v>
      </c>
      <c r="AK15" s="566"/>
      <c r="AL15" s="567"/>
      <c r="AM15" s="564">
        <f t="shared" si="7"/>
        <v>682.23999119003918</v>
      </c>
      <c r="AN15" s="565">
        <f t="shared" si="0"/>
        <v>0</v>
      </c>
    </row>
    <row r="16" spans="1:40" s="9" customFormat="1">
      <c r="A16" s="274" t="s">
        <v>402</v>
      </c>
      <c r="B16" s="113" t="s">
        <v>363</v>
      </c>
      <c r="C16" s="113" t="s">
        <v>46</v>
      </c>
      <c r="D16" s="113" t="s">
        <v>46</v>
      </c>
      <c r="E16" s="275" t="s">
        <v>46</v>
      </c>
      <c r="F16" s="403" t="s">
        <v>46</v>
      </c>
      <c r="G16" s="114"/>
      <c r="H16" s="115">
        <f>+SUM(H17:H22)</f>
        <v>119230</v>
      </c>
      <c r="I16" s="116"/>
      <c r="J16" s="258">
        <f>+L16/H16*10^6</f>
        <v>29862.229765998487</v>
      </c>
      <c r="K16" s="116"/>
      <c r="L16" s="117">
        <f>+SUM(L17:L22)</f>
        <v>3560.4736549999998</v>
      </c>
      <c r="M16" s="118" t="s">
        <v>47</v>
      </c>
      <c r="N16" s="114"/>
      <c r="O16" s="119" t="s">
        <v>47</v>
      </c>
      <c r="P16" s="401"/>
      <c r="Q16" s="120"/>
      <c r="R16" s="121"/>
      <c r="S16" s="122"/>
      <c r="T16" s="279"/>
      <c r="U16" s="267"/>
      <c r="V16" s="267"/>
      <c r="W16" s="267"/>
      <c r="X16" s="267"/>
      <c r="Y16" s="267"/>
      <c r="Z16" s="267"/>
      <c r="AA16" s="280"/>
      <c r="AB16" s="123"/>
      <c r="AC16" s="276"/>
      <c r="AD16" s="268"/>
      <c r="AE16" s="268"/>
      <c r="AF16" s="268"/>
      <c r="AG16" s="268"/>
      <c r="AH16" s="277"/>
      <c r="AI16" s="114"/>
      <c r="AJ16" s="561">
        <f>0.6*44</f>
        <v>26.4</v>
      </c>
      <c r="AK16" s="113"/>
      <c r="AL16" s="113"/>
      <c r="AM16" s="564">
        <f t="shared" ref="AM16:AM22" si="9">+$L16*AJ16</f>
        <v>93996.504491999993</v>
      </c>
      <c r="AN16" s="127"/>
    </row>
    <row r="17" spans="1:40" s="10" customFormat="1" ht="15.75" customHeight="1" outlineLevel="1">
      <c r="A17" s="136" t="s">
        <v>327</v>
      </c>
      <c r="B17" s="124" t="s">
        <v>363</v>
      </c>
      <c r="C17" s="124" t="s">
        <v>399</v>
      </c>
      <c r="D17" s="124" t="s">
        <v>49</v>
      </c>
      <c r="E17" s="404" t="s">
        <v>54</v>
      </c>
      <c r="F17" s="246" t="s">
        <v>457</v>
      </c>
      <c r="G17" s="114"/>
      <c r="H17" s="254">
        <v>8709</v>
      </c>
      <c r="I17" s="125" t="s">
        <v>398</v>
      </c>
      <c r="J17" s="259">
        <v>19536</v>
      </c>
      <c r="K17" s="125" t="s">
        <v>398</v>
      </c>
      <c r="L17" s="127">
        <f t="shared" ref="L17:L22" si="10">H17*J17/10^6</f>
        <v>170.13902400000001</v>
      </c>
      <c r="M17" s="128" t="s">
        <v>47</v>
      </c>
      <c r="N17" s="114"/>
      <c r="O17" s="129" t="s">
        <v>47</v>
      </c>
      <c r="P17" s="130">
        <f>+VLOOKUP($B$1&amp;" - "&amp;$D17,'Default Parameter'!$A$8:$M$25,4,FALSE)</f>
        <v>0.7407407407407407</v>
      </c>
      <c r="Q17" s="138">
        <f>+VLOOKUP($B$1&amp;" - "&amp;$D17,'Default Parameter'!$A$8:$M$25,3,FALSE)</f>
        <v>44.3</v>
      </c>
      <c r="R17" s="131" t="s">
        <v>52</v>
      </c>
      <c r="S17" s="114"/>
      <c r="T17" s="130">
        <f>+VLOOKUP($F17,'(Edited)Spec. Fuel Consumption '!$A$4:$J$163,9,FALSE)</f>
        <v>7.2073643097127267</v>
      </c>
      <c r="U17" s="130" t="str">
        <f>+VLOOKUP($F17,'(Edited)Spec. Fuel Consumption '!$A$4:$J$163,10,FALSE)</f>
        <v>Infras,2018</v>
      </c>
      <c r="V17" s="398">
        <f>+VLOOKUP($B$1&amp;" - "&amp;$D17,'Default Parameter'!$A$8:$M$25,5,FALSE)</f>
        <v>69300</v>
      </c>
      <c r="W17" s="135" t="s">
        <v>52</v>
      </c>
      <c r="X17" s="138">
        <f>+VLOOKUP($B$1&amp;" - "&amp;$D17,'Default Parameter'!$A$8:$M$25,8,FALSE)</f>
        <v>33</v>
      </c>
      <c r="Y17" s="265" t="str">
        <f>+"IPCC 2006 - "&amp;+VLOOKUP($B$1&amp;" - "&amp;$D17,'Default Parameter'!$A$8:$M$25,2,FALSE)</f>
        <v>IPCC 2006 - Motor Gasoline- uncontrolled</v>
      </c>
      <c r="Z17" s="135">
        <f>+VLOOKUP($B$1&amp;" - "&amp;$D17,'Default Parameter'!$A$8:$M$25,11,FALSE)</f>
        <v>3.2</v>
      </c>
      <c r="AA17" s="131" t="str">
        <f>+"IPCC 2006 - "&amp;+VLOOKUP($B$1&amp;" - "&amp;$D17,'Default Parameter'!$A$8:$M$25,2,FALSE)</f>
        <v>IPCC 2006 - Motor Gasoline- uncontrolled</v>
      </c>
      <c r="AB17" s="132"/>
      <c r="AC17" s="133">
        <f t="shared" ref="AC17:AC22" si="11">IFERROR(L17*T17/10^2,0)</f>
        <v>12.262539292669571</v>
      </c>
      <c r="AD17" s="134">
        <f t="shared" ref="AD17:AD22" si="12">+AC17*P17</f>
        <v>9.0833624390144969</v>
      </c>
      <c r="AE17" s="134">
        <f t="shared" ref="AE17:AE22" si="13">+AC17*Q17</f>
        <v>543.23049066526198</v>
      </c>
      <c r="AF17" s="260">
        <f t="shared" ref="AF17:AF22" si="14">+$AD17*$Q17*V17/10^6</f>
        <v>27.885831854150112</v>
      </c>
      <c r="AG17" s="260">
        <f t="shared" ref="AG17:AG22" si="15">+$AD17*$Q17*X17/10^6</f>
        <v>1.3278967549595292E-2</v>
      </c>
      <c r="AH17" s="261">
        <f t="shared" ref="AH17:AH22" si="16">+$AD17*$Q17*Z17/10^6</f>
        <v>1.2876574593546949E-3</v>
      </c>
      <c r="AI17" s="114"/>
      <c r="AJ17" s="561">
        <f t="shared" ref="AJ17:AJ24" si="17">0.6*44</f>
        <v>26.4</v>
      </c>
      <c r="AK17" s="146"/>
      <c r="AL17" s="135"/>
      <c r="AM17" s="263">
        <f t="shared" si="9"/>
        <v>4491.6702335999998</v>
      </c>
      <c r="AN17" s="127"/>
    </row>
    <row r="18" spans="1:40" s="10" customFormat="1" ht="13.5" customHeight="1" outlineLevel="1">
      <c r="A18" s="136" t="s">
        <v>327</v>
      </c>
      <c r="B18" s="124" t="s">
        <v>363</v>
      </c>
      <c r="C18" s="124" t="s">
        <v>399</v>
      </c>
      <c r="D18" s="124" t="s">
        <v>53</v>
      </c>
      <c r="E18" s="404" t="s">
        <v>54</v>
      </c>
      <c r="F18" s="246" t="s">
        <v>458</v>
      </c>
      <c r="G18" s="114"/>
      <c r="H18" s="254">
        <v>3350</v>
      </c>
      <c r="I18" s="125" t="s">
        <v>398</v>
      </c>
      <c r="J18" s="259">
        <v>45713</v>
      </c>
      <c r="K18" s="125" t="s">
        <v>398</v>
      </c>
      <c r="L18" s="127">
        <f t="shared" si="10"/>
        <v>153.13855000000001</v>
      </c>
      <c r="M18" s="128" t="s">
        <v>47</v>
      </c>
      <c r="N18" s="114"/>
      <c r="O18" s="129" t="s">
        <v>47</v>
      </c>
      <c r="P18" s="130">
        <f>+VLOOKUP($B$1&amp;" - "&amp;$D18,'Default Parameter'!$A$8:$M$25,4,FALSE)</f>
        <v>0.84388185654008396</v>
      </c>
      <c r="Q18" s="138">
        <f>+VLOOKUP($B$1&amp;" - "&amp;$D18,'Default Parameter'!$A$8:$M$25,3,FALSE)</f>
        <v>43</v>
      </c>
      <c r="R18" s="131" t="s">
        <v>52</v>
      </c>
      <c r="S18" s="114"/>
      <c r="T18" s="130">
        <f>+VLOOKUP($F18,'(Edited)Spec. Fuel Consumption '!$A$4:$J$163,9,FALSE)</f>
        <v>8.993047180359568</v>
      </c>
      <c r="U18" s="130" t="str">
        <f>+VLOOKUP($F18,'(Edited)Spec. Fuel Consumption '!$A$4:$J$163,10,FALSE)</f>
        <v>Infras,2018</v>
      </c>
      <c r="V18" s="399">
        <f>+VLOOKUP($B$1&amp;" - "&amp;$D18,'Default Parameter'!$A$8:$M$25,5,FALSE)</f>
        <v>74100</v>
      </c>
      <c r="W18" s="135" t="s">
        <v>52</v>
      </c>
      <c r="X18" s="138">
        <f>+VLOOKUP($B$1&amp;" - "&amp;$D18,'Default Parameter'!$A$8:$M$25,8,FALSE)</f>
        <v>3.9</v>
      </c>
      <c r="Y18" s="265" t="str">
        <f>+"IPCC 2006 - "&amp;+VLOOKUP($B$1&amp;" - "&amp;$D18,'Default Parameter'!$A$8:$M$25,2,FALSE)</f>
        <v>IPCC 2006 - Gas/ Diesel Oil</v>
      </c>
      <c r="Z18" s="135">
        <f>+VLOOKUP($B$1&amp;" - "&amp;$D18,'Default Parameter'!$A$8:$M$25,11,FALSE)</f>
        <v>3.9</v>
      </c>
      <c r="AA18" s="131" t="str">
        <f>+"IPCC 2006 - "&amp;+VLOOKUP($B$1&amp;" - "&amp;$D18,'Default Parameter'!$A$8:$M$25,2,FALSE)</f>
        <v>IPCC 2006 - Gas/ Diesel Oil</v>
      </c>
      <c r="AB18" s="132"/>
      <c r="AC18" s="133">
        <f t="shared" si="11"/>
        <v>13.771822052818527</v>
      </c>
      <c r="AD18" s="134">
        <f t="shared" si="12"/>
        <v>11.621790761872168</v>
      </c>
      <c r="AE18" s="134">
        <f t="shared" si="13"/>
        <v>592.18834827119667</v>
      </c>
      <c r="AF18" s="260">
        <f t="shared" si="14"/>
        <v>37.030511904553286</v>
      </c>
      <c r="AG18" s="260">
        <f t="shared" si="15"/>
        <v>1.9489743107659627E-3</v>
      </c>
      <c r="AH18" s="261">
        <f t="shared" si="16"/>
        <v>1.9489743107659627E-3</v>
      </c>
      <c r="AI18" s="114"/>
      <c r="AJ18" s="561">
        <f t="shared" si="17"/>
        <v>26.4</v>
      </c>
      <c r="AK18" s="146"/>
      <c r="AL18" s="135"/>
      <c r="AM18" s="263">
        <f t="shared" si="9"/>
        <v>4042.85772</v>
      </c>
      <c r="AN18" s="127">
        <f t="shared" ref="AN18:AN22" si="18">+$L18*AK18</f>
        <v>0</v>
      </c>
    </row>
    <row r="19" spans="1:40" s="10" customFormat="1" outlineLevel="1">
      <c r="A19" s="136" t="s">
        <v>327</v>
      </c>
      <c r="B19" s="124" t="s">
        <v>363</v>
      </c>
      <c r="C19" s="124" t="s">
        <v>400</v>
      </c>
      <c r="D19" s="124" t="s">
        <v>49</v>
      </c>
      <c r="E19" s="404" t="s">
        <v>54</v>
      </c>
      <c r="F19" s="246" t="s">
        <v>459</v>
      </c>
      <c r="G19" s="114"/>
      <c r="H19" s="254">
        <v>7537</v>
      </c>
      <c r="I19" s="125" t="s">
        <v>398</v>
      </c>
      <c r="J19" s="259">
        <v>17543</v>
      </c>
      <c r="K19" s="125" t="s">
        <v>398</v>
      </c>
      <c r="L19" s="127">
        <f t="shared" si="10"/>
        <v>132.22159099999999</v>
      </c>
      <c r="M19" s="134" t="s">
        <v>47</v>
      </c>
      <c r="N19" s="114"/>
      <c r="O19" s="129" t="s">
        <v>47</v>
      </c>
      <c r="P19" s="130">
        <f>+VLOOKUP($B$1&amp;" - "&amp;$D19,'Default Parameter'!$A$8:$M$25,4,FALSE)</f>
        <v>0.7407407407407407</v>
      </c>
      <c r="Q19" s="138">
        <f>+VLOOKUP($B$1&amp;" - "&amp;$D19,'Default Parameter'!$A$8:$M$25,3,FALSE)</f>
        <v>44.3</v>
      </c>
      <c r="R19" s="131" t="s">
        <v>52</v>
      </c>
      <c r="S19" s="114"/>
      <c r="T19" s="130">
        <f>+VLOOKUP($F19,'(Edited)Spec. Fuel Consumption '!$A$4:$J$163,9,FALSE)</f>
        <v>12.14462025583671</v>
      </c>
      <c r="U19" s="130" t="str">
        <f>+VLOOKUP($F19,'(Edited)Spec. Fuel Consumption '!$A$4:$J$163,10,FALSE)</f>
        <v>Infras,2018</v>
      </c>
      <c r="V19" s="399">
        <f>+VLOOKUP($B$1&amp;" - "&amp;$D19,'Default Parameter'!$A$8:$M$25,5,FALSE)</f>
        <v>69300</v>
      </c>
      <c r="W19" s="135" t="s">
        <v>52</v>
      </c>
      <c r="X19" s="138">
        <f>+VLOOKUP($B$1&amp;" - "&amp;$D19,'Default Parameter'!$A$8:$M$25,8,FALSE)</f>
        <v>33</v>
      </c>
      <c r="Y19" s="265" t="str">
        <f>+"IPCC 2006 - "&amp;+VLOOKUP($B$1&amp;" - "&amp;$D19,'Default Parameter'!$A$8:$M$25,2,FALSE)</f>
        <v>IPCC 2006 - Motor Gasoline- uncontrolled</v>
      </c>
      <c r="Z19" s="135">
        <f>+VLOOKUP($B$1&amp;" - "&amp;$D19,'Default Parameter'!$A$8:$M$25,11,FALSE)</f>
        <v>3.2</v>
      </c>
      <c r="AA19" s="131" t="str">
        <f>+"IPCC 2006 - "&amp;+VLOOKUP($B$1&amp;" - "&amp;$D19,'Default Parameter'!$A$8:$M$25,2,FALSE)</f>
        <v>IPCC 2006 - Motor Gasoline- uncontrolled</v>
      </c>
      <c r="AB19" s="132"/>
      <c r="AC19" s="133">
        <f t="shared" si="11"/>
        <v>16.057810123175567</v>
      </c>
      <c r="AD19" s="134">
        <f t="shared" si="12"/>
        <v>11.894674165315234</v>
      </c>
      <c r="AE19" s="134">
        <f t="shared" si="13"/>
        <v>711.36098845667755</v>
      </c>
      <c r="AF19" s="260">
        <f t="shared" si="14"/>
        <v>36.516530740776112</v>
      </c>
      <c r="AG19" s="260">
        <f t="shared" si="15"/>
        <v>1.738882416227434E-2</v>
      </c>
      <c r="AH19" s="261">
        <f t="shared" si="16"/>
        <v>1.6861890096750876E-3</v>
      </c>
      <c r="AI19" s="114"/>
      <c r="AJ19" s="561">
        <f t="shared" si="17"/>
        <v>26.4</v>
      </c>
      <c r="AK19" s="146"/>
      <c r="AL19" s="135"/>
      <c r="AM19" s="263">
        <f t="shared" si="9"/>
        <v>3490.6500023999997</v>
      </c>
      <c r="AN19" s="127">
        <f t="shared" si="18"/>
        <v>0</v>
      </c>
    </row>
    <row r="20" spans="1:40" s="10" customFormat="1" outlineLevel="1">
      <c r="A20" s="136" t="s">
        <v>327</v>
      </c>
      <c r="B20" s="124" t="s">
        <v>363</v>
      </c>
      <c r="C20" s="124" t="s">
        <v>400</v>
      </c>
      <c r="D20" s="124" t="s">
        <v>53</v>
      </c>
      <c r="E20" s="404" t="s">
        <v>54</v>
      </c>
      <c r="F20" s="246" t="s">
        <v>83</v>
      </c>
      <c r="G20" s="114"/>
      <c r="H20" s="254">
        <v>46394</v>
      </c>
      <c r="I20" s="125" t="s">
        <v>398</v>
      </c>
      <c r="J20" s="259">
        <v>33731</v>
      </c>
      <c r="K20" s="125" t="s">
        <v>398</v>
      </c>
      <c r="L20" s="127">
        <f t="shared" si="10"/>
        <v>1564.9160139999999</v>
      </c>
      <c r="M20" s="134" t="s">
        <v>47</v>
      </c>
      <c r="N20" s="114"/>
      <c r="O20" s="129" t="s">
        <v>47</v>
      </c>
      <c r="P20" s="130">
        <f>+VLOOKUP($B$1&amp;" - "&amp;$D20,'Default Parameter'!$A$8:$M$25,4,FALSE)</f>
        <v>0.84388185654008396</v>
      </c>
      <c r="Q20" s="138">
        <f>+VLOOKUP($B$1&amp;" - "&amp;$D20,'Default Parameter'!$A$8:$M$25,3,FALSE)</f>
        <v>43</v>
      </c>
      <c r="R20" s="131" t="s">
        <v>52</v>
      </c>
      <c r="S20" s="114"/>
      <c r="T20" s="130">
        <f>+VLOOKUP($F20,'(Edited)Spec. Fuel Consumption '!$A$4:$J$163,9,FALSE)</f>
        <v>5.5139266792812744</v>
      </c>
      <c r="U20" s="130" t="str">
        <f>+VLOOKUP($F20,'(Edited)Spec. Fuel Consumption '!$A$4:$J$163,10,FALSE)</f>
        <v>Infras,2018</v>
      </c>
      <c r="V20" s="399">
        <f>+VLOOKUP($B$1&amp;" - "&amp;$D20,'Default Parameter'!$A$8:$M$25,5,FALSE)</f>
        <v>74100</v>
      </c>
      <c r="W20" s="135" t="s">
        <v>52</v>
      </c>
      <c r="X20" s="138">
        <f>+VLOOKUP($B$1&amp;" - "&amp;$D20,'Default Parameter'!$A$8:$M$25,8,FALSE)</f>
        <v>3.9</v>
      </c>
      <c r="Y20" s="265" t="str">
        <f>+"IPCC 2006 - "&amp;+VLOOKUP($B$1&amp;" - "&amp;$D20,'Default Parameter'!$A$8:$M$25,2,FALSE)</f>
        <v>IPCC 2006 - Gas/ Diesel Oil</v>
      </c>
      <c r="Z20" s="135">
        <f>+VLOOKUP($B$1&amp;" - "&amp;$D20,'Default Parameter'!$A$8:$M$25,11,FALSE)</f>
        <v>3.9</v>
      </c>
      <c r="AA20" s="131" t="str">
        <f>+"IPCC 2006 - "&amp;+VLOOKUP($B$1&amp;" - "&amp;$D20,'Default Parameter'!$A$8:$M$25,2,FALSE)</f>
        <v>IPCC 2006 - Gas/ Diesel Oil</v>
      </c>
      <c r="AB20" s="132"/>
      <c r="AC20" s="133">
        <f t="shared" si="11"/>
        <v>86.288321604291085</v>
      </c>
      <c r="AD20" s="134">
        <f t="shared" si="12"/>
        <v>72.817149033156994</v>
      </c>
      <c r="AE20" s="134">
        <f t="shared" si="13"/>
        <v>3710.3978289845168</v>
      </c>
      <c r="AF20" s="260">
        <f t="shared" si="14"/>
        <v>232.01728196434814</v>
      </c>
      <c r="AG20" s="260">
        <f t="shared" si="15"/>
        <v>1.2211435892860429E-2</v>
      </c>
      <c r="AH20" s="261">
        <f t="shared" si="16"/>
        <v>1.2211435892860429E-2</v>
      </c>
      <c r="AI20" s="114"/>
      <c r="AJ20" s="561">
        <f t="shared" si="17"/>
        <v>26.4</v>
      </c>
      <c r="AK20" s="146"/>
      <c r="AL20" s="135"/>
      <c r="AM20" s="263">
        <f t="shared" si="9"/>
        <v>41313.782769599995</v>
      </c>
      <c r="AN20" s="127">
        <f t="shared" si="18"/>
        <v>0</v>
      </c>
    </row>
    <row r="21" spans="1:40" s="10" customFormat="1" outlineLevel="1">
      <c r="A21" s="136" t="s">
        <v>327</v>
      </c>
      <c r="B21" s="124" t="s">
        <v>363</v>
      </c>
      <c r="C21" s="124" t="s">
        <v>401</v>
      </c>
      <c r="D21" s="124" t="s">
        <v>49</v>
      </c>
      <c r="E21" s="404" t="s">
        <v>54</v>
      </c>
      <c r="F21" s="246" t="s">
        <v>86</v>
      </c>
      <c r="G21" s="114"/>
      <c r="H21" s="254">
        <v>3212</v>
      </c>
      <c r="I21" s="125" t="s">
        <v>398</v>
      </c>
      <c r="J21" s="259">
        <v>20792</v>
      </c>
      <c r="K21" s="125" t="s">
        <v>398</v>
      </c>
      <c r="L21" s="127">
        <f t="shared" si="10"/>
        <v>66.783904000000007</v>
      </c>
      <c r="M21" s="134" t="s">
        <v>47</v>
      </c>
      <c r="N21" s="114"/>
      <c r="O21" s="129" t="s">
        <v>47</v>
      </c>
      <c r="P21" s="130">
        <f>+VLOOKUP($B$1&amp;" - "&amp;$D21,'Default Parameter'!$A$8:$M$25,4,FALSE)</f>
        <v>0.7407407407407407</v>
      </c>
      <c r="Q21" s="138">
        <f>+VLOOKUP($B$1&amp;" - "&amp;$D21,'Default Parameter'!$A$8:$M$25,3,FALSE)</f>
        <v>44.3</v>
      </c>
      <c r="R21" s="131" t="s">
        <v>52</v>
      </c>
      <c r="S21" s="114"/>
      <c r="T21" s="130">
        <f>+VLOOKUP($F21,'(Edited)Spec. Fuel Consumption '!$A$4:$J$163,9,FALSE)</f>
        <v>7.2524898318561428</v>
      </c>
      <c r="U21" s="130" t="str">
        <f>+VLOOKUP($F21,'(Edited)Spec. Fuel Consumption '!$A$4:$J$163,10,FALSE)</f>
        <v>Infras,2018</v>
      </c>
      <c r="V21" s="399">
        <f>+VLOOKUP($B$1&amp;" - "&amp;$D21,'Default Parameter'!$A$8:$M$25,5,FALSE)</f>
        <v>69300</v>
      </c>
      <c r="W21" s="135" t="s">
        <v>52</v>
      </c>
      <c r="X21" s="138">
        <f>+VLOOKUP($B$1&amp;" - "&amp;$D21,'Default Parameter'!$A$8:$M$25,8,FALSE)</f>
        <v>33</v>
      </c>
      <c r="Y21" s="265" t="str">
        <f>+"IPCC 2006 - "&amp;+VLOOKUP($B$1&amp;" - "&amp;$D21,'Default Parameter'!$A$8:$M$25,2,FALSE)</f>
        <v>IPCC 2006 - Motor Gasoline- uncontrolled</v>
      </c>
      <c r="Z21" s="135">
        <f>+VLOOKUP($B$1&amp;" - "&amp;$D21,'Default Parameter'!$A$8:$M$25,11,FALSE)</f>
        <v>3.2</v>
      </c>
      <c r="AA21" s="131" t="str">
        <f>+"IPCC 2006 - "&amp;+VLOOKUP($B$1&amp;" - "&amp;$D21,'Default Parameter'!$A$8:$M$25,2,FALSE)</f>
        <v>IPCC 2006 - Motor Gasoline- uncontrolled</v>
      </c>
      <c r="AB21" s="132"/>
      <c r="AC21" s="133">
        <f t="shared" si="11"/>
        <v>4.8434958469165688</v>
      </c>
      <c r="AD21" s="134">
        <f t="shared" si="12"/>
        <v>3.5877747014196806</v>
      </c>
      <c r="AE21" s="134">
        <f t="shared" si="13"/>
        <v>214.56686601840397</v>
      </c>
      <c r="AF21" s="260">
        <f t="shared" si="14"/>
        <v>11.014432455611406</v>
      </c>
      <c r="AG21" s="260">
        <f t="shared" si="15"/>
        <v>5.2449678360054312E-3</v>
      </c>
      <c r="AH21" s="261">
        <f t="shared" si="16"/>
        <v>5.0860294167325395E-4</v>
      </c>
      <c r="AI21" s="114"/>
      <c r="AJ21" s="561">
        <f t="shared" si="17"/>
        <v>26.4</v>
      </c>
      <c r="AK21" s="146"/>
      <c r="AL21" s="135"/>
      <c r="AM21" s="263">
        <f t="shared" si="9"/>
        <v>1763.0950656</v>
      </c>
      <c r="AN21" s="127">
        <f t="shared" si="18"/>
        <v>0</v>
      </c>
    </row>
    <row r="22" spans="1:40" s="10" customFormat="1" outlineLevel="1">
      <c r="A22" s="136" t="s">
        <v>327</v>
      </c>
      <c r="B22" s="124" t="s">
        <v>363</v>
      </c>
      <c r="C22" s="124" t="s">
        <v>401</v>
      </c>
      <c r="D22" s="124" t="s">
        <v>53</v>
      </c>
      <c r="E22" s="404" t="s">
        <v>54</v>
      </c>
      <c r="F22" s="246" t="s">
        <v>87</v>
      </c>
      <c r="G22" s="114"/>
      <c r="H22" s="254">
        <v>50028</v>
      </c>
      <c r="I22" s="125" t="s">
        <v>398</v>
      </c>
      <c r="J22" s="259">
        <v>29449</v>
      </c>
      <c r="K22" s="125" t="s">
        <v>398</v>
      </c>
      <c r="L22" s="127">
        <f t="shared" si="10"/>
        <v>1473.274572</v>
      </c>
      <c r="M22" s="134" t="s">
        <v>47</v>
      </c>
      <c r="N22" s="114"/>
      <c r="O22" s="129" t="s">
        <v>47</v>
      </c>
      <c r="P22" s="130">
        <f>+VLOOKUP($B$1&amp;" - "&amp;$D22,'Default Parameter'!$A$8:$M$25,4,FALSE)</f>
        <v>0.84388185654008396</v>
      </c>
      <c r="Q22" s="138">
        <f>+VLOOKUP($B$1&amp;" - "&amp;$D22,'Default Parameter'!$A$8:$M$25,3,FALSE)</f>
        <v>43</v>
      </c>
      <c r="R22" s="131" t="s">
        <v>52</v>
      </c>
      <c r="S22" s="114"/>
      <c r="T22" s="130">
        <f>+VLOOKUP($F22,'(Edited)Spec. Fuel Consumption '!$A$4:$J$163,9,FALSE)</f>
        <v>9.3282933477082004</v>
      </c>
      <c r="U22" s="130" t="str">
        <f>+VLOOKUP($F22,'(Edited)Spec. Fuel Consumption '!$A$4:$J$163,10,FALSE)</f>
        <v>Infras,2018</v>
      </c>
      <c r="V22" s="399">
        <f>+VLOOKUP($B$1&amp;" - "&amp;$D22,'Default Parameter'!$A$8:$M$25,5,FALSE)</f>
        <v>74100</v>
      </c>
      <c r="W22" s="135" t="s">
        <v>52</v>
      </c>
      <c r="X22" s="138">
        <f>+VLOOKUP($B$1&amp;" - "&amp;$D22,'Default Parameter'!$A$8:$M$25,8,FALSE)</f>
        <v>3.9</v>
      </c>
      <c r="Y22" s="265" t="str">
        <f>+"IPCC 2006 - "&amp;+VLOOKUP($B$1&amp;" - "&amp;$D22,'Default Parameter'!$A$8:$M$25,2,FALSE)</f>
        <v>IPCC 2006 - Gas/ Diesel Oil</v>
      </c>
      <c r="Z22" s="135">
        <f>+VLOOKUP($B$1&amp;" - "&amp;$D22,'Default Parameter'!$A$8:$M$25,11,FALSE)</f>
        <v>3.9</v>
      </c>
      <c r="AA22" s="131" t="str">
        <f>+"IPCC 2006 - "&amp;+VLOOKUP($B$1&amp;" - "&amp;$D22,'Default Parameter'!$A$8:$M$25,2,FALSE)</f>
        <v>IPCC 2006 - Gas/ Diesel Oil</v>
      </c>
      <c r="AB22" s="132"/>
      <c r="AC22" s="133">
        <f t="shared" si="11"/>
        <v>137.43137389335246</v>
      </c>
      <c r="AD22" s="134">
        <f t="shared" si="12"/>
        <v>115.9758429479767</v>
      </c>
      <c r="AE22" s="134">
        <f t="shared" si="13"/>
        <v>5909.5490774141554</v>
      </c>
      <c r="AF22" s="260">
        <f t="shared" si="14"/>
        <v>369.53382838513824</v>
      </c>
      <c r="AG22" s="260">
        <f t="shared" si="15"/>
        <v>1.9449148862375695E-2</v>
      </c>
      <c r="AH22" s="261">
        <f t="shared" si="16"/>
        <v>1.9449148862375695E-2</v>
      </c>
      <c r="AI22" s="114"/>
      <c r="AJ22" s="561">
        <f t="shared" si="17"/>
        <v>26.4</v>
      </c>
      <c r="AK22" s="146"/>
      <c r="AL22" s="135"/>
      <c r="AM22" s="263">
        <f t="shared" si="9"/>
        <v>38894.4487008</v>
      </c>
      <c r="AN22" s="127">
        <f t="shared" si="18"/>
        <v>0</v>
      </c>
    </row>
    <row r="23" spans="1:40" s="9" customFormat="1" ht="16.5" customHeight="1">
      <c r="A23" s="274" t="s">
        <v>82</v>
      </c>
      <c r="B23" s="113" t="s">
        <v>46</v>
      </c>
      <c r="C23" s="113" t="s">
        <v>46</v>
      </c>
      <c r="D23" s="113" t="s">
        <v>46</v>
      </c>
      <c r="E23" s="275" t="s">
        <v>46</v>
      </c>
      <c r="F23" s="403" t="s">
        <v>46</v>
      </c>
      <c r="G23" s="139"/>
      <c r="H23" s="255">
        <f>+SUM(H24:H24)</f>
        <v>10040.9999982394</v>
      </c>
      <c r="I23" s="140"/>
      <c r="J23" s="428">
        <v>33731</v>
      </c>
      <c r="K23" s="141"/>
      <c r="L23" s="142">
        <f>+SUM(L24:L24)</f>
        <v>439.94641492285933</v>
      </c>
      <c r="M23" s="143" t="s">
        <v>47</v>
      </c>
      <c r="N23" s="139"/>
      <c r="O23" s="144" t="s">
        <v>47</v>
      </c>
      <c r="P23" s="274"/>
      <c r="Q23" s="113"/>
      <c r="R23" s="275"/>
      <c r="S23" s="139"/>
      <c r="T23" s="274"/>
      <c r="U23" s="113"/>
      <c r="V23" s="400"/>
      <c r="W23" s="113"/>
      <c r="X23" s="113"/>
      <c r="Y23" s="266"/>
      <c r="Z23" s="113"/>
      <c r="AA23" s="275"/>
      <c r="AB23" s="123"/>
      <c r="AC23" s="274"/>
      <c r="AD23" s="113"/>
      <c r="AE23" s="113"/>
      <c r="AF23" s="262"/>
      <c r="AG23" s="262"/>
      <c r="AH23" s="278"/>
      <c r="AI23" s="139"/>
      <c r="AJ23" s="561">
        <f t="shared" si="17"/>
        <v>26.4</v>
      </c>
      <c r="AK23" s="113"/>
      <c r="AL23" s="113"/>
      <c r="AM23" s="262"/>
      <c r="AN23" s="275"/>
    </row>
    <row r="24" spans="1:40" s="10" customFormat="1" outlineLevel="1">
      <c r="A24" s="136" t="s">
        <v>82</v>
      </c>
      <c r="B24" s="124" t="s">
        <v>363</v>
      </c>
      <c r="C24" s="124" t="s">
        <v>403</v>
      </c>
      <c r="D24" s="145" t="s">
        <v>53</v>
      </c>
      <c r="E24" s="404" t="s">
        <v>54</v>
      </c>
      <c r="F24" s="137" t="s">
        <v>84</v>
      </c>
      <c r="G24" s="114"/>
      <c r="H24" s="254">
        <v>10040.9999982394</v>
      </c>
      <c r="I24" s="125" t="s">
        <v>398</v>
      </c>
      <c r="J24" s="259">
        <v>43815</v>
      </c>
      <c r="K24" s="126" t="s">
        <v>398</v>
      </c>
      <c r="L24" s="127">
        <f>H24*J24/10^6</f>
        <v>439.94641492285933</v>
      </c>
      <c r="M24" s="134" t="s">
        <v>47</v>
      </c>
      <c r="N24" s="114"/>
      <c r="O24" s="129" t="s">
        <v>47</v>
      </c>
      <c r="P24" s="130">
        <f>+VLOOKUP($B$1&amp;" - "&amp;$D24,'Default Parameter'!$A$8:$M$25,4,FALSE)</f>
        <v>0.84388185654008396</v>
      </c>
      <c r="Q24" s="138">
        <f>+VLOOKUP($B$1&amp;" - "&amp;$D24,'Default Parameter'!$A$8:$M$25,3,FALSE)</f>
        <v>43</v>
      </c>
      <c r="R24" s="131" t="s">
        <v>52</v>
      </c>
      <c r="S24" s="114"/>
      <c r="T24" s="130">
        <f>+VLOOKUP($F24,'(Edited)Spec. Fuel Consumption '!$A$4:$J$163,9,FALSE)</f>
        <v>31.472793042125403</v>
      </c>
      <c r="U24" s="130" t="str">
        <f>+VLOOKUP($F24,'(Edited)Spec. Fuel Consumption '!$A$4:$J$163,10,FALSE)</f>
        <v>Infras,2018</v>
      </c>
      <c r="V24" s="399">
        <f>+VLOOKUP($B$1&amp;" - "&amp;$D24,'Default Parameter'!$A$8:$M$25,5,FALSE)</f>
        <v>74100</v>
      </c>
      <c r="W24" s="135" t="s">
        <v>52</v>
      </c>
      <c r="X24" s="138">
        <f>+VLOOKUP($B$1&amp;" - "&amp;$D24,'Default Parameter'!$A$8:$M$25,8,FALSE)</f>
        <v>3.9</v>
      </c>
      <c r="Y24" s="265" t="str">
        <f>+"IPCC 2006 - "&amp;+VLOOKUP($B$1&amp;" - "&amp;$D24,'Default Parameter'!$A$8:$M$25,2,FALSE)</f>
        <v>IPCC 2006 - Gas/ Diesel Oil</v>
      </c>
      <c r="Z24" s="135">
        <f>+VLOOKUP($B$1&amp;" - "&amp;$D24,'Default Parameter'!$A$8:$M$25,11,FALSE)</f>
        <v>3.9</v>
      </c>
      <c r="AA24" s="131" t="str">
        <f>+"IPCC 2006 - "&amp;+VLOOKUP($B$1&amp;" - "&amp;$D24,'Default Parameter'!$A$8:$M$25,2,FALSE)</f>
        <v>IPCC 2006 - Gas/ Diesel Oil</v>
      </c>
      <c r="AB24" s="132"/>
      <c r="AC24" s="133">
        <f>IFERROR(L24*T24/10^2,0)</f>
        <v>138.46342466492183</v>
      </c>
      <c r="AD24" s="134">
        <f>+AC24*P24</f>
        <v>116.84677186913228</v>
      </c>
      <c r="AE24" s="134">
        <f>+AC24*Q24</f>
        <v>5953.9272605916385</v>
      </c>
      <c r="AF24" s="260">
        <f>+$AD24*$Q24*V24/10^6</f>
        <v>372.30886920661618</v>
      </c>
      <c r="AG24" s="260">
        <f>+$AD24*$Q24*X24/10^6</f>
        <v>1.9595203642453481E-2</v>
      </c>
      <c r="AH24" s="261">
        <f>+$AD24*$Q24*Z24/10^6</f>
        <v>1.9595203642453481E-2</v>
      </c>
      <c r="AI24" s="114"/>
      <c r="AJ24" s="561">
        <f t="shared" si="17"/>
        <v>26.4</v>
      </c>
      <c r="AK24" s="146"/>
      <c r="AL24" s="135"/>
      <c r="AM24" s="263">
        <f>+$L24*AJ24</f>
        <v>11614.585353963486</v>
      </c>
      <c r="AN24" s="127">
        <f>+$L24*AK24</f>
        <v>0</v>
      </c>
    </row>
    <row r="25" spans="1:40" s="9" customFormat="1" ht="16.5" customHeight="1">
      <c r="A25" s="274" t="s">
        <v>85</v>
      </c>
      <c r="B25" s="113" t="s">
        <v>46</v>
      </c>
      <c r="C25" s="113" t="s">
        <v>46</v>
      </c>
      <c r="D25" s="113" t="s">
        <v>46</v>
      </c>
      <c r="E25" s="275" t="s">
        <v>46</v>
      </c>
      <c r="F25" s="403" t="s">
        <v>46</v>
      </c>
      <c r="G25" s="139"/>
      <c r="H25" s="255">
        <f>+SUM(H26:H33)</f>
        <v>73276.346164327508</v>
      </c>
      <c r="I25" s="140"/>
      <c r="J25" s="428">
        <f>+L25/H25*10^6</f>
        <v>49849.206774592923</v>
      </c>
      <c r="K25" s="147"/>
      <c r="L25" s="142">
        <f>+SUM(L26:L33)</f>
        <v>3652.7677316322111</v>
      </c>
      <c r="M25" s="143" t="s">
        <v>47</v>
      </c>
      <c r="N25" s="139"/>
      <c r="O25" s="144" t="s">
        <v>47</v>
      </c>
      <c r="P25" s="274"/>
      <c r="Q25" s="113"/>
      <c r="R25" s="275"/>
      <c r="S25" s="139"/>
      <c r="T25" s="274"/>
      <c r="U25" s="113"/>
      <c r="V25" s="400"/>
      <c r="W25" s="113"/>
      <c r="X25" s="113"/>
      <c r="Y25" s="266"/>
      <c r="Z25" s="113"/>
      <c r="AA25" s="275"/>
      <c r="AB25" s="123"/>
      <c r="AC25" s="274"/>
      <c r="AD25" s="113"/>
      <c r="AE25" s="113"/>
      <c r="AF25" s="262"/>
      <c r="AG25" s="262"/>
      <c r="AH25" s="278"/>
      <c r="AI25" s="139"/>
      <c r="AJ25" s="282"/>
      <c r="AK25" s="113"/>
      <c r="AL25" s="113"/>
      <c r="AM25" s="262"/>
      <c r="AN25" s="275"/>
    </row>
    <row r="26" spans="1:40" s="10" customFormat="1" outlineLevel="1">
      <c r="A26" s="136" t="s">
        <v>328</v>
      </c>
      <c r="B26" s="124" t="s">
        <v>207</v>
      </c>
      <c r="C26" s="124" t="s">
        <v>404</v>
      </c>
      <c r="D26" s="145" t="s">
        <v>53</v>
      </c>
      <c r="E26" s="404" t="s">
        <v>54</v>
      </c>
      <c r="F26" s="137" t="s">
        <v>88</v>
      </c>
      <c r="G26" s="114"/>
      <c r="H26" s="254">
        <v>12448.3967494482</v>
      </c>
      <c r="I26" s="125" t="s">
        <v>398</v>
      </c>
      <c r="J26" s="259">
        <v>48383</v>
      </c>
      <c r="K26" s="125" t="s">
        <v>398</v>
      </c>
      <c r="L26" s="127">
        <f t="shared" ref="L26:L33" si="19">H26*J26/1000000</f>
        <v>602.2907799285523</v>
      </c>
      <c r="M26" s="134" t="s">
        <v>47</v>
      </c>
      <c r="N26" s="114"/>
      <c r="O26" s="129" t="s">
        <v>47</v>
      </c>
      <c r="P26" s="130">
        <f>+VLOOKUP($B$1&amp;" - "&amp;$D26,'Default Parameter'!$A$8:$M$25,4,FALSE)</f>
        <v>0.84388185654008396</v>
      </c>
      <c r="Q26" s="138">
        <f>+VLOOKUP($B$1&amp;" - "&amp;$D26,'Default Parameter'!$A$8:$M$25,3,FALSE)</f>
        <v>43</v>
      </c>
      <c r="R26" s="131" t="s">
        <v>52</v>
      </c>
      <c r="S26" s="114"/>
      <c r="T26" s="130">
        <f>+VLOOKUP($F26,'(Edited)Spec. Fuel Consumption '!$A$4:$J$163,9,FALSE)</f>
        <v>13.147411562137476</v>
      </c>
      <c r="U26" s="130" t="str">
        <f>+VLOOKUP($F26,'(Edited)Spec. Fuel Consumption '!$A$4:$J$163,10,FALSE)</f>
        <v>Infras,2018</v>
      </c>
      <c r="V26" s="399">
        <f>+VLOOKUP($B$1&amp;" - "&amp;$D26,'Default Parameter'!$A$8:$M$25,5,FALSE)</f>
        <v>74100</v>
      </c>
      <c r="W26" s="135" t="s">
        <v>52</v>
      </c>
      <c r="X26" s="138">
        <f>+VLOOKUP($B$1&amp;" - "&amp;$D26,'Default Parameter'!$A$8:$M$25,8,FALSE)</f>
        <v>3.9</v>
      </c>
      <c r="Y26" s="265" t="str">
        <f>+"IPCC 2006 - "&amp;+VLOOKUP($B$1&amp;" - "&amp;$D26,'Default Parameter'!$A$8:$M$25,2,FALSE)</f>
        <v>IPCC 2006 - Gas/ Diesel Oil</v>
      </c>
      <c r="Z26" s="135">
        <f>+VLOOKUP($B$1&amp;" - "&amp;$D26,'Default Parameter'!$A$8:$M$25,11,FALSE)</f>
        <v>3.9</v>
      </c>
      <c r="AA26" s="131" t="str">
        <f>+"IPCC 2006 - "&amp;+VLOOKUP($B$1&amp;" - "&amp;$D26,'Default Parameter'!$A$8:$M$25,2,FALSE)</f>
        <v>IPCC 2006 - Gas/ Diesel Oil</v>
      </c>
      <c r="AB26" s="132"/>
      <c r="AC26" s="133">
        <f t="shared" ref="AC26:AC33" si="20">IFERROR(L26*T26/10^2,0)</f>
        <v>79.185647638014458</v>
      </c>
      <c r="AD26" s="134">
        <f t="shared" ref="AD26:AD33" si="21">+AC26*P26</f>
        <v>66.823331340096559</v>
      </c>
      <c r="AE26" s="134">
        <f t="shared" ref="AE26:AE33" si="22">+AC26*Q26</f>
        <v>3404.9828484346217</v>
      </c>
      <c r="AF26" s="260">
        <f t="shared" ref="AF26:AF33" si="23">+$AD26*$Q26*V26/10^6</f>
        <v>212.91918064894966</v>
      </c>
      <c r="AG26" s="260">
        <f t="shared" ref="AG26:AG33" si="24">+$AD26*$Q26*X26/10^6</f>
        <v>1.1206272665734191E-2</v>
      </c>
      <c r="AH26" s="261">
        <f t="shared" ref="AH26:AH33" si="25">+$AD26*$Q26*Z26/10^6</f>
        <v>1.1206272665734191E-2</v>
      </c>
      <c r="AI26" s="114"/>
      <c r="AJ26" s="283"/>
      <c r="AK26" s="135"/>
      <c r="AL26" s="135"/>
      <c r="AM26" s="263">
        <f t="shared" ref="AM26:AN32" si="26">+$L26*AJ26</f>
        <v>0</v>
      </c>
      <c r="AN26" s="127">
        <f t="shared" si="26"/>
        <v>0</v>
      </c>
    </row>
    <row r="27" spans="1:40" s="10" customFormat="1" outlineLevel="1">
      <c r="A27" s="136" t="s">
        <v>328</v>
      </c>
      <c r="B27" s="124" t="s">
        <v>207</v>
      </c>
      <c r="C27" s="124" t="s">
        <v>405</v>
      </c>
      <c r="D27" s="145" t="s">
        <v>53</v>
      </c>
      <c r="E27" s="404" t="s">
        <v>54</v>
      </c>
      <c r="F27" s="137" t="s">
        <v>89</v>
      </c>
      <c r="G27" s="114"/>
      <c r="H27" s="254">
        <v>28895.9999022505</v>
      </c>
      <c r="I27" s="125" t="s">
        <v>398</v>
      </c>
      <c r="J27" s="259">
        <v>35823.496448204911</v>
      </c>
      <c r="K27" s="125" t="s">
        <v>398</v>
      </c>
      <c r="L27" s="127">
        <f t="shared" si="19"/>
        <v>1035.1557498656002</v>
      </c>
      <c r="M27" s="134"/>
      <c r="N27" s="114"/>
      <c r="O27" s="129" t="s">
        <v>47</v>
      </c>
      <c r="P27" s="130">
        <f>+VLOOKUP($B$1&amp;" - "&amp;$D27,'Default Parameter'!$A$8:$M$25,4,FALSE)</f>
        <v>0.84388185654008396</v>
      </c>
      <c r="Q27" s="138">
        <f>+VLOOKUP($B$1&amp;" - "&amp;$D27,'Default Parameter'!$A$8:$M$25,3,FALSE)</f>
        <v>43</v>
      </c>
      <c r="R27" s="131" t="s">
        <v>52</v>
      </c>
      <c r="S27" s="114"/>
      <c r="T27" s="130">
        <f>+VLOOKUP($F27,'(Edited)Spec. Fuel Consumption '!$A$4:$J$163,9,FALSE)</f>
        <v>19.892987701977304</v>
      </c>
      <c r="U27" s="130" t="str">
        <f>+VLOOKUP($F27,'(Edited)Spec. Fuel Consumption '!$A$4:$J$163,10,FALSE)</f>
        <v>Infras,2018</v>
      </c>
      <c r="V27" s="399">
        <f>+VLOOKUP($B$1&amp;" - "&amp;$D27,'Default Parameter'!$A$8:$M$25,5,FALSE)</f>
        <v>74100</v>
      </c>
      <c r="W27" s="135" t="s">
        <v>52</v>
      </c>
      <c r="X27" s="138">
        <f>+VLOOKUP($B$1&amp;" - "&amp;$D27,'Default Parameter'!$A$8:$M$25,8,FALSE)</f>
        <v>3.9</v>
      </c>
      <c r="Y27" s="265" t="str">
        <f>+"IPCC 2006 - "&amp;+VLOOKUP($B$1&amp;" - "&amp;$D27,'Default Parameter'!$A$8:$M$25,2,FALSE)</f>
        <v>IPCC 2006 - Gas/ Diesel Oil</v>
      </c>
      <c r="Z27" s="135">
        <f>+VLOOKUP($B$1&amp;" - "&amp;$D27,'Default Parameter'!$A$8:$M$25,11,FALSE)</f>
        <v>3.9</v>
      </c>
      <c r="AA27" s="131" t="str">
        <f>+"IPCC 2006 - "&amp;+VLOOKUP($B$1&amp;" - "&amp;$D27,'Default Parameter'!$A$8:$M$25,2,FALSE)</f>
        <v>IPCC 2006 - Gas/ Diesel Oil</v>
      </c>
      <c r="AB27" s="132"/>
      <c r="AC27" s="133">
        <f>IFERROR(L27*T27/10^2,0)</f>
        <v>205.92340601707483</v>
      </c>
      <c r="AD27" s="134">
        <f>+AC27*P27</f>
        <v>173.77502617474661</v>
      </c>
      <c r="AE27" s="134">
        <f>+AC27*Q27</f>
        <v>8854.7064587342174</v>
      </c>
      <c r="AF27" s="260">
        <f>+$AD27*$Q27*V27/10^6</f>
        <v>553.69936590059501</v>
      </c>
      <c r="AG27" s="260">
        <f>+$AD27*$Q27*X27/10^6</f>
        <v>2.9142071889505006E-2</v>
      </c>
      <c r="AH27" s="261">
        <f>+$AD27*$Q27*Z27/10^6</f>
        <v>2.9142071889505006E-2</v>
      </c>
      <c r="AI27" s="114"/>
      <c r="AJ27" s="283"/>
      <c r="AK27" s="135"/>
      <c r="AL27" s="135"/>
      <c r="AM27" s="263">
        <f t="shared" ref="AM27:AN29" si="27">+$L27*AJ27</f>
        <v>0</v>
      </c>
      <c r="AN27" s="127">
        <f t="shared" si="27"/>
        <v>0</v>
      </c>
    </row>
    <row r="28" spans="1:40" s="10" customFormat="1" outlineLevel="1">
      <c r="A28" s="136" t="s">
        <v>328</v>
      </c>
      <c r="B28" s="124" t="s">
        <v>207</v>
      </c>
      <c r="C28" s="124" t="s">
        <v>406</v>
      </c>
      <c r="D28" s="145" t="s">
        <v>53</v>
      </c>
      <c r="E28" s="404" t="s">
        <v>54</v>
      </c>
      <c r="F28" s="137" t="s">
        <v>448</v>
      </c>
      <c r="G28" s="114"/>
      <c r="H28" s="254">
        <v>502.79040116401302</v>
      </c>
      <c r="I28" s="125" t="s">
        <v>398</v>
      </c>
      <c r="J28" s="259">
        <v>35823.496441538315</v>
      </c>
      <c r="K28" s="125" t="s">
        <v>398</v>
      </c>
      <c r="L28" s="127">
        <f t="shared" si="19"/>
        <v>18.01171014693864</v>
      </c>
      <c r="M28" s="134" t="s">
        <v>47</v>
      </c>
      <c r="N28" s="114"/>
      <c r="O28" s="129" t="s">
        <v>47</v>
      </c>
      <c r="P28" s="130">
        <f>+VLOOKUP($B$1&amp;" - "&amp;$D28,'Default Parameter'!$A$8:$M$25,4,FALSE)</f>
        <v>0.84388185654008396</v>
      </c>
      <c r="Q28" s="138">
        <f>+VLOOKUP($B$1&amp;" - "&amp;$D28,'Default Parameter'!$A$8:$M$25,3,FALSE)</f>
        <v>43</v>
      </c>
      <c r="R28" s="131" t="s">
        <v>52</v>
      </c>
      <c r="S28" s="114"/>
      <c r="T28" s="130">
        <f>+VLOOKUP($F28,'(Edited)Spec. Fuel Consumption '!$A$4:$J$163,9,FALSE)</f>
        <v>21.68997684397555</v>
      </c>
      <c r="U28" s="130" t="str">
        <f>+VLOOKUP($F28,'(Edited)Spec. Fuel Consumption '!$A$4:$J$163,10,FALSE)</f>
        <v>Infras,2018</v>
      </c>
      <c r="V28" s="399">
        <f>+VLOOKUP($B$1&amp;" - "&amp;$D28,'Default Parameter'!$A$8:$M$25,5,FALSE)</f>
        <v>74100</v>
      </c>
      <c r="W28" s="135" t="s">
        <v>52</v>
      </c>
      <c r="X28" s="138">
        <f>+VLOOKUP($B$1&amp;" - "&amp;$D28,'Default Parameter'!$A$8:$M$25,8,FALSE)</f>
        <v>3.9</v>
      </c>
      <c r="Y28" s="265" t="str">
        <f>+"IPCC 2006 - "&amp;+VLOOKUP($B$1&amp;" - "&amp;$D28,'Default Parameter'!$A$8:$M$25,2,FALSE)</f>
        <v>IPCC 2006 - Gas/ Diesel Oil</v>
      </c>
      <c r="Z28" s="135">
        <f>+VLOOKUP($B$1&amp;" - "&amp;$D28,'Default Parameter'!$A$8:$M$25,11,FALSE)</f>
        <v>3.9</v>
      </c>
      <c r="AA28" s="131" t="str">
        <f>+"IPCC 2006 - "&amp;+VLOOKUP($B$1&amp;" - "&amp;$D28,'Default Parameter'!$A$8:$M$25,2,FALSE)</f>
        <v>IPCC 2006 - Gas/ Diesel Oil</v>
      </c>
      <c r="AB28" s="132"/>
      <c r="AC28" s="133">
        <f>IFERROR(L28*T28/10^2,0)</f>
        <v>3.9067357600749859</v>
      </c>
      <c r="AD28" s="134">
        <f>+AC28*P28</f>
        <v>3.2968234262236153</v>
      </c>
      <c r="AE28" s="134">
        <f>+AC28*Q28</f>
        <v>167.9896376832244</v>
      </c>
      <c r="AF28" s="260">
        <f>+$AD28*$Q28*V28/10^6</f>
        <v>10.504668482976305</v>
      </c>
      <c r="AG28" s="260">
        <f>+$AD28*$Q28*X28/10^6</f>
        <v>5.5287728857770027E-4</v>
      </c>
      <c r="AH28" s="261">
        <f>+$AD28*$Q28*Z28/10^6</f>
        <v>5.5287728857770027E-4</v>
      </c>
      <c r="AI28" s="114"/>
      <c r="AJ28" s="283"/>
      <c r="AK28" s="135"/>
      <c r="AL28" s="135"/>
      <c r="AM28" s="263">
        <f t="shared" si="27"/>
        <v>0</v>
      </c>
      <c r="AN28" s="127">
        <f t="shared" si="27"/>
        <v>0</v>
      </c>
    </row>
    <row r="29" spans="1:40" s="10" customFormat="1" outlineLevel="1">
      <c r="A29" s="136" t="s">
        <v>328</v>
      </c>
      <c r="B29" s="124" t="s">
        <v>207</v>
      </c>
      <c r="C29" s="124" t="s">
        <v>407</v>
      </c>
      <c r="D29" s="145" t="s">
        <v>53</v>
      </c>
      <c r="E29" s="404" t="s">
        <v>54</v>
      </c>
      <c r="F29" s="137" t="s">
        <v>449</v>
      </c>
      <c r="G29" s="114"/>
      <c r="H29" s="254">
        <v>213.830400038975</v>
      </c>
      <c r="I29" s="125" t="s">
        <v>398</v>
      </c>
      <c r="J29" s="259">
        <v>25588.21174787085</v>
      </c>
      <c r="K29" s="125" t="s">
        <v>398</v>
      </c>
      <c r="L29" s="127">
        <f t="shared" si="19"/>
        <v>5.471537554329224</v>
      </c>
      <c r="M29" s="134"/>
      <c r="N29" s="114"/>
      <c r="O29" s="129"/>
      <c r="P29" s="130">
        <f>+VLOOKUP($B$1&amp;" - "&amp;$D29,'Default Parameter'!$A$8:$M$25,4,FALSE)</f>
        <v>0.84388185654008396</v>
      </c>
      <c r="Q29" s="138">
        <f>+VLOOKUP($B$1&amp;" - "&amp;$D29,'Default Parameter'!$A$8:$M$25,3,FALSE)</f>
        <v>43</v>
      </c>
      <c r="R29" s="131" t="s">
        <v>52</v>
      </c>
      <c r="S29" s="114"/>
      <c r="T29" s="130">
        <f>+VLOOKUP($F29,'(Edited)Spec. Fuel Consumption '!$A$4:$J$163,9,FALSE)</f>
        <v>26.340080307106955</v>
      </c>
      <c r="U29" s="130" t="str">
        <f>+VLOOKUP($F29,'(Edited)Spec. Fuel Consumption '!$A$4:$J$163,10,FALSE)</f>
        <v>Infras,2018</v>
      </c>
      <c r="V29" s="399">
        <f>+VLOOKUP($B$1&amp;" - "&amp;$D29,'Default Parameter'!$A$8:$M$25,5,FALSE)</f>
        <v>74100</v>
      </c>
      <c r="W29" s="135" t="s">
        <v>52</v>
      </c>
      <c r="X29" s="138">
        <f>+VLOOKUP($B$1&amp;" - "&amp;$D29,'Default Parameter'!$A$8:$M$25,8,FALSE)</f>
        <v>3.9</v>
      </c>
      <c r="Y29" s="265" t="str">
        <f>+"IPCC 2006 - "&amp;+VLOOKUP($B$1&amp;" - "&amp;$D29,'Default Parameter'!$A$8:$M$25,2,FALSE)</f>
        <v>IPCC 2006 - Gas/ Diesel Oil</v>
      </c>
      <c r="Z29" s="135">
        <f>+VLOOKUP($B$1&amp;" - "&amp;$D29,'Default Parameter'!$A$8:$M$25,11,FALSE)</f>
        <v>3.9</v>
      </c>
      <c r="AA29" s="131" t="str">
        <f>+"IPCC 2006 - "&amp;+VLOOKUP($B$1&amp;" - "&amp;$D29,'Default Parameter'!$A$8:$M$25,2,FALSE)</f>
        <v>IPCC 2006 - Gas/ Diesel Oil</v>
      </c>
      <c r="AB29" s="132"/>
      <c r="AC29" s="133">
        <f>IFERROR(L29*T29/10^2,0)</f>
        <v>1.4412073858438332</v>
      </c>
      <c r="AD29" s="134">
        <f>+AC29*P29</f>
        <v>1.2162087644251751</v>
      </c>
      <c r="AE29" s="134">
        <f>+AC29*Q29</f>
        <v>61.971917591284829</v>
      </c>
      <c r="AF29" s="260">
        <f>+$AD29*$Q29*V29/10^6</f>
        <v>3.8752059860879355</v>
      </c>
      <c r="AG29" s="260">
        <f>+$AD29*$Q29*X29/10^6</f>
        <v>2.0395820979410186E-4</v>
      </c>
      <c r="AH29" s="261">
        <f>+$AD29*$Q29*Z29/10^6</f>
        <v>2.0395820979410186E-4</v>
      </c>
      <c r="AI29" s="114"/>
      <c r="AJ29" s="283"/>
      <c r="AK29" s="135"/>
      <c r="AL29" s="135"/>
      <c r="AM29" s="263">
        <f t="shared" si="27"/>
        <v>0</v>
      </c>
      <c r="AN29" s="127">
        <f t="shared" si="27"/>
        <v>0</v>
      </c>
    </row>
    <row r="30" spans="1:40" s="10" customFormat="1" outlineLevel="1">
      <c r="A30" s="136" t="s">
        <v>328</v>
      </c>
      <c r="B30" s="124" t="s">
        <v>207</v>
      </c>
      <c r="C30" s="124" t="s">
        <v>408</v>
      </c>
      <c r="D30" s="145" t="s">
        <v>53</v>
      </c>
      <c r="E30" s="404" t="s">
        <v>54</v>
      </c>
      <c r="F30" s="137" t="s">
        <v>450</v>
      </c>
      <c r="G30" s="114"/>
      <c r="H30" s="254">
        <v>75.129600116085797</v>
      </c>
      <c r="I30" s="125" t="s">
        <v>398</v>
      </c>
      <c r="J30" s="259">
        <v>19830.864104290176</v>
      </c>
      <c r="K30" s="125" t="s">
        <v>398</v>
      </c>
      <c r="L30" s="127">
        <f t="shared" si="19"/>
        <v>1.489884890111761</v>
      </c>
      <c r="M30" s="134" t="s">
        <v>47</v>
      </c>
      <c r="N30" s="114"/>
      <c r="O30" s="129" t="s">
        <v>47</v>
      </c>
      <c r="P30" s="130">
        <f>+VLOOKUP($B$1&amp;" - "&amp;$D30,'Default Parameter'!$A$8:$M$25,4,FALSE)</f>
        <v>0.84388185654008396</v>
      </c>
      <c r="Q30" s="138">
        <f>+VLOOKUP($B$1&amp;" - "&amp;$D30,'Default Parameter'!$A$8:$M$25,3,FALSE)</f>
        <v>43</v>
      </c>
      <c r="R30" s="131" t="s">
        <v>52</v>
      </c>
      <c r="S30" s="114"/>
      <c r="T30" s="130">
        <f>+VLOOKUP($F30,'(Edited)Spec. Fuel Consumption '!$A$4:$J$163,9,FALSE)</f>
        <v>33.447202226294607</v>
      </c>
      <c r="U30" s="130" t="str">
        <f>+VLOOKUP($F30,'(Edited)Spec. Fuel Consumption '!$A$4:$J$163,10,FALSE)</f>
        <v>Infras,2018</v>
      </c>
      <c r="V30" s="399">
        <f>+VLOOKUP($B$1&amp;" - "&amp;$D30,'Default Parameter'!$A$8:$M$25,5,FALSE)</f>
        <v>74100</v>
      </c>
      <c r="W30" s="135" t="s">
        <v>52</v>
      </c>
      <c r="X30" s="138">
        <f>+VLOOKUP($B$1&amp;" - "&amp;$D30,'Default Parameter'!$A$8:$M$25,8,FALSE)</f>
        <v>3.9</v>
      </c>
      <c r="Y30" s="265" t="str">
        <f>+"IPCC 2006 - "&amp;+VLOOKUP($B$1&amp;" - "&amp;$D30,'Default Parameter'!$A$8:$M$25,2,FALSE)</f>
        <v>IPCC 2006 - Gas/ Diesel Oil</v>
      </c>
      <c r="Z30" s="135">
        <f>+VLOOKUP($B$1&amp;" - "&amp;$D30,'Default Parameter'!$A$8:$M$25,11,FALSE)</f>
        <v>3.9</v>
      </c>
      <c r="AA30" s="131" t="str">
        <f>+"IPCC 2006 - "&amp;+VLOOKUP($B$1&amp;" - "&amp;$D30,'Default Parameter'!$A$8:$M$25,2,FALSE)</f>
        <v>IPCC 2006 - Gas/ Diesel Oil</v>
      </c>
      <c r="AB30" s="132"/>
      <c r="AC30" s="133">
        <f t="shared" si="20"/>
        <v>0.49832481213468788</v>
      </c>
      <c r="AD30" s="134">
        <f t="shared" si="21"/>
        <v>0.42052726762420894</v>
      </c>
      <c r="AE30" s="134">
        <f t="shared" si="22"/>
        <v>21.42796692179158</v>
      </c>
      <c r="AF30" s="260">
        <f t="shared" si="23"/>
        <v>1.3399260328310172</v>
      </c>
      <c r="AG30" s="260">
        <f t="shared" si="24"/>
        <v>7.0522422780579846E-5</v>
      </c>
      <c r="AH30" s="261">
        <f t="shared" si="25"/>
        <v>7.0522422780579846E-5</v>
      </c>
      <c r="AI30" s="114"/>
      <c r="AJ30" s="283"/>
      <c r="AK30" s="135"/>
      <c r="AL30" s="135"/>
      <c r="AM30" s="263">
        <f t="shared" si="26"/>
        <v>0</v>
      </c>
      <c r="AN30" s="127">
        <f t="shared" si="26"/>
        <v>0</v>
      </c>
    </row>
    <row r="31" spans="1:40" s="10" customFormat="1" outlineLevel="1">
      <c r="A31" s="136" t="s">
        <v>328</v>
      </c>
      <c r="B31" s="124" t="s">
        <v>207</v>
      </c>
      <c r="C31" s="124" t="s">
        <v>409</v>
      </c>
      <c r="D31" s="145" t="s">
        <v>53</v>
      </c>
      <c r="E31" s="404" t="s">
        <v>54</v>
      </c>
      <c r="F31" s="137" t="s">
        <v>451</v>
      </c>
      <c r="G31" s="114"/>
      <c r="H31" s="254">
        <v>15250.358903437664</v>
      </c>
      <c r="I31" s="125" t="s">
        <v>430</v>
      </c>
      <c r="J31" s="259">
        <v>63205.000019242638</v>
      </c>
      <c r="K31" s="125" t="s">
        <v>398</v>
      </c>
      <c r="L31" s="127">
        <f t="shared" si="19"/>
        <v>963.8989347852347</v>
      </c>
      <c r="M31" s="134"/>
      <c r="N31" s="114"/>
      <c r="O31" s="129" t="s">
        <v>47</v>
      </c>
      <c r="P31" s="130">
        <f>+VLOOKUP($B$1&amp;" - "&amp;$D31,'Default Parameter'!$A$8:$M$25,4,FALSE)</f>
        <v>0.84388185654008396</v>
      </c>
      <c r="Q31" s="138">
        <f>+VLOOKUP($B$1&amp;" - "&amp;$D31,'Default Parameter'!$A$8:$M$25,3,FALSE)</f>
        <v>43</v>
      </c>
      <c r="R31" s="131" t="s">
        <v>52</v>
      </c>
      <c r="S31" s="114"/>
      <c r="T31" s="130">
        <f>+VLOOKUP($F31,'(Edited)Spec. Fuel Consumption '!$A$4:$J$163,9,FALSE)</f>
        <v>33.296768532153472</v>
      </c>
      <c r="U31" s="130" t="str">
        <f>+VLOOKUP($F31,'(Edited)Spec. Fuel Consumption '!$A$4:$J$163,10,FALSE)</f>
        <v>Infras,2018</v>
      </c>
      <c r="V31" s="399">
        <f>+VLOOKUP($B$1&amp;" - "&amp;$D31,'Default Parameter'!$A$8:$M$25,5,FALSE)</f>
        <v>74100</v>
      </c>
      <c r="W31" s="135" t="s">
        <v>52</v>
      </c>
      <c r="X31" s="138">
        <f>+VLOOKUP($B$1&amp;" - "&amp;$D31,'Default Parameter'!$A$8:$M$25,8,FALSE)</f>
        <v>3.9</v>
      </c>
      <c r="Y31" s="265" t="str">
        <f>+"IPCC 2006 - "&amp;+VLOOKUP($B$1&amp;" - "&amp;$D31,'Default Parameter'!$A$8:$M$25,2,FALSE)</f>
        <v>IPCC 2006 - Gas/ Diesel Oil</v>
      </c>
      <c r="Z31" s="135">
        <f>+VLOOKUP($B$1&amp;" - "&amp;$D31,'Default Parameter'!$A$8:$M$25,11,FALSE)</f>
        <v>3.9</v>
      </c>
      <c r="AA31" s="131" t="str">
        <f>+"IPCC 2006 - "&amp;+VLOOKUP($B$1&amp;" - "&amp;$D31,'Default Parameter'!$A$8:$M$25,2,FALSE)</f>
        <v>IPCC 2006 - Gas/ Diesel Oil</v>
      </c>
      <c r="AB31" s="132"/>
      <c r="AC31" s="133">
        <f t="shared" si="20"/>
        <v>320.94719719933255</v>
      </c>
      <c r="AD31" s="134">
        <f t="shared" si="21"/>
        <v>270.84151662390917</v>
      </c>
      <c r="AE31" s="134">
        <f t="shared" si="22"/>
        <v>13800.729479571299</v>
      </c>
      <c r="AF31" s="260">
        <f t="shared" si="23"/>
        <v>862.98232441876178</v>
      </c>
      <c r="AG31" s="260">
        <f t="shared" si="24"/>
        <v>4.542012233782957E-2</v>
      </c>
      <c r="AH31" s="261">
        <f t="shared" si="25"/>
        <v>4.542012233782957E-2</v>
      </c>
      <c r="AI31" s="114"/>
      <c r="AJ31" s="283"/>
      <c r="AK31" s="135"/>
      <c r="AL31" s="135"/>
      <c r="AM31" s="263">
        <f t="shared" si="26"/>
        <v>0</v>
      </c>
      <c r="AN31" s="127">
        <f t="shared" si="26"/>
        <v>0</v>
      </c>
    </row>
    <row r="32" spans="1:40" s="10" customFormat="1" outlineLevel="1">
      <c r="A32" s="136" t="s">
        <v>328</v>
      </c>
      <c r="B32" s="124" t="s">
        <v>207</v>
      </c>
      <c r="C32" s="124" t="s">
        <v>410</v>
      </c>
      <c r="D32" s="145" t="s">
        <v>53</v>
      </c>
      <c r="E32" s="404" t="s">
        <v>54</v>
      </c>
      <c r="F32" s="137" t="s">
        <v>461</v>
      </c>
      <c r="G32" s="114"/>
      <c r="H32" s="254">
        <v>245.54576752006824</v>
      </c>
      <c r="I32" s="125" t="s">
        <v>430</v>
      </c>
      <c r="J32" s="259">
        <v>63205.000019242638</v>
      </c>
      <c r="K32" s="125" t="s">
        <v>398</v>
      </c>
      <c r="L32" s="127">
        <f t="shared" si="19"/>
        <v>15.519720240830861</v>
      </c>
      <c r="M32" s="134" t="s">
        <v>47</v>
      </c>
      <c r="N32" s="114"/>
      <c r="O32" s="129" t="s">
        <v>47</v>
      </c>
      <c r="P32" s="130">
        <f>+VLOOKUP($B$1&amp;" - "&amp;$D32,'Default Parameter'!$A$8:$M$25,4,FALSE)</f>
        <v>0.84388185654008396</v>
      </c>
      <c r="Q32" s="138">
        <f>+VLOOKUP($B$1&amp;" - "&amp;$D32,'Default Parameter'!$A$8:$M$25,3,FALSE)</f>
        <v>43</v>
      </c>
      <c r="R32" s="131" t="s">
        <v>52</v>
      </c>
      <c r="S32" s="114"/>
      <c r="T32" s="130">
        <f>+VLOOKUP($F32,'(Edited)Spec. Fuel Consumption '!$A$4:$J$163,9,FALSE)</f>
        <v>35.328671498464004</v>
      </c>
      <c r="U32" s="130" t="str">
        <f>+VLOOKUP($F32,'(Edited)Spec. Fuel Consumption '!$A$4:$J$163,10,FALSE)</f>
        <v>Infras,2018</v>
      </c>
      <c r="V32" s="399">
        <f>+VLOOKUP($B$1&amp;" - "&amp;$D32,'Default Parameter'!$A$8:$M$25,5,FALSE)</f>
        <v>74100</v>
      </c>
      <c r="W32" s="135" t="s">
        <v>52</v>
      </c>
      <c r="X32" s="138">
        <f>+VLOOKUP($B$1&amp;" - "&amp;$D32,'Default Parameter'!$A$8:$M$25,8,FALSE)</f>
        <v>3.9</v>
      </c>
      <c r="Y32" s="265" t="str">
        <f>+"IPCC 2006 - "&amp;+VLOOKUP($B$1&amp;" - "&amp;$D32,'Default Parameter'!$A$8:$M$25,2,FALSE)</f>
        <v>IPCC 2006 - Gas/ Diesel Oil</v>
      </c>
      <c r="Z32" s="135">
        <f>+VLOOKUP($B$1&amp;" - "&amp;$D32,'Default Parameter'!$A$8:$M$25,11,FALSE)</f>
        <v>3.9</v>
      </c>
      <c r="AA32" s="131" t="str">
        <f>+"IPCC 2006 - "&amp;+VLOOKUP($B$1&amp;" - "&amp;$D32,'Default Parameter'!$A$8:$M$25,2,FALSE)</f>
        <v>IPCC 2006 - Gas/ Diesel Oil</v>
      </c>
      <c r="AB32" s="132"/>
      <c r="AC32" s="133">
        <f t="shared" si="20"/>
        <v>5.4829109813637613</v>
      </c>
      <c r="AD32" s="134">
        <f t="shared" si="21"/>
        <v>4.6269290981972642</v>
      </c>
      <c r="AE32" s="134">
        <f t="shared" si="22"/>
        <v>235.76517219864175</v>
      </c>
      <c r="AF32" s="260">
        <f t="shared" si="23"/>
        <v>14.742784185585943</v>
      </c>
      <c r="AG32" s="260">
        <f t="shared" si="24"/>
        <v>7.759360097676812E-4</v>
      </c>
      <c r="AH32" s="261">
        <f t="shared" si="25"/>
        <v>7.759360097676812E-4</v>
      </c>
      <c r="AI32" s="114"/>
      <c r="AJ32" s="283"/>
      <c r="AK32" s="135"/>
      <c r="AL32" s="135"/>
      <c r="AM32" s="263">
        <f t="shared" si="26"/>
        <v>0</v>
      </c>
      <c r="AN32" s="127">
        <f t="shared" si="26"/>
        <v>0</v>
      </c>
    </row>
    <row r="33" spans="1:40" s="10" customFormat="1" outlineLevel="1">
      <c r="A33" s="136" t="s">
        <v>328</v>
      </c>
      <c r="B33" s="124" t="s">
        <v>207</v>
      </c>
      <c r="C33" s="124" t="s">
        <v>411</v>
      </c>
      <c r="D33" s="145" t="s">
        <v>53</v>
      </c>
      <c r="E33" s="404" t="s">
        <v>54</v>
      </c>
      <c r="F33" s="137" t="s">
        <v>460</v>
      </c>
      <c r="G33" s="114"/>
      <c r="H33" s="254">
        <v>15644.294440352</v>
      </c>
      <c r="I33" s="125" t="s">
        <v>398</v>
      </c>
      <c r="J33" s="259">
        <v>64619.68726522303</v>
      </c>
      <c r="K33" s="125" t="s">
        <v>398</v>
      </c>
      <c r="L33" s="127">
        <f t="shared" si="19"/>
        <v>1010.9294142206136</v>
      </c>
      <c r="M33" s="134"/>
      <c r="N33" s="114"/>
      <c r="O33" s="129"/>
      <c r="P33" s="130">
        <f>+VLOOKUP($B$1&amp;" - "&amp;$D33,'Default Parameter'!$A$8:$M$25,4,FALSE)</f>
        <v>0.84388185654008396</v>
      </c>
      <c r="Q33" s="138">
        <f>+VLOOKUP($B$1&amp;" - "&amp;$D33,'Default Parameter'!$A$8:$M$25,3,FALSE)</f>
        <v>43</v>
      </c>
      <c r="R33" s="131" t="s">
        <v>52</v>
      </c>
      <c r="S33" s="114"/>
      <c r="T33" s="130">
        <f>+VLOOKUP($F33,'(Edited)Spec. Fuel Consumption '!$A$4:$J$163,9,FALSE)</f>
        <v>41.04115290356016</v>
      </c>
      <c r="U33" s="130" t="str">
        <f>+VLOOKUP($F33,'(Edited)Spec. Fuel Consumption '!$A$4:$J$163,10,FALSE)</f>
        <v>Infras,2018</v>
      </c>
      <c r="V33" s="399">
        <f>+VLOOKUP($B$1&amp;" - "&amp;$D33,'Default Parameter'!$A$8:$M$25,5,FALSE)</f>
        <v>74100</v>
      </c>
      <c r="W33" s="135" t="s">
        <v>52</v>
      </c>
      <c r="X33" s="138">
        <f>+VLOOKUP($B$1&amp;" - "&amp;$D33,'Default Parameter'!$A$8:$M$25,8,FALSE)</f>
        <v>3.9</v>
      </c>
      <c r="Y33" s="265" t="str">
        <f>+"IPCC 2006 - "&amp;+VLOOKUP($B$1&amp;" - "&amp;$D33,'Default Parameter'!$A$8:$M$25,2,FALSE)</f>
        <v>IPCC 2006 - Gas/ Diesel Oil</v>
      </c>
      <c r="Z33" s="135">
        <f>+VLOOKUP($B$1&amp;" - "&amp;$D33,'Default Parameter'!$A$8:$M$25,11,FALSE)</f>
        <v>3.9</v>
      </c>
      <c r="AA33" s="131" t="str">
        <f>+"IPCC 2006 - "&amp;+VLOOKUP($B$1&amp;" - "&amp;$D33,'Default Parameter'!$A$8:$M$25,2,FALSE)</f>
        <v>IPCC 2006 - Gas/ Diesel Oil</v>
      </c>
      <c r="AB33" s="132"/>
      <c r="AC33" s="133">
        <f t="shared" si="20"/>
        <v>414.89708663734712</v>
      </c>
      <c r="AD33" s="134">
        <f t="shared" si="21"/>
        <v>350.12412374459655</v>
      </c>
      <c r="AE33" s="134">
        <f t="shared" si="22"/>
        <v>17840.574725405924</v>
      </c>
      <c r="AF33" s="260">
        <f t="shared" si="23"/>
        <v>1115.6004954874079</v>
      </c>
      <c r="AG33" s="260">
        <f t="shared" si="24"/>
        <v>5.8715815551968836E-2</v>
      </c>
      <c r="AH33" s="261">
        <f t="shared" si="25"/>
        <v>5.8715815551968836E-2</v>
      </c>
      <c r="AI33" s="114"/>
      <c r="AJ33" s="283"/>
      <c r="AK33" s="135"/>
      <c r="AL33" s="135"/>
      <c r="AM33" s="263">
        <f>+$L33*AJ33</f>
        <v>0</v>
      </c>
      <c r="AN33" s="127">
        <f>+$L33*AK33</f>
        <v>0</v>
      </c>
    </row>
    <row r="34" spans="1:40" s="9" customFormat="1">
      <c r="A34" s="274" t="s">
        <v>90</v>
      </c>
      <c r="B34" s="113" t="s">
        <v>46</v>
      </c>
      <c r="C34" s="113" t="s">
        <v>46</v>
      </c>
      <c r="D34" s="113" t="s">
        <v>46</v>
      </c>
      <c r="E34" s="275" t="s">
        <v>46</v>
      </c>
      <c r="F34" s="403"/>
      <c r="G34" s="114"/>
      <c r="H34" s="256">
        <f>+SUM(H35:H37)</f>
        <v>539767.9995584162</v>
      </c>
      <c r="I34" s="113"/>
      <c r="J34" s="428">
        <f>+L34/H34*10^6</f>
        <v>17807.000000872667</v>
      </c>
      <c r="K34" s="113"/>
      <c r="L34" s="142">
        <f>+SUM(L35:L37)</f>
        <v>9611.6487686077544</v>
      </c>
      <c r="M34" s="148" t="s">
        <v>47</v>
      </c>
      <c r="N34" s="114"/>
      <c r="O34" s="119" t="s">
        <v>47</v>
      </c>
      <c r="P34" s="274"/>
      <c r="Q34" s="113"/>
      <c r="R34" s="275"/>
      <c r="S34" s="114"/>
      <c r="T34" s="274"/>
      <c r="U34" s="113"/>
      <c r="V34" s="400"/>
      <c r="W34" s="113"/>
      <c r="X34" s="113"/>
      <c r="Y34" s="266"/>
      <c r="Z34" s="113"/>
      <c r="AA34" s="275"/>
      <c r="AB34" s="123"/>
      <c r="AC34" s="274"/>
      <c r="AD34" s="113"/>
      <c r="AE34" s="113"/>
      <c r="AF34" s="262"/>
      <c r="AG34" s="262"/>
      <c r="AH34" s="278"/>
      <c r="AI34" s="114"/>
      <c r="AJ34" s="282"/>
      <c r="AK34" s="113"/>
      <c r="AL34" s="113"/>
      <c r="AM34" s="262"/>
      <c r="AN34" s="275"/>
    </row>
    <row r="35" spans="1:40" s="10" customFormat="1" outlineLevel="1">
      <c r="A35" s="136" t="s">
        <v>329</v>
      </c>
      <c r="B35" s="124" t="s">
        <v>363</v>
      </c>
      <c r="C35" s="124" t="s">
        <v>92</v>
      </c>
      <c r="D35" s="145" t="s">
        <v>91</v>
      </c>
      <c r="E35" s="404" t="s">
        <v>54</v>
      </c>
      <c r="F35" s="137" t="s">
        <v>93</v>
      </c>
      <c r="G35" s="114"/>
      <c r="H35" s="254">
        <v>343655.07974701602</v>
      </c>
      <c r="I35" s="125" t="s">
        <v>398</v>
      </c>
      <c r="J35" s="259">
        <v>17807.000000872664</v>
      </c>
      <c r="K35" s="125" t="s">
        <v>398</v>
      </c>
      <c r="L35" s="127">
        <f>H35*J35/1000000</f>
        <v>6119.4660053550097</v>
      </c>
      <c r="M35" s="134" t="s">
        <v>47</v>
      </c>
      <c r="N35" s="114"/>
      <c r="O35" s="129" t="s">
        <v>47</v>
      </c>
      <c r="P35" s="130">
        <f>+VLOOKUP($B$1&amp;" - "&amp;$D35,'Default Parameter'!$A$8:$M$25,4,FALSE)</f>
        <v>0.7407407407407407</v>
      </c>
      <c r="Q35" s="138">
        <f>+VLOOKUP($B$1&amp;" - "&amp;$D35,'Default Parameter'!$A$8:$M$25,3,FALSE)</f>
        <v>44.3</v>
      </c>
      <c r="R35" s="131" t="s">
        <v>52</v>
      </c>
      <c r="S35" s="114"/>
      <c r="T35" s="130">
        <f>+VLOOKUP($F35,'(Edited)Spec. Fuel Consumption '!$A$4:$J$163,9,FALSE)</f>
        <v>3.2234487182264586</v>
      </c>
      <c r="U35" s="130" t="str">
        <f>+VLOOKUP($F35,'(Edited)Spec. Fuel Consumption '!$A$4:$J$163,10,FALSE)</f>
        <v>Infras,2018</v>
      </c>
      <c r="V35" s="399">
        <f>+VLOOKUP($B$1&amp;" - "&amp;$D35,'Default Parameter'!$A$8:$M$25,5,FALSE)</f>
        <v>69300</v>
      </c>
      <c r="W35" s="135" t="s">
        <v>52</v>
      </c>
      <c r="X35" s="138">
        <f>+VLOOKUP($B$1&amp;" - "&amp;$D35,'Default Parameter'!$A$8:$M$25,8,FALSE)</f>
        <v>33</v>
      </c>
      <c r="Y35" s="265" t="str">
        <f>+"IPCC 2006 - "&amp;+VLOOKUP($B$1&amp;" - "&amp;$D35,'Default Parameter'!$A$8:$M$25,2,FALSE)</f>
        <v>IPCC 2006 - Motor Gasoline- uncontrolled</v>
      </c>
      <c r="Z35" s="135">
        <f>+VLOOKUP($B$1&amp;" - "&amp;$D35,'Default Parameter'!$A$8:$M$25,11,FALSE)</f>
        <v>3.2</v>
      </c>
      <c r="AA35" s="131" t="str">
        <f>+"IPCC 2006 - "&amp;+VLOOKUP($B$1&amp;" - "&amp;$D35,'Default Parameter'!$A$8:$M$25,2,FALSE)</f>
        <v>IPCC 2006 - Motor Gasoline- uncontrolled</v>
      </c>
      <c r="AB35" s="132"/>
      <c r="AC35" s="133">
        <f>IFERROR(L35*T35/10^2,0)</f>
        <v>197.25784851191992</v>
      </c>
      <c r="AD35" s="134">
        <f>+AC35*P35</f>
        <v>146.11692482364438</v>
      </c>
      <c r="AE35" s="134">
        <f>+AC35*Q35</f>
        <v>8738.5226890780523</v>
      </c>
      <c r="AF35" s="260">
        <f>+$AD35*$Q35*V35/10^6</f>
        <v>448.57749803933996</v>
      </c>
      <c r="AG35" s="260">
        <f>+$AE35*X35/10^6</f>
        <v>0.28837124873957576</v>
      </c>
      <c r="AH35" s="261">
        <f>+$AE35*Z35/10^6</f>
        <v>2.7963272605049768E-2</v>
      </c>
      <c r="AI35" s="114"/>
      <c r="AJ35" s="264"/>
      <c r="AK35" s="146"/>
      <c r="AL35" s="135"/>
      <c r="AM35" s="260">
        <f t="shared" ref="AM35:AN38" si="28">+$L35*AJ35</f>
        <v>0</v>
      </c>
      <c r="AN35" s="149">
        <f t="shared" si="28"/>
        <v>0</v>
      </c>
    </row>
    <row r="36" spans="1:40" s="10" customFormat="1" outlineLevel="1">
      <c r="A36" s="136" t="s">
        <v>329</v>
      </c>
      <c r="B36" s="124" t="s">
        <v>363</v>
      </c>
      <c r="C36" s="124" t="s">
        <v>94</v>
      </c>
      <c r="D36" s="145" t="s">
        <v>91</v>
      </c>
      <c r="E36" s="404" t="s">
        <v>54</v>
      </c>
      <c r="F36" s="137" t="s">
        <v>95</v>
      </c>
      <c r="G36" s="114"/>
      <c r="H36" s="257">
        <v>187625.388333957</v>
      </c>
      <c r="I36" s="125" t="s">
        <v>398</v>
      </c>
      <c r="J36" s="259">
        <v>17807.000000872664</v>
      </c>
      <c r="K36" s="125" t="s">
        <v>398</v>
      </c>
      <c r="L36" s="127">
        <f>H36*J36/1000000</f>
        <v>3341.045290226506</v>
      </c>
      <c r="M36" s="134" t="s">
        <v>47</v>
      </c>
      <c r="N36" s="114"/>
      <c r="O36" s="129" t="s">
        <v>47</v>
      </c>
      <c r="P36" s="130">
        <f>+VLOOKUP($B$1&amp;" - "&amp;$D36,'Default Parameter'!$A$8:$M$25,4,FALSE)</f>
        <v>0.7407407407407407</v>
      </c>
      <c r="Q36" s="138">
        <f>+VLOOKUP($B$1&amp;" - "&amp;$D36,'Default Parameter'!$A$8:$M$25,3,FALSE)</f>
        <v>44.3</v>
      </c>
      <c r="R36" s="131" t="s">
        <v>52</v>
      </c>
      <c r="S36" s="114"/>
      <c r="T36" s="130">
        <f>+VLOOKUP($F36,'(Edited)Spec. Fuel Consumption '!$A$4:$J$163,9,FALSE)</f>
        <v>4.7985389408111425</v>
      </c>
      <c r="U36" s="130" t="str">
        <f>+VLOOKUP($F36,'(Edited)Spec. Fuel Consumption '!$A$4:$J$163,10,FALSE)</f>
        <v>Infras,2018</v>
      </c>
      <c r="V36" s="399">
        <f>+VLOOKUP($B$1&amp;" - "&amp;$D36,'Default Parameter'!$A$8:$M$25,5,FALSE)</f>
        <v>69300</v>
      </c>
      <c r="W36" s="135" t="s">
        <v>52</v>
      </c>
      <c r="X36" s="138">
        <f>+VLOOKUP($B$1&amp;" - "&amp;$D36,'Default Parameter'!$A$8:$M$25,8,FALSE)</f>
        <v>33</v>
      </c>
      <c r="Y36" s="265" t="str">
        <f>+"IPCC 2006 - "&amp;+VLOOKUP($B$1&amp;" - "&amp;$D36,'Default Parameter'!$A$8:$M$25,2,FALSE)</f>
        <v>IPCC 2006 - Motor Gasoline- uncontrolled</v>
      </c>
      <c r="Z36" s="135">
        <f>+VLOOKUP($B$1&amp;" - "&amp;$D36,'Default Parameter'!$A$8:$M$25,11,FALSE)</f>
        <v>3.2</v>
      </c>
      <c r="AA36" s="131" t="str">
        <f>+"IPCC 2006 - "&amp;+VLOOKUP($B$1&amp;" - "&amp;$D36,'Default Parameter'!$A$8:$M$25,2,FALSE)</f>
        <v>IPCC 2006 - Motor Gasoline- uncontrolled</v>
      </c>
      <c r="AB36" s="132"/>
      <c r="AC36" s="133">
        <f>IFERROR(L36*T36/10^2,0)</f>
        <v>160.32135928165556</v>
      </c>
      <c r="AD36" s="134">
        <f>+AC36*P36</f>
        <v>118.75656243085596</v>
      </c>
      <c r="AE36" s="134">
        <f>+AC36*Q36</f>
        <v>7102.2362161773408</v>
      </c>
      <c r="AF36" s="260">
        <f>+$AD36*$Q36*V36/10^6</f>
        <v>364.5814590971035</v>
      </c>
      <c r="AG36" s="260">
        <f>+$AE36*X36/10^6</f>
        <v>0.23437379513385226</v>
      </c>
      <c r="AH36" s="261">
        <f>+$AE36*Z36/10^6</f>
        <v>2.2727155891767492E-2</v>
      </c>
      <c r="AI36" s="114"/>
      <c r="AJ36" s="264"/>
      <c r="AK36" s="146"/>
      <c r="AL36" s="135"/>
      <c r="AM36" s="260">
        <f t="shared" si="28"/>
        <v>0</v>
      </c>
      <c r="AN36" s="149">
        <f t="shared" si="28"/>
        <v>0</v>
      </c>
    </row>
    <row r="37" spans="1:40" s="10" customFormat="1" outlineLevel="1">
      <c r="A37" s="136" t="s">
        <v>329</v>
      </c>
      <c r="B37" s="124" t="s">
        <v>363</v>
      </c>
      <c r="C37" s="124" t="s">
        <v>96</v>
      </c>
      <c r="D37" s="145" t="s">
        <v>91</v>
      </c>
      <c r="E37" s="404" t="s">
        <v>54</v>
      </c>
      <c r="F37" s="137" t="s">
        <v>97</v>
      </c>
      <c r="G37" s="114"/>
      <c r="H37" s="257">
        <v>8487.5314774431608</v>
      </c>
      <c r="I37" s="125" t="s">
        <v>398</v>
      </c>
      <c r="J37" s="259">
        <v>17807.000000872664</v>
      </c>
      <c r="K37" s="125" t="s">
        <v>398</v>
      </c>
      <c r="L37" s="127">
        <f>H37*J37/1000000</f>
        <v>151.13747302623713</v>
      </c>
      <c r="M37" s="134" t="s">
        <v>47</v>
      </c>
      <c r="N37" s="114"/>
      <c r="O37" s="129" t="s">
        <v>47</v>
      </c>
      <c r="P37" s="130">
        <f>+VLOOKUP($B$1&amp;" - "&amp;$D37,'Default Parameter'!$A$8:$M$25,4,FALSE)</f>
        <v>0.7407407407407407</v>
      </c>
      <c r="Q37" s="138">
        <f>+VLOOKUP($B$1&amp;" - "&amp;$D37,'Default Parameter'!$A$8:$M$25,3,FALSE)</f>
        <v>44.3</v>
      </c>
      <c r="R37" s="131" t="s">
        <v>52</v>
      </c>
      <c r="S37" s="114"/>
      <c r="T37" s="130">
        <f>+VLOOKUP($F37,'(Edited)Spec. Fuel Consumption '!$A$4:$J$163,9,FALSE)</f>
        <v>4.7985389408111425</v>
      </c>
      <c r="U37" s="130" t="str">
        <f>+VLOOKUP($F37,'(Edited)Spec. Fuel Consumption '!$A$4:$J$163,10,FALSE)</f>
        <v>Infras,2018</v>
      </c>
      <c r="V37" s="399">
        <f>+VLOOKUP($B$1&amp;" - "&amp;$D37,'Default Parameter'!$A$8:$M$25,5,FALSE)</f>
        <v>69300</v>
      </c>
      <c r="W37" s="135" t="s">
        <v>52</v>
      </c>
      <c r="X37" s="138">
        <f>+VLOOKUP($B$1&amp;" - "&amp;$D37,'Default Parameter'!$A$8:$M$25,8,FALSE)</f>
        <v>33</v>
      </c>
      <c r="Y37" s="265" t="str">
        <f>+"IPCC 2006 - "&amp;+VLOOKUP($B$1&amp;" - "&amp;$D37,'Default Parameter'!$A$8:$M$25,2,FALSE)</f>
        <v>IPCC 2006 - Motor Gasoline- uncontrolled</v>
      </c>
      <c r="Z37" s="135">
        <f>+VLOOKUP($B$1&amp;" - "&amp;$D37,'Default Parameter'!$A$8:$M$25,11,FALSE)</f>
        <v>3.2</v>
      </c>
      <c r="AA37" s="131" t="str">
        <f>+"IPCC 2006 - "&amp;+VLOOKUP($B$1&amp;" - "&amp;$D37,'Default Parameter'!$A$8:$M$25,2,FALSE)</f>
        <v>IPCC 2006 - Motor Gasoline- uncontrolled</v>
      </c>
      <c r="AB37" s="132"/>
      <c r="AC37" s="133">
        <f>IFERROR(L37*T37/10^2,0)</f>
        <v>7.252390497321926</v>
      </c>
      <c r="AD37" s="134">
        <f>+AC37*P37</f>
        <v>5.3721411091273525</v>
      </c>
      <c r="AE37" s="134">
        <f>+AC37*Q37</f>
        <v>321.28089903136129</v>
      </c>
      <c r="AF37" s="260">
        <f>+$AD37*$Q37*V37/10^6</f>
        <v>16.492419483609883</v>
      </c>
      <c r="AG37" s="260">
        <f>+$AE37*X37/10^6</f>
        <v>1.0602269668034922E-2</v>
      </c>
      <c r="AH37" s="261">
        <f>+$AE37*Z37/10^6</f>
        <v>1.0280988769003562E-3</v>
      </c>
      <c r="AI37" s="114"/>
      <c r="AJ37" s="264"/>
      <c r="AK37" s="146"/>
      <c r="AL37" s="135"/>
      <c r="AM37" s="260">
        <f t="shared" si="28"/>
        <v>0</v>
      </c>
      <c r="AN37" s="149">
        <f t="shared" si="28"/>
        <v>0</v>
      </c>
    </row>
    <row r="38" spans="1:40">
      <c r="L38" s="560">
        <f>L34+L25+L23+L16+L9</f>
        <v>29096.451896774022</v>
      </c>
      <c r="AJ38" s="1"/>
      <c r="AK38" s="1"/>
      <c r="AL38" s="1"/>
      <c r="AM38" s="3">
        <f t="shared" si="28"/>
        <v>0</v>
      </c>
      <c r="AN38" s="1">
        <f t="shared" si="28"/>
        <v>0</v>
      </c>
    </row>
    <row r="39" spans="1:40">
      <c r="A39" s="11"/>
      <c r="AJ39" s="1"/>
      <c r="AK39" s="1"/>
      <c r="AL39" s="1"/>
      <c r="AN39" s="1"/>
    </row>
    <row r="40" spans="1:40">
      <c r="A40" s="11"/>
    </row>
    <row r="41" spans="1:40">
      <c r="A41" s="11"/>
      <c r="B41" s="11" t="s">
        <v>558</v>
      </c>
      <c r="C41" s="11" t="s">
        <v>559</v>
      </c>
      <c r="D41" s="1" t="s">
        <v>566</v>
      </c>
      <c r="E41" s="1" t="s">
        <v>568</v>
      </c>
      <c r="F41" s="1" t="s">
        <v>214</v>
      </c>
      <c r="AD41" s="447"/>
    </row>
    <row r="42" spans="1:40">
      <c r="A42" s="11" t="s">
        <v>556</v>
      </c>
      <c r="B42" s="650">
        <f>L9</f>
        <v>11831.6153266112</v>
      </c>
      <c r="C42" s="11">
        <v>1.6</v>
      </c>
      <c r="D42" s="1">
        <f>B42*C42</f>
        <v>18930.584522577919</v>
      </c>
      <c r="E42" s="1">
        <f>D42/D$47*E$49</f>
        <v>9902.2555391915357</v>
      </c>
      <c r="F42" s="1">
        <f>E42/E$47</f>
        <v>0.18866802921997225</v>
      </c>
      <c r="S42" s="1"/>
      <c r="U42" s="1"/>
    </row>
    <row r="43" spans="1:40">
      <c r="A43" s="11" t="s">
        <v>557</v>
      </c>
      <c r="B43" s="650">
        <f>L34</f>
        <v>9611.6487686077544</v>
      </c>
      <c r="C43" s="11">
        <v>1.5</v>
      </c>
      <c r="D43" s="1">
        <f>B43*C43</f>
        <v>14417.473152911632</v>
      </c>
      <c r="E43" s="1">
        <f t="shared" ref="E43:E47" si="29">D43/D$47*E$49</f>
        <v>7541.5264235128343</v>
      </c>
      <c r="F43" s="1">
        <f t="shared" ref="F43:F47" si="30">E43/E$47</f>
        <v>0.14368897288129162</v>
      </c>
      <c r="S43" s="1"/>
      <c r="U43" s="1"/>
    </row>
    <row r="44" spans="1:40">
      <c r="A44" s="11" t="s">
        <v>565</v>
      </c>
      <c r="B44" s="650">
        <f>L23</f>
        <v>439.94641492285933</v>
      </c>
      <c r="C44" s="11">
        <f>0.6*44</f>
        <v>26.4</v>
      </c>
      <c r="D44" s="1">
        <f>B44*C44</f>
        <v>11614.585353963486</v>
      </c>
      <c r="E44" s="1">
        <f t="shared" si="29"/>
        <v>6075.3851535608037</v>
      </c>
      <c r="F44" s="1">
        <f t="shared" si="30"/>
        <v>0.11575453078725322</v>
      </c>
      <c r="S44" s="1"/>
      <c r="U44" s="1"/>
    </row>
    <row r="45" spans="1:40">
      <c r="A45" s="11" t="s">
        <v>563</v>
      </c>
      <c r="B45" s="650">
        <f>L17+L19+L18+L20</f>
        <v>2020.4151789999999</v>
      </c>
      <c r="C45" s="11">
        <f>0.7*14</f>
        <v>9.7999999999999989</v>
      </c>
      <c r="D45" s="1">
        <f t="shared" ref="D43:D46" si="31">B45*C45</f>
        <v>19800.068754199998</v>
      </c>
      <c r="E45" s="1">
        <f t="shared" si="29"/>
        <v>10357.067435704859</v>
      </c>
      <c r="F45" s="1">
        <f t="shared" si="30"/>
        <v>0.19733357656333766</v>
      </c>
      <c r="S45" s="1"/>
      <c r="U45" s="1"/>
    </row>
    <row r="46" spans="1:40">
      <c r="A46" s="11" t="s">
        <v>564</v>
      </c>
      <c r="B46" s="650">
        <f>L21+L22</f>
        <v>1540.0584760000002</v>
      </c>
      <c r="C46" s="11">
        <f>0.7*33</f>
        <v>23.099999999999998</v>
      </c>
      <c r="D46" s="1">
        <f t="shared" si="31"/>
        <v>35575.350795600003</v>
      </c>
      <c r="E46" s="1">
        <f t="shared" si="29"/>
        <v>18608.83978802996</v>
      </c>
      <c r="F46" s="1">
        <f t="shared" si="30"/>
        <v>0.3545548905481451</v>
      </c>
      <c r="S46" s="1"/>
      <c r="U46" s="1"/>
    </row>
    <row r="47" spans="1:40">
      <c r="A47" s="11"/>
      <c r="B47" s="650">
        <f>SUM(B42:B46)</f>
        <v>25443.684165141814</v>
      </c>
      <c r="D47" s="1">
        <f>SUM(D42:D46)</f>
        <v>100338.06257925305</v>
      </c>
      <c r="E47" s="1">
        <f>D47/D$47*E$49</f>
        <v>52485.074339999999</v>
      </c>
      <c r="F47" s="1">
        <f>E47/E$47</f>
        <v>1</v>
      </c>
      <c r="S47" s="1"/>
      <c r="U47" s="1"/>
    </row>
    <row r="48" spans="1:40">
      <c r="A48" s="11"/>
      <c r="S48" s="1"/>
      <c r="U48" s="1"/>
    </row>
    <row r="49" spans="1:21" ht="28.5">
      <c r="A49" s="11" t="s">
        <v>560</v>
      </c>
      <c r="B49" s="11">
        <v>104242</v>
      </c>
      <c r="D49" s="651" t="s">
        <v>567</v>
      </c>
      <c r="E49" s="1">
        <v>52485.074339999999</v>
      </c>
      <c r="S49" s="1"/>
      <c r="U49" s="1"/>
    </row>
    <row r="50" spans="1:21">
      <c r="A50" s="11" t="s">
        <v>561</v>
      </c>
      <c r="B50" s="11">
        <v>50000</v>
      </c>
      <c r="S50" s="1"/>
      <c r="U50" s="1"/>
    </row>
    <row r="51" spans="1:21">
      <c r="A51" s="11" t="s">
        <v>562</v>
      </c>
      <c r="B51" s="11">
        <v>10041</v>
      </c>
      <c r="S51" s="1"/>
      <c r="U51" s="1"/>
    </row>
    <row r="52" spans="1:21">
      <c r="A52" s="1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K70" s="5"/>
      <c r="S70" s="1"/>
      <c r="U70" s="1"/>
    </row>
    <row r="71" spans="11:21">
      <c r="S71" s="1"/>
      <c r="U71" s="1"/>
    </row>
    <row r="72" spans="11:21">
      <c r="S72" s="1"/>
      <c r="U72" s="1"/>
    </row>
    <row r="73" spans="11:21">
      <c r="S73" s="1"/>
      <c r="U73" s="1"/>
    </row>
    <row r="74" spans="11:21">
      <c r="S74" s="1"/>
      <c r="U74"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 ref="A4:B4"/>
    <mergeCell ref="AC7:AE7"/>
    <mergeCell ref="T7:U7"/>
    <mergeCell ref="X7:Y7"/>
    <mergeCell ref="Z7:AA7"/>
    <mergeCell ref="H6:L6"/>
    <mergeCell ref="P6:R6"/>
    <mergeCell ref="T6:AA6"/>
    <mergeCell ref="B7:B8"/>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defaultColWidth="11.3984375" defaultRowHeight="14.25" outlineLevelCol="1"/>
  <cols>
    <col min="1" max="1" width="28.265625" style="340" customWidth="1"/>
    <col min="2" max="2" width="27.73046875" style="340" customWidth="1"/>
    <col min="3" max="3" width="12.73046875" style="340" customWidth="1"/>
    <col min="4" max="4" width="2.73046875" style="340" customWidth="1"/>
    <col min="5" max="5" width="17" style="340" customWidth="1"/>
    <col min="6" max="6" width="16.3984375" style="340" customWidth="1"/>
    <col min="7" max="7" width="2.265625" style="340" customWidth="1"/>
    <col min="8" max="8" width="11.86328125" style="340" customWidth="1"/>
    <col min="9" max="9" width="11.73046875" style="340" customWidth="1"/>
    <col min="10" max="10" width="2.73046875" style="340" customWidth="1"/>
    <col min="11" max="11" width="9.3984375" style="340" bestFit="1" customWidth="1"/>
    <col min="12" max="12" width="7.3984375" style="340" customWidth="1"/>
    <col min="13" max="13" width="7.86328125" style="340" bestFit="1" customWidth="1"/>
    <col min="14" max="18" width="11.3984375" style="340"/>
    <col min="19" max="19" width="12.86328125" style="340" customWidth="1"/>
    <col min="20" max="20" width="3.73046875" style="340" customWidth="1"/>
    <col min="21" max="23" width="12.73046875" style="340" customWidth="1"/>
    <col min="24" max="24" width="2.73046875" style="340" customWidth="1"/>
    <col min="25" max="26" width="13.3984375" style="340" customWidth="1" outlineLevel="1"/>
    <col min="27" max="27" width="14.3984375" style="340" customWidth="1" outlineLevel="1"/>
    <col min="28" max="16384" width="11.398437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72" t="s">
        <v>350</v>
      </c>
      <c r="B4" s="573"/>
    </row>
    <row r="5" spans="1:28" ht="39.75" customHeight="1" thickBot="1">
      <c r="A5" s="603"/>
      <c r="B5" s="603"/>
      <c r="C5" s="603"/>
      <c r="AA5" s="335"/>
    </row>
    <row r="6" spans="1:28" ht="19.899999999999999" thickBot="1">
      <c r="A6" s="598" t="s">
        <v>218</v>
      </c>
      <c r="B6" s="599"/>
      <c r="C6" s="600"/>
      <c r="D6" s="335"/>
      <c r="E6" s="570" t="s">
        <v>4</v>
      </c>
      <c r="F6" s="571"/>
      <c r="G6" s="335"/>
      <c r="H6" s="570" t="s">
        <v>5</v>
      </c>
      <c r="I6" s="571"/>
      <c r="J6" s="335"/>
      <c r="K6" s="570" t="s">
        <v>321</v>
      </c>
      <c r="L6" s="574"/>
      <c r="M6" s="574"/>
      <c r="N6" s="574"/>
      <c r="O6" s="574"/>
      <c r="P6" s="574"/>
      <c r="Q6" s="574"/>
      <c r="R6" s="574"/>
      <c r="S6" s="571"/>
      <c r="T6" s="335"/>
      <c r="U6" s="570" t="s">
        <v>284</v>
      </c>
      <c r="V6" s="574"/>
      <c r="W6" s="571"/>
      <c r="X6" s="335"/>
      <c r="Y6" s="598" t="s">
        <v>364</v>
      </c>
      <c r="Z6" s="599"/>
      <c r="AA6" s="599"/>
      <c r="AB6" s="600"/>
    </row>
    <row r="7" spans="1:28" s="64" customFormat="1" ht="63.75" customHeight="1">
      <c r="A7" s="604" t="s">
        <v>9</v>
      </c>
      <c r="B7" s="605" t="s">
        <v>359</v>
      </c>
      <c r="C7" s="606" t="s">
        <v>196</v>
      </c>
      <c r="D7" s="61"/>
      <c r="E7" s="608" t="s">
        <v>24</v>
      </c>
      <c r="F7" s="609"/>
      <c r="G7" s="61"/>
      <c r="H7" s="601" t="s">
        <v>229</v>
      </c>
      <c r="I7" s="607"/>
      <c r="J7" s="61"/>
      <c r="K7" s="601" t="s">
        <v>231</v>
      </c>
      <c r="L7" s="602"/>
      <c r="M7" s="602"/>
      <c r="N7" s="602" t="s">
        <v>21</v>
      </c>
      <c r="O7" s="602"/>
      <c r="P7" s="602" t="s">
        <v>22</v>
      </c>
      <c r="Q7" s="602"/>
      <c r="R7" s="602" t="s">
        <v>23</v>
      </c>
      <c r="S7" s="607"/>
      <c r="T7" s="61"/>
      <c r="U7" s="153" t="s">
        <v>25</v>
      </c>
      <c r="V7" s="151" t="s">
        <v>26</v>
      </c>
      <c r="W7" s="152" t="s">
        <v>27</v>
      </c>
      <c r="X7" s="61"/>
      <c r="Y7" s="360" t="s">
        <v>361</v>
      </c>
      <c r="Z7" s="361" t="s">
        <v>357</v>
      </c>
      <c r="AA7" s="361" t="s">
        <v>358</v>
      </c>
      <c r="AB7" s="579" t="s">
        <v>30</v>
      </c>
    </row>
    <row r="8" spans="1:28" ht="39" customHeight="1">
      <c r="A8" s="601"/>
      <c r="B8" s="602"/>
      <c r="C8" s="607"/>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80"/>
    </row>
    <row r="9" spans="1:28" ht="15.75">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5.75">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6.149999999999999"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A7:A8"/>
    <mergeCell ref="B7:B8"/>
    <mergeCell ref="C7:C8"/>
    <mergeCell ref="E7:F7"/>
    <mergeCell ref="R7:S7"/>
    <mergeCell ref="H7:I7"/>
    <mergeCell ref="A4:B4"/>
    <mergeCell ref="A5:C5"/>
    <mergeCell ref="A6:C6"/>
    <mergeCell ref="E6:F6"/>
    <mergeCell ref="H6:I6"/>
    <mergeCell ref="U6:W6"/>
    <mergeCell ref="AB7:AB8"/>
    <mergeCell ref="Y6:AB6"/>
    <mergeCell ref="K7:M7"/>
    <mergeCell ref="N7:O7"/>
    <mergeCell ref="P7:Q7"/>
    <mergeCell ref="K6:S6"/>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328125" defaultRowHeight="14.25" outlineLevelCol="1"/>
  <cols>
    <col min="1" max="1" width="36.86328125" style="44" bestFit="1" customWidth="1"/>
    <col min="2" max="2" width="27.86328125" style="44" customWidth="1"/>
    <col min="3" max="3" width="13.3984375" style="44" customWidth="1"/>
    <col min="4" max="4" width="2.1328125" style="44" customWidth="1"/>
    <col min="5" max="5" width="11.3984375" style="44" bestFit="1" customWidth="1"/>
    <col min="6" max="6" width="8.1328125" style="44" bestFit="1" customWidth="1"/>
    <col min="7" max="7" width="9.1328125" style="44"/>
    <col min="8" max="8" width="10.73046875" style="44" bestFit="1" customWidth="1"/>
    <col min="9" max="9" width="9.1328125" style="44"/>
    <col min="10" max="10" width="10.73046875" style="44" bestFit="1" customWidth="1"/>
    <col min="11" max="11" width="7.3984375" style="44" customWidth="1"/>
    <col min="12" max="12" width="9.265625" style="44" customWidth="1"/>
    <col min="13" max="13" width="9.3984375" style="44" customWidth="1"/>
    <col min="14" max="14" width="8.1328125" style="44" bestFit="1" customWidth="1"/>
    <col min="15" max="15" width="1.86328125" style="44" customWidth="1"/>
    <col min="16" max="16" width="11.1328125" style="44" customWidth="1" outlineLevel="1"/>
    <col min="17" max="17" width="13.3984375" style="44" customWidth="1" outlineLevel="1"/>
    <col min="18" max="18" width="1.86328125" style="44" customWidth="1"/>
    <col min="19" max="21" width="9.1328125" style="44" customWidth="1" outlineLevel="1"/>
    <col min="22" max="22" width="21.1328125" style="44" customWidth="1" outlineLevel="1"/>
    <col min="23" max="23" width="11.1328125" style="44" customWidth="1"/>
    <col min="24" max="24" width="9.1328125" style="44" customWidth="1" outlineLevel="1"/>
    <col min="25" max="25" width="10" style="44" customWidth="1" outlineLevel="1"/>
    <col min="26" max="26" width="9.1328125" style="44" customWidth="1" outlineLevel="1"/>
    <col min="27" max="27" width="10.86328125" style="44" customWidth="1" outlineLevel="1"/>
    <col min="28" max="28" width="14.73046875" style="44" customWidth="1" outlineLevel="1"/>
    <col min="29" max="29" width="1.86328125" style="44" customWidth="1"/>
    <col min="30" max="30" width="12.86328125" style="44" customWidth="1" outlineLevel="1"/>
    <col min="31" max="31" width="16" style="44" bestFit="1" customWidth="1" outlineLevel="1"/>
    <col min="32" max="32" width="11.73046875" style="44" customWidth="1" outlineLevel="1"/>
    <col min="33" max="33" width="12.1328125" style="44" customWidth="1" outlineLevel="1"/>
    <col min="34" max="34" width="2.3984375" style="44" customWidth="1"/>
    <col min="35" max="35" width="12" style="44" customWidth="1" outlineLevel="1"/>
    <col min="36" max="36" width="11.3984375" style="44" customWidth="1" outlineLevel="1"/>
    <col min="37" max="37" width="11.265625" style="44" customWidth="1" outlineLevel="1"/>
    <col min="38" max="38" width="10.86328125" style="44" customWidth="1" outlineLevel="1"/>
    <col min="39" max="16384" width="9.13281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72" t="s">
        <v>350</v>
      </c>
      <c r="B4" s="573"/>
    </row>
    <row r="5" spans="1:39" s="66" customFormat="1" ht="99.75" customHeight="1" thickBot="1">
      <c r="A5" s="67"/>
      <c r="B5" s="67"/>
      <c r="X5" s="68"/>
      <c r="Z5" s="68"/>
    </row>
    <row r="6" spans="1:39" ht="19.899999999999999" thickBot="1">
      <c r="A6" s="570" t="s">
        <v>218</v>
      </c>
      <c r="B6" s="574"/>
      <c r="C6" s="571"/>
      <c r="D6"/>
      <c r="E6" s="570" t="s">
        <v>219</v>
      </c>
      <c r="F6" s="574"/>
      <c r="G6" s="574"/>
      <c r="H6" s="574"/>
      <c r="I6" s="574"/>
      <c r="J6" s="574"/>
      <c r="K6" s="574"/>
      <c r="L6" s="574"/>
      <c r="M6" s="574"/>
      <c r="N6" s="571"/>
      <c r="O6"/>
      <c r="P6" s="570" t="s">
        <v>5</v>
      </c>
      <c r="Q6" s="571"/>
      <c r="R6"/>
      <c r="S6" s="570" t="s">
        <v>6</v>
      </c>
      <c r="T6" s="574"/>
      <c r="U6" s="574"/>
      <c r="V6" s="574"/>
      <c r="W6" s="574"/>
      <c r="X6" s="574"/>
      <c r="Y6" s="574"/>
      <c r="Z6" s="574"/>
      <c r="AA6" s="574"/>
      <c r="AB6" s="571"/>
      <c r="AC6"/>
      <c r="AD6" s="570" t="s">
        <v>7</v>
      </c>
      <c r="AE6" s="574"/>
      <c r="AF6" s="574"/>
      <c r="AG6" s="571"/>
      <c r="AH6"/>
      <c r="AI6" s="570" t="s">
        <v>8</v>
      </c>
      <c r="AJ6" s="574"/>
      <c r="AK6" s="574"/>
      <c r="AL6" s="571"/>
      <c r="AM6" s="69"/>
    </row>
    <row r="7" spans="1:39" s="69" customFormat="1" ht="79.5" customHeight="1">
      <c r="A7" s="610" t="s">
        <v>324</v>
      </c>
      <c r="B7" s="612" t="s">
        <v>375</v>
      </c>
      <c r="C7" s="614" t="s">
        <v>196</v>
      </c>
      <c r="D7" s="81"/>
      <c r="E7" s="584" t="s">
        <v>245</v>
      </c>
      <c r="F7" s="585"/>
      <c r="G7" s="587" t="s">
        <v>246</v>
      </c>
      <c r="H7" s="585"/>
      <c r="I7" s="587" t="s">
        <v>247</v>
      </c>
      <c r="J7" s="585"/>
      <c r="K7" s="587" t="s">
        <v>248</v>
      </c>
      <c r="L7" s="586"/>
      <c r="M7" s="585" t="s">
        <v>249</v>
      </c>
      <c r="N7" s="588"/>
      <c r="O7" s="81"/>
      <c r="P7" s="568" t="s">
        <v>19</v>
      </c>
      <c r="Q7" s="583"/>
      <c r="R7" s="81"/>
      <c r="S7" s="584" t="s">
        <v>250</v>
      </c>
      <c r="T7" s="585"/>
      <c r="U7" s="585"/>
      <c r="V7" s="585"/>
      <c r="W7" s="587" t="s">
        <v>21</v>
      </c>
      <c r="X7" s="586"/>
      <c r="Y7" s="585" t="s">
        <v>22</v>
      </c>
      <c r="Z7" s="586"/>
      <c r="AA7" s="597" t="s">
        <v>23</v>
      </c>
      <c r="AB7" s="583"/>
      <c r="AC7" s="81"/>
      <c r="AD7" s="241" t="s">
        <v>24</v>
      </c>
      <c r="AE7" s="240" t="s">
        <v>25</v>
      </c>
      <c r="AF7" s="240" t="s">
        <v>26</v>
      </c>
      <c r="AG7" s="305" t="s">
        <v>27</v>
      </c>
      <c r="AH7" s="196"/>
      <c r="AI7" s="303" t="s">
        <v>251</v>
      </c>
      <c r="AJ7" s="240" t="s">
        <v>252</v>
      </c>
      <c r="AK7" s="240" t="s">
        <v>253</v>
      </c>
      <c r="AL7" s="305" t="s">
        <v>377</v>
      </c>
    </row>
    <row r="8" spans="1:39" s="69" customFormat="1" ht="47.25">
      <c r="A8" s="611"/>
      <c r="B8" s="613"/>
      <c r="C8" s="615"/>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5.75">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5.75">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5.75">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5.75">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5.75">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5.75">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5.75">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5.75">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6.149999999999999"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I6:AL6"/>
    <mergeCell ref="A6:C6"/>
    <mergeCell ref="E6:N6"/>
    <mergeCell ref="P6:Q6"/>
    <mergeCell ref="S6:AB6"/>
    <mergeCell ref="AD6:AG6"/>
    <mergeCell ref="Y7:Z7"/>
    <mergeCell ref="S7:V7"/>
    <mergeCell ref="AA7:AB7"/>
    <mergeCell ref="E7:F7"/>
    <mergeCell ref="G7:H7"/>
    <mergeCell ref="I7:J7"/>
    <mergeCell ref="K7:L7"/>
    <mergeCell ref="M7:N7"/>
    <mergeCell ref="P7:Q7"/>
    <mergeCell ref="A4:B4"/>
    <mergeCell ref="A7:A8"/>
    <mergeCell ref="B7:B8"/>
    <mergeCell ref="C7:C8"/>
    <mergeCell ref="W7:X7"/>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ColWidth="8.86328125" defaultRowHeight="14.25"/>
  <cols>
    <col min="3" max="3" width="10.3984375" bestFit="1" customWidth="1"/>
    <col min="4" max="4" width="15.7304687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ColWidth="8.86328125" defaultRowHeight="14.25"/>
  <cols>
    <col min="1" max="1" width="10.3984375" bestFit="1" customWidth="1"/>
    <col min="3" max="3" width="15.3984375" customWidth="1"/>
    <col min="4" max="4" width="14" customWidth="1"/>
    <col min="5" max="5" width="12.86328125" customWidth="1"/>
    <col min="6" max="6" width="13.73046875" bestFit="1" customWidth="1"/>
    <col min="7" max="7" width="18" customWidth="1"/>
  </cols>
  <sheetData>
    <row r="1" spans="1:8" ht="15.75">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8">
      <c r="B8" s="25" t="s">
        <v>517</v>
      </c>
      <c r="C8">
        <f>SUM(C3:C5)</f>
        <v>100</v>
      </c>
      <c r="D8">
        <f>SUM(D3:D5)</f>
        <v>230</v>
      </c>
      <c r="E8">
        <f>SUM(E3:E5)</f>
        <v>864</v>
      </c>
      <c r="G8" s="527">
        <f>SUM(G3:G5)</f>
        <v>1653333.3333333333</v>
      </c>
      <c r="H8" s="25" t="s">
        <v>532</v>
      </c>
    </row>
    <row r="10" spans="1:8" ht="14.65" thickBot="1"/>
    <row r="11" spans="1:8" ht="15" thickTop="1" thickBot="1">
      <c r="A11" s="559" t="s">
        <v>548</v>
      </c>
    </row>
    <row r="12" spans="1:8" ht="14.6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ColWidth="8.86328125" defaultRowHeight="14.25"/>
  <cols>
    <col min="6" max="6" width="13.3984375" customWidth="1"/>
    <col min="9" max="9" width="12" bestFit="1" customWidth="1"/>
  </cols>
  <sheetData>
    <row r="1" spans="1:9" ht="15.75">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8">
      <c r="A18" s="469"/>
      <c r="B18" s="545"/>
      <c r="C18" s="545"/>
      <c r="D18" s="545"/>
      <c r="E18" s="545"/>
      <c r="F18" s="469"/>
      <c r="G18" s="469"/>
      <c r="H18" s="546">
        <f>SUM(H3:H17)</f>
        <v>455.01602000000003</v>
      </c>
      <c r="I18" s="546">
        <f>SUM(I3:I17)</f>
        <v>1451.5011038</v>
      </c>
      <c r="J18" s="25" t="s">
        <v>532</v>
      </c>
    </row>
    <row r="19" spans="1:10" ht="14.65" thickBot="1"/>
    <row r="20" spans="1:10" ht="15" thickTop="1" thickBot="1">
      <c r="A20" s="559" t="s">
        <v>548</v>
      </c>
    </row>
    <row r="21" spans="1:10" ht="14.6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defaultColWidth="11.3984375" defaultRowHeight="14.25" outlineLevelCol="1"/>
  <cols>
    <col min="1" max="1" width="16.1328125" style="44" customWidth="1"/>
    <col min="2" max="2" width="27.1328125" style="44" customWidth="1"/>
    <col min="3" max="3" width="13.3984375" style="44" hidden="1" customWidth="1"/>
    <col min="4" max="4" width="16.265625" style="44" customWidth="1"/>
    <col min="5" max="5" width="13.265625" style="44" customWidth="1"/>
    <col min="6" max="6" width="9.86328125" style="44" customWidth="1"/>
    <col min="7" max="7" width="26.3984375" style="44" customWidth="1"/>
    <col min="8" max="8" width="2.73046875" style="44" customWidth="1"/>
    <col min="9" max="9" width="11.3984375" style="44" customWidth="1"/>
    <col min="10" max="10" width="15.3984375" style="44" customWidth="1"/>
    <col min="11" max="11" width="9.73046875" style="44" customWidth="1"/>
    <col min="12" max="12" width="12.3984375" style="44" customWidth="1"/>
    <col min="13" max="13" width="11.3984375" style="44" customWidth="1"/>
    <col min="14" max="14" width="5.73046875" style="44" customWidth="1"/>
    <col min="15" max="15" width="11.3984375" style="44" customWidth="1"/>
    <col min="16" max="16" width="16.73046875" style="44" customWidth="1"/>
    <col min="17" max="17" width="3.86328125" style="44" customWidth="1"/>
    <col min="18" max="18" width="11.86328125" style="44" customWidth="1"/>
    <col min="19" max="19" width="13.86328125" style="44" customWidth="1"/>
    <col min="20" max="20" width="3.86328125" style="44" customWidth="1"/>
    <col min="21" max="21" width="11.3984375" style="44" customWidth="1"/>
    <col min="22" max="22" width="26.73046875" style="44" customWidth="1"/>
    <col min="23" max="23" width="9.3984375" style="44" bestFit="1" customWidth="1"/>
    <col min="24" max="24" width="9.3984375" style="44" customWidth="1"/>
    <col min="25" max="25" width="7.3984375" style="44" customWidth="1"/>
    <col min="26" max="26" width="7.86328125" style="44" bestFit="1" customWidth="1"/>
    <col min="27" max="32" width="11.3984375" style="44"/>
    <col min="33" max="33" width="3.73046875" style="44" customWidth="1"/>
    <col min="34" max="34" width="15.3984375" style="44" customWidth="1"/>
    <col min="35" max="35" width="15.3984375" style="44" bestFit="1" customWidth="1"/>
    <col min="36" max="36" width="13.86328125" style="44" customWidth="1"/>
    <col min="37" max="37" width="14.73046875" style="44" customWidth="1"/>
    <col min="38" max="38" width="1.86328125" style="44" customWidth="1"/>
    <col min="39" max="39" width="9.73046875" style="44" hidden="1" customWidth="1" outlineLevel="1"/>
    <col min="40" max="40" width="13.3984375" style="44" hidden="1" customWidth="1" outlineLevel="1"/>
    <col min="41" max="41" width="11.3984375" style="44" hidden="1" customWidth="1" outlineLevel="1"/>
    <col min="42" max="42" width="12.86328125" style="44" hidden="1" customWidth="1" outlineLevel="1"/>
    <col min="43" max="43" width="12.73046875" style="44" hidden="1" customWidth="1" outlineLevel="1"/>
    <col min="44" max="44" width="12.265625" style="44" hidden="1" customWidth="1" outlineLevel="1"/>
    <col min="45" max="45" width="7" style="44" hidden="1" customWidth="1" outlineLevel="1"/>
    <col min="46" max="46" width="12.265625" style="44" hidden="1" customWidth="1" outlineLevel="1"/>
    <col min="47" max="47" width="15" style="44" hidden="1" customWidth="1" outlineLevel="1"/>
    <col min="48" max="48" width="14.3984375" style="44" hidden="1" customWidth="1" outlineLevel="1"/>
    <col min="49" max="49" width="1.73046875" style="44" customWidth="1" collapsed="1"/>
    <col min="50" max="50" width="33.73046875" style="44" customWidth="1"/>
    <col min="51" max="51" width="3.73046875" style="44" customWidth="1"/>
    <col min="52" max="52" width="26" style="44" bestFit="1" customWidth="1"/>
    <col min="53" max="55" width="26" style="44" customWidth="1"/>
    <col min="56" max="16384" width="11.398437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72" t="s">
        <v>350</v>
      </c>
      <c r="B4" s="573"/>
    </row>
    <row r="5" spans="1:55" ht="101.25" customHeight="1" thickBot="1">
      <c r="A5" s="603"/>
      <c r="B5" s="603"/>
      <c r="C5" s="603"/>
      <c r="D5" s="603"/>
      <c r="E5" s="603"/>
      <c r="F5" s="603"/>
      <c r="G5" s="603"/>
    </row>
    <row r="6" spans="1:55" ht="19.899999999999999" thickBot="1">
      <c r="A6" s="570" t="s">
        <v>508</v>
      </c>
      <c r="B6" s="574"/>
      <c r="C6" s="574"/>
      <c r="D6" s="574"/>
      <c r="E6" s="574"/>
      <c r="F6" s="574"/>
      <c r="G6" s="571"/>
      <c r="H6"/>
      <c r="I6" s="570" t="s">
        <v>4</v>
      </c>
      <c r="J6" s="574"/>
      <c r="K6" s="574"/>
      <c r="L6" s="574"/>
      <c r="M6" s="574"/>
      <c r="N6" s="574"/>
      <c r="O6" s="574"/>
      <c r="P6" s="571"/>
      <c r="Q6"/>
      <c r="R6" s="570" t="s">
        <v>5</v>
      </c>
      <c r="S6" s="571"/>
      <c r="T6"/>
      <c r="U6" s="570" t="s">
        <v>6</v>
      </c>
      <c r="V6" s="574"/>
      <c r="W6" s="574"/>
      <c r="X6" s="574"/>
      <c r="Y6" s="574"/>
      <c r="Z6" s="574"/>
      <c r="AA6" s="574"/>
      <c r="AB6" s="574"/>
      <c r="AC6" s="574"/>
      <c r="AD6" s="574"/>
      <c r="AE6" s="574"/>
      <c r="AF6" s="571"/>
      <c r="AG6"/>
      <c r="AH6" s="570" t="s">
        <v>7</v>
      </c>
      <c r="AI6" s="574"/>
      <c r="AJ6" s="574"/>
      <c r="AK6" s="571"/>
      <c r="AL6"/>
      <c r="AM6" s="617" t="s">
        <v>8</v>
      </c>
      <c r="AN6" s="618"/>
      <c r="AO6" s="618"/>
      <c r="AP6" s="618"/>
      <c r="AQ6" s="618"/>
      <c r="AR6" s="618"/>
      <c r="AS6" s="618"/>
      <c r="AT6" s="618"/>
      <c r="AU6" s="618"/>
      <c r="AV6" s="619"/>
      <c r="AX6" s="533" t="s">
        <v>537</v>
      </c>
      <c r="AZ6" s="531" t="s">
        <v>541</v>
      </c>
      <c r="BA6" s="531" t="s">
        <v>545</v>
      </c>
      <c r="BB6" s="531" t="s">
        <v>546</v>
      </c>
      <c r="BC6" s="531" t="s">
        <v>547</v>
      </c>
    </row>
    <row r="7" spans="1:55" s="64" customFormat="1" ht="63.75" customHeight="1">
      <c r="A7" s="604" t="s">
        <v>200</v>
      </c>
      <c r="B7" s="605" t="s">
        <v>222</v>
      </c>
      <c r="C7" s="605" t="s">
        <v>507</v>
      </c>
      <c r="D7" s="605" t="s">
        <v>196</v>
      </c>
      <c r="E7" s="605" t="s">
        <v>223</v>
      </c>
      <c r="F7" s="620"/>
      <c r="G7" s="606"/>
      <c r="H7" s="18"/>
      <c r="I7" s="601" t="s">
        <v>224</v>
      </c>
      <c r="J7" s="602"/>
      <c r="K7" s="621" t="s">
        <v>225</v>
      </c>
      <c r="L7" s="622"/>
      <c r="M7" s="151" t="s">
        <v>226</v>
      </c>
      <c r="N7" s="602" t="s">
        <v>227</v>
      </c>
      <c r="O7" s="602"/>
      <c r="P7" s="152" t="s">
        <v>228</v>
      </c>
      <c r="Q7" s="18"/>
      <c r="R7" s="601" t="s">
        <v>229</v>
      </c>
      <c r="S7" s="607"/>
      <c r="T7" s="18"/>
      <c r="U7" s="601" t="s">
        <v>230</v>
      </c>
      <c r="V7" s="602"/>
      <c r="W7" s="602" t="s">
        <v>265</v>
      </c>
      <c r="X7" s="602"/>
      <c r="Y7" s="602"/>
      <c r="Z7" s="602"/>
      <c r="AA7" s="602" t="s">
        <v>21</v>
      </c>
      <c r="AB7" s="602"/>
      <c r="AC7" s="602" t="s">
        <v>22</v>
      </c>
      <c r="AD7" s="602"/>
      <c r="AE7" s="602" t="s">
        <v>23</v>
      </c>
      <c r="AF7" s="607"/>
      <c r="AG7" s="18"/>
      <c r="AH7" s="153" t="s">
        <v>24</v>
      </c>
      <c r="AI7" s="151" t="s">
        <v>25</v>
      </c>
      <c r="AJ7" s="151" t="s">
        <v>26</v>
      </c>
      <c r="AK7" s="152" t="s">
        <v>27</v>
      </c>
      <c r="AL7" s="18"/>
      <c r="AM7" s="611" t="s">
        <v>232</v>
      </c>
      <c r="AN7" s="616"/>
      <c r="AO7" s="616"/>
      <c r="AP7" s="616"/>
      <c r="AQ7" s="616" t="s">
        <v>233</v>
      </c>
      <c r="AR7" s="616"/>
      <c r="AS7" s="616" t="s">
        <v>234</v>
      </c>
      <c r="AT7" s="616"/>
      <c r="AU7" s="389" t="s">
        <v>236</v>
      </c>
      <c r="AV7" s="390" t="s">
        <v>235</v>
      </c>
      <c r="AX7" s="528" t="s">
        <v>511</v>
      </c>
      <c r="AZ7" s="528" t="s">
        <v>540</v>
      </c>
      <c r="BA7" s="528" t="s">
        <v>540</v>
      </c>
      <c r="BB7" s="528" t="s">
        <v>540</v>
      </c>
      <c r="BC7" s="528" t="s">
        <v>540</v>
      </c>
    </row>
    <row r="8" spans="1:55" ht="94.5">
      <c r="A8" s="601"/>
      <c r="B8" s="602"/>
      <c r="C8" s="602"/>
      <c r="D8" s="602"/>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5.75">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8">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8">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8">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8">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8">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8">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8">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5.75">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4.65" thickBot="1"/>
    <row r="20" spans="1:50" ht="15" thickTop="1" thickBot="1">
      <c r="AX20" s="559" t="s">
        <v>548</v>
      </c>
    </row>
    <row r="21" spans="1:50" ht="14.65" thickTop="1">
      <c r="AX21" s="44" t="s">
        <v>554</v>
      </c>
    </row>
  </sheetData>
  <mergeCells count="25">
    <mergeCell ref="N7:O7"/>
    <mergeCell ref="R7:S7"/>
    <mergeCell ref="U7:V7"/>
    <mergeCell ref="W7:Z7"/>
    <mergeCell ref="C7:C8"/>
    <mergeCell ref="D7:D8"/>
    <mergeCell ref="E7:G7"/>
    <mergeCell ref="I7:J7"/>
    <mergeCell ref="K7:L7"/>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ColWidth="8.86328125" defaultRowHeight="14.25"/>
  <cols>
    <col min="1" max="1" width="45" bestFit="1" customWidth="1"/>
    <col min="2" max="3" width="9.86328125" bestFit="1" customWidth="1"/>
    <col min="4" max="6" width="6.1328125" customWidth="1"/>
    <col min="7" max="7" width="12.3984375" bestFit="1" customWidth="1"/>
    <col min="8" max="8" width="13.73046875" bestFit="1" customWidth="1"/>
    <col min="9" max="9" width="12.3984375" bestFit="1" customWidth="1"/>
    <col min="10" max="10" width="16.265625" customWidth="1"/>
  </cols>
  <sheetData>
    <row r="1" spans="1:11" ht="21">
      <c r="A1" s="457" t="s">
        <v>490</v>
      </c>
    </row>
    <row r="2" spans="1:11">
      <c r="A2" s="467" t="s">
        <v>496</v>
      </c>
    </row>
    <row r="3" spans="1:11" ht="19.5">
      <c r="G3" s="462" t="s">
        <v>495</v>
      </c>
    </row>
    <row r="4" spans="1:11" ht="19.5">
      <c r="A4" s="462" t="s">
        <v>491</v>
      </c>
      <c r="D4" s="25"/>
      <c r="E4" s="25"/>
      <c r="G4" s="466" t="s">
        <v>161</v>
      </c>
      <c r="H4" s="466" t="s">
        <v>504</v>
      </c>
      <c r="I4" s="466" t="s">
        <v>505</v>
      </c>
      <c r="J4" s="476" t="s">
        <v>502</v>
      </c>
    </row>
    <row r="5" spans="1:11" s="25" customFormat="1" ht="15.75">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8">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5.75">
      <c r="A14" s="61" t="s">
        <v>489</v>
      </c>
      <c r="B14" s="61">
        <f>B13*'Default Parameter'!$D$11/1000000</f>
        <v>0.96471814345991513</v>
      </c>
      <c r="C14" s="470">
        <f>C13*'Default Parameter'!$D$11/1000000</f>
        <v>0.79519156118143419</v>
      </c>
      <c r="D14" s="474"/>
      <c r="E14" s="25"/>
    </row>
    <row r="15" spans="1:11">
      <c r="E15" s="25"/>
    </row>
    <row r="16" spans="1:11" ht="19.5">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defaultColWidth="9.1328125" defaultRowHeight="14.25"/>
  <cols>
    <col min="1" max="1" width="25" style="44" customWidth="1"/>
    <col min="2" max="2" width="15.265625" style="44" customWidth="1"/>
    <col min="3" max="3" width="12.1328125" style="44" bestFit="1" customWidth="1"/>
    <col min="4" max="4" width="24.3984375" style="44" bestFit="1" customWidth="1"/>
    <col min="5" max="5" width="34.265625" style="44" bestFit="1" customWidth="1"/>
    <col min="6" max="6" width="16.265625" style="44" customWidth="1"/>
    <col min="7" max="7" width="20.86328125" style="44" bestFit="1" customWidth="1"/>
    <col min="8" max="8" width="19.265625" style="44" customWidth="1"/>
    <col min="9" max="10" width="20.3984375" style="44" customWidth="1"/>
    <col min="11" max="11" width="20.265625" style="44" customWidth="1"/>
    <col min="12" max="12" width="18.86328125" style="44" customWidth="1"/>
    <col min="13" max="13" width="16.3984375" style="44" customWidth="1"/>
    <col min="14" max="14" width="15.265625" style="44" customWidth="1"/>
    <col min="15" max="16384" width="9.1328125" style="44"/>
  </cols>
  <sheetData>
    <row r="3" spans="1:18">
      <c r="E3" s="45"/>
    </row>
    <row r="4" spans="1:18" ht="39" customHeight="1">
      <c r="E4" s="45"/>
    </row>
    <row r="5" spans="1:18" ht="57.95" customHeight="1" thickBot="1">
      <c r="D5" s="45"/>
      <c r="E5" s="45"/>
    </row>
    <row r="6" spans="1:18" s="46" customFormat="1" ht="38.450000000000003" customHeight="1">
      <c r="A6" s="625" t="s">
        <v>2</v>
      </c>
      <c r="B6" s="623" t="s">
        <v>194</v>
      </c>
      <c r="C6" s="623" t="s">
        <v>195</v>
      </c>
      <c r="D6" s="623" t="s">
        <v>380</v>
      </c>
      <c r="E6" s="623" t="s">
        <v>381</v>
      </c>
      <c r="F6" s="623" t="s">
        <v>200</v>
      </c>
      <c r="G6" s="623" t="s">
        <v>196</v>
      </c>
      <c r="H6" s="312" t="s">
        <v>19</v>
      </c>
      <c r="I6" s="312" t="s">
        <v>24</v>
      </c>
      <c r="J6" s="312" t="s">
        <v>197</v>
      </c>
      <c r="K6" s="312" t="s">
        <v>198</v>
      </c>
      <c r="L6" s="312" t="s">
        <v>199</v>
      </c>
      <c r="M6" s="312" t="s">
        <v>357</v>
      </c>
      <c r="N6" s="394" t="s">
        <v>358</v>
      </c>
    </row>
    <row r="7" spans="1:18" s="46" customFormat="1" ht="35.25" customHeight="1">
      <c r="A7" s="626"/>
      <c r="B7" s="624"/>
      <c r="C7" s="624"/>
      <c r="D7" s="624"/>
      <c r="E7" s="624"/>
      <c r="F7" s="624"/>
      <c r="G7" s="624"/>
      <c r="H7" s="228" t="s">
        <v>34</v>
      </c>
      <c r="I7" s="228" t="s">
        <v>38</v>
      </c>
      <c r="J7" s="228" t="s">
        <v>38</v>
      </c>
      <c r="K7" s="228" t="s">
        <v>38</v>
      </c>
      <c r="L7" s="228" t="s">
        <v>38</v>
      </c>
      <c r="M7" s="228" t="s">
        <v>206</v>
      </c>
      <c r="N7" s="395" t="s">
        <v>208</v>
      </c>
    </row>
    <row r="8" spans="1:18" ht="15.75">
      <c r="A8" s="313" t="s">
        <v>215</v>
      </c>
      <c r="B8" s="229"/>
      <c r="C8" s="229"/>
      <c r="D8" s="229"/>
      <c r="E8" s="229"/>
      <c r="F8" s="229"/>
      <c r="G8" s="229"/>
      <c r="H8" s="229"/>
      <c r="I8" s="230"/>
      <c r="J8" s="230"/>
      <c r="K8" s="230"/>
      <c r="L8" s="230"/>
      <c r="M8" s="229"/>
      <c r="N8" s="314"/>
      <c r="Q8" s="372"/>
      <c r="R8" s="372"/>
    </row>
    <row r="9" spans="1:18" s="46" customFormat="1" ht="15.75">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5.75">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5.75">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5.75">
      <c r="A12" s="315"/>
      <c r="B12" s="229"/>
      <c r="C12" s="229"/>
      <c r="D12" s="229"/>
      <c r="E12" s="229"/>
      <c r="F12" s="229"/>
      <c r="G12" s="229"/>
      <c r="H12" s="229"/>
      <c r="I12" s="230"/>
      <c r="J12" s="230"/>
      <c r="K12" s="230"/>
      <c r="L12" s="230"/>
      <c r="M12" s="230"/>
      <c r="N12" s="316"/>
      <c r="Q12" s="373"/>
      <c r="R12" s="373"/>
    </row>
    <row r="13" spans="1:18" ht="15.75">
      <c r="A13" s="313" t="s">
        <v>0</v>
      </c>
      <c r="B13" s="229"/>
      <c r="C13" s="229"/>
      <c r="D13" s="229"/>
      <c r="E13" s="229"/>
      <c r="F13" s="229"/>
      <c r="G13" s="229"/>
      <c r="H13" s="229"/>
      <c r="I13" s="230"/>
      <c r="J13" s="230"/>
      <c r="K13" s="230"/>
      <c r="L13" s="230"/>
      <c r="M13" s="229"/>
      <c r="N13" s="314"/>
      <c r="Q13" s="372"/>
      <c r="R13" s="372"/>
    </row>
    <row r="14" spans="1:18" s="46" customFormat="1" ht="15.75">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Road'!AD:AD,'1A3b Road'!$D:$D,$G14,'1A3b Road'!$A:$A,$E14)</f>
        <v>667.35551421220157</v>
      </c>
      <c r="J14" s="431">
        <f>+SUMIFS('1A3b Road'!AF:AF,'1A3b Road'!$D:$D,$G14,'1A3b Road'!$A:$A,$E14)</f>
        <v>2048.7747550763165</v>
      </c>
      <c r="K14" s="431">
        <f>+SUMIFS('1A3b Road'!AG:AG,'1A3b Road'!$D:$D,$G14,'1A3b Road'!$A:$A,$E14)</f>
        <v>0.97560702622681739</v>
      </c>
      <c r="L14" s="431">
        <f>+SUMIFS('1A3b Road'!AH:AH,'1A3b Road'!$D:$D,$G14,'1A3b Road'!$A:$A,$E14)</f>
        <v>9.460431769472169E-2</v>
      </c>
      <c r="M14" s="307">
        <f>+SUMIFS('1A3b Road'!AM:AM,'1A3b Road'!$D:$D,$G14,'1A3b Road'!$A:$A,$E14)</f>
        <v>22229.161440808974</v>
      </c>
      <c r="N14" s="308">
        <f>SUMIFS('1A3b Road'!AN:AN,'1A3b Road'!$D:$D,$G14,'1A3b Road'!$A:$A,$E14)</f>
        <v>0</v>
      </c>
      <c r="Q14" s="373"/>
      <c r="R14" s="373"/>
    </row>
    <row r="15" spans="1:18" s="46" customFormat="1" ht="15.75">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Road'!AD:AD,'1A3b Road'!$D:$D,$G15,'1A3b Road'!$A:$A,$E15)</f>
        <v>44.694248889887476</v>
      </c>
      <c r="J15" s="431">
        <f>+SUMIFS('1A3b Road'!AF:AF,'1A3b Road'!$D:$D,$G15,'1A3b Road'!$A:$A,$E15)</f>
        <v>142.40928523784848</v>
      </c>
      <c r="K15" s="431">
        <f>+SUMIFS('1A3b Road'!AG:AG,'1A3b Road'!$D:$D,$G15,'1A3b Road'!$A:$A,$E15)</f>
        <v>7.4952255388341313E-3</v>
      </c>
      <c r="L15" s="431">
        <f>+SUMIFS('1A3b Road'!AH:AH,'1A3b Road'!$D:$D,$G15,'1A3b Road'!$A:$A,$E15)</f>
        <v>7.4952255388341313E-3</v>
      </c>
      <c r="M15" s="307">
        <f>+SUMIFS('1A3b Road'!AM:AM,'1A3b Road'!$D:$D,$G15,'1A3b Road'!$A:$A,$E15)</f>
        <v>1434.0692124134223</v>
      </c>
      <c r="N15" s="308">
        <f>SUMIFS('1A3b Road'!AN:AN,'1A3b Road'!$D:$D,$G15,'1A3b Road'!$A:$A,$E15)</f>
        <v>0</v>
      </c>
      <c r="Q15" s="373"/>
      <c r="R15" s="373"/>
    </row>
    <row r="16" spans="1:18" ht="15.75">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Road'!AD:AD,'1A3b Road'!$D:$D,$G16,'1A3b Road'!$A:$A,$E16)</f>
        <v>0</v>
      </c>
      <c r="J16" s="431">
        <f>+SUMIFS('1A3b Road'!AF:AF,'1A3b Road'!$D:$D,$G16,'1A3b Road'!$A:$A,$E16)</f>
        <v>0</v>
      </c>
      <c r="K16" s="431">
        <f>+SUMIFS('1A3b Road'!AG:AG,'1A3b Road'!$D:$D,$G16,'1A3b Road'!$A:$A,$E16)</f>
        <v>0</v>
      </c>
      <c r="L16" s="431">
        <f>+SUMIFS('1A3b Road'!AH:AH,'1A3b Road'!$D:$D,$G16,'1A3b Road'!$A:$A,$E16)</f>
        <v>0</v>
      </c>
      <c r="M16" s="307">
        <f>+SUMIFS('1A3b Road'!AM:AM,'1A3b Road'!$D:$D,$G16,'1A3b Road'!$A:$A,$E16)</f>
        <v>0</v>
      </c>
      <c r="N16" s="308">
        <f>SUMIFS('1A3b Road'!AN:AN,'1A3b Road'!$D:$D,$G16,'1A3b Road'!$A:$A,$E16)</f>
        <v>0</v>
      </c>
      <c r="Q16" s="372"/>
      <c r="R16" s="372"/>
    </row>
    <row r="17" spans="1:18" ht="15.75">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Road'!AD:AD,'1A3b Road'!$D:$D,$G17,'1A3b Road'!$A:$A,$E17)</f>
        <v>0</v>
      </c>
      <c r="J17" s="431">
        <f>+SUMIFS('1A3b Road'!AF:AF,'1A3b Road'!$D:$D,$G17,'1A3b Road'!$A:$A,$E17)</f>
        <v>0</v>
      </c>
      <c r="K17" s="431">
        <f>+SUMIFS('1A3b Road'!AG:AG,'1A3b Road'!$D:$D,$G17,'1A3b Road'!$A:$A,$E17)</f>
        <v>0</v>
      </c>
      <c r="L17" s="431">
        <f>+SUMIFS('1A3b Road'!AH:AH,'1A3b Road'!$D:$D,$G17,'1A3b Road'!$A:$A,$E17)</f>
        <v>0</v>
      </c>
      <c r="M17" s="307">
        <f>+SUMIFS('1A3b Road'!AM:AM,'1A3b Road'!$D:$D,$G17,'1A3b Road'!$A:$A,$E17)</f>
        <v>0</v>
      </c>
      <c r="N17" s="308">
        <f>SUMIFS('1A3b Road'!AN:AN,'1A3b Road'!$D:$D,$G17,'1A3b Road'!$A:$A,$E17)</f>
        <v>0</v>
      </c>
      <c r="Q17" s="372"/>
      <c r="R17" s="372"/>
    </row>
    <row r="18" spans="1:18" ht="15.75">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Road'!AD:AD,'1A3b Road'!$D:$D,$G18,'1A3b Road'!$A:$A,$E18)</f>
        <v>24.56581130574941</v>
      </c>
      <c r="J18" s="431">
        <f>+SUMIFS('1A3b Road'!AF:AF,'1A3b Road'!$D:$D,$G18,'1A3b Road'!$A:$A,$E18)</f>
        <v>75.416795050537615</v>
      </c>
      <c r="K18" s="431">
        <f>+SUMIFS('1A3b Road'!AG:AG,'1A3b Road'!$D:$D,$G18,'1A3b Road'!$A:$A,$E18)</f>
        <v>3.5912759547875067E-2</v>
      </c>
      <c r="L18" s="431">
        <f>+SUMIFS('1A3b Road'!AH:AH,'1A3b Road'!$D:$D,$G18,'1A3b Road'!$A:$A,$E18)</f>
        <v>3.4824494107030366E-3</v>
      </c>
      <c r="M18" s="307">
        <f>+SUMIFS('1A3b Road'!AM:AM,'1A3b Road'!$D:$D,$G18,'1A3b Road'!$A:$A,$E18)</f>
        <v>9745.4153016</v>
      </c>
      <c r="N18" s="308">
        <f>SUMIFS('1A3b Road'!AN:AN,'1A3b Road'!$D:$D,$G18,'1A3b Road'!$A:$A,$E18)</f>
        <v>0</v>
      </c>
      <c r="Q18" s="372"/>
      <c r="R18" s="372"/>
    </row>
    <row r="19" spans="1:18" ht="15.75">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Road'!AD:AD,'1A3b Road'!$D:$D,$G19,'1A3b Road'!$A:$A,$E19)</f>
        <v>200.41478274300584</v>
      </c>
      <c r="J19" s="431">
        <f>+SUMIFS('1A3b Road'!AF:AF,'1A3b Road'!$D:$D,$G19,'1A3b Road'!$A:$A,$E19)</f>
        <v>638.58162225403964</v>
      </c>
      <c r="K19" s="431">
        <f>+SUMIFS('1A3b Road'!AG:AG,'1A3b Road'!$D:$D,$G19,'1A3b Road'!$A:$A,$E19)</f>
        <v>3.360955906600209E-2</v>
      </c>
      <c r="L19" s="431">
        <f>+SUMIFS('1A3b Road'!AH:AH,'1A3b Road'!$D:$D,$G19,'1A3b Road'!$A:$A,$E19)</f>
        <v>3.360955906600209E-2</v>
      </c>
      <c r="M19" s="307">
        <f>+SUMIFS('1A3b Road'!AM:AM,'1A3b Road'!$D:$D,$G19,'1A3b Road'!$A:$A,$E19)</f>
        <v>84251.089190400002</v>
      </c>
      <c r="N19" s="308">
        <f>SUMIFS('1A3b Road'!AN:AN,'1A3b Road'!$D:$D,$G19,'1A3b Road'!$A:$A,$E19)</f>
        <v>0</v>
      </c>
      <c r="Q19" s="372"/>
      <c r="R19" s="372"/>
    </row>
    <row r="20" spans="1:18" ht="15.75">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Road'!AD:AD,'1A3b Road'!$D:$D,$G20,'1A3b Road'!$A:$A,$E20)</f>
        <v>871.12448643981918</v>
      </c>
      <c r="J20" s="431">
        <f>+SUMIFS('1A3b Road'!AF:AF,'1A3b Road'!$D:$D,$G20,'1A3b Road'!$A:$A,$E20)</f>
        <v>2775.6639511431958</v>
      </c>
      <c r="K20" s="431">
        <f>+SUMIFS('1A3b Road'!AG:AG,'1A3b Road'!$D:$D,$G20,'1A3b Road'!$A:$A,$E20)</f>
        <v>0.14608757637595765</v>
      </c>
      <c r="L20" s="431">
        <f>+SUMIFS('1A3b Road'!AH:AH,'1A3b Road'!$D:$D,$G20,'1A3b Road'!$A:$A,$E20)</f>
        <v>0.14608757637595765</v>
      </c>
      <c r="M20" s="307">
        <f>+SUMIFS('1A3b Road'!AM:AM,'1A3b Road'!$D:$D,$G20,'1A3b Road'!$A:$A,$E20)</f>
        <v>0</v>
      </c>
      <c r="N20" s="308">
        <f>SUMIFS('1A3b Road'!AN:AN,'1A3b Road'!$D:$D,$G20,'1A3b Road'!$A:$A,$E20)</f>
        <v>0</v>
      </c>
      <c r="Q20" s="372"/>
      <c r="R20" s="372"/>
    </row>
    <row r="21" spans="1:18" ht="15.75">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Road'!AD:AD,'1A3b Road'!$D:$D,$G21,'1A3b Road'!$A:$A,$E21)</f>
        <v>0</v>
      </c>
      <c r="J21" s="431">
        <f>+SUMIFS('1A3b Road'!AF:AF,'1A3b Road'!$D:$D,$G21,'1A3b Road'!$A:$A,$E21)</f>
        <v>0</v>
      </c>
      <c r="K21" s="431">
        <f>+SUMIFS('1A3b Road'!AG:AG,'1A3b Road'!$D:$D,$G21,'1A3b Road'!$A:$A,$E21)</f>
        <v>0</v>
      </c>
      <c r="L21" s="431">
        <f>+SUMIFS('1A3b Road'!AH:AH,'1A3b Road'!$D:$D,$G21,'1A3b Road'!$A:$A,$E21)</f>
        <v>0</v>
      </c>
      <c r="M21" s="307">
        <f>+SUMIFS('1A3b Road'!AM:AM,'1A3b Road'!$D:$D,$G21,'1A3b Road'!$A:$A,$E21)</f>
        <v>0</v>
      </c>
      <c r="N21" s="308">
        <f>SUMIFS('1A3b Road'!AN:AN,'1A3b Road'!$D:$D,$G21,'1A3b Road'!$A:$A,$E21)</f>
        <v>0</v>
      </c>
      <c r="Q21" s="372"/>
      <c r="R21" s="372"/>
    </row>
    <row r="22" spans="1:18" ht="15.75">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Road'!AD:AD,'1A3b Road'!$D:$D,$G22,'1A3b Road'!$A:$A,$E22)</f>
        <v>116.84677186913228</v>
      </c>
      <c r="J22" s="431">
        <f>+SUMIFS('1A3b Road'!AF:AF,'1A3b Road'!$D:$D,$G22,'1A3b Road'!$A:$A,$E22)</f>
        <v>372.30886920661618</v>
      </c>
      <c r="K22" s="431">
        <f>+SUMIFS('1A3b Road'!AG:AG,'1A3b Road'!$D:$D,$G22,'1A3b Road'!$A:$A,$E22)</f>
        <v>1.9595203642453481E-2</v>
      </c>
      <c r="L22" s="431">
        <f>+SUMIFS('1A3b Road'!AH:AH,'1A3b Road'!$D:$D,$G22,'1A3b Road'!$A:$A,$E22)</f>
        <v>1.9595203642453481E-2</v>
      </c>
      <c r="M22" s="307">
        <f>+SUMIFS('1A3b Road'!AM:AM,'1A3b Road'!$D:$D,$G22,'1A3b Road'!$A:$A,$E22)</f>
        <v>11614.585353963486</v>
      </c>
      <c r="N22" s="308">
        <f>SUMIFS('1A3b Road'!AN:AN,'1A3b Road'!$D:$D,$G22,'1A3b Road'!$A:$A,$E22)</f>
        <v>0</v>
      </c>
      <c r="Q22" s="372"/>
      <c r="R22" s="372"/>
    </row>
    <row r="23" spans="1:18" ht="15.75">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Road'!AD:AD,'1A3b Road'!$D:$D,$G23,'1A3b Road'!$A:$A,$E23)</f>
        <v>0</v>
      </c>
      <c r="J23" s="431">
        <f>+SUMIFS('1A3b Road'!AF:AF,'1A3b Road'!$D:$D,$G23,'1A3b Road'!$A:$A,$E23)</f>
        <v>0</v>
      </c>
      <c r="K23" s="431">
        <f>+SUMIFS('1A3b Road'!AG:AG,'1A3b Road'!$D:$D,$G23,'1A3b Road'!$A:$A,$E23)</f>
        <v>0</v>
      </c>
      <c r="L23" s="431">
        <f>+SUMIFS('1A3b Road'!AH:AH,'1A3b Road'!$D:$D,$G23,'1A3b Road'!$A:$A,$E23)</f>
        <v>0</v>
      </c>
      <c r="M23" s="307">
        <f>+SUMIFS('1A3b Road'!AM:AM,'1A3b Road'!$D:$D,$G23,'1A3b Road'!$A:$A,$E23)</f>
        <v>0</v>
      </c>
      <c r="N23" s="308">
        <f>SUMIFS('1A3b Road'!AN:AN,'1A3b Road'!$D:$D,$G23,'1A3b Road'!$A:$A,$E23)</f>
        <v>0</v>
      </c>
      <c r="Q23" s="372"/>
      <c r="R23" s="372"/>
    </row>
    <row r="24" spans="1:18" ht="15.75">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Road'!AD:AD,'1A3b Road'!$D:$D,$G24,'1A3b Road'!$A:$A,$E24)</f>
        <v>270.2456283636277</v>
      </c>
      <c r="J24" s="431">
        <f>+SUMIFS('1A3b Road'!AF:AF,'1A3b Road'!$D:$D,$G24,'1A3b Road'!$A:$A,$E24)</f>
        <v>829.65137662005327</v>
      </c>
      <c r="K24" s="431">
        <f>+SUMIFS('1A3b Road'!AG:AG,'1A3b Road'!$D:$D,$G24,'1A3b Road'!$A:$A,$E24)</f>
        <v>0.53334731354146292</v>
      </c>
      <c r="L24" s="431">
        <f>+SUMIFS('1A3b Road'!AH:AH,'1A3b Road'!$D:$D,$G24,'1A3b Road'!$A:$A,$E24)</f>
        <v>5.171852737371762E-2</v>
      </c>
      <c r="M24" s="307">
        <f>+SUMIFS('1A3b Road'!AM:AM,'1A3b Road'!$D:$D,$G24,'1A3b Road'!$A:$A,$E24)</f>
        <v>0</v>
      </c>
      <c r="N24" s="308">
        <f>SUMIFS('1A3b Road'!AN:AN,'1A3b Road'!$D:$D,$G24,'1A3b Road'!$A:$A,$E24)</f>
        <v>0</v>
      </c>
      <c r="Q24" s="372"/>
      <c r="R24" s="372"/>
    </row>
    <row r="25" spans="1:18" ht="15.75">
      <c r="A25" s="315"/>
      <c r="B25" s="229"/>
      <c r="C25" s="229"/>
      <c r="D25" s="229"/>
      <c r="E25" s="229"/>
      <c r="F25" s="229"/>
      <c r="G25" s="229"/>
      <c r="H25" s="229"/>
      <c r="I25" s="230"/>
      <c r="J25" s="230"/>
      <c r="K25" s="230"/>
      <c r="L25" s="230"/>
      <c r="M25" s="230"/>
      <c r="N25" s="316"/>
      <c r="Q25" s="372"/>
      <c r="R25" s="372"/>
    </row>
    <row r="26" spans="1:18" ht="15.75">
      <c r="A26" s="313" t="s">
        <v>333</v>
      </c>
      <c r="B26" s="229"/>
      <c r="C26" s="229"/>
      <c r="D26" s="229"/>
      <c r="E26" s="229"/>
      <c r="F26" s="229"/>
      <c r="G26" s="229"/>
      <c r="H26" s="229"/>
      <c r="I26" s="230"/>
      <c r="J26" s="230"/>
      <c r="K26" s="230"/>
      <c r="L26" s="230"/>
      <c r="M26" s="229"/>
      <c r="N26" s="314"/>
      <c r="Q26" s="372"/>
      <c r="R26" s="372"/>
    </row>
    <row r="27" spans="1:18" ht="15.75">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5.75">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5.75">
      <c r="A29" s="315"/>
      <c r="B29" s="229"/>
      <c r="C29" s="229"/>
      <c r="D29" s="229"/>
      <c r="E29" s="229"/>
      <c r="F29" s="229"/>
      <c r="G29" s="229"/>
      <c r="H29" s="229"/>
      <c r="I29" s="230"/>
      <c r="J29" s="230"/>
      <c r="K29" s="230"/>
      <c r="L29" s="230"/>
      <c r="M29" s="229"/>
      <c r="N29" s="314"/>
      <c r="Q29" s="372"/>
      <c r="R29" s="372"/>
    </row>
    <row r="30" spans="1:18" ht="15.75">
      <c r="A30" s="313" t="s">
        <v>216</v>
      </c>
      <c r="B30" s="229"/>
      <c r="C30" s="229"/>
      <c r="D30" s="229"/>
      <c r="E30" s="229"/>
      <c r="F30" s="229"/>
      <c r="G30" s="229"/>
      <c r="H30" s="229"/>
      <c r="I30" s="230"/>
      <c r="J30" s="230"/>
      <c r="K30" s="230"/>
      <c r="L30" s="230"/>
      <c r="M30" s="229"/>
      <c r="N30" s="314"/>
      <c r="Q30" s="372"/>
      <c r="R30" s="372"/>
    </row>
    <row r="31" spans="1:18" ht="15.75">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5.75">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5.75">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5.75">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5.75">
      <c r="A35" s="315"/>
      <c r="B35" s="229"/>
      <c r="C35" s="229"/>
      <c r="D35" s="229"/>
      <c r="E35" s="229"/>
      <c r="F35" s="229"/>
      <c r="G35" s="229"/>
      <c r="H35" s="229"/>
      <c r="I35" s="230"/>
      <c r="J35" s="230"/>
      <c r="K35" s="230"/>
      <c r="L35" s="230"/>
      <c r="M35" s="229"/>
      <c r="N35" s="314"/>
      <c r="Q35" s="372"/>
      <c r="R35" s="372"/>
    </row>
    <row r="36" spans="1:18" ht="15.75">
      <c r="A36" s="313" t="s">
        <v>334</v>
      </c>
      <c r="B36" s="229"/>
      <c r="C36" s="229"/>
      <c r="D36" s="229"/>
      <c r="E36" s="229"/>
      <c r="F36" s="229"/>
      <c r="G36" s="229"/>
      <c r="H36" s="229"/>
      <c r="I36" s="230"/>
      <c r="J36" s="230"/>
      <c r="K36" s="230"/>
      <c r="L36" s="230"/>
      <c r="M36" s="229"/>
      <c r="N36" s="314"/>
      <c r="Q36" s="372"/>
      <c r="R36" s="372"/>
    </row>
    <row r="37" spans="1:18" ht="15.75">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5.75">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6.149999999999999"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defaultColWidth="11.3984375" defaultRowHeight="14.25"/>
  <cols>
    <col min="1" max="1" width="2.3984375" style="44" customWidth="1"/>
    <col min="2" max="2" width="19.3984375" style="44" customWidth="1"/>
    <col min="3" max="6" width="15.73046875" style="44" customWidth="1"/>
    <col min="7" max="7" width="1.3984375" style="44" customWidth="1"/>
    <col min="8" max="12" width="15.73046875" style="44" customWidth="1"/>
    <col min="13" max="13" width="1.3984375" style="44" customWidth="1"/>
    <col min="14" max="18" width="15.73046875" style="44" customWidth="1"/>
    <col min="19" max="19" width="1.3984375" style="44" customWidth="1"/>
    <col min="20" max="20" width="15.73046875" style="44" customWidth="1"/>
    <col min="21" max="24" width="15.73046875" customWidth="1"/>
    <col min="25" max="25" width="1" customWidth="1"/>
    <col min="26" max="29" width="15.73046875" customWidth="1"/>
    <col min="30" max="30" width="45.73046875" customWidth="1"/>
    <col min="31" max="31" width="19" customWidth="1"/>
    <col min="32" max="32" width="15.73046875" customWidth="1"/>
    <col min="33" max="36" width="15.73046875" style="44" customWidth="1"/>
    <col min="37" max="16384" width="11.3984375" style="44"/>
  </cols>
  <sheetData>
    <row r="4" spans="8:8" ht="18">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27" t="s">
        <v>341</v>
      </c>
      <c r="C25" s="628"/>
      <c r="D25" s="628"/>
      <c r="E25" s="628"/>
      <c r="F25" s="629"/>
      <c r="G25" s="44"/>
      <c r="H25" s="627" t="s">
        <v>202</v>
      </c>
      <c r="I25" s="628"/>
      <c r="J25" s="628"/>
      <c r="K25" s="628"/>
      <c r="L25" s="629"/>
      <c r="M25" s="44"/>
      <c r="N25" s="627" t="s">
        <v>366</v>
      </c>
      <c r="O25" s="628"/>
      <c r="P25" s="628"/>
      <c r="Q25" s="628"/>
      <c r="R25" s="629"/>
      <c r="S25" s="44"/>
      <c r="T25" s="627" t="s">
        <v>333</v>
      </c>
      <c r="U25" s="628"/>
      <c r="V25" s="628"/>
      <c r="W25" s="628"/>
      <c r="X25" s="629"/>
      <c r="Y25" s="44"/>
      <c r="Z25" s="627" t="s">
        <v>331</v>
      </c>
      <c r="AA25" s="628"/>
      <c r="AB25" s="628"/>
      <c r="AC25" s="628"/>
      <c r="AD25" s="629"/>
      <c r="AE25" s="44"/>
      <c r="AF25" s="627" t="s">
        <v>335</v>
      </c>
      <c r="AG25" s="628"/>
      <c r="AH25" s="628"/>
      <c r="AI25" s="628"/>
      <c r="AJ25" s="629"/>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5.75">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5.75">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5.75">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5.75">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5.75">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5.75">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5.75">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6.149999999999999"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5.75">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1.4"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4.65" thickBot="1"/>
    <row r="55" spans="2:36" ht="28.9" thickBot="1">
      <c r="Z55" s="627" t="s">
        <v>500</v>
      </c>
      <c r="AA55" s="628"/>
      <c r="AB55" s="628"/>
      <c r="AC55" s="628"/>
      <c r="AD55" s="629"/>
    </row>
    <row r="56" spans="2:36" ht="62.25" customHeight="1">
      <c r="Z56" s="323" t="s">
        <v>498</v>
      </c>
      <c r="AA56" s="324" t="s">
        <v>342</v>
      </c>
      <c r="AB56" s="324" t="s">
        <v>30</v>
      </c>
      <c r="AC56" s="324" t="s">
        <v>343</v>
      </c>
      <c r="AD56" s="325" t="s">
        <v>344</v>
      </c>
    </row>
    <row r="57" spans="2:36" ht="15.75">
      <c r="Z57" s="326" t="s">
        <v>472</v>
      </c>
      <c r="AA57" s="318">
        <f>'Top-Down Annual Fuel Cons.'!J6</f>
        <v>0</v>
      </c>
      <c r="AB57" s="475" t="s">
        <v>501</v>
      </c>
      <c r="AC57" s="321">
        <f>+SUMIFS('Summary Table'!$I:$I,'Summary Table'!$E:$E,$Z$25,'Summary Table'!$G:$G,'Top-Down Validation'!Z57)</f>
        <v>0</v>
      </c>
      <c r="AD57" s="329" t="e">
        <f>+AC57/AA57-1</f>
        <v>#DIV/0!</v>
      </c>
    </row>
    <row r="58" spans="2:36" ht="15.75">
      <c r="Z58" s="326" t="s">
        <v>474</v>
      </c>
      <c r="AA58" s="318">
        <f>'Top-Down Annual Fuel Cons.'!J7</f>
        <v>561.46217637130769</v>
      </c>
      <c r="AB58" s="475" t="s">
        <v>501</v>
      </c>
      <c r="AC58" s="321">
        <f>+SUMIFS('Summary Table'!$I:$I,'Summary Table'!$E:$E,$Z$25,'Summary Table'!$G:$G,'Top-Down Validation'!Z58)</f>
        <v>0</v>
      </c>
      <c r="AD58" s="329">
        <f>+AC58/AA58-1</f>
        <v>-1</v>
      </c>
    </row>
    <row r="59" spans="2:36" ht="15.75">
      <c r="Z59" s="326" t="s">
        <v>475</v>
      </c>
      <c r="AA59" s="318">
        <f>'Top-Down Annual Fuel Cons.'!J8</f>
        <v>332.51979468354415</v>
      </c>
      <c r="AB59" s="475" t="s">
        <v>501</v>
      </c>
      <c r="AC59" s="321"/>
      <c r="AD59" s="329"/>
    </row>
    <row r="60" spans="2:36" ht="15.75">
      <c r="Z60" s="326" t="s">
        <v>476</v>
      </c>
      <c r="AA60" s="318">
        <f>'Top-Down Annual Fuel Cons.'!J9</f>
        <v>320.3574605907171</v>
      </c>
      <c r="AB60" s="475" t="s">
        <v>501</v>
      </c>
      <c r="AC60" s="321"/>
      <c r="AD60" s="329"/>
    </row>
    <row r="61" spans="2:36" ht="15.75">
      <c r="I61" s="406"/>
      <c r="Z61" s="326" t="s">
        <v>477</v>
      </c>
      <c r="AA61" s="318">
        <f>'Top-Down Annual Fuel Cons.'!J10</f>
        <v>549.09818135021067</v>
      </c>
      <c r="AB61" s="475" t="s">
        <v>501</v>
      </c>
      <c r="AC61" s="321">
        <f>+SUMIFS('Summary Table'!$I:$I,'Summary Table'!$E:$E,$Z$25,'Summary Table'!$G:$G,'Top-Down Validation'!Z61)</f>
        <v>0</v>
      </c>
      <c r="AD61" s="329">
        <f>+AC61/AA61-1</f>
        <v>-1</v>
      </c>
    </row>
    <row r="62" spans="2:36" ht="15.75">
      <c r="I62" s="406"/>
      <c r="Z62" s="326" t="s">
        <v>478</v>
      </c>
      <c r="AA62" s="318">
        <f>'Top-Down Annual Fuel Cons.'!J11</f>
        <v>804.4744955274258</v>
      </c>
      <c r="AB62" s="475" t="s">
        <v>501</v>
      </c>
      <c r="AC62" s="328"/>
      <c r="AD62" s="329"/>
    </row>
    <row r="63" spans="2:36" ht="15.75">
      <c r="Z63" s="326" t="s">
        <v>479</v>
      </c>
      <c r="AA63" s="318">
        <f>'Top-Down Annual Fuel Cons.'!J12</f>
        <v>0</v>
      </c>
      <c r="AB63" s="475" t="s">
        <v>501</v>
      </c>
      <c r="AC63" s="328"/>
      <c r="AD63" s="330"/>
    </row>
    <row r="64" spans="2:36">
      <c r="Z64" s="341"/>
      <c r="AD64" s="342"/>
    </row>
    <row r="65" spans="26:30" ht="16.149999999999999"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3984375" defaultRowHeight="14.25"/>
  <cols>
    <col min="1" max="1" width="23.1328125" style="44" customWidth="1"/>
    <col min="2" max="2" width="14.265625" style="44" customWidth="1"/>
    <col min="3" max="3" width="15.86328125" style="44" customWidth="1"/>
    <col min="4" max="4" width="36.3984375" style="44" customWidth="1"/>
    <col min="5" max="5" width="15" style="44" customWidth="1"/>
    <col min="6" max="16384" width="11.3984375" style="44"/>
  </cols>
  <sheetData>
    <row r="4" spans="1:10" ht="59.45" customHeight="1"/>
    <row r="5" spans="1:10">
      <c r="J5" s="45"/>
    </row>
    <row r="6" spans="1:10" ht="15">
      <c r="A6" s="630" t="s">
        <v>2</v>
      </c>
      <c r="B6" s="630" t="s">
        <v>217</v>
      </c>
      <c r="C6" s="631" t="s">
        <v>195</v>
      </c>
      <c r="D6" s="630" t="s">
        <v>324</v>
      </c>
      <c r="E6" s="630" t="s">
        <v>211</v>
      </c>
      <c r="F6" s="630"/>
      <c r="G6" s="630"/>
      <c r="H6" s="630"/>
    </row>
    <row r="7" spans="1:10" ht="15">
      <c r="A7" s="630"/>
      <c r="B7" s="630"/>
      <c r="C7" s="624"/>
      <c r="D7" s="630"/>
      <c r="E7" s="228" t="s">
        <v>161</v>
      </c>
      <c r="F7" s="228" t="s">
        <v>162</v>
      </c>
      <c r="G7" s="228" t="s">
        <v>201</v>
      </c>
      <c r="H7" s="228" t="s">
        <v>212</v>
      </c>
    </row>
    <row r="8" spans="1:10" ht="15.75">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5.75">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5.75">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5.75">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5.75">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5.75">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5.75">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5.75">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F22" sqref="F22"/>
    </sheetView>
  </sheetViews>
  <sheetFormatPr defaultColWidth="11.3984375" defaultRowHeight="14.25"/>
  <cols>
    <col min="1" max="1" width="2.265625" style="44" customWidth="1"/>
    <col min="2" max="2" width="25.265625" style="44" customWidth="1"/>
    <col min="3" max="3" width="33.86328125" style="44" customWidth="1"/>
    <col min="4" max="4" width="19.3984375" style="44" customWidth="1"/>
    <col min="5" max="5" width="11.3984375" style="44" customWidth="1"/>
    <col min="6" max="6" width="18.3984375" style="44" customWidth="1"/>
    <col min="7" max="7" width="18.1328125" style="44" customWidth="1"/>
    <col min="8" max="8" width="11.3984375" style="44" customWidth="1"/>
    <col min="9" max="9" width="19.3984375" style="44" customWidth="1"/>
    <col min="10" max="10" width="2.86328125" style="44" customWidth="1"/>
    <col min="11" max="11" width="25" style="44" customWidth="1"/>
    <col min="12" max="12" width="33.265625" style="44" customWidth="1"/>
    <col min="13" max="13" width="20.1328125" style="44" customWidth="1"/>
    <col min="14" max="14" width="13.3984375" style="44" customWidth="1"/>
    <col min="15" max="15" width="20.1328125" style="44" customWidth="1"/>
    <col min="16" max="16" width="17.86328125" style="44" customWidth="1"/>
    <col min="17" max="17" width="11.3984375" style="44" customWidth="1"/>
    <col min="18" max="18" width="19.3984375" style="44" customWidth="1"/>
    <col min="19" max="19" width="11.3984375" style="44"/>
  </cols>
  <sheetData>
    <row r="17" spans="2:18" ht="14.65" thickBot="1"/>
    <row r="18" spans="2:18" ht="19.899999999999999" thickBot="1">
      <c r="B18" s="570" t="s">
        <v>363</v>
      </c>
      <c r="C18" s="574"/>
      <c r="D18" s="574"/>
      <c r="E18" s="574"/>
      <c r="F18" s="574"/>
      <c r="G18" s="574"/>
      <c r="H18" s="574"/>
      <c r="I18" s="571"/>
      <c r="K18" s="570" t="s">
        <v>207</v>
      </c>
      <c r="L18" s="574"/>
      <c r="M18" s="574"/>
      <c r="N18" s="574"/>
      <c r="O18" s="574"/>
      <c r="P18" s="574"/>
      <c r="Q18" s="574"/>
      <c r="R18" s="571"/>
    </row>
    <row r="19" spans="2:18" ht="47.25">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5.75">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5.75">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5.75">
      <c r="B22" s="374" t="s">
        <v>366</v>
      </c>
      <c r="C22" s="175" t="s">
        <v>323</v>
      </c>
      <c r="D22" s="185"/>
      <c r="E22" s="185"/>
      <c r="F22" s="234">
        <f>+SUMIFS('Summary Table'!$M:$M,'Summary Table'!$D:$D,B22,'Summary Table'!$E:$E,'Modal split'!C22)</f>
        <v>23663.230653222396</v>
      </c>
      <c r="G22" s="185"/>
      <c r="H22" s="185"/>
      <c r="I22" s="322">
        <f>+IFERROR(SUMIFS('Summary Table'!$I:$I,'Summary Table'!$D:$D,B22,'Summary Table'!$E:$E,'Modal split'!C22,'Summary Table'!$F:$F,'Modal split'!$B$18)/SUMIFS('Summary Table'!$M:$M,'Summary Table'!$D:$D,B22,'Summary Table'!$E:$E,'Modal split'!C22,'Summary Table'!$F:$F,'Modal split'!$B$18)*1000,"n.a.")</f>
        <v>30.09097842712039</v>
      </c>
      <c r="K22" s="374" t="s">
        <v>366</v>
      </c>
      <c r="L22" s="175" t="s">
        <v>327</v>
      </c>
      <c r="M22" s="176"/>
      <c r="N22" s="185"/>
      <c r="O22" s="234">
        <f>+SUMIFS('Summary Table'!$N:$N,'Summary Table'!$D:$D,K22,'Summary Table'!$E:$E,'Modal split'!L22)</f>
        <v>0</v>
      </c>
      <c r="P22" s="185"/>
      <c r="Q22" s="185"/>
      <c r="R22" s="322"/>
    </row>
    <row r="23" spans="2:18" ht="15.75">
      <c r="B23" s="374" t="s">
        <v>366</v>
      </c>
      <c r="C23" s="175" t="s">
        <v>82</v>
      </c>
      <c r="D23" s="176"/>
      <c r="E23" s="185"/>
      <c r="F23" s="234">
        <f>+SUMIFS('Summary Table'!$M:$M,'Summary Table'!$D:$D,B23,'Summary Table'!$E:$E,'Modal split'!C23)</f>
        <v>11614.585353963486</v>
      </c>
      <c r="G23" s="176"/>
      <c r="H23" s="185"/>
      <c r="I23" s="322">
        <f>+IFERROR(SUMIFS('Summary Table'!$I:$I,'Summary Table'!$D:$D,B23,'Summary Table'!$E:$E,'Modal split'!C23,'Summary Table'!$F:$F,'Modal split'!$B$18)/SUMIFS('Summary Table'!$M:$M,'Summary Table'!$D:$D,B23,'Summary Table'!$E:$E,'Modal split'!C23,'Summary Table'!$F:$F,'Modal split'!$B$18)*1000,"n.a.")</f>
        <v>10.060348114731296</v>
      </c>
      <c r="K23" s="374" t="s">
        <v>366</v>
      </c>
      <c r="L23" s="175" t="s">
        <v>328</v>
      </c>
      <c r="M23" s="185"/>
      <c r="N23" s="185"/>
      <c r="O23" s="234">
        <f>+SUMIFS('Summary Table'!$N:$N,'Summary Table'!$D:$D,K23,'Summary Table'!$E:$E,'Modal split'!L23)</f>
        <v>0</v>
      </c>
      <c r="P23" s="185"/>
      <c r="Q23" s="185"/>
      <c r="R23" s="322"/>
    </row>
    <row r="24" spans="2:18" ht="15.75">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5.75">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5.75">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5.75">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4.65"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defaultColWidth="10.265625" defaultRowHeight="12.75" customHeight="1"/>
  <cols>
    <col min="1" max="1" width="26.265625" style="76" customWidth="1"/>
    <col min="2" max="2" width="31.86328125" style="76" customWidth="1"/>
    <col min="3" max="3" width="15.73046875" style="76" customWidth="1"/>
    <col min="4" max="4" width="15.1328125" style="76" customWidth="1"/>
    <col min="5" max="13" width="12.1328125" style="76" customWidth="1"/>
    <col min="14" max="16384" width="10.265625" style="76"/>
  </cols>
  <sheetData>
    <row r="1" spans="1:13" ht="77.25" customHeight="1">
      <c r="D1" s="77"/>
    </row>
    <row r="2" spans="1:13" ht="21" customHeight="1"/>
    <row r="3" spans="1:13" ht="26.25" customHeight="1"/>
    <row r="4" spans="1:13" ht="26.45" customHeight="1" thickBot="1">
      <c r="A4" s="397"/>
      <c r="B4" s="397"/>
      <c r="C4" s="397"/>
      <c r="E4" s="397"/>
      <c r="F4" s="397"/>
      <c r="G4" s="397"/>
    </row>
    <row r="5" spans="1:13" ht="71.25" customHeight="1">
      <c r="A5" s="584" t="s">
        <v>11</v>
      </c>
      <c r="B5" s="586"/>
      <c r="C5" s="240" t="s">
        <v>388</v>
      </c>
      <c r="D5" s="240" t="s">
        <v>164</v>
      </c>
      <c r="E5" s="587" t="s">
        <v>161</v>
      </c>
      <c r="F5" s="585"/>
      <c r="G5" s="586"/>
      <c r="H5" s="587" t="s">
        <v>162</v>
      </c>
      <c r="I5" s="585"/>
      <c r="J5" s="586"/>
      <c r="K5" s="587" t="s">
        <v>163</v>
      </c>
      <c r="L5" s="585"/>
      <c r="M5" s="588"/>
    </row>
    <row r="6" spans="1:13" customFormat="1" ht="66.75" customHeight="1">
      <c r="A6" s="635" t="s">
        <v>30</v>
      </c>
      <c r="B6" s="636"/>
      <c r="C6" s="427" t="s">
        <v>389</v>
      </c>
      <c r="D6" s="427" t="s">
        <v>393</v>
      </c>
      <c r="E6" s="637" t="s">
        <v>390</v>
      </c>
      <c r="F6" s="637"/>
      <c r="G6" s="637"/>
      <c r="H6" s="632" t="s">
        <v>392</v>
      </c>
      <c r="I6" s="633"/>
      <c r="J6" s="633"/>
      <c r="K6" s="633"/>
      <c r="L6" s="633"/>
      <c r="M6" s="634"/>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defaultColWidth="12.3984375" defaultRowHeight="15.75"/>
  <cols>
    <col min="1" max="1" width="15.3984375" style="76" customWidth="1"/>
    <col min="2" max="2" width="23.3984375" style="76" customWidth="1"/>
    <col min="3" max="3" width="28.3984375" style="76" customWidth="1"/>
    <col min="4" max="4" width="18.86328125" style="76" customWidth="1"/>
    <col min="5" max="5" width="19" style="76" customWidth="1"/>
    <col min="6" max="6" width="25.3984375" style="76" customWidth="1"/>
    <col min="7" max="7" width="24.265625" style="76" bestFit="1" customWidth="1"/>
    <col min="8" max="8" width="12.3984375" style="76"/>
    <col min="9" max="9" width="11.86328125" style="76" customWidth="1"/>
    <col min="10" max="10" width="20.265625" style="76" customWidth="1"/>
    <col min="11" max="11" width="12.73046875" style="79" customWidth="1"/>
    <col min="12" max="12" width="9.3984375" style="76" customWidth="1"/>
    <col min="13" max="14" width="7.3984375" style="76" bestFit="1" customWidth="1"/>
    <col min="15" max="15" width="8.73046875" style="76" customWidth="1"/>
    <col min="16" max="16" width="12.265625" style="76" bestFit="1" customWidth="1"/>
    <col min="17" max="17" width="22.73046875" style="76" customWidth="1"/>
    <col min="18" max="18" width="29" style="76" customWidth="1"/>
    <col min="19" max="19" width="30.1328125" style="76" customWidth="1"/>
    <col min="20" max="20" width="26.73046875" style="76" customWidth="1"/>
    <col min="21" max="16384" width="12.3984375" style="76"/>
  </cols>
  <sheetData>
    <row r="1" spans="1:20" ht="77.25" customHeight="1">
      <c r="K1" s="76"/>
    </row>
    <row r="2" spans="1:20" ht="60" customHeight="1" thickBot="1">
      <c r="A2" s="638"/>
      <c r="B2" s="638"/>
      <c r="C2" s="638"/>
      <c r="D2" s="638"/>
      <c r="E2" s="638"/>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9" t="s">
        <v>438</v>
      </c>
      <c r="T4" s="640"/>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6.149999999999999"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3984375" defaultRowHeight="14.25"/>
  <cols>
    <col min="1" max="1" width="14.86328125" bestFit="1" customWidth="1"/>
    <col min="2" max="2" width="68.265625" customWidth="1"/>
    <col min="10" max="10" width="5.1328125" customWidth="1"/>
    <col min="11" max="12" width="11.3984375" hidden="1" customWidth="1"/>
    <col min="13" max="13" width="17.86328125" customWidth="1"/>
  </cols>
  <sheetData>
    <row r="2" spans="1:13" ht="14.65" thickBot="1"/>
    <row r="3" spans="1:13" ht="15.75">
      <c r="A3" s="174"/>
      <c r="B3" s="252" t="s">
        <v>187</v>
      </c>
      <c r="C3" s="641" t="s">
        <v>188</v>
      </c>
      <c r="D3" s="642"/>
      <c r="E3" s="642"/>
      <c r="F3" s="642"/>
      <c r="G3" s="642"/>
      <c r="H3" s="642"/>
      <c r="I3" s="642"/>
      <c r="J3" s="642"/>
      <c r="K3" s="642"/>
      <c r="L3" s="642"/>
      <c r="M3" s="643"/>
    </row>
    <row r="4" spans="1:13" ht="15.75">
      <c r="A4" s="174" t="s">
        <v>433</v>
      </c>
      <c r="B4" s="253" t="s">
        <v>431</v>
      </c>
      <c r="C4" s="644" t="s">
        <v>436</v>
      </c>
      <c r="D4" s="645"/>
      <c r="E4" s="645"/>
      <c r="F4" s="645"/>
      <c r="G4" s="645"/>
      <c r="H4" s="645"/>
      <c r="I4" s="645"/>
      <c r="J4" s="645"/>
      <c r="K4" s="645"/>
      <c r="L4" s="645"/>
      <c r="M4" s="646"/>
    </row>
    <row r="5" spans="1:13" ht="31.5">
      <c r="A5" s="174" t="s">
        <v>189</v>
      </c>
      <c r="B5" s="253" t="s">
        <v>190</v>
      </c>
      <c r="C5" s="647" t="s">
        <v>191</v>
      </c>
      <c r="D5" s="645"/>
      <c r="E5" s="645"/>
      <c r="F5" s="645"/>
      <c r="G5" s="645"/>
      <c r="H5" s="645"/>
      <c r="I5" s="645"/>
      <c r="J5" s="645"/>
      <c r="K5" s="645"/>
      <c r="L5" s="645"/>
      <c r="M5" s="646"/>
    </row>
    <row r="6" spans="1:13" ht="15.75">
      <c r="A6" s="174" t="s">
        <v>52</v>
      </c>
      <c r="B6" s="253" t="s">
        <v>192</v>
      </c>
      <c r="C6" s="647" t="s">
        <v>193</v>
      </c>
      <c r="D6" s="645"/>
      <c r="E6" s="645"/>
      <c r="F6" s="645"/>
      <c r="G6" s="645"/>
      <c r="H6" s="645"/>
      <c r="I6" s="645"/>
      <c r="J6" s="645"/>
      <c r="K6" s="645"/>
      <c r="L6" s="645"/>
      <c r="M6" s="646"/>
    </row>
    <row r="7" spans="1:13" ht="15.75">
      <c r="A7" s="175" t="s">
        <v>429</v>
      </c>
      <c r="B7" s="253" t="s">
        <v>434</v>
      </c>
      <c r="C7" s="648" t="s">
        <v>435</v>
      </c>
      <c r="D7" s="649"/>
      <c r="E7" s="649"/>
      <c r="F7" s="649"/>
      <c r="G7" s="649"/>
      <c r="H7" s="649"/>
      <c r="I7" s="649"/>
      <c r="J7" s="649"/>
      <c r="K7" s="649"/>
      <c r="L7" s="649"/>
      <c r="M7" s="649"/>
    </row>
    <row r="8" spans="1:13" ht="15.75">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3984375" defaultRowHeight="15.75"/>
  <cols>
    <col min="1" max="1" width="17.265625" style="4" customWidth="1"/>
    <col min="2" max="2" width="33.73046875" style="4" customWidth="1"/>
    <col min="3" max="3" width="33.3984375" style="4" customWidth="1"/>
    <col min="4" max="4" width="12.3984375" style="4"/>
    <col min="5" max="5" width="34.3984375" style="4" customWidth="1"/>
    <col min="6" max="16384" width="12.3984375" style="4"/>
  </cols>
  <sheetData>
    <row r="1" spans="1:3" ht="16.149999999999999" thickBot="1">
      <c r="A1" s="317"/>
      <c r="C1" s="317"/>
    </row>
    <row r="2" spans="1:3">
      <c r="A2" s="241" t="s">
        <v>12</v>
      </c>
      <c r="B2" s="240" t="s">
        <v>380</v>
      </c>
      <c r="C2" s="244" t="s">
        <v>381</v>
      </c>
    </row>
    <row r="3" spans="1:3">
      <c r="A3" s="374" t="s">
        <v>326</v>
      </c>
      <c r="B3" s="243" t="s">
        <v>365</v>
      </c>
      <c r="C3" s="375" t="s">
        <v>335</v>
      </c>
    </row>
    <row r="4" spans="1:3">
      <c r="A4" s="374" t="s">
        <v>322</v>
      </c>
      <c r="B4" s="243" t="s">
        <v>365</v>
      </c>
      <c r="C4" s="375" t="s">
        <v>202</v>
      </c>
    </row>
    <row r="5" spans="1:3">
      <c r="A5" s="374" t="s">
        <v>183</v>
      </c>
      <c r="B5" s="243" t="s">
        <v>366</v>
      </c>
      <c r="C5" s="375" t="s">
        <v>323</v>
      </c>
    </row>
    <row r="6" spans="1:3">
      <c r="A6" s="374" t="s">
        <v>185</v>
      </c>
      <c r="B6" s="243" t="s">
        <v>366</v>
      </c>
      <c r="C6" s="375" t="s">
        <v>327</v>
      </c>
    </row>
    <row r="7" spans="1:3">
      <c r="A7" s="374" t="s">
        <v>184</v>
      </c>
      <c r="B7" s="243" t="s">
        <v>366</v>
      </c>
      <c r="C7" s="375" t="s">
        <v>328</v>
      </c>
    </row>
    <row r="8" spans="1:3">
      <c r="A8" s="374" t="s">
        <v>184</v>
      </c>
      <c r="B8" s="243" t="s">
        <v>366</v>
      </c>
      <c r="C8" s="375" t="s">
        <v>82</v>
      </c>
    </row>
    <row r="9" spans="1:3">
      <c r="A9" s="374" t="s">
        <v>184</v>
      </c>
      <c r="B9" s="243" t="s">
        <v>366</v>
      </c>
      <c r="C9" s="375" t="s">
        <v>340</v>
      </c>
    </row>
    <row r="10" spans="1:3">
      <c r="A10" s="374" t="s">
        <v>186</v>
      </c>
      <c r="B10" s="243" t="s">
        <v>366</v>
      </c>
      <c r="C10" s="375" t="s">
        <v>329</v>
      </c>
    </row>
    <row r="11" spans="1:3">
      <c r="A11" s="374" t="s">
        <v>209</v>
      </c>
      <c r="B11" s="243" t="s">
        <v>333</v>
      </c>
      <c r="C11" s="375" t="s">
        <v>333</v>
      </c>
    </row>
    <row r="12" spans="1:3">
      <c r="A12" s="374" t="s">
        <v>209</v>
      </c>
      <c r="B12" s="243" t="s">
        <v>333</v>
      </c>
      <c r="C12" s="375" t="s">
        <v>333</v>
      </c>
    </row>
    <row r="13" spans="1:3">
      <c r="A13" s="374" t="s">
        <v>330</v>
      </c>
      <c r="B13" s="243" t="s">
        <v>367</v>
      </c>
      <c r="C13" s="375" t="s">
        <v>335</v>
      </c>
    </row>
    <row r="14" spans="1:3">
      <c r="A14" s="374" t="s">
        <v>332</v>
      </c>
      <c r="B14" s="243" t="s">
        <v>367</v>
      </c>
      <c r="C14" s="375" t="s">
        <v>331</v>
      </c>
    </row>
    <row r="15" spans="1:3">
      <c r="A15" s="374" t="s">
        <v>332</v>
      </c>
      <c r="B15" s="243" t="s">
        <v>367</v>
      </c>
      <c r="C15" s="375" t="s">
        <v>331</v>
      </c>
    </row>
    <row r="16" spans="1:3">
      <c r="A16" s="374" t="s">
        <v>332</v>
      </c>
      <c r="B16" s="243" t="s">
        <v>367</v>
      </c>
      <c r="C16" s="375" t="s">
        <v>331</v>
      </c>
    </row>
    <row r="17" spans="1:3">
      <c r="A17" s="374" t="s">
        <v>332</v>
      </c>
      <c r="B17" s="243" t="s">
        <v>367</v>
      </c>
      <c r="C17" s="375" t="s">
        <v>331</v>
      </c>
    </row>
    <row r="18" spans="1:3">
      <c r="A18" s="374" t="s">
        <v>368</v>
      </c>
      <c r="B18" s="243" t="s">
        <v>369</v>
      </c>
      <c r="C18" s="375" t="s">
        <v>370</v>
      </c>
    </row>
    <row r="19" spans="1:3" ht="16.149999999999999"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3984375" defaultRowHeight="14.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4379E8-E25F-4617-90FA-2442CE6DA6E0}">
  <ds:schemaRefs>
    <ds:schemaRef ds:uri="http://schemas.microsoft.com/sharepoint/v3/contenttype/forms"/>
  </ds:schemaRefs>
</ds:datastoreItem>
</file>

<file path=customXml/itemProps2.xml><?xml version="1.0" encoding="utf-8"?>
<ds:datastoreItem xmlns:ds="http://schemas.openxmlformats.org/officeDocument/2006/customXml" ds:itemID="{26C0072D-8C61-41CF-8BA6-9BE56A72138A}">
  <ds:schemaRefs>
    <ds:schemaRef ds:uri="http://purl.org/dc/elements/1.1/"/>
    <ds:schemaRef ds:uri="http://schemas.microsoft.com/office/2006/metadata/properties"/>
    <ds:schemaRef ds:uri="29f9fecb-a2e2-46d1-a4c5-f3d81a64ae0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5accaf2-c3cf-48a6-bf2c-71bf5406864a"/>
    <ds:schemaRef ds:uri="http://www.w3.org/XML/1998/namespace"/>
    <ds:schemaRef ds:uri="http://purl.org/dc/dcmitype/"/>
  </ds:schemaRefs>
</ds:datastoreItem>
</file>

<file path=customXml/itemProps3.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James Dixon</cp:lastModifiedBy>
  <dcterms:created xsi:type="dcterms:W3CDTF">2018-03-13T10:52:55Z</dcterms:created>
  <dcterms:modified xsi:type="dcterms:W3CDTF">2023-08-11T14:05:38Z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