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9.xml" ContentType="application/vnd.openxmlformats-officedocument.drawing+xml"/>
  <Override PartName="/xl/charts/chart7.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24226"/>
  <mc:AlternateContent xmlns:mc="http://schemas.openxmlformats.org/markup-compatibility/2006">
    <mc:Choice Requires="x15">
      <x15ac:absPath xmlns:x15ac="http://schemas.microsoft.com/office/spreadsheetml/2010/11/ac" url="https://unioxfordnexus-my.sharepoint.com/personal/cenv0795_ox_ac_uk/Documents/Work/CCG/TEAM-CCG/"/>
    </mc:Choice>
  </mc:AlternateContent>
  <xr:revisionPtr revIDLastSave="0" documentId="8_{414A094E-0F06-47F2-A3A1-1009D474475D}" xr6:coauthVersionLast="36" xr6:coauthVersionMax="36" xr10:uidLastSave="{00000000-0000-0000-0000-000000000000}"/>
  <bookViews>
    <workbookView xWindow="0" yWindow="0" windowWidth="28800" windowHeight="12225" tabRatio="773" activeTab="2" xr2:uid="{00000000-000D-0000-FFFF-FFFF00000000}"/>
  </bookViews>
  <sheets>
    <sheet name="Info" sheetId="12" r:id="rId1"/>
    <sheet name="1A3a Aviation" sheetId="20" r:id="rId2"/>
    <sheet name="1A3b Road" sheetId="13" r:id="rId3"/>
    <sheet name="1A3c Railways" sheetId="21" r:id="rId4"/>
    <sheet name="1A3di(i) Maritime" sheetId="23" state="hidden" r:id="rId5"/>
    <sheet name="Transport vessels" sheetId="31" state="hidden" r:id="rId6"/>
    <sheet name="Small Cargo (Bottom-up 1)" sheetId="32" r:id="rId7"/>
    <sheet name="KPA Port Call (Bottom-up 2)" sheetId="33" r:id="rId8"/>
    <sheet name="1A3di Maritime" sheetId="25" r:id="rId9"/>
    <sheet name="Top-Down Annual Fuel Cons." sheetId="30" r:id="rId10"/>
    <sheet name="Summary Table" sheetId="17" r:id="rId11"/>
    <sheet name="Top-Down Validation" sheetId="19" r:id="rId12"/>
    <sheet name="GHG Inventory" sheetId="18" r:id="rId13"/>
    <sheet name="Modal split" sheetId="26" r:id="rId14"/>
    <sheet name="Default Parameter" sheetId="15" r:id="rId15"/>
    <sheet name="(Edited)Spec. Fuel Consumption " sheetId="29" r:id="rId16"/>
    <sheet name="Sources" sheetId="9" r:id="rId17"/>
    <sheet name="Info NFR Codes" sheetId="16" r:id="rId18"/>
    <sheet name="Tabelle1" sheetId="27" r:id="rId19"/>
  </sheets>
  <externalReferences>
    <externalReference r:id="rId20"/>
    <externalReference r:id="rId21"/>
  </externalReferences>
  <definedNames>
    <definedName name="_xlnm._FilterDatabase" localSheetId="15" hidden="1">'(Edited)Spec. Fuel Consumption '!$A$3:$J$163</definedName>
    <definedName name="_xlnm._FilterDatabase" localSheetId="2" hidden="1">'1A3b Road'!$A$7:$AH$38</definedName>
    <definedName name="_xlnm._FilterDatabase" localSheetId="3" hidden="1">[1]Validation!#REF!</definedName>
    <definedName name="_xlnm._FilterDatabase" localSheetId="8" hidden="1">[2]Validation!#REF!</definedName>
    <definedName name="_xlnm._FilterDatabase" localSheetId="12" hidden="1">'GHG Inventory'!$C$6:$H$7</definedName>
    <definedName name="_xlnm._FilterDatabase" localSheetId="10" hidden="1">'Summary Table'!$B$6:$N$7</definedName>
    <definedName name="_xlnm._FilterDatabase" localSheetId="11" hidden="1">'Top-Down Validation'!#REF!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11" i="25" l="1"/>
  <c r="BC12" i="25"/>
  <c r="BC14" i="25"/>
  <c r="BC15" i="25"/>
  <c r="BC16" i="25"/>
  <c r="BC10" i="25"/>
  <c r="BB11" i="25"/>
  <c r="BB12" i="25"/>
  <c r="BB14" i="25"/>
  <c r="BB15" i="25"/>
  <c r="BB16" i="25"/>
  <c r="BB10" i="25"/>
  <c r="AI15" i="25"/>
  <c r="AI16" i="25"/>
  <c r="AI14" i="25"/>
  <c r="AH15" i="25"/>
  <c r="AH16" i="25"/>
  <c r="AH14" i="25"/>
  <c r="AH11" i="25"/>
  <c r="AH12" i="25"/>
  <c r="AH10" i="25"/>
  <c r="R15" i="25" l="1"/>
  <c r="R16" i="25"/>
  <c r="R14" i="25"/>
  <c r="U16" i="25"/>
  <c r="U15" i="25"/>
  <c r="U14" i="25"/>
  <c r="BA14" i="25"/>
  <c r="AE16" i="25"/>
  <c r="AC16" i="25"/>
  <c r="AE15" i="25"/>
  <c r="AC15" i="25"/>
  <c r="AE14" i="25"/>
  <c r="AC14" i="25"/>
  <c r="BA16" i="25"/>
  <c r="BA15" i="25"/>
  <c r="AZ14" i="25"/>
  <c r="AA11" i="25"/>
  <c r="AA12" i="25"/>
  <c r="AA14" i="25"/>
  <c r="AA15" i="25"/>
  <c r="AA16" i="25"/>
  <c r="H3" i="33"/>
  <c r="I3" i="33" s="1"/>
  <c r="H6" i="33"/>
  <c r="I6" i="33"/>
  <c r="H12" i="33"/>
  <c r="I12" i="33" s="1"/>
  <c r="H18" i="33"/>
  <c r="F3" i="32"/>
  <c r="G3" i="32" s="1"/>
  <c r="F4" i="32"/>
  <c r="G4" i="32" s="1"/>
  <c r="F5" i="32"/>
  <c r="G5" i="32" s="1"/>
  <c r="C8" i="32"/>
  <c r="D8" i="32"/>
  <c r="E8" i="32"/>
  <c r="AZ10" i="25"/>
  <c r="AZ11" i="25"/>
  <c r="AZ12" i="25"/>
  <c r="AU11" i="25"/>
  <c r="R11" i="25"/>
  <c r="AI11" i="25" s="1"/>
  <c r="U11" i="25"/>
  <c r="AC11" i="25"/>
  <c r="AE11" i="25"/>
  <c r="I8" i="30"/>
  <c r="I9" i="30"/>
  <c r="I10" i="30"/>
  <c r="I11" i="30"/>
  <c r="I7" i="30"/>
  <c r="H8" i="30"/>
  <c r="H9" i="30"/>
  <c r="H10" i="30"/>
  <c r="H11" i="30"/>
  <c r="H7" i="30"/>
  <c r="G7" i="30"/>
  <c r="G8" i="30"/>
  <c r="G9" i="30"/>
  <c r="G10" i="30"/>
  <c r="G11" i="30"/>
  <c r="AA28" i="19"/>
  <c r="G8" i="32" l="1"/>
  <c r="AJ14" i="25"/>
  <c r="AJ16" i="25"/>
  <c r="AK15" i="25"/>
  <c r="AJ15" i="25"/>
  <c r="AK14" i="25"/>
  <c r="AK16" i="25"/>
  <c r="AZ15" i="25"/>
  <c r="AZ16" i="25"/>
  <c r="AK11" i="25"/>
  <c r="I18" i="33"/>
  <c r="AV11" i="25"/>
  <c r="AA63" i="19"/>
  <c r="AA57" i="19"/>
  <c r="J11" i="30"/>
  <c r="AA62" i="19" s="1"/>
  <c r="J7" i="30"/>
  <c r="AA58" i="19" s="1"/>
  <c r="J8" i="30"/>
  <c r="AA59" i="19" s="1"/>
  <c r="J10" i="30"/>
  <c r="AA61" i="19" s="1"/>
  <c r="AC61" i="19"/>
  <c r="AC58" i="19"/>
  <c r="AC57" i="19"/>
  <c r="AJ11" i="25" l="1"/>
  <c r="BA11" i="25"/>
  <c r="J9" i="30"/>
  <c r="AA60" i="19" s="1"/>
  <c r="G13" i="30"/>
  <c r="AD58" i="19"/>
  <c r="AD61" i="19"/>
  <c r="AD57" i="19"/>
  <c r="H13" i="30"/>
  <c r="I13" i="30"/>
  <c r="D3" i="31"/>
  <c r="E3" i="31" s="1"/>
  <c r="AD10" i="23" s="1"/>
  <c r="C13" i="30"/>
  <c r="C14" i="30" s="1"/>
  <c r="B13" i="30"/>
  <c r="B14" i="30" s="1"/>
  <c r="P13" i="23"/>
  <c r="W13" i="23"/>
  <c r="Y13" i="23"/>
  <c r="AA13" i="23"/>
  <c r="J13" i="30" l="1"/>
  <c r="AD11" i="23"/>
  <c r="E11" i="20"/>
  <c r="E12" i="20"/>
  <c r="H25" i="13" l="1"/>
  <c r="H160" i="29"/>
  <c r="H159" i="29"/>
  <c r="H158" i="29"/>
  <c r="H5" i="29"/>
  <c r="I160" i="29"/>
  <c r="A4" i="29"/>
  <c r="T12" i="13" s="1"/>
  <c r="A5" i="29"/>
  <c r="U22" i="13" s="1"/>
  <c r="I5" i="29"/>
  <c r="A6" i="29"/>
  <c r="A7" i="29"/>
  <c r="A8" i="29"/>
  <c r="A11" i="29"/>
  <c r="H4" i="29"/>
  <c r="I4" i="29" s="1"/>
  <c r="H6" i="29"/>
  <c r="I6" i="29"/>
  <c r="H7" i="29"/>
  <c r="I7" i="29" s="1"/>
  <c r="H8" i="29"/>
  <c r="I8" i="29"/>
  <c r="H9" i="29"/>
  <c r="I9" i="29" s="1"/>
  <c r="H10" i="29"/>
  <c r="I10" i="29" s="1"/>
  <c r="H11" i="29"/>
  <c r="I11" i="29" s="1"/>
  <c r="A12" i="29"/>
  <c r="H12" i="29"/>
  <c r="I12" i="29" s="1"/>
  <c r="A13" i="29"/>
  <c r="H13" i="29"/>
  <c r="I13" i="29"/>
  <c r="A14" i="29"/>
  <c r="H14" i="29"/>
  <c r="I14" i="29" s="1"/>
  <c r="A15" i="29"/>
  <c r="H15" i="29"/>
  <c r="I15" i="29" s="1"/>
  <c r="A16" i="29"/>
  <c r="H16" i="29"/>
  <c r="I16" i="29" s="1"/>
  <c r="A17" i="29"/>
  <c r="H17" i="29"/>
  <c r="I17" i="29" s="1"/>
  <c r="A18" i="29"/>
  <c r="H18" i="29"/>
  <c r="I18" i="29"/>
  <c r="A19" i="29"/>
  <c r="H19" i="29"/>
  <c r="I19" i="29" s="1"/>
  <c r="A20" i="29"/>
  <c r="H20" i="29"/>
  <c r="I20" i="29" s="1"/>
  <c r="A21" i="29"/>
  <c r="H21" i="29"/>
  <c r="I21" i="29"/>
  <c r="A22" i="29"/>
  <c r="H22" i="29"/>
  <c r="I22" i="29"/>
  <c r="A23" i="29"/>
  <c r="H23" i="29"/>
  <c r="I23" i="29"/>
  <c r="A24" i="29"/>
  <c r="U26" i="13" s="1"/>
  <c r="H24" i="29"/>
  <c r="I24" i="29"/>
  <c r="A25" i="29"/>
  <c r="H25" i="29"/>
  <c r="I25" i="29" s="1"/>
  <c r="A26" i="29"/>
  <c r="H26" i="29"/>
  <c r="I26" i="29"/>
  <c r="A27" i="29"/>
  <c r="H27" i="29"/>
  <c r="I27" i="29" s="1"/>
  <c r="A28" i="29"/>
  <c r="H28" i="29"/>
  <c r="I28" i="29"/>
  <c r="A29" i="29"/>
  <c r="H29" i="29"/>
  <c r="I29" i="29"/>
  <c r="A30" i="29"/>
  <c r="H30" i="29"/>
  <c r="I30" i="29"/>
  <c r="A31" i="29"/>
  <c r="H31" i="29"/>
  <c r="I31" i="29" s="1"/>
  <c r="A32" i="29"/>
  <c r="H32" i="29"/>
  <c r="I32" i="29" s="1"/>
  <c r="A33" i="29"/>
  <c r="H33" i="29"/>
  <c r="I33" i="29"/>
  <c r="A34" i="29"/>
  <c r="H34" i="29"/>
  <c r="I34" i="29" s="1"/>
  <c r="A35" i="29"/>
  <c r="H35" i="29"/>
  <c r="I35" i="29" s="1"/>
  <c r="A36" i="29"/>
  <c r="H36" i="29"/>
  <c r="I36" i="29" s="1"/>
  <c r="A37" i="29"/>
  <c r="H37" i="29"/>
  <c r="I37" i="29" s="1"/>
  <c r="A38" i="29"/>
  <c r="H38" i="29"/>
  <c r="I38" i="29"/>
  <c r="A39" i="29"/>
  <c r="H39" i="29"/>
  <c r="I39" i="29" s="1"/>
  <c r="A40" i="29"/>
  <c r="H40" i="29"/>
  <c r="I40" i="29" s="1"/>
  <c r="A41" i="29"/>
  <c r="H41" i="29"/>
  <c r="I41" i="29"/>
  <c r="A42" i="29"/>
  <c r="H42" i="29"/>
  <c r="I42" i="29"/>
  <c r="A43" i="29"/>
  <c r="H43" i="29"/>
  <c r="I43" i="29"/>
  <c r="A44" i="29"/>
  <c r="H44" i="29"/>
  <c r="I44" i="29"/>
  <c r="A45" i="29"/>
  <c r="H45" i="29"/>
  <c r="I45" i="29" s="1"/>
  <c r="I46" i="29"/>
  <c r="I47" i="29"/>
  <c r="I48" i="29"/>
  <c r="I49" i="29"/>
  <c r="I50" i="29"/>
  <c r="I51" i="29"/>
  <c r="I52" i="29"/>
  <c r="I53" i="29"/>
  <c r="I54" i="29"/>
  <c r="I55" i="29"/>
  <c r="A56" i="29"/>
  <c r="I56" i="29"/>
  <c r="A57" i="29"/>
  <c r="I57" i="29"/>
  <c r="A58" i="29"/>
  <c r="I58" i="29"/>
  <c r="A59" i="29"/>
  <c r="H59" i="29"/>
  <c r="I59" i="29"/>
  <c r="A60" i="29"/>
  <c r="H60" i="29"/>
  <c r="I60" i="29" s="1"/>
  <c r="A61" i="29"/>
  <c r="H61" i="29"/>
  <c r="I61" i="29" s="1"/>
  <c r="A62" i="29"/>
  <c r="H62" i="29"/>
  <c r="I62" i="29"/>
  <c r="A63" i="29"/>
  <c r="I63" i="29"/>
  <c r="A64" i="29"/>
  <c r="I64" i="29"/>
  <c r="A65" i="29"/>
  <c r="I65" i="29"/>
  <c r="A66" i="29"/>
  <c r="I66" i="29"/>
  <c r="A67" i="29"/>
  <c r="I67" i="29"/>
  <c r="A68" i="29"/>
  <c r="I68" i="29"/>
  <c r="A69" i="29"/>
  <c r="H69" i="29"/>
  <c r="I69" i="29"/>
  <c r="A70" i="29"/>
  <c r="H70" i="29"/>
  <c r="I70" i="29" s="1"/>
  <c r="A71" i="29"/>
  <c r="H71" i="29"/>
  <c r="I71" i="29"/>
  <c r="A72" i="29"/>
  <c r="I72" i="29"/>
  <c r="A73" i="29"/>
  <c r="I73" i="29"/>
  <c r="A74" i="29"/>
  <c r="I74" i="29"/>
  <c r="A75" i="29"/>
  <c r="I75" i="29"/>
  <c r="A76" i="29"/>
  <c r="I76" i="29"/>
  <c r="A77" i="29"/>
  <c r="I77" i="29"/>
  <c r="A78" i="29"/>
  <c r="H78" i="29"/>
  <c r="I78" i="29"/>
  <c r="A79" i="29"/>
  <c r="H79" i="29"/>
  <c r="I79" i="29" s="1"/>
  <c r="A80" i="29"/>
  <c r="H80" i="29"/>
  <c r="I80" i="29" s="1"/>
  <c r="A81" i="29"/>
  <c r="H81" i="29"/>
  <c r="I81" i="29" s="1"/>
  <c r="A82" i="29"/>
  <c r="H82" i="29"/>
  <c r="I82" i="29" s="1"/>
  <c r="A83" i="29"/>
  <c r="H83" i="29"/>
  <c r="I83" i="29"/>
  <c r="A84" i="29"/>
  <c r="H84" i="29"/>
  <c r="I84" i="29" s="1"/>
  <c r="A85" i="29"/>
  <c r="H85" i="29"/>
  <c r="I85" i="29" s="1"/>
  <c r="A86" i="29"/>
  <c r="H86" i="29"/>
  <c r="I86" i="29"/>
  <c r="A87" i="29"/>
  <c r="H87" i="29"/>
  <c r="I87" i="29"/>
  <c r="A88" i="29"/>
  <c r="H88" i="29"/>
  <c r="I88" i="29"/>
  <c r="A89" i="29"/>
  <c r="H89" i="29"/>
  <c r="I89" i="29"/>
  <c r="A90" i="29"/>
  <c r="H90" i="29"/>
  <c r="I90" i="29" s="1"/>
  <c r="A91" i="29"/>
  <c r="H91" i="29"/>
  <c r="I91" i="29"/>
  <c r="A92" i="29"/>
  <c r="H92" i="29"/>
  <c r="I92" i="29" s="1"/>
  <c r="A93" i="29"/>
  <c r="H93" i="29"/>
  <c r="I93" i="29"/>
  <c r="A94" i="29"/>
  <c r="H94" i="29"/>
  <c r="I94" i="29"/>
  <c r="A95" i="29"/>
  <c r="H95" i="29"/>
  <c r="I95" i="29"/>
  <c r="A96" i="29"/>
  <c r="H96" i="29"/>
  <c r="I96" i="29" s="1"/>
  <c r="A97" i="29"/>
  <c r="H97" i="29"/>
  <c r="I97" i="29"/>
  <c r="A98" i="29"/>
  <c r="H98" i="29"/>
  <c r="I98" i="29"/>
  <c r="A99" i="29"/>
  <c r="H99" i="29"/>
  <c r="I99" i="29" s="1"/>
  <c r="A100" i="29"/>
  <c r="H100" i="29"/>
  <c r="I100" i="29" s="1"/>
  <c r="A101" i="29"/>
  <c r="H101" i="29"/>
  <c r="I101" i="29" s="1"/>
  <c r="A102" i="29"/>
  <c r="H102" i="29"/>
  <c r="I102" i="29" s="1"/>
  <c r="A103" i="29"/>
  <c r="H103" i="29"/>
  <c r="I103" i="29"/>
  <c r="A104" i="29"/>
  <c r="H104" i="29"/>
  <c r="I104" i="29" s="1"/>
  <c r="A105" i="29"/>
  <c r="I105" i="29"/>
  <c r="A106" i="29"/>
  <c r="I106" i="29"/>
  <c r="A107" i="29"/>
  <c r="I107" i="29"/>
  <c r="A108" i="29"/>
  <c r="I108" i="29"/>
  <c r="A109" i="29"/>
  <c r="I109" i="29"/>
  <c r="A110" i="29"/>
  <c r="I110" i="29"/>
  <c r="A111" i="29"/>
  <c r="I111" i="29"/>
  <c r="A112" i="29"/>
  <c r="I112" i="29"/>
  <c r="A113" i="29"/>
  <c r="I113" i="29"/>
  <c r="A114" i="29"/>
  <c r="I114" i="29"/>
  <c r="A115" i="29"/>
  <c r="I115" i="29"/>
  <c r="A116" i="29"/>
  <c r="I116" i="29"/>
  <c r="A117" i="29"/>
  <c r="I117" i="29"/>
  <c r="A118" i="29"/>
  <c r="I118" i="29"/>
  <c r="A119" i="29"/>
  <c r="I119" i="29"/>
  <c r="A120" i="29"/>
  <c r="H120" i="29"/>
  <c r="I120" i="29"/>
  <c r="A121" i="29"/>
  <c r="I121" i="29"/>
  <c r="A122" i="29"/>
  <c r="I122" i="29"/>
  <c r="A123" i="29"/>
  <c r="I123" i="29"/>
  <c r="A124" i="29"/>
  <c r="I124" i="29"/>
  <c r="A125" i="29"/>
  <c r="I125" i="29"/>
  <c r="A126" i="29"/>
  <c r="I126" i="29"/>
  <c r="A127" i="29"/>
  <c r="I127" i="29"/>
  <c r="A128" i="29"/>
  <c r="I128" i="29"/>
  <c r="A129" i="29"/>
  <c r="I129" i="29"/>
  <c r="A130" i="29"/>
  <c r="I130" i="29"/>
  <c r="A131" i="29"/>
  <c r="I131" i="29"/>
  <c r="A132" i="29"/>
  <c r="I132" i="29"/>
  <c r="A133" i="29"/>
  <c r="I133" i="29"/>
  <c r="A134" i="29"/>
  <c r="I134" i="29"/>
  <c r="A135" i="29"/>
  <c r="I135" i="29"/>
  <c r="A136" i="29"/>
  <c r="I136" i="29"/>
  <c r="A137" i="29"/>
  <c r="I137" i="29"/>
  <c r="A138" i="29"/>
  <c r="I138" i="29"/>
  <c r="A139" i="29"/>
  <c r="I139" i="29"/>
  <c r="A140" i="29"/>
  <c r="I140" i="29"/>
  <c r="A141" i="29"/>
  <c r="I141" i="29"/>
  <c r="A142" i="29"/>
  <c r="I142" i="29"/>
  <c r="A143" i="29"/>
  <c r="I143" i="29"/>
  <c r="A144" i="29"/>
  <c r="I144" i="29"/>
  <c r="A145" i="29"/>
  <c r="I145" i="29"/>
  <c r="A146" i="29"/>
  <c r="I146" i="29"/>
  <c r="A147" i="29"/>
  <c r="I147" i="29"/>
  <c r="A148" i="29"/>
  <c r="I148" i="29"/>
  <c r="A149" i="29"/>
  <c r="H149" i="29"/>
  <c r="I149" i="29"/>
  <c r="A150" i="29"/>
  <c r="H150" i="29"/>
  <c r="I150" i="29"/>
  <c r="A151" i="29"/>
  <c r="H151" i="29"/>
  <c r="I151" i="29" s="1"/>
  <c r="A152" i="29"/>
  <c r="H152" i="29"/>
  <c r="I152" i="29"/>
  <c r="A153" i="29"/>
  <c r="H153" i="29"/>
  <c r="I153" i="29" s="1"/>
  <c r="A154" i="29"/>
  <c r="H154" i="29"/>
  <c r="I154" i="29"/>
  <c r="A155" i="29"/>
  <c r="H155" i="29"/>
  <c r="I155" i="29" s="1"/>
  <c r="A156" i="29"/>
  <c r="H156" i="29"/>
  <c r="I156" i="29"/>
  <c r="A157" i="29"/>
  <c r="H157" i="29"/>
  <c r="I157" i="29" s="1"/>
  <c r="A158" i="29"/>
  <c r="I158" i="29"/>
  <c r="A159" i="29"/>
  <c r="I159" i="29"/>
  <c r="A160" i="29"/>
  <c r="A161" i="29"/>
  <c r="I161" i="29"/>
  <c r="A162" i="29"/>
  <c r="I162" i="29"/>
  <c r="A163" i="29"/>
  <c r="I163" i="29"/>
  <c r="V28" i="29"/>
  <c r="V27" i="29"/>
  <c r="V20" i="29"/>
  <c r="V21" i="29"/>
  <c r="V19" i="29"/>
  <c r="L18" i="13"/>
  <c r="AM18" i="13" s="1"/>
  <c r="P18" i="13"/>
  <c r="L20" i="13"/>
  <c r="P20" i="13"/>
  <c r="L22" i="13"/>
  <c r="P22" i="13"/>
  <c r="L17" i="13"/>
  <c r="P17" i="13"/>
  <c r="L19" i="13"/>
  <c r="P19" i="13"/>
  <c r="L21" i="13"/>
  <c r="P21" i="13"/>
  <c r="I17" i="17"/>
  <c r="L11" i="13"/>
  <c r="P11" i="13"/>
  <c r="L13" i="13"/>
  <c r="P13" i="13"/>
  <c r="L15" i="13"/>
  <c r="P15" i="13"/>
  <c r="L26" i="13"/>
  <c r="AN26" i="13" s="1"/>
  <c r="P26" i="13"/>
  <c r="L27" i="13"/>
  <c r="P27" i="13"/>
  <c r="L28" i="13"/>
  <c r="P28" i="13"/>
  <c r="L29" i="13"/>
  <c r="P29" i="13"/>
  <c r="L10" i="13"/>
  <c r="P10" i="13"/>
  <c r="L12" i="13"/>
  <c r="P12" i="13"/>
  <c r="L14" i="13"/>
  <c r="P14" i="13"/>
  <c r="L24" i="13"/>
  <c r="AM24" i="13" s="1"/>
  <c r="M22" i="17" s="1"/>
  <c r="F23" i="26" s="1"/>
  <c r="P24" i="13"/>
  <c r="L30" i="13"/>
  <c r="P30" i="13"/>
  <c r="L31" i="13"/>
  <c r="P31" i="13"/>
  <c r="L32" i="13"/>
  <c r="AM32" i="13" s="1"/>
  <c r="P32" i="13"/>
  <c r="L33" i="13"/>
  <c r="AM33" i="13" s="1"/>
  <c r="P33" i="13"/>
  <c r="L35" i="13"/>
  <c r="AN35" i="13" s="1"/>
  <c r="N24" i="17" s="1"/>
  <c r="P35" i="13"/>
  <c r="L36" i="13"/>
  <c r="P36" i="13"/>
  <c r="L37" i="13"/>
  <c r="P37" i="13"/>
  <c r="U27" i="13"/>
  <c r="U10" i="13"/>
  <c r="M9" i="17"/>
  <c r="F21" i="26" s="1"/>
  <c r="M11" i="17"/>
  <c r="AM10" i="13"/>
  <c r="AM14" i="13"/>
  <c r="AM11" i="13"/>
  <c r="M15" i="17" s="1"/>
  <c r="AM13" i="13"/>
  <c r="AM15" i="13"/>
  <c r="M16" i="17"/>
  <c r="M17" i="17"/>
  <c r="M21" i="17"/>
  <c r="M23" i="17"/>
  <c r="AM35" i="13"/>
  <c r="M24" i="17" s="1"/>
  <c r="F24" i="26" s="1"/>
  <c r="AM36" i="13"/>
  <c r="AM37" i="13"/>
  <c r="M27" i="17"/>
  <c r="M28" i="17"/>
  <c r="F25" i="26" s="1"/>
  <c r="AI12" i="23"/>
  <c r="AI9" i="23" s="1"/>
  <c r="AU10" i="25"/>
  <c r="M10" i="17"/>
  <c r="AM17" i="13"/>
  <c r="AM19" i="13"/>
  <c r="AM21" i="13"/>
  <c r="M18" i="17"/>
  <c r="AM20" i="13"/>
  <c r="AM28" i="13"/>
  <c r="AM29" i="13"/>
  <c r="AM30" i="13"/>
  <c r="AM31" i="13"/>
  <c r="AI15" i="23"/>
  <c r="F27" i="26"/>
  <c r="O28" i="19"/>
  <c r="AJ12" i="23"/>
  <c r="AJ13" i="23" s="1"/>
  <c r="AK12" i="23"/>
  <c r="AK13" i="23" s="1"/>
  <c r="AJ15" i="23"/>
  <c r="AJ17" i="23" s="1"/>
  <c r="AK15" i="23"/>
  <c r="AK16" i="23" s="1"/>
  <c r="I29" i="19"/>
  <c r="AN29" i="13"/>
  <c r="Q29" i="13"/>
  <c r="Z29" i="13"/>
  <c r="X29" i="13"/>
  <c r="V29" i="13"/>
  <c r="AA29" i="13"/>
  <c r="Y29" i="13"/>
  <c r="AN28" i="13"/>
  <c r="Q28" i="13"/>
  <c r="Z28" i="13"/>
  <c r="X28" i="13"/>
  <c r="V28" i="13"/>
  <c r="AA28" i="13"/>
  <c r="Y28" i="13"/>
  <c r="Q27" i="13"/>
  <c r="Z27" i="13"/>
  <c r="X27" i="13"/>
  <c r="V27" i="13"/>
  <c r="AA27" i="13"/>
  <c r="Y27" i="13"/>
  <c r="Q30" i="13"/>
  <c r="V30" i="13"/>
  <c r="X30" i="13"/>
  <c r="Y30" i="13"/>
  <c r="Z30" i="13"/>
  <c r="AA30" i="13"/>
  <c r="AN30" i="13"/>
  <c r="Q31" i="13"/>
  <c r="V31" i="13"/>
  <c r="X31" i="13"/>
  <c r="Y31" i="13"/>
  <c r="Z31" i="13"/>
  <c r="AA31" i="13"/>
  <c r="AN31" i="13"/>
  <c r="Q32" i="13"/>
  <c r="V32" i="13"/>
  <c r="X32" i="13"/>
  <c r="Y32" i="13"/>
  <c r="Z32" i="13"/>
  <c r="AA32" i="13"/>
  <c r="H34" i="13"/>
  <c r="L34" i="13"/>
  <c r="J34" i="13"/>
  <c r="Q35" i="13"/>
  <c r="V35" i="13"/>
  <c r="X35" i="13"/>
  <c r="Y35" i="13"/>
  <c r="Z35" i="13"/>
  <c r="AA35" i="13"/>
  <c r="Q36" i="13"/>
  <c r="V36" i="13"/>
  <c r="X36" i="13"/>
  <c r="Y36" i="13"/>
  <c r="Z36" i="13"/>
  <c r="AA36" i="13"/>
  <c r="AN36" i="13"/>
  <c r="Q37" i="13"/>
  <c r="V37" i="13"/>
  <c r="X37" i="13"/>
  <c r="Y37" i="13"/>
  <c r="Z37" i="13"/>
  <c r="AA37" i="13"/>
  <c r="AN37" i="13"/>
  <c r="H23" i="13"/>
  <c r="Q22" i="13"/>
  <c r="Z22" i="13"/>
  <c r="X22" i="13"/>
  <c r="V22" i="13"/>
  <c r="AA22" i="13"/>
  <c r="Y22" i="13"/>
  <c r="AN21" i="13"/>
  <c r="Q21" i="13"/>
  <c r="Z21" i="13"/>
  <c r="X21" i="13"/>
  <c r="V21" i="13"/>
  <c r="AA21" i="13"/>
  <c r="Y21" i="13"/>
  <c r="AN20" i="13"/>
  <c r="Q20" i="13"/>
  <c r="Z20" i="13"/>
  <c r="X20" i="13"/>
  <c r="V20" i="13"/>
  <c r="AA20" i="13"/>
  <c r="Y20" i="13"/>
  <c r="AN19" i="13"/>
  <c r="Q19" i="13"/>
  <c r="Z19" i="13"/>
  <c r="X19" i="13"/>
  <c r="V19" i="13"/>
  <c r="AA19" i="13"/>
  <c r="Y19" i="13"/>
  <c r="Q18" i="13"/>
  <c r="Z18" i="13"/>
  <c r="X18" i="13"/>
  <c r="V18" i="13"/>
  <c r="AA18" i="13"/>
  <c r="Y18" i="13"/>
  <c r="AN17" i="13"/>
  <c r="Q17" i="13"/>
  <c r="Z17" i="13"/>
  <c r="X17" i="13"/>
  <c r="V17" i="13"/>
  <c r="AA17" i="13"/>
  <c r="Y17" i="13"/>
  <c r="H16" i="13"/>
  <c r="B39" i="17"/>
  <c r="B38" i="17"/>
  <c r="B37" i="17"/>
  <c r="B32" i="17"/>
  <c r="B33" i="17"/>
  <c r="B34" i="17"/>
  <c r="B31" i="17"/>
  <c r="B28" i="17"/>
  <c r="B27" i="17"/>
  <c r="B15" i="17"/>
  <c r="B16" i="17"/>
  <c r="B17" i="17"/>
  <c r="B18" i="17"/>
  <c r="B19" i="17"/>
  <c r="B20" i="17"/>
  <c r="B21" i="17"/>
  <c r="B22" i="17"/>
  <c r="B23" i="17"/>
  <c r="B24" i="17"/>
  <c r="B14" i="17"/>
  <c r="B10" i="17"/>
  <c r="B11" i="17"/>
  <c r="B9" i="17"/>
  <c r="H10" i="21"/>
  <c r="N10" i="21"/>
  <c r="H11" i="21"/>
  <c r="N11" i="21"/>
  <c r="U11" i="21"/>
  <c r="J28" i="17" s="1"/>
  <c r="P11" i="21"/>
  <c r="V11" i="21"/>
  <c r="K28" i="17"/>
  <c r="R11" i="21"/>
  <c r="P10" i="21"/>
  <c r="R10" i="21"/>
  <c r="I28" i="17"/>
  <c r="I27" i="17"/>
  <c r="H24" i="15"/>
  <c r="U10" i="25"/>
  <c r="R10" i="25"/>
  <c r="AI10" i="25" s="1"/>
  <c r="AC10" i="25"/>
  <c r="U12" i="25"/>
  <c r="R12" i="25"/>
  <c r="AI12" i="25" s="1"/>
  <c r="AC12" i="25"/>
  <c r="Q10" i="13"/>
  <c r="X10" i="13"/>
  <c r="Q11" i="13"/>
  <c r="X11" i="13"/>
  <c r="Q12" i="13"/>
  <c r="X12" i="13"/>
  <c r="Q13" i="13"/>
  <c r="X13" i="13"/>
  <c r="Q14" i="13"/>
  <c r="X14" i="13"/>
  <c r="Q15" i="13"/>
  <c r="X15" i="13"/>
  <c r="Q24" i="13"/>
  <c r="X24" i="13"/>
  <c r="Q26" i="13"/>
  <c r="X26" i="13"/>
  <c r="Q33" i="13"/>
  <c r="X33" i="13"/>
  <c r="H11" i="20"/>
  <c r="R11" i="20" s="1"/>
  <c r="J9" i="17" s="1"/>
  <c r="K11" i="20"/>
  <c r="H13" i="20"/>
  <c r="K13" i="20"/>
  <c r="AA17" i="23"/>
  <c r="AA14" i="23"/>
  <c r="O13" i="20"/>
  <c r="O12" i="20"/>
  <c r="O11" i="20"/>
  <c r="O10" i="20"/>
  <c r="Y17" i="23"/>
  <c r="Y14" i="23"/>
  <c r="M13" i="20"/>
  <c r="M12" i="20"/>
  <c r="M11" i="20"/>
  <c r="T11" i="20" s="1"/>
  <c r="K9" i="17" s="1"/>
  <c r="M10" i="20"/>
  <c r="T10" i="20" s="1"/>
  <c r="AA10" i="25"/>
  <c r="W17" i="23"/>
  <c r="W16" i="23"/>
  <c r="W14" i="23"/>
  <c r="K12" i="20"/>
  <c r="K10" i="20"/>
  <c r="Z33" i="13"/>
  <c r="Z26" i="13"/>
  <c r="Z24" i="13"/>
  <c r="Z15" i="13"/>
  <c r="Z14" i="13"/>
  <c r="Z13" i="13"/>
  <c r="Z12" i="13"/>
  <c r="Z11" i="13"/>
  <c r="Z10" i="13"/>
  <c r="V33" i="13"/>
  <c r="V26" i="13"/>
  <c r="V24" i="13"/>
  <c r="V15" i="13"/>
  <c r="V14" i="13"/>
  <c r="V13" i="13"/>
  <c r="V12" i="13"/>
  <c r="V11" i="13"/>
  <c r="V10" i="13"/>
  <c r="M21" i="15"/>
  <c r="L21" i="15"/>
  <c r="J21" i="15"/>
  <c r="I21" i="15"/>
  <c r="M18" i="15"/>
  <c r="M19" i="15"/>
  <c r="L18" i="15"/>
  <c r="L19" i="15"/>
  <c r="J18" i="15"/>
  <c r="J19" i="15" s="1"/>
  <c r="I18" i="15"/>
  <c r="I19" i="15" s="1"/>
  <c r="M24" i="15"/>
  <c r="L24" i="15"/>
  <c r="J24" i="15"/>
  <c r="I24" i="15"/>
  <c r="M22" i="15"/>
  <c r="L22" i="15"/>
  <c r="J22" i="15"/>
  <c r="I22" i="15"/>
  <c r="M23" i="15"/>
  <c r="L23" i="15"/>
  <c r="J23" i="15"/>
  <c r="I23" i="15"/>
  <c r="G25" i="15"/>
  <c r="F25" i="15"/>
  <c r="G23" i="15"/>
  <c r="F23" i="15"/>
  <c r="G20" i="15"/>
  <c r="G22" i="15" s="1"/>
  <c r="G24" i="15" s="1"/>
  <c r="F20" i="15"/>
  <c r="F22" i="15"/>
  <c r="F24" i="15" s="1"/>
  <c r="K24" i="15"/>
  <c r="K22" i="15"/>
  <c r="AA16" i="23" s="1"/>
  <c r="H22" i="15"/>
  <c r="Y16" i="23"/>
  <c r="I27" i="26"/>
  <c r="I21" i="26"/>
  <c r="W28" i="19"/>
  <c r="X28" i="19" s="1"/>
  <c r="H31" i="17"/>
  <c r="N28" i="17"/>
  <c r="N27" i="17"/>
  <c r="N10" i="17"/>
  <c r="O27" i="26" s="1"/>
  <c r="N11" i="17"/>
  <c r="N9" i="17"/>
  <c r="I10" i="17"/>
  <c r="AI29" i="19" s="1"/>
  <c r="AJ29" i="19" s="1"/>
  <c r="I11" i="17"/>
  <c r="K30" i="19" s="1"/>
  <c r="L30" i="19" s="1"/>
  <c r="I9" i="17"/>
  <c r="H14" i="17"/>
  <c r="A38" i="17"/>
  <c r="A39" i="17"/>
  <c r="A37" i="17"/>
  <c r="A32" i="17"/>
  <c r="A33" i="17"/>
  <c r="A34" i="17"/>
  <c r="A31" i="17"/>
  <c r="A28" i="17"/>
  <c r="A27" i="17"/>
  <c r="A15" i="17"/>
  <c r="A16" i="17"/>
  <c r="A17" i="17"/>
  <c r="A18" i="17"/>
  <c r="A19" i="17"/>
  <c r="A20" i="17"/>
  <c r="A21" i="17"/>
  <c r="A22" i="17"/>
  <c r="A23" i="17"/>
  <c r="A24" i="17"/>
  <c r="A14" i="17"/>
  <c r="A10" i="17"/>
  <c r="A11" i="17"/>
  <c r="A9" i="17"/>
  <c r="I25" i="26"/>
  <c r="O24" i="26"/>
  <c r="O21" i="26"/>
  <c r="L10" i="21"/>
  <c r="L11" i="21"/>
  <c r="M11" i="21"/>
  <c r="M10" i="21"/>
  <c r="K11" i="21"/>
  <c r="K10" i="21"/>
  <c r="E9" i="21"/>
  <c r="H10" i="17"/>
  <c r="F34" i="19"/>
  <c r="H10" i="20"/>
  <c r="H27" i="17" a="1"/>
  <c r="H27" i="17" s="1"/>
  <c r="AN11" i="13"/>
  <c r="AN15" i="13"/>
  <c r="H32" i="17"/>
  <c r="H37" i="17"/>
  <c r="P14" i="23"/>
  <c r="P17" i="23"/>
  <c r="P16" i="23"/>
  <c r="H12" i="20"/>
  <c r="T12" i="20" s="1"/>
  <c r="K10" i="17" s="1"/>
  <c r="H33" i="17"/>
  <c r="H34" i="17"/>
  <c r="H38" i="17"/>
  <c r="H39" i="17"/>
  <c r="H28" i="17"/>
  <c r="H9" i="17"/>
  <c r="H11" i="17"/>
  <c r="A9" i="18"/>
  <c r="B9" i="18"/>
  <c r="A10" i="18"/>
  <c r="B10" i="18"/>
  <c r="A11" i="18"/>
  <c r="B11" i="18"/>
  <c r="B8" i="18"/>
  <c r="A8" i="18"/>
  <c r="B13" i="18"/>
  <c r="A13" i="18"/>
  <c r="B14" i="18"/>
  <c r="A14" i="18"/>
  <c r="B12" i="18"/>
  <c r="A12" i="18"/>
  <c r="AN12" i="13"/>
  <c r="AN13" i="13"/>
  <c r="AN14" i="13"/>
  <c r="AN24" i="13"/>
  <c r="N22" i="17" s="1"/>
  <c r="AN33" i="13"/>
  <c r="H24" i="17"/>
  <c r="H23" i="17"/>
  <c r="H22" i="17"/>
  <c r="H21" i="17"/>
  <c r="H20" i="17"/>
  <c r="H19" i="17"/>
  <c r="H18" i="17"/>
  <c r="H17" i="17"/>
  <c r="H16" i="17"/>
  <c r="H15" i="17"/>
  <c r="AA33" i="13"/>
  <c r="Y33" i="13"/>
  <c r="AA26" i="13"/>
  <c r="Y26" i="13"/>
  <c r="AA24" i="13"/>
  <c r="Y24" i="13"/>
  <c r="AA15" i="13"/>
  <c r="Y15" i="13"/>
  <c r="AA14" i="13"/>
  <c r="Y14" i="13"/>
  <c r="AA13" i="13"/>
  <c r="Y13" i="13"/>
  <c r="AA12" i="13"/>
  <c r="Y12" i="13"/>
  <c r="AA11" i="13"/>
  <c r="Y11" i="13"/>
  <c r="AA10" i="13"/>
  <c r="Y10" i="13"/>
  <c r="I9" i="25"/>
  <c r="AJ16" i="23"/>
  <c r="AJ14" i="23"/>
  <c r="AJ9" i="23"/>
  <c r="J9" i="23"/>
  <c r="G9" i="23"/>
  <c r="E9" i="23"/>
  <c r="H9" i="13"/>
  <c r="J9" i="13" s="1"/>
  <c r="N15" i="17"/>
  <c r="N23" i="17"/>
  <c r="N21" i="17"/>
  <c r="L23" i="13"/>
  <c r="L9" i="13"/>
  <c r="AK17" i="23"/>
  <c r="I9" i="23"/>
  <c r="N16" i="17"/>
  <c r="AN10" i="13"/>
  <c r="N14" i="17" s="1"/>
  <c r="N18" i="17"/>
  <c r="N17" i="17"/>
  <c r="V11" i="20"/>
  <c r="L9" i="17" s="1"/>
  <c r="T13" i="20"/>
  <c r="K11" i="17" s="1"/>
  <c r="K17" i="17"/>
  <c r="J17" i="17"/>
  <c r="J23" i="17"/>
  <c r="I16" i="17"/>
  <c r="Q32" i="19" s="1"/>
  <c r="R32" i="19" s="1"/>
  <c r="L17" i="17"/>
  <c r="I21" i="17"/>
  <c r="I23" i="17"/>
  <c r="Q33" i="19" s="1"/>
  <c r="R33" i="19" s="1"/>
  <c r="F33" i="19"/>
  <c r="K16" i="17"/>
  <c r="L23" i="17"/>
  <c r="K23" i="17"/>
  <c r="J16" i="17"/>
  <c r="L16" i="17"/>
  <c r="K21" i="17"/>
  <c r="L21" i="17"/>
  <c r="J21" i="17"/>
  <c r="F32" i="19"/>
  <c r="F31" i="19"/>
  <c r="AV12" i="25" l="1"/>
  <c r="AU12" i="25"/>
  <c r="M39" i="17"/>
  <c r="BA12" i="25"/>
  <c r="N39" i="17"/>
  <c r="M9" i="25"/>
  <c r="AV10" i="25"/>
  <c r="R10" i="20"/>
  <c r="R12" i="20"/>
  <c r="J10" i="17" s="1"/>
  <c r="V12" i="20"/>
  <c r="L10" i="17" s="1"/>
  <c r="W11" i="21"/>
  <c r="L28" i="17" s="1"/>
  <c r="U10" i="21"/>
  <c r="J27" i="17" s="1"/>
  <c r="E13" i="18" s="1"/>
  <c r="R13" i="20"/>
  <c r="J11" i="17" s="1"/>
  <c r="W10" i="21"/>
  <c r="L27" i="17" s="1"/>
  <c r="V10" i="21"/>
  <c r="K27" i="17" s="1"/>
  <c r="F13" i="18" s="1"/>
  <c r="AL16" i="23"/>
  <c r="N34" i="17" s="1"/>
  <c r="AL15" i="23"/>
  <c r="AL17" i="23"/>
  <c r="N33" i="17" s="1"/>
  <c r="AL13" i="23"/>
  <c r="N32" i="17" s="1"/>
  <c r="AK9" i="23"/>
  <c r="AL9" i="23" s="1"/>
  <c r="AD15" i="23"/>
  <c r="AD17" i="23" s="1"/>
  <c r="AI14" i="23"/>
  <c r="M31" i="17" s="1"/>
  <c r="AI13" i="23"/>
  <c r="M32" i="17" s="1"/>
  <c r="AL12" i="23"/>
  <c r="AK14" i="23"/>
  <c r="AL14" i="23" s="1"/>
  <c r="N31" i="17" s="1"/>
  <c r="AD12" i="23"/>
  <c r="AD13" i="23" s="1"/>
  <c r="AD16" i="23"/>
  <c r="AC12" i="13"/>
  <c r="AC29" i="13"/>
  <c r="G13" i="18"/>
  <c r="L25" i="13"/>
  <c r="J25" i="13" s="1"/>
  <c r="AM27" i="13"/>
  <c r="AM12" i="13"/>
  <c r="M14" i="17" s="1"/>
  <c r="F22" i="26" s="1"/>
  <c r="U28" i="13"/>
  <c r="U29" i="13"/>
  <c r="T30" i="13"/>
  <c r="AC30" i="13" s="1"/>
  <c r="T20" i="13"/>
  <c r="AC20" i="13" s="1"/>
  <c r="U30" i="13"/>
  <c r="T37" i="13"/>
  <c r="AC37" i="13" s="1"/>
  <c r="T10" i="13"/>
  <c r="AC10" i="13" s="1"/>
  <c r="L16" i="13"/>
  <c r="J16" i="13" s="1"/>
  <c r="AM22" i="13"/>
  <c r="M19" i="17" s="1"/>
  <c r="U31" i="13"/>
  <c r="U32" i="13"/>
  <c r="T24" i="13"/>
  <c r="AC24" i="13" s="1"/>
  <c r="T18" i="13"/>
  <c r="AC18" i="13" s="1"/>
  <c r="AN18" i="13"/>
  <c r="N19" i="17" s="1"/>
  <c r="O22" i="26" s="1"/>
  <c r="U33" i="13"/>
  <c r="T29" i="13"/>
  <c r="U11" i="13"/>
  <c r="U35" i="13"/>
  <c r="T36" i="13"/>
  <c r="AC36" i="13" s="1"/>
  <c r="AN32" i="13"/>
  <c r="U12" i="13"/>
  <c r="U36" i="13"/>
  <c r="T21" i="13"/>
  <c r="AC21" i="13" s="1"/>
  <c r="AE12" i="25"/>
  <c r="AK12" i="25" s="1"/>
  <c r="U13" i="13"/>
  <c r="U37" i="13"/>
  <c r="T28" i="13"/>
  <c r="AC28" i="13" s="1"/>
  <c r="T15" i="13"/>
  <c r="AC15" i="13" s="1"/>
  <c r="AE10" i="25"/>
  <c r="AN22" i="13"/>
  <c r="AI16" i="23"/>
  <c r="M34" i="17" s="1"/>
  <c r="U14" i="13"/>
  <c r="T35" i="13"/>
  <c r="AC35" i="13" s="1"/>
  <c r="AN27" i="13"/>
  <c r="N20" i="17" s="1"/>
  <c r="O23" i="26" s="1"/>
  <c r="U15" i="13"/>
  <c r="T19" i="13"/>
  <c r="AC19" i="13" s="1"/>
  <c r="V13" i="20"/>
  <c r="L11" i="17" s="1"/>
  <c r="G12" i="18" s="1"/>
  <c r="AI17" i="23"/>
  <c r="M33" i="17" s="1"/>
  <c r="U17" i="13"/>
  <c r="AC33" i="13"/>
  <c r="T27" i="13"/>
  <c r="AC27" i="13" s="1"/>
  <c r="T13" i="13"/>
  <c r="AC13" i="13" s="1"/>
  <c r="U18" i="13"/>
  <c r="T33" i="13"/>
  <c r="AM26" i="13"/>
  <c r="U19" i="13"/>
  <c r="T17" i="13"/>
  <c r="AC17" i="13" s="1"/>
  <c r="U20" i="13"/>
  <c r="AC32" i="13"/>
  <c r="T26" i="13"/>
  <c r="AC26" i="13" s="1"/>
  <c r="T11" i="13"/>
  <c r="AC11" i="13" s="1"/>
  <c r="U21" i="13"/>
  <c r="T32" i="13"/>
  <c r="V10" i="20"/>
  <c r="T14" i="13"/>
  <c r="AC14" i="13" s="1"/>
  <c r="U24" i="13"/>
  <c r="T31" i="13"/>
  <c r="AC31" i="13" s="1"/>
  <c r="T22" i="13"/>
  <c r="AC22" i="13" s="1"/>
  <c r="E12" i="18"/>
  <c r="E29" i="19"/>
  <c r="F29" i="19" s="1"/>
  <c r="F12" i="18"/>
  <c r="E30" i="19"/>
  <c r="F30" i="19" s="1"/>
  <c r="K29" i="19"/>
  <c r="L29" i="19" s="1"/>
  <c r="M38" i="17" l="1"/>
  <c r="N38" i="17"/>
  <c r="I39" i="17"/>
  <c r="N37" i="17"/>
  <c r="I38" i="17"/>
  <c r="L39" i="17"/>
  <c r="J39" i="17"/>
  <c r="AJ10" i="25"/>
  <c r="K39" i="17"/>
  <c r="AJ12" i="25"/>
  <c r="I37" i="17"/>
  <c r="AK10" i="25"/>
  <c r="H13" i="18"/>
  <c r="O26" i="26"/>
  <c r="AD14" i="23"/>
  <c r="AF14" i="23" s="1"/>
  <c r="K31" i="17" s="1"/>
  <c r="AE13" i="23"/>
  <c r="AF13" i="23"/>
  <c r="AG13" i="23"/>
  <c r="AD9" i="23"/>
  <c r="H12" i="18"/>
  <c r="AE24" i="13"/>
  <c r="AD24" i="13"/>
  <c r="AE18" i="13"/>
  <c r="AD18" i="13"/>
  <c r="AE15" i="13"/>
  <c r="AD15" i="13"/>
  <c r="AD17" i="13"/>
  <c r="AE17" i="13"/>
  <c r="AE13" i="13"/>
  <c r="AD13" i="13"/>
  <c r="AD27" i="13"/>
  <c r="AE27" i="13"/>
  <c r="AE28" i="13"/>
  <c r="AD28" i="13"/>
  <c r="AE10" i="13"/>
  <c r="AD10" i="13"/>
  <c r="AD22" i="13"/>
  <c r="AE22" i="13"/>
  <c r="AD20" i="13"/>
  <c r="AE20" i="13"/>
  <c r="AE37" i="13"/>
  <c r="AD37" i="13"/>
  <c r="AF37" i="13" s="1"/>
  <c r="AD31" i="13"/>
  <c r="AE31" i="13"/>
  <c r="AD14" i="13"/>
  <c r="AE14" i="13"/>
  <c r="AE11" i="13"/>
  <c r="AD11" i="13"/>
  <c r="AE35" i="13"/>
  <c r="AD35" i="13"/>
  <c r="AE26" i="13"/>
  <c r="AD26" i="13"/>
  <c r="AF16" i="23"/>
  <c r="AE16" i="23"/>
  <c r="AG16" i="23"/>
  <c r="I34" i="17"/>
  <c r="AI28" i="19" s="1"/>
  <c r="AJ28" i="19" s="1"/>
  <c r="AE21" i="13"/>
  <c r="AD21" i="13"/>
  <c r="AE33" i="13"/>
  <c r="AD33" i="13"/>
  <c r="AE17" i="23"/>
  <c r="J33" i="17" s="1"/>
  <c r="I33" i="17"/>
  <c r="AI31" i="19" s="1"/>
  <c r="AJ31" i="19" s="1"/>
  <c r="AG17" i="23"/>
  <c r="L33" i="17" s="1"/>
  <c r="AF17" i="23"/>
  <c r="K33" i="17" s="1"/>
  <c r="AD30" i="13"/>
  <c r="AE30" i="13"/>
  <c r="AD12" i="13"/>
  <c r="AE12" i="13"/>
  <c r="AE36" i="13"/>
  <c r="AD36" i="13"/>
  <c r="AF36" i="13" s="1"/>
  <c r="AD19" i="13"/>
  <c r="AE19" i="13"/>
  <c r="AE29" i="13"/>
  <c r="AD29" i="13"/>
  <c r="AD32" i="13"/>
  <c r="AE32" i="13"/>
  <c r="M37" i="17"/>
  <c r="F26" i="26" s="1"/>
  <c r="I31" i="17"/>
  <c r="AE14" i="23"/>
  <c r="J31" i="17" s="1"/>
  <c r="AG14" i="23"/>
  <c r="L31" i="17" s="1"/>
  <c r="M20" i="17"/>
  <c r="L32" i="17"/>
  <c r="AC28" i="19" l="1"/>
  <c r="AD28" i="19" s="1"/>
  <c r="L38" i="17"/>
  <c r="I26" i="26"/>
  <c r="O25" i="26"/>
  <c r="J38" i="17"/>
  <c r="J37" i="17"/>
  <c r="BA10" i="25"/>
  <c r="L37" i="17"/>
  <c r="G14" i="18" s="1"/>
  <c r="K38" i="17"/>
  <c r="K37" i="17"/>
  <c r="AG12" i="23"/>
  <c r="AF12" i="23"/>
  <c r="AG15" i="23"/>
  <c r="L34" i="17"/>
  <c r="AH22" i="13"/>
  <c r="AG22" i="13"/>
  <c r="AF22" i="13"/>
  <c r="AE15" i="23"/>
  <c r="J34" i="17"/>
  <c r="AF15" i="23"/>
  <c r="AF9" i="23" s="1"/>
  <c r="K34" i="17"/>
  <c r="AH28" i="13"/>
  <c r="AG28" i="13"/>
  <c r="AF28" i="13"/>
  <c r="AF30" i="13"/>
  <c r="AG30" i="13"/>
  <c r="AH30" i="13"/>
  <c r="I20" i="17"/>
  <c r="AF26" i="13"/>
  <c r="AH26" i="13"/>
  <c r="AG26" i="13"/>
  <c r="AG36" i="13"/>
  <c r="AH36" i="13"/>
  <c r="I14" i="17"/>
  <c r="AF10" i="13"/>
  <c r="AH10" i="13"/>
  <c r="AG10" i="13"/>
  <c r="AF35" i="13"/>
  <c r="J24" i="17" s="1"/>
  <c r="E11" i="18" s="1"/>
  <c r="I24" i="17"/>
  <c r="I24" i="26" s="1"/>
  <c r="AH27" i="13"/>
  <c r="AG27" i="13"/>
  <c r="AF27" i="13"/>
  <c r="AG35" i="13"/>
  <c r="AH35" i="13"/>
  <c r="L24" i="17" s="1"/>
  <c r="G11" i="18" s="1"/>
  <c r="AF13" i="13"/>
  <c r="AH13" i="13"/>
  <c r="AG13" i="13"/>
  <c r="AH20" i="13"/>
  <c r="AG20" i="13"/>
  <c r="AF20" i="13"/>
  <c r="AF11" i="13"/>
  <c r="AH11" i="13"/>
  <c r="AG11" i="13"/>
  <c r="I15" i="17"/>
  <c r="AH17" i="13"/>
  <c r="AG17" i="13"/>
  <c r="I18" i="17"/>
  <c r="AF17" i="13"/>
  <c r="J18" i="17" s="1"/>
  <c r="AF12" i="13"/>
  <c r="AH12" i="13"/>
  <c r="AG12" i="13"/>
  <c r="AH19" i="13"/>
  <c r="AG19" i="13"/>
  <c r="AF19" i="13"/>
  <c r="AG14" i="13"/>
  <c r="AH14" i="13"/>
  <c r="AF14" i="13"/>
  <c r="AH33" i="13"/>
  <c r="AG33" i="13"/>
  <c r="AF33" i="13"/>
  <c r="AF32" i="13"/>
  <c r="AG32" i="13"/>
  <c r="AH32" i="13"/>
  <c r="AE12" i="23"/>
  <c r="AH29" i="13"/>
  <c r="AG29" i="13"/>
  <c r="AF29" i="13"/>
  <c r="AF31" i="13"/>
  <c r="AH31" i="13"/>
  <c r="AG31" i="13"/>
  <c r="AF18" i="13"/>
  <c r="I19" i="17"/>
  <c r="AH18" i="13"/>
  <c r="L19" i="17" s="1"/>
  <c r="AG18" i="13"/>
  <c r="K19" i="17" s="1"/>
  <c r="AG15" i="13"/>
  <c r="AF15" i="13"/>
  <c r="AH15" i="13"/>
  <c r="AH21" i="13"/>
  <c r="AG21" i="13"/>
  <c r="AF21" i="13"/>
  <c r="AG37" i="13"/>
  <c r="AH37" i="13"/>
  <c r="I22" i="17"/>
  <c r="I23" i="26" s="1"/>
  <c r="AH24" i="13"/>
  <c r="L22" i="17" s="1"/>
  <c r="AG24" i="13"/>
  <c r="K22" i="17" s="1"/>
  <c r="AF24" i="13"/>
  <c r="J22" i="17" s="1"/>
  <c r="E14" i="18" l="1"/>
  <c r="F14" i="18"/>
  <c r="K15" i="17"/>
  <c r="J15" i="17"/>
  <c r="K20" i="17"/>
  <c r="F10" i="18" s="1"/>
  <c r="L20" i="17"/>
  <c r="G10" i="18" s="1"/>
  <c r="AE9" i="23"/>
  <c r="AG9" i="23"/>
  <c r="J20" i="17"/>
  <c r="E10" i="18" s="1"/>
  <c r="J19" i="17"/>
  <c r="E9" i="18" s="1"/>
  <c r="K24" i="17"/>
  <c r="F11" i="18" s="1"/>
  <c r="H11" i="18" s="1"/>
  <c r="K18" i="17"/>
  <c r="F9" i="18" s="1"/>
  <c r="K14" i="17"/>
  <c r="F8" i="18" s="1"/>
  <c r="L18" i="17"/>
  <c r="G9" i="18" s="1"/>
  <c r="L14" i="17"/>
  <c r="E28" i="19"/>
  <c r="F28" i="19" s="1"/>
  <c r="Q28" i="19"/>
  <c r="R28" i="19" s="1"/>
  <c r="J14" i="17"/>
  <c r="E8" i="18" s="1"/>
  <c r="I22" i="26"/>
  <c r="Q27" i="19"/>
  <c r="R27" i="19" s="1"/>
  <c r="E27" i="19"/>
  <c r="F27" i="19" s="1"/>
  <c r="L15" i="17"/>
  <c r="H14" i="18" l="1"/>
  <c r="H10" i="18"/>
  <c r="F15" i="18"/>
  <c r="H9" i="18"/>
  <c r="E15" i="18"/>
  <c r="G8" i="18"/>
  <c r="G15" i="18" s="1"/>
  <c r="H8" i="18" l="1"/>
  <c r="H15"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 Heidt</author>
  </authors>
  <commentList>
    <comment ref="C34" authorId="0" shapeId="0" xr:uid="{00000000-0006-0000-0700-000003000000}">
      <text>
        <r>
          <rPr>
            <b/>
            <sz val="9"/>
            <color indexed="81"/>
            <rFont val="Tahoma"/>
            <family val="2"/>
          </rPr>
          <t>Christoph Heidt:</t>
        </r>
        <r>
          <rPr>
            <sz val="9"/>
            <color indexed="81"/>
            <rFont val="Tahoma"/>
            <family val="2"/>
          </rPr>
          <t xml:space="preserve">
Estimation 106.8 PJ converted with 37.252 MJ/kg for Biodiesel
</t>
        </r>
      </text>
    </comment>
  </commentList>
</comments>
</file>

<file path=xl/sharedStrings.xml><?xml version="1.0" encoding="utf-8"?>
<sst xmlns="http://schemas.openxmlformats.org/spreadsheetml/2006/main" count="2908" uniqueCount="555">
  <si>
    <t>Road</t>
  </si>
  <si>
    <t>Sources</t>
  </si>
  <si>
    <t>Country</t>
  </si>
  <si>
    <t xml:space="preserve">Reference year: </t>
  </si>
  <si>
    <t>Activity Data Input</t>
  </si>
  <si>
    <t>Fuel specifications</t>
  </si>
  <si>
    <t>Average fuel consumption and emissions factors</t>
  </si>
  <si>
    <t>Total fuel consumption and emissions</t>
  </si>
  <si>
    <t>Transport performance</t>
  </si>
  <si>
    <t>Category</t>
  </si>
  <si>
    <t>Size class</t>
  </si>
  <si>
    <t>Fuel Type</t>
  </si>
  <si>
    <t>NFR Code</t>
  </si>
  <si>
    <t>Emission Standard</t>
  </si>
  <si>
    <t>Subsegment ID</t>
  </si>
  <si>
    <t>Vehicle stock</t>
  </si>
  <si>
    <t>Average VKT</t>
  </si>
  <si>
    <t>Total VKT per year</t>
  </si>
  <si>
    <t>Fuel Density</t>
  </si>
  <si>
    <t>Lower Heating Value</t>
  </si>
  <si>
    <t>Average Fuel consumption</t>
  </si>
  <si>
    <t>CO2 emission factor</t>
  </si>
  <si>
    <t>CH4 emission factor</t>
  </si>
  <si>
    <t>N2O emission factor</t>
  </si>
  <si>
    <t>Total fuel consumption</t>
  </si>
  <si>
    <t>Total CO2 emissions</t>
  </si>
  <si>
    <t>Total CH4 emissions</t>
  </si>
  <si>
    <t>Total N2O emissions</t>
  </si>
  <si>
    <t>Av. Load</t>
  </si>
  <si>
    <t>number</t>
  </si>
  <si>
    <t>Source</t>
  </si>
  <si>
    <t>km/year/
vehicle</t>
  </si>
  <si>
    <t>million km/year</t>
  </si>
  <si>
    <t>kg/l</t>
  </si>
  <si>
    <t>TJ/1000 tonnes</t>
  </si>
  <si>
    <t>litre/100 km</t>
  </si>
  <si>
    <t>kg/TJ fuel</t>
  </si>
  <si>
    <t>Million litres</t>
  </si>
  <si>
    <t>1000 tonnes</t>
  </si>
  <si>
    <t>TJ</t>
  </si>
  <si>
    <t>1.000 t</t>
  </si>
  <si>
    <t>Passengers per vehicle</t>
  </si>
  <si>
    <t>tons per vehicle</t>
  </si>
  <si>
    <t>Million Passenger-km</t>
  </si>
  <si>
    <t>Million Freight-ton-km</t>
  </si>
  <si>
    <t xml:space="preserve">Passenger car </t>
  </si>
  <si>
    <t>all</t>
  </si>
  <si>
    <t>Calculated</t>
  </si>
  <si>
    <t>1- &lt;1400cm3</t>
  </si>
  <si>
    <t>Motor Gasoline</t>
  </si>
  <si>
    <t xml:space="preserve">PRE-ECE </t>
  </si>
  <si>
    <t>ifeu, 2016</t>
  </si>
  <si>
    <t>IPCC 2006</t>
  </si>
  <si>
    <t>Diesel Oil</t>
  </si>
  <si>
    <t xml:space="preserve">Euro 1 </t>
  </si>
  <si>
    <t>PG11</t>
  </si>
  <si>
    <t>PD11</t>
  </si>
  <si>
    <t>Euro 2</t>
  </si>
  <si>
    <t>Euro 3</t>
  </si>
  <si>
    <t>Euro 4</t>
  </si>
  <si>
    <t>Euro 5</t>
  </si>
  <si>
    <t>PG15</t>
  </si>
  <si>
    <t>Euro 6</t>
  </si>
  <si>
    <t>PG16</t>
  </si>
  <si>
    <t>2- 1400-2000cm3</t>
  </si>
  <si>
    <t>PG21</t>
  </si>
  <si>
    <t>PD21</t>
  </si>
  <si>
    <t>3- &gt;2000cm3</t>
  </si>
  <si>
    <t>PG31</t>
  </si>
  <si>
    <t>PD31</t>
  </si>
  <si>
    <t>LPG</t>
  </si>
  <si>
    <t>PL00</t>
  </si>
  <si>
    <t>PL01</t>
  </si>
  <si>
    <t>PL02</t>
  </si>
  <si>
    <t>PL03</t>
  </si>
  <si>
    <t>PL04</t>
  </si>
  <si>
    <t>PL05</t>
  </si>
  <si>
    <t>PL06</t>
  </si>
  <si>
    <t>CNG</t>
  </si>
  <si>
    <t>PC04</t>
  </si>
  <si>
    <t>PC05</t>
  </si>
  <si>
    <t>PC06</t>
  </si>
  <si>
    <t>Bus</t>
  </si>
  <si>
    <t>TD11</t>
  </si>
  <si>
    <t>BD31</t>
  </si>
  <si>
    <t>Trucks</t>
  </si>
  <si>
    <t>TD21</t>
  </si>
  <si>
    <t>TD31</t>
  </si>
  <si>
    <t>TD41</t>
  </si>
  <si>
    <t>TD51</t>
  </si>
  <si>
    <t>Motorbikes</t>
  </si>
  <si>
    <t>Motor gasoline</t>
  </si>
  <si>
    <t>4 - 4-stroke &lt; 250 cc</t>
  </si>
  <si>
    <t>MG41</t>
  </si>
  <si>
    <t xml:space="preserve">5 -4-stroke 250–750 cm³ </t>
  </si>
  <si>
    <t>MG51</t>
  </si>
  <si>
    <t xml:space="preserve">6 -4-stroke &gt; 750 cm³ </t>
  </si>
  <si>
    <t>MG61</t>
  </si>
  <si>
    <t>ID Subsegment</t>
  </si>
  <si>
    <t>Sub-category (EMAP EEA)</t>
  </si>
  <si>
    <t>Technology (EMAP EEA)</t>
  </si>
  <si>
    <t>FC (g/km)</t>
  </si>
  <si>
    <t>FC(l/100km), kg for CNG</t>
  </si>
  <si>
    <t>ID Vehicle cat</t>
  </si>
  <si>
    <t>ID Fuel</t>
  </si>
  <si>
    <t>ID Size</t>
  </si>
  <si>
    <t>ID Technology</t>
  </si>
  <si>
    <t xml:space="preserve">Passenger cars </t>
  </si>
  <si>
    <t xml:space="preserve">Gasoline 0.8-1.4 l </t>
  </si>
  <si>
    <t xml:space="preserve">PRE-ECE to open loop </t>
  </si>
  <si>
    <t>P</t>
  </si>
  <si>
    <t>G</t>
  </si>
  <si>
    <t xml:space="preserve">Euro 1 and later </t>
  </si>
  <si>
    <t xml:space="preserve">Gasoline 1.4–2.0 l </t>
  </si>
  <si>
    <t xml:space="preserve">Gasoline &gt; 2.0 l </t>
  </si>
  <si>
    <t xml:space="preserve">Diesel &lt; 1.4 l </t>
  </si>
  <si>
    <t xml:space="preserve">Euro 4 and later </t>
  </si>
  <si>
    <t>D</t>
  </si>
  <si>
    <t xml:space="preserve">Diesel &lt; 1.4–2.0 l </t>
  </si>
  <si>
    <t xml:space="preserve">Conventional </t>
  </si>
  <si>
    <t xml:space="preserve">Diesel &gt; 2.0 l </t>
  </si>
  <si>
    <t>L</t>
  </si>
  <si>
    <t>Euro 4 or higher</t>
  </si>
  <si>
    <t>C</t>
  </si>
  <si>
    <t xml:space="preserve">Hybrid gasoline &lt;1.4 l </t>
  </si>
  <si>
    <t xml:space="preserve">Euro 4 </t>
  </si>
  <si>
    <t>H</t>
  </si>
  <si>
    <t xml:space="preserve">Hybrid gasoline 1.4–2.0 l </t>
  </si>
  <si>
    <t xml:space="preserve">Hybrid gasoline &gt;2.0 l </t>
  </si>
  <si>
    <t xml:space="preserve">Light commercial veh. </t>
  </si>
  <si>
    <t xml:space="preserve">Gasoline &lt; 3.5 t </t>
  </si>
  <si>
    <t>T</t>
  </si>
  <si>
    <t xml:space="preserve">Diesel &lt; 3.5 t </t>
  </si>
  <si>
    <t xml:space="preserve">Heavy-duty trucks </t>
  </si>
  <si>
    <t xml:space="preserve">Gasoline &gt; 3.5 t </t>
  </si>
  <si>
    <t xml:space="preserve">&lt;=7.5 t </t>
  </si>
  <si>
    <t xml:space="preserve">Euro I and later </t>
  </si>
  <si>
    <t xml:space="preserve">&gt; 32 t </t>
  </si>
  <si>
    <t xml:space="preserve">Buses </t>
  </si>
  <si>
    <t xml:space="preserve">Urban CNG buses </t>
  </si>
  <si>
    <t xml:space="preserve">Bus </t>
  </si>
  <si>
    <t xml:space="preserve">HD Euro I — 91/542/EEC Stage I </t>
  </si>
  <si>
    <t>B</t>
  </si>
  <si>
    <t xml:space="preserve">HD Euro II — 91/542/EEC Stage II </t>
  </si>
  <si>
    <t xml:space="preserve">HD Euro III — 2000 Standards </t>
  </si>
  <si>
    <t xml:space="preserve">EEV </t>
  </si>
  <si>
    <t xml:space="preserve">Urban buses, standard 3.5-15 t </t>
  </si>
  <si>
    <t xml:space="preserve">Urban buses, standard 15–18 t </t>
  </si>
  <si>
    <t xml:space="preserve">Coaches, standard &lt;=18 t </t>
  </si>
  <si>
    <t xml:space="preserve">Mopeds </t>
  </si>
  <si>
    <t xml:space="preserve">2-stroke &lt; 50 cm³ </t>
  </si>
  <si>
    <t>M</t>
  </si>
  <si>
    <t xml:space="preserve">Euro 2 </t>
  </si>
  <si>
    <t xml:space="preserve">Euro 3 </t>
  </si>
  <si>
    <t xml:space="preserve">4-stroke &lt; 50 cm³ </t>
  </si>
  <si>
    <t xml:space="preserve">Motorcycles </t>
  </si>
  <si>
    <t xml:space="preserve">2-stroke &gt; 50 cm³ </t>
  </si>
  <si>
    <t xml:space="preserve">4-stroke &lt; 250 cm³ </t>
  </si>
  <si>
    <t xml:space="preserve">4-stroke 250–750 cm³ </t>
  </si>
  <si>
    <t xml:space="preserve">4-stroke &gt; 750 cm³ </t>
  </si>
  <si>
    <t>Subsector:</t>
  </si>
  <si>
    <t>CO2</t>
  </si>
  <si>
    <t>CH4</t>
  </si>
  <si>
    <t xml:space="preserve">N2O </t>
  </si>
  <si>
    <t>Density</t>
  </si>
  <si>
    <t>Fuel Type - IPCC</t>
  </si>
  <si>
    <t>Default
(kg/TJ)</t>
  </si>
  <si>
    <t xml:space="preserve">Lower </t>
  </si>
  <si>
    <t>Upper</t>
  </si>
  <si>
    <t>Default  (Kg /TJ)</t>
  </si>
  <si>
    <t>Lower</t>
  </si>
  <si>
    <t>kg/l;
per kg CNG</t>
  </si>
  <si>
    <t>Motor Gasoline- uncontrolled</t>
  </si>
  <si>
    <t>Motor Gasoline- Oxidation Catalyst</t>
  </si>
  <si>
    <t>Motor Gasoline- Low Mileage LDV Vintage 1995 or Later</t>
  </si>
  <si>
    <t>Gas/ Diesel Oil</t>
  </si>
  <si>
    <t xml:space="preserve">Natural Gas </t>
  </si>
  <si>
    <t xml:space="preserve">Liquefied Petroleum Gases </t>
  </si>
  <si>
    <t xml:space="preserve">na </t>
  </si>
  <si>
    <t xml:space="preserve">Kerosene </t>
  </si>
  <si>
    <t xml:space="preserve">Lubricants (b) </t>
  </si>
  <si>
    <t xml:space="preserve">Ethanol, trucks, US (h) </t>
  </si>
  <si>
    <t xml:space="preserve">Ethanol, cars, Brazil (i) </t>
  </si>
  <si>
    <t>1.A.3.b.i</t>
  </si>
  <si>
    <t>1.A.3.b.iii</t>
  </si>
  <si>
    <t>1.A.3.b.ii</t>
  </si>
  <si>
    <t>1.A.3.b.iv</t>
  </si>
  <si>
    <t>Description</t>
  </si>
  <si>
    <t>Link</t>
  </si>
  <si>
    <t>IPCC 1996</t>
  </si>
  <si>
    <t>IPCC (1996): Revised 1996 IPCC Guidelines for National Greenhouse Gas Inventories</t>
  </si>
  <si>
    <t>http://www.ipcc-nggip.iges.or.jp/public/gl/invs1.html</t>
  </si>
  <si>
    <t>IPCC  (2006): CHAPTER 3. MOBILE COMBUSTION, p. 64</t>
  </si>
  <si>
    <t>http://www.ipcc-nggip.iges.or.jp/public/2006gl/pdf/2_Volume2/V2_3_Ch3_Mobile_Combustion.pdf</t>
  </si>
  <si>
    <t>Reference year</t>
  </si>
  <si>
    <t>NFR code</t>
  </si>
  <si>
    <t>Fuel type</t>
  </si>
  <si>
    <t>CO2 emissions</t>
  </si>
  <si>
    <t>CH4 emissions</t>
  </si>
  <si>
    <t>N2O emissions</t>
  </si>
  <si>
    <t>Transport mode</t>
  </si>
  <si>
    <t>N2O</t>
  </si>
  <si>
    <t>Domestic aviation</t>
  </si>
  <si>
    <t>Kerosene</t>
  </si>
  <si>
    <t>calculated</t>
  </si>
  <si>
    <t>Aviation Gasoline</t>
  </si>
  <si>
    <t>Mio PKM</t>
  </si>
  <si>
    <t>Freight</t>
  </si>
  <si>
    <t>Mio TKM</t>
  </si>
  <si>
    <t>1.A.3.c</t>
  </si>
  <si>
    <t>HFO</t>
  </si>
  <si>
    <t>Emissions in 1000 tonnes</t>
  </si>
  <si>
    <t>CO2-eq</t>
  </si>
  <si>
    <t>All</t>
  </si>
  <si>
    <t>%</t>
  </si>
  <si>
    <t>Aviation</t>
  </si>
  <si>
    <t>Maritime</t>
  </si>
  <si>
    <t>Reference Year</t>
  </si>
  <si>
    <t>Vehicle specifications</t>
  </si>
  <si>
    <t>Data input</t>
  </si>
  <si>
    <t>Emissions factors</t>
  </si>
  <si>
    <t>Total aviation</t>
  </si>
  <si>
    <t>Subtype Vessel</t>
  </si>
  <si>
    <t>Average Engine power</t>
  </si>
  <si>
    <t>Stock</t>
  </si>
  <si>
    <t>Average operating hours</t>
  </si>
  <si>
    <t>Total operating hours</t>
  </si>
  <si>
    <t>Engine Load factor (%)</t>
  </si>
  <si>
    <t>Total Engine Power demand</t>
  </si>
  <si>
    <t>Lower heating value</t>
  </si>
  <si>
    <t>Engine specific fuel consumption</t>
  </si>
  <si>
    <t>Train specific consumption</t>
  </si>
  <si>
    <t>Average Capacity</t>
  </si>
  <si>
    <t>Occupancy rate</t>
  </si>
  <si>
    <t>Average Speed</t>
  </si>
  <si>
    <t>Performance of  freight transport</t>
  </si>
  <si>
    <t>Performance of passenger transport</t>
  </si>
  <si>
    <t>source</t>
  </si>
  <si>
    <t>h/yr</t>
  </si>
  <si>
    <t>g/tkm</t>
  </si>
  <si>
    <t>g/P-km</t>
  </si>
  <si>
    <t>% ton-/Pass capacity</t>
  </si>
  <si>
    <t>km/h</t>
  </si>
  <si>
    <t>million t-km</t>
  </si>
  <si>
    <t>million passenger-km</t>
  </si>
  <si>
    <t>Volume of passenger transport</t>
  </si>
  <si>
    <t>Volume of bulk freight transport</t>
  </si>
  <si>
    <t>Volume of container transport</t>
  </si>
  <si>
    <t>Average trip distance</t>
  </si>
  <si>
    <t>Share fuel type</t>
  </si>
  <si>
    <t>Average fuel consumption</t>
  </si>
  <si>
    <t>Passengers</t>
  </si>
  <si>
    <t>Bulk freight</t>
  </si>
  <si>
    <t>Containers</t>
  </si>
  <si>
    <t>1000 passenger</t>
  </si>
  <si>
    <t>1000 TEU</t>
  </si>
  <si>
    <t>km</t>
  </si>
  <si>
    <t>g per Pass-km</t>
  </si>
  <si>
    <t>g per ton-km</t>
  </si>
  <si>
    <t>g per TEU-km</t>
  </si>
  <si>
    <t>million tonnes-km</t>
  </si>
  <si>
    <t>million TEU-km</t>
  </si>
  <si>
    <t>EcoTransIt, 2017, own assumption</t>
  </si>
  <si>
    <t>Diesel oil</t>
  </si>
  <si>
    <t>used for</t>
  </si>
  <si>
    <t>Vessel specific consumption</t>
  </si>
  <si>
    <t>hp</t>
  </si>
  <si>
    <t>h/yr/ship</t>
  </si>
  <si>
    <t>hp-h</t>
  </si>
  <si>
    <t>kg/hp-h</t>
  </si>
  <si>
    <t>DWT</t>
  </si>
  <si>
    <t>BAFU, 2015 (0,22 kg/kWh)</t>
  </si>
  <si>
    <t>&lt;1500 t</t>
  </si>
  <si>
    <t>1500 - 3000 t</t>
  </si>
  <si>
    <t>Ferries</t>
  </si>
  <si>
    <t>Road - Motor Gasoline</t>
  </si>
  <si>
    <t>Road - not used</t>
  </si>
  <si>
    <t>Road - Diesel Oil</t>
  </si>
  <si>
    <t>Road - CNG</t>
  </si>
  <si>
    <t>Road - LPG</t>
  </si>
  <si>
    <t>Aviation - Kerosene</t>
  </si>
  <si>
    <t>Aviation - Aviation Gasoline</t>
  </si>
  <si>
    <t>Maritime - HFO</t>
  </si>
  <si>
    <t>Maritime - Diesel Oil</t>
  </si>
  <si>
    <t>Total emissions</t>
  </si>
  <si>
    <t>not used</t>
  </si>
  <si>
    <t xml:space="preserve"> </t>
  </si>
  <si>
    <t>Total maritime</t>
  </si>
  <si>
    <t>Biofuels</t>
  </si>
  <si>
    <t>Country:</t>
  </si>
  <si>
    <t>Freight performance calculated</t>
  </si>
  <si>
    <t>g/TKM</t>
  </si>
  <si>
    <t>Freight spec. FC calculated</t>
  </si>
  <si>
    <t>g/PKM</t>
  </si>
  <si>
    <t>Passenger spec. FC calculated</t>
  </si>
  <si>
    <t>Passenger performance calculated</t>
  </si>
  <si>
    <t>1A3a Aviation</t>
  </si>
  <si>
    <t>Sheet 1</t>
  </si>
  <si>
    <t>Sheet 2</t>
  </si>
  <si>
    <t>Sheet 3</t>
  </si>
  <si>
    <t>Sheet 4</t>
  </si>
  <si>
    <t>Sheet 5</t>
  </si>
  <si>
    <t>Sheet 6</t>
  </si>
  <si>
    <t>Sheet 7</t>
  </si>
  <si>
    <t>Sheet 8</t>
  </si>
  <si>
    <t>1A3b Road</t>
  </si>
  <si>
    <t>1A3c Rail</t>
  </si>
  <si>
    <t>1A3di Maritime</t>
  </si>
  <si>
    <t>GHG Inventory</t>
  </si>
  <si>
    <t>Sheet 9</t>
  </si>
  <si>
    <t>Sheet 10</t>
  </si>
  <si>
    <t>Sheet 11</t>
  </si>
  <si>
    <t>Sheet 12</t>
  </si>
  <si>
    <t>Default Emission factor</t>
  </si>
  <si>
    <t>Input speFC</t>
  </si>
  <si>
    <t>Info NFR Codes</t>
  </si>
  <si>
    <t>Navigator</t>
  </si>
  <si>
    <t xml:space="preserve">Vehicle category in this tool </t>
  </si>
  <si>
    <t>Fuel type in this tool</t>
  </si>
  <si>
    <t>Technology in this tool</t>
  </si>
  <si>
    <t>EMEP/EEA,2013</t>
  </si>
  <si>
    <t>Average fuel consumption and emissions factor</t>
  </si>
  <si>
    <t>1.A.3.a.ii</t>
  </si>
  <si>
    <t>Passenger car</t>
  </si>
  <si>
    <t>Subcategory</t>
  </si>
  <si>
    <t>Inland Shipping</t>
  </si>
  <si>
    <t>1.A.3.a.i</t>
  </si>
  <si>
    <t>Light duty trucks</t>
  </si>
  <si>
    <t>Heavy duty trucks</t>
  </si>
  <si>
    <t>Motorcycles</t>
  </si>
  <si>
    <t>1.A.3.d.i</t>
  </si>
  <si>
    <t>Domestic water-borne navigation</t>
  </si>
  <si>
    <t>1 A.3.d.ii</t>
  </si>
  <si>
    <t>Railways</t>
  </si>
  <si>
    <t>Inland shipping</t>
  </si>
  <si>
    <t>International bunkers</t>
  </si>
  <si>
    <t>Railways - Diesel Oil</t>
  </si>
  <si>
    <t>Inland Shipping - HFO</t>
  </si>
  <si>
    <t>Inland Shipping - Diesel Oil</t>
  </si>
  <si>
    <t>Inland Shipping - Motor Gasoline</t>
  </si>
  <si>
    <t>Heavy duty trucks &amp; bus</t>
  </si>
  <si>
    <t>Transport (all categories)</t>
  </si>
  <si>
    <t>Energy Balance
(1000 tonnes)</t>
  </si>
  <si>
    <t>Calculated
(1000 tonnes)</t>
  </si>
  <si>
    <t>Difference</t>
  </si>
  <si>
    <t>Aviation gasoline</t>
  </si>
  <si>
    <t>→ Back to Input Aviation</t>
  </si>
  <si>
    <t>→ Back to Input Road</t>
  </si>
  <si>
    <t>→ Back to Input Railways</t>
  </si>
  <si>
    <t>→ Back to Input Maritime</t>
  </si>
  <si>
    <t>→Go to: Top-Down Validation</t>
  </si>
  <si>
    <t>Freight spec. FC (Germany)</t>
  </si>
  <si>
    <t>1.A.3</t>
  </si>
  <si>
    <t>Transport</t>
  </si>
  <si>
    <t>Sheet 13</t>
  </si>
  <si>
    <t>Modal split'!A1</t>
  </si>
  <si>
    <t>Top-Down Validation</t>
  </si>
  <si>
    <t>Passenger transport</t>
  </si>
  <si>
    <t>Freight transport</t>
  </si>
  <si>
    <t>Subtype Train</t>
  </si>
  <si>
    <t>kg per km</t>
  </si>
  <si>
    <t>VKT</t>
  </si>
  <si>
    <t>1000 km</t>
  </si>
  <si>
    <t>Passenger</t>
  </si>
  <si>
    <t>VKT and Transport performance</t>
  </si>
  <si>
    <t>Civil aviation</t>
  </si>
  <si>
    <t>Road Transportation</t>
  </si>
  <si>
    <t>Water-borne Navigation</t>
  </si>
  <si>
    <t>1 A.3.e.i</t>
  </si>
  <si>
    <t>Other Transportation</t>
  </si>
  <si>
    <t>Pipeline Transport</t>
  </si>
  <si>
    <t>Off-road</t>
  </si>
  <si>
    <t>Civil Aviation</t>
  </si>
  <si>
    <t>Water-borne navigation</t>
  </si>
  <si>
    <t xml:space="preserve">1000 tonnes </t>
  </si>
  <si>
    <t>Transport Mode</t>
  </si>
  <si>
    <t>Subategory</t>
  </si>
  <si>
    <t>Sum Freight</t>
  </si>
  <si>
    <t>million TKM</t>
  </si>
  <si>
    <t>1A3di(i) Maritime'!A1</t>
  </si>
  <si>
    <t>NFR Category</t>
  </si>
  <si>
    <t>NFR Subcategory</t>
  </si>
  <si>
    <t>1 A.3.e.ii</t>
  </si>
  <si>
    <t>Source: IPCC, 2006</t>
  </si>
  <si>
    <t>Passenger performance (statistics)</t>
  </si>
  <si>
    <t>Freight performance (statistics)</t>
  </si>
  <si>
    <t>Jet Kerosene</t>
  </si>
  <si>
    <t>Residual Fuel Oil</t>
  </si>
  <si>
    <t>Net calorific value</t>
  </si>
  <si>
    <t>IPCC Guidelines 2006; Chapter 1: Introduction; p 1.18</t>
  </si>
  <si>
    <t>IPCC Guidelines 2006; Chapter 1: Introduction; p 1.23</t>
  </si>
  <si>
    <t>na</t>
  </si>
  <si>
    <t>Road: IPCC Guidelines 2006; Chapter 3: mobile Combustion p.3.21
Rail:  IPCC Guidelines 2006; Chapter 3: mobile Combustion p.3.43
Aviation: IPCC Guidelines 2006; Chapter 3: mobile Combustion p.3.64
Navigation: IPCC Guidelines 2006; Chapter 3: mobile Combustion p.3.50</t>
  </si>
  <si>
    <t>IEA; Energy Statistics Manual p.181</t>
  </si>
  <si>
    <t>EcoTransIt, 2017, BC Global Average World</t>
  </si>
  <si>
    <t>Vehicle category (EMEP)</t>
  </si>
  <si>
    <t>KNBS, 2017</t>
  </si>
  <si>
    <t>Kenya</t>
  </si>
  <si>
    <t>INFRAS, 2018</t>
  </si>
  <si>
    <t>1- &lt;1305 Kg</t>
  </si>
  <si>
    <t>2- 1305-1760 Kg</t>
  </si>
  <si>
    <t>3- &gt; 1760 Kg</t>
  </si>
  <si>
    <t>Light Commercial Vehicles (LCV)</t>
  </si>
  <si>
    <t>3- &gt;18000kg</t>
  </si>
  <si>
    <t>RigidTruck &lt;7,5t</t>
  </si>
  <si>
    <t>RigidTruck 7,5-12t</t>
  </si>
  <si>
    <t>RigidTruck &gt;12-14t</t>
  </si>
  <si>
    <t>RigidTruck &gt;14-20t</t>
  </si>
  <si>
    <t>RigidTruck &gt;20-26t</t>
  </si>
  <si>
    <t>TT/AT &gt;20-28t</t>
  </si>
  <si>
    <t>TT/AT &gt;28-34t</t>
  </si>
  <si>
    <t>TT/AT &gt;34-40t</t>
  </si>
  <si>
    <t>Vehicle category and segment</t>
  </si>
  <si>
    <t>Passenger cars (PC)</t>
  </si>
  <si>
    <t>PC petrol &lt;1,4L</t>
  </si>
  <si>
    <t>PC petrol 1,4-&lt;2L</t>
  </si>
  <si>
    <t>PC petrol &gt;=2L</t>
  </si>
  <si>
    <t>PC diesel &lt;1,4L</t>
  </si>
  <si>
    <t>PC diesel 1,4-&lt;2L</t>
  </si>
  <si>
    <t>PC diesel &gt;=2L</t>
  </si>
  <si>
    <t>Light commercial vehicles (LCV)</t>
  </si>
  <si>
    <t>Buses</t>
  </si>
  <si>
    <t>Coach Std &lt;=18t</t>
  </si>
  <si>
    <t>HGV (heavy goods vehicles/trucks)</t>
  </si>
  <si>
    <t>MC 4S &lt;=150cc</t>
  </si>
  <si>
    <t>MC 4S 151-250cc</t>
  </si>
  <si>
    <t>MC 4S 251-750cc</t>
  </si>
  <si>
    <t xml:space="preserve">1- &lt;1305 Kg </t>
  </si>
  <si>
    <t>Diesel</t>
  </si>
  <si>
    <t>KNBS, 2018</t>
  </si>
  <si>
    <t>INFRAS, 2018 (adjusted)</t>
  </si>
  <si>
    <t>Feasibility study on the use of sustainable aviation fuels 2018</t>
  </si>
  <si>
    <t>ICAO,2018</t>
  </si>
  <si>
    <t>ICAO 2018</t>
  </si>
  <si>
    <t>Economic Survey 2018</t>
  </si>
  <si>
    <t xml:space="preserve">https://www.knbs.or.ke/download/economic-survey-2018/ </t>
  </si>
  <si>
    <t xml:space="preserve">https://www.icao.int/environmental-protection/Documents/FeasabilityStudy_Kenya_Report-Web.pdf </t>
  </si>
  <si>
    <t xml:space="preserve"> (g/km)</t>
  </si>
  <si>
    <t>Fuel consumption</t>
  </si>
  <si>
    <t xml:space="preserve"> (l/100 km)</t>
  </si>
  <si>
    <t xml:space="preserve">Motor Gasoline_1- &lt;1305 Kg </t>
  </si>
  <si>
    <t>Motor Gasoline_2- 1305-1760 Kg</t>
  </si>
  <si>
    <t>Motor Gasoline_3- &gt; 1760 Kg</t>
  </si>
  <si>
    <t>Diesel_1- &lt;1305 Kg</t>
  </si>
  <si>
    <t>Diesel_2- 1305-1760 Kg</t>
  </si>
  <si>
    <t>Diesel_3- &gt; 1760 Kg</t>
  </si>
  <si>
    <t xml:space="preserve">7.5-12 t </t>
  </si>
  <si>
    <t xml:space="preserve">12-14 t </t>
  </si>
  <si>
    <t>TD61</t>
  </si>
  <si>
    <t>TD71</t>
  </si>
  <si>
    <t>TD81</t>
  </si>
  <si>
    <t>TD91</t>
  </si>
  <si>
    <t>14-20 t</t>
  </si>
  <si>
    <t>20-26 t</t>
  </si>
  <si>
    <t>TT/AT 20-28 t</t>
  </si>
  <si>
    <t>TT/AT 28-34 t</t>
  </si>
  <si>
    <t>TT/AT 34-40 t</t>
  </si>
  <si>
    <t>TG11</t>
  </si>
  <si>
    <t>TG21</t>
  </si>
  <si>
    <t>TG31</t>
  </si>
  <si>
    <t>TD111</t>
  </si>
  <si>
    <t>TD101</t>
  </si>
  <si>
    <t>KNBS,2018</t>
  </si>
  <si>
    <t>Infras,2018</t>
  </si>
  <si>
    <t>Infras, 2018</t>
  </si>
  <si>
    <t>Updated Transport Data in Kenya 2018</t>
  </si>
  <si>
    <t>https://www.changing-transport.org/publication/updated-transport-data-in-kenya-2018/</t>
  </si>
  <si>
    <t xml:space="preserve">Passenger spec. FC </t>
  </si>
  <si>
    <t>Source:  Infras, 2018</t>
  </si>
  <si>
    <t>Vessel</t>
  </si>
  <si>
    <t>2018/2019</t>
  </si>
  <si>
    <t>2019/2020</t>
  </si>
  <si>
    <t>MV Kwale</t>
  </si>
  <si>
    <t>-</t>
  </si>
  <si>
    <t>MV Likono</t>
  </si>
  <si>
    <t>MV Nyayo</t>
  </si>
  <si>
    <t>MV Harambee</t>
  </si>
  <si>
    <t>MV Kilindini</t>
  </si>
  <si>
    <t>MV Jambo</t>
  </si>
  <si>
    <t xml:space="preserve">MV Safari </t>
  </si>
  <si>
    <t>Total (l)</t>
  </si>
  <si>
    <t>Total kt</t>
  </si>
  <si>
    <t>emission factor</t>
  </si>
  <si>
    <t>County</t>
  </si>
  <si>
    <t>Lamu</t>
  </si>
  <si>
    <t>Boat #</t>
  </si>
  <si>
    <t>Daily litres</t>
  </si>
  <si>
    <t>Annual litres</t>
  </si>
  <si>
    <t>Transport vessels</t>
  </si>
  <si>
    <t>Total kt diesel</t>
  </si>
  <si>
    <t>Top-down validation via Fuel Sales</t>
  </si>
  <si>
    <t>Annual Fuel Consumption</t>
  </si>
  <si>
    <t>Conversion factor (kg CO2e / t petrol)</t>
  </si>
  <si>
    <t>Conversion factor (kg CO2e / t gas oil)</t>
  </si>
  <si>
    <t>Conversion factors</t>
  </si>
  <si>
    <t>Emissions of each pollutant (per year in t)</t>
  </si>
  <si>
    <t>KFS Fuel Consumption</t>
  </si>
  <si>
    <t>Total (t)</t>
  </si>
  <si>
    <t>Vessel type</t>
  </si>
  <si>
    <t>KFS Fuel</t>
  </si>
  <si>
    <t xml:space="preserve">Domestic water-borne navigation </t>
  </si>
  <si>
    <t>KFS</t>
  </si>
  <si>
    <t>TOTAL CO2e</t>
  </si>
  <si>
    <t>→ Back to Top-Down Annual Fuel Cons.</t>
  </si>
  <si>
    <t>CO2e (CH4)</t>
  </si>
  <si>
    <t>CO2e (N2O)</t>
  </si>
  <si>
    <t>Small cargo boat (Lamu)</t>
  </si>
  <si>
    <t>Vessel Size</t>
  </si>
  <si>
    <t>Vessel Specifications</t>
  </si>
  <si>
    <t>EED Adv</t>
  </si>
  <si>
    <t>Daily litres
fuel consumed 
(l / day)</t>
  </si>
  <si>
    <t>Normalisation factor</t>
  </si>
  <si>
    <t>Number of boats</t>
  </si>
  <si>
    <t>HP</t>
  </si>
  <si>
    <t>Average days of operation
per annum
(day / year)</t>
  </si>
  <si>
    <t>Tonnes of Petrol (year)</t>
  </si>
  <si>
    <t>Conversion factor (kg/l) for Petrol</t>
  </si>
  <si>
    <t>TOTAL</t>
  </si>
  <si>
    <t>Worked Example 2:  KPA Port Call Data for International Fishing Vessels</t>
  </si>
  <si>
    <t>Activity</t>
  </si>
  <si>
    <t>Berth</t>
  </si>
  <si>
    <t>Sea</t>
  </si>
  <si>
    <t>Engine</t>
  </si>
  <si>
    <t>Auxiliary</t>
  </si>
  <si>
    <t>Main</t>
  </si>
  <si>
    <t>Load factor</t>
  </si>
  <si>
    <t>Time (activity) [hrs]</t>
  </si>
  <si>
    <t>Fuel consumption factor (g/kWh)</t>
  </si>
  <si>
    <t>Emission factor (t CO2/t)</t>
  </si>
  <si>
    <t>Engine Power (kW)</t>
  </si>
  <si>
    <t>Tonnes of Diesel (year)</t>
  </si>
  <si>
    <t>Tonnes of CO2 (year)</t>
  </si>
  <si>
    <t>TOTAL (t)</t>
  </si>
  <si>
    <t>Berth (Auxiliary)</t>
  </si>
  <si>
    <t>Sea (Main)</t>
  </si>
  <si>
    <t>Sea (Auxiliary)</t>
  </si>
  <si>
    <t>EED Adv.</t>
  </si>
  <si>
    <t>Top - Down details</t>
  </si>
  <si>
    <t>Normalisation factor from the top-down validation exercise (i.e. ratio to be applied to scale this sheet's bottom-up approach)</t>
  </si>
  <si>
    <t>Average days of operation</t>
  </si>
  <si>
    <t>post-normalisation</t>
  </si>
  <si>
    <t>N CONSUMTPION</t>
  </si>
  <si>
    <t>kW</t>
  </si>
  <si>
    <t>Small Cargo (Bottom-up 1)</t>
  </si>
  <si>
    <t>KPA Port Call (Bottom-up 2)</t>
  </si>
  <si>
    <t>N EMISSIONS CO2</t>
  </si>
  <si>
    <t>N EMISSIONS CH4</t>
  </si>
  <si>
    <t>N EMISSIONS N2O</t>
  </si>
  <si>
    <t>NOTES</t>
  </si>
  <si>
    <t>Mombasa</t>
  </si>
  <si>
    <t>Worked Example 1: Small cargo boats in 2020</t>
  </si>
  <si>
    <t>Data from KFS - aggregated at county and HP</t>
  </si>
  <si>
    <t>More detailed data by the KPA on activity (vessel specific)</t>
  </si>
  <si>
    <t>Data are aggregated in the Main Maritime tab 1A3di Maritime at activity and engine level</t>
  </si>
  <si>
    <t>Top-down data (fuel data - litres sold) should be obtained at each level of aggregation in order to normalise appropriately and accurately (see columns in red AX:BC)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</si>
</sst>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 #,##0_);_(* \(#,##0\);_(* &quot;-&quot;_);_(@_)"/>
    <numFmt numFmtId="165" formatCode="_(* #,##0.00_);_(* \(#,##0.00\);_(* &quot;-&quot;??_);_(@_)"/>
    <numFmt numFmtId="166" formatCode="_-* #,##0.00\ _€_-;\-* #,##0.00\ _€_-;_-* &quot;-&quot;??\ _€_-;_-@_-"/>
    <numFmt numFmtId="167" formatCode="_-* #,##0.00\ _F_-;\-* #,##0.00\ _F_-;_-* &quot;-&quot;??\ _F_-;_-@_-"/>
    <numFmt numFmtId="168" formatCode="#,##0.0000"/>
    <numFmt numFmtId="169" formatCode="00#"/>
    <numFmt numFmtId="170" formatCode="#,##0.00_ "/>
    <numFmt numFmtId="171" formatCode="0.00000"/>
    <numFmt numFmtId="172" formatCode="0.0"/>
    <numFmt numFmtId="173" formatCode="#,##0.0"/>
    <numFmt numFmtId="174" formatCode="_-* #,##0\ _€_-;\-* #,##0\ _€_-;_-* &quot;-&quot;??\ _€_-;_-@_-"/>
    <numFmt numFmtId="175" formatCode="_-* #,##0.0\ _€_-;\-* #,##0.0\ _€_-;_-* &quot;-&quot;??\ _€_-;_-@_-"/>
    <numFmt numFmtId="176" formatCode="_ * #,##0.00_ ;_ * \-#,##0.00_ ;_ * &quot;-&quot;??_ ;_ @_ "/>
    <numFmt numFmtId="177" formatCode="_ * #,##0.0_ ;_ * \-#,##0.0_ ;_ * &quot;-&quot;??_ ;_ @_ "/>
    <numFmt numFmtId="178" formatCode="_-* #,##0.00000000_-;\-* #,##0.00000000_-;_-* &quot;-&quot;??_-;_-@_-"/>
  </numFmts>
  <fonts count="120">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ヒラギノ丸ゴ Pro W4"/>
      <family val="2"/>
      <charset val="128"/>
    </font>
    <font>
      <sz val="24"/>
      <color theme="3"/>
      <name val="Calibri"/>
      <family val="2"/>
      <scheme val="minor"/>
    </font>
    <font>
      <sz val="24"/>
      <color theme="1"/>
      <name val="Calibri"/>
      <family val="2"/>
      <scheme val="minor"/>
    </font>
    <font>
      <u/>
      <sz val="12"/>
      <color theme="10"/>
      <name val="ヒラギノ丸ゴ Pro W4"/>
      <family val="2"/>
      <charset val="128"/>
    </font>
    <font>
      <b/>
      <sz val="10"/>
      <name val="Calibri"/>
      <family val="2"/>
      <scheme val="minor"/>
    </font>
    <font>
      <sz val="10"/>
      <name val="Calibri"/>
      <family val="2"/>
      <scheme val="minor"/>
    </font>
    <font>
      <sz val="12"/>
      <name val="Calibri"/>
      <family val="2"/>
      <scheme val="minor"/>
    </font>
    <font>
      <u/>
      <sz val="10"/>
      <color indexed="12"/>
      <name val="Times New Roman"/>
      <family val="1"/>
    </font>
    <font>
      <sz val="9"/>
      <name val="Times New Roman"/>
      <family val="1"/>
    </font>
    <font>
      <sz val="11"/>
      <color indexed="8"/>
      <name val="Calibri"/>
      <family val="2"/>
    </font>
    <font>
      <sz val="11"/>
      <color indexed="8"/>
      <name val="Calibri"/>
      <family val="2"/>
      <charset val="186"/>
    </font>
    <font>
      <sz val="11"/>
      <color indexed="8"/>
      <name val="ＭＳ Ｐゴシック"/>
      <family val="3"/>
      <charset val="128"/>
    </font>
    <font>
      <sz val="10"/>
      <name val="Arial"/>
      <family val="2"/>
    </font>
    <font>
      <sz val="11"/>
      <color indexed="9"/>
      <name val="Calibri"/>
      <family val="2"/>
    </font>
    <font>
      <sz val="11"/>
      <color indexed="9"/>
      <name val="Calibri"/>
      <family val="2"/>
      <charset val="186"/>
    </font>
    <font>
      <sz val="11"/>
      <color indexed="9"/>
      <name val="ＭＳ Ｐゴシック"/>
      <family val="3"/>
      <charset val="128"/>
    </font>
    <font>
      <b/>
      <sz val="9"/>
      <name val="Times New Roman"/>
      <family val="1"/>
    </font>
    <font>
      <sz val="9"/>
      <color indexed="8"/>
      <name val="Times New Roman"/>
      <family val="1"/>
    </font>
    <font>
      <sz val="12"/>
      <color indexed="8"/>
      <name val="Times New Roman"/>
      <family val="1"/>
    </font>
    <font>
      <b/>
      <sz val="11"/>
      <color indexed="63"/>
      <name val="Calibri"/>
      <family val="2"/>
    </font>
    <font>
      <b/>
      <sz val="11"/>
      <color indexed="63"/>
      <name val="Calibri"/>
      <family val="2"/>
      <charset val="186"/>
    </font>
    <font>
      <sz val="11"/>
      <color indexed="20"/>
      <name val="Calibri"/>
      <family val="2"/>
      <charset val="186"/>
    </font>
    <font>
      <sz val="11"/>
      <color indexed="20"/>
      <name val="Calibri"/>
      <family val="2"/>
    </font>
    <font>
      <b/>
      <sz val="11"/>
      <color indexed="52"/>
      <name val="Calibri"/>
      <family val="2"/>
    </font>
    <font>
      <b/>
      <sz val="11"/>
      <color indexed="52"/>
      <name val="Calibri"/>
      <family val="2"/>
      <charset val="186"/>
    </font>
    <font>
      <b/>
      <sz val="14"/>
      <color theme="0"/>
      <name val="Arial"/>
      <family val="2"/>
    </font>
    <font>
      <b/>
      <sz val="11"/>
      <color indexed="9"/>
      <name val="Calibri"/>
      <family val="2"/>
      <charset val="186"/>
    </font>
    <font>
      <b/>
      <sz val="11"/>
      <color indexed="9"/>
      <name val="Calibri"/>
      <family val="2"/>
    </font>
    <font>
      <sz val="8"/>
      <name val="Helvetica"/>
    </font>
    <font>
      <sz val="8"/>
      <name val="Helvetica"/>
      <family val="2"/>
    </font>
    <font>
      <b/>
      <sz val="11"/>
      <color indexed="12"/>
      <name val="Arial"/>
      <family val="2"/>
      <charset val="204"/>
    </font>
    <font>
      <sz val="11"/>
      <color indexed="62"/>
      <name val="Calibri"/>
      <family val="2"/>
    </font>
    <font>
      <sz val="11"/>
      <color indexed="62"/>
      <name val="Calibri"/>
      <family val="2"/>
      <charset val="186"/>
    </font>
    <font>
      <b/>
      <sz val="11"/>
      <color indexed="8"/>
      <name val="Calibri"/>
      <family val="2"/>
    </font>
    <font>
      <b/>
      <sz val="11"/>
      <color indexed="8"/>
      <name val="Calibri"/>
      <family val="2"/>
      <charset val="186"/>
    </font>
    <font>
      <i/>
      <sz val="11"/>
      <color indexed="23"/>
      <name val="Calibri"/>
      <family val="2"/>
    </font>
    <font>
      <i/>
      <sz val="11"/>
      <color indexed="23"/>
      <name val="Calibri"/>
      <family val="2"/>
      <charset val="186"/>
    </font>
    <font>
      <sz val="12"/>
      <color indexed="8"/>
      <name val="ＭＳ Ｐゴシック"/>
      <family val="2"/>
      <charset val="128"/>
    </font>
    <font>
      <sz val="11"/>
      <color indexed="17"/>
      <name val="Calibri"/>
      <family val="2"/>
      <charset val="186"/>
    </font>
    <font>
      <sz val="11"/>
      <color indexed="17"/>
      <name val="Calibri"/>
      <family val="2"/>
    </font>
    <font>
      <b/>
      <sz val="15"/>
      <color indexed="56"/>
      <name val="Calibri"/>
      <family val="2"/>
      <charset val="186"/>
    </font>
    <font>
      <b/>
      <sz val="15"/>
      <color indexed="56"/>
      <name val="Calibri"/>
      <family val="2"/>
    </font>
    <font>
      <b/>
      <sz val="13"/>
      <color indexed="56"/>
      <name val="Calibri"/>
      <family val="2"/>
      <charset val="186"/>
    </font>
    <font>
      <b/>
      <sz val="13"/>
      <color indexed="56"/>
      <name val="Calibri"/>
      <family val="2"/>
    </font>
    <font>
      <b/>
      <sz val="11"/>
      <color indexed="56"/>
      <name val="Calibri"/>
      <family val="2"/>
      <charset val="186"/>
    </font>
    <font>
      <b/>
      <sz val="11"/>
      <color indexed="56"/>
      <name val="Calibri"/>
      <family val="2"/>
    </font>
    <font>
      <b/>
      <sz val="12"/>
      <name val="Times New Roman"/>
      <family val="1"/>
    </font>
    <font>
      <u/>
      <sz val="11"/>
      <color theme="10"/>
      <name val="Calibri"/>
      <family val="2"/>
      <scheme val="minor"/>
    </font>
    <font>
      <b/>
      <sz val="12"/>
      <color indexed="8"/>
      <name val="Times New Roman"/>
      <family val="1"/>
    </font>
    <font>
      <sz val="11"/>
      <color indexed="52"/>
      <name val="Calibri"/>
      <family val="2"/>
      <charset val="186"/>
    </font>
    <font>
      <sz val="11"/>
      <color indexed="52"/>
      <name val="Calibri"/>
      <family val="2"/>
    </font>
    <font>
      <sz val="11"/>
      <color indexed="60"/>
      <name val="Calibri"/>
      <family val="2"/>
      <charset val="186"/>
    </font>
    <font>
      <sz val="10"/>
      <name val="Arial"/>
      <family val="2"/>
      <charset val="186"/>
    </font>
    <font>
      <sz val="10"/>
      <name val="Arial"/>
      <family val="2"/>
      <charset val="204"/>
    </font>
    <font>
      <b/>
      <sz val="10"/>
      <name val="Arial"/>
      <family val="2"/>
    </font>
    <font>
      <b/>
      <sz val="18"/>
      <color indexed="56"/>
      <name val="Cambria"/>
      <family val="2"/>
      <charset val="186"/>
    </font>
    <font>
      <b/>
      <sz val="18"/>
      <color indexed="56"/>
      <name val="Cambria"/>
      <family val="2"/>
    </font>
    <font>
      <sz val="11"/>
      <color indexed="10"/>
      <name val="Calibri"/>
      <family val="2"/>
    </font>
    <font>
      <sz val="11"/>
      <color indexed="10"/>
      <name val="Calibri"/>
      <family val="2"/>
      <charset val="186"/>
    </font>
    <font>
      <u/>
      <sz val="10"/>
      <color indexed="12"/>
      <name val="Times New Roman"/>
      <family val="1"/>
      <charset val="186"/>
    </font>
    <font>
      <sz val="11"/>
      <color indexed="60"/>
      <name val="ＭＳ Ｐゴシック"/>
      <family val="3"/>
      <charset val="128"/>
    </font>
    <font>
      <sz val="12"/>
      <color indexed="8"/>
      <name val="ヒラギノ丸ゴ Pro W4"/>
      <family val="2"/>
      <charset val="128"/>
    </font>
    <font>
      <sz val="12"/>
      <color theme="1"/>
      <name val="Calibri"/>
      <family val="2"/>
      <charset val="128"/>
      <scheme val="minor"/>
    </font>
    <font>
      <sz val="11"/>
      <color theme="1"/>
      <name val="Calibri"/>
      <family val="3"/>
      <charset val="128"/>
      <scheme val="minor"/>
    </font>
    <font>
      <sz val="11"/>
      <name val="ＭＳ Ｐゴシック"/>
      <family val="3"/>
      <charset val="128"/>
    </font>
    <font>
      <sz val="11"/>
      <color theme="1"/>
      <name val="Calibri"/>
      <family val="2"/>
    </font>
    <font>
      <b/>
      <sz val="12"/>
      <color theme="1"/>
      <name val="Calibri"/>
      <family val="2"/>
      <scheme val="minor"/>
    </font>
    <font>
      <sz val="12"/>
      <color theme="1"/>
      <name val="Calibri"/>
      <family val="2"/>
      <scheme val="minor"/>
    </font>
    <font>
      <sz val="14"/>
      <color theme="3"/>
      <name val="Calibri"/>
      <family val="2"/>
      <scheme val="minor"/>
    </font>
    <font>
      <b/>
      <sz val="14"/>
      <color theme="0"/>
      <name val="Calibri"/>
      <family val="2"/>
      <scheme val="minor"/>
    </font>
    <font>
      <sz val="10"/>
      <color theme="0"/>
      <name val="Calibri"/>
      <family val="2"/>
      <scheme val="minor"/>
    </font>
    <font>
      <i/>
      <sz val="10"/>
      <color theme="0"/>
      <name val="Calibri"/>
      <family val="2"/>
      <scheme val="minor"/>
    </font>
    <font>
      <sz val="11"/>
      <name val="Calibri"/>
      <family val="2"/>
      <scheme val="minor"/>
    </font>
    <font>
      <sz val="10"/>
      <color theme="1"/>
      <name val="Calibri"/>
      <family val="2"/>
      <scheme val="minor"/>
    </font>
    <font>
      <b/>
      <sz val="9"/>
      <color indexed="81"/>
      <name val="Tahoma"/>
      <family val="2"/>
    </font>
    <font>
      <sz val="9"/>
      <color indexed="81"/>
      <name val="Tahoma"/>
      <family val="2"/>
    </font>
    <font>
      <sz val="12"/>
      <color theme="0"/>
      <name val="ヒラギノ丸ゴ Pro W4"/>
      <family val="2"/>
      <charset val="128"/>
    </font>
    <font>
      <sz val="10"/>
      <color indexed="8"/>
      <name val="Arial"/>
      <family val="2"/>
    </font>
    <font>
      <b/>
      <sz val="12"/>
      <color rgb="FFFF0000"/>
      <name val="Calibri"/>
      <family val="2"/>
      <scheme val="minor"/>
    </font>
    <font>
      <sz val="12"/>
      <color indexed="8"/>
      <name val="Calibri"/>
      <family val="2"/>
      <scheme val="minor"/>
    </font>
    <font>
      <sz val="10"/>
      <color indexed="8"/>
      <name val="Calibri"/>
      <family val="2"/>
      <scheme val="minor"/>
    </font>
    <font>
      <b/>
      <sz val="15"/>
      <name val="Calibri"/>
      <family val="2"/>
      <scheme val="minor"/>
    </font>
    <font>
      <b/>
      <sz val="16"/>
      <name val="Calibri"/>
      <family val="2"/>
      <scheme val="minor"/>
    </font>
    <font>
      <sz val="14"/>
      <color rgb="FF000000"/>
      <name val="Calibri"/>
      <family val="2"/>
      <scheme val="minor"/>
    </font>
    <font>
      <b/>
      <sz val="14"/>
      <color theme="1"/>
      <name val="Calibri"/>
      <family val="2"/>
      <scheme val="minor"/>
    </font>
    <font>
      <b/>
      <sz val="12"/>
      <color theme="0"/>
      <name val="Calibri"/>
      <family val="2"/>
      <scheme val="minor"/>
    </font>
    <font>
      <i/>
      <sz val="12"/>
      <color theme="0"/>
      <name val="Calibri"/>
      <family val="2"/>
      <scheme val="minor"/>
    </font>
    <font>
      <sz val="12"/>
      <color theme="0"/>
      <name val="Calibri"/>
      <family val="2"/>
      <scheme val="minor"/>
    </font>
    <font>
      <b/>
      <sz val="12"/>
      <name val="Calibri"/>
      <family val="2"/>
      <scheme val="minor"/>
    </font>
    <font>
      <b/>
      <sz val="12"/>
      <color theme="0"/>
      <name val="Arial"/>
      <family val="2"/>
    </font>
    <font>
      <sz val="12"/>
      <color rgb="FF000000"/>
      <name val="Calibri"/>
      <family val="2"/>
      <scheme val="minor"/>
    </font>
    <font>
      <b/>
      <sz val="22"/>
      <name val="Calibri"/>
      <family val="2"/>
      <scheme val="minor"/>
    </font>
    <font>
      <b/>
      <sz val="10"/>
      <color theme="0"/>
      <name val="Calibri"/>
      <family val="2"/>
      <scheme val="minor"/>
    </font>
    <font>
      <u/>
      <sz val="16"/>
      <color theme="10"/>
      <name val="Calibri"/>
      <family val="2"/>
      <scheme val="minor"/>
    </font>
    <font>
      <u/>
      <sz val="12"/>
      <color theme="10"/>
      <name val="Calibri"/>
      <family val="2"/>
      <scheme val="minor"/>
    </font>
    <font>
      <b/>
      <sz val="16"/>
      <color theme="3"/>
      <name val="Calibri"/>
      <family val="2"/>
      <scheme val="minor"/>
    </font>
    <font>
      <b/>
      <sz val="10"/>
      <color theme="1"/>
      <name val="Calibri"/>
      <family val="2"/>
      <scheme val="minor"/>
    </font>
    <font>
      <sz val="12"/>
      <name val="ヒラギノ丸ゴ Pro W4"/>
      <family val="2"/>
      <charset val="128"/>
    </font>
    <font>
      <sz val="12"/>
      <color rgb="FFFF0000"/>
      <name val="Calibri"/>
      <family val="2"/>
      <scheme val="minor"/>
    </font>
    <font>
      <sz val="8"/>
      <name val="Calibri"/>
      <family val="2"/>
      <scheme val="minor"/>
    </font>
    <font>
      <b/>
      <sz val="16"/>
      <color theme="1"/>
      <name val="Calibri"/>
      <family val="2"/>
      <scheme val="minor"/>
    </font>
    <font>
      <b/>
      <sz val="15"/>
      <color theme="1"/>
      <name val="Calibri"/>
      <family val="2"/>
      <scheme val="minor"/>
    </font>
    <font>
      <b/>
      <sz val="12"/>
      <color rgb="FF3F3F76"/>
      <name val="Calibri"/>
      <family val="2"/>
      <scheme val="minor"/>
    </font>
    <font>
      <i/>
      <sz val="11"/>
      <color theme="1"/>
      <name val="Calibri"/>
      <family val="2"/>
      <scheme val="minor"/>
    </font>
    <font>
      <b/>
      <sz val="14"/>
      <color rgb="FFFA7D00"/>
      <name val="Calibri"/>
      <family val="2"/>
      <scheme val="minor"/>
    </font>
    <font>
      <b/>
      <sz val="12"/>
      <color theme="4"/>
      <name val="Calibri"/>
      <family val="2"/>
      <scheme val="minor"/>
    </font>
    <font>
      <sz val="10"/>
      <color theme="0"/>
      <name val="Arial"/>
      <family val="2"/>
    </font>
    <font>
      <b/>
      <sz val="14"/>
      <color theme="3" tint="-0.249977111117893"/>
      <name val="Calibri"/>
      <family val="2"/>
      <scheme val="minor"/>
    </font>
    <font>
      <sz val="15"/>
      <name val="Calibri"/>
      <family val="2"/>
      <scheme val="minor"/>
    </font>
    <font>
      <b/>
      <i/>
      <sz val="11"/>
      <color rgb="FFFF0000"/>
      <name val="Calibri"/>
      <family val="2"/>
      <scheme val="minor"/>
    </font>
    <font>
      <b/>
      <sz val="11"/>
      <color theme="0"/>
      <name val="Calibri"/>
      <family val="2"/>
      <scheme val="minor"/>
    </font>
  </fonts>
  <fills count="73">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theme="4"/>
        <bgColor indexed="64"/>
      </patternFill>
    </fill>
    <fill>
      <patternFill patternType="solid">
        <fgColor indexed="55"/>
      </patternFill>
    </fill>
    <fill>
      <patternFill patternType="solid">
        <fgColor indexed="23"/>
        <bgColor indexed="64"/>
      </patternFill>
    </fill>
    <fill>
      <patternFill patternType="solid">
        <fgColor indexed="43"/>
      </patternFill>
    </fill>
    <fill>
      <patternFill patternType="solid">
        <fgColor indexed="55"/>
        <bgColor indexed="64"/>
      </patternFill>
    </fill>
    <fill>
      <patternFill patternType="solid">
        <fgColor indexed="22"/>
        <bgColor indexed="64"/>
      </patternFill>
    </fill>
    <fill>
      <patternFill patternType="solid">
        <fgColor indexed="26"/>
      </patternFill>
    </fill>
    <fill>
      <patternFill patternType="darkTrellis"/>
    </fill>
    <fill>
      <patternFill patternType="solid">
        <fgColor theme="3" tint="0.39997558519241921"/>
        <bgColor indexed="64"/>
      </patternFill>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00000"/>
        <bgColor indexed="64"/>
      </patternFill>
    </fill>
    <fill>
      <patternFill patternType="solid">
        <fgColor rgb="FFE47E00"/>
        <bgColor indexed="64"/>
      </patternFill>
    </fill>
    <fill>
      <patternFill patternType="solid">
        <fgColor rgb="FF92499E"/>
        <bgColor indexed="64"/>
      </patternFill>
    </fill>
    <fill>
      <patternFill patternType="solid">
        <fgColor theme="4"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A5A5A5"/>
      </patternFill>
    </fill>
  </fills>
  <borders count="9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double">
        <color indexed="63"/>
      </left>
      <right style="double">
        <color indexed="63"/>
      </right>
      <top style="double">
        <color indexed="63"/>
      </top>
      <bottom style="double">
        <color indexed="63"/>
      </bottom>
      <diagonal/>
    </border>
    <border>
      <left style="medium">
        <color auto="1"/>
      </left>
      <right/>
      <top style="thin">
        <color auto="1"/>
      </top>
      <bottom style="thin">
        <color auto="1"/>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style="thin">
        <color auto="1"/>
      </left>
      <right/>
      <top/>
      <bottom style="thin">
        <color auto="1"/>
      </bottom>
      <diagonal/>
    </border>
    <border>
      <left style="medium">
        <color indexed="64"/>
      </left>
      <right style="thin">
        <color auto="1"/>
      </right>
      <top/>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top style="thin">
        <color auto="1"/>
      </top>
      <bottom/>
      <diagonal/>
    </border>
    <border>
      <left style="thin">
        <color auto="1"/>
      </left>
      <right/>
      <top style="medium">
        <color auto="1"/>
      </top>
      <bottom/>
      <diagonal/>
    </border>
    <border>
      <left style="thin">
        <color auto="1"/>
      </left>
      <right style="medium">
        <color auto="1"/>
      </right>
      <top style="thin">
        <color auto="1"/>
      </top>
      <bottom/>
      <diagonal/>
    </border>
    <border>
      <left style="medium">
        <color auto="1"/>
      </left>
      <right/>
      <top/>
      <bottom/>
      <diagonal/>
    </border>
    <border>
      <left style="medium">
        <color auto="1"/>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right style="medium">
        <color auto="1"/>
      </right>
      <top/>
      <bottom style="medium">
        <color auto="1"/>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medium">
        <color auto="1"/>
      </left>
      <right style="medium">
        <color theme="0" tint="-0.34998626667073579"/>
      </right>
      <top style="medium">
        <color theme="0" tint="-0.34998626667073579"/>
      </top>
      <bottom style="medium">
        <color theme="0" tint="-0.34998626667073579"/>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medium">
        <color auto="1"/>
      </bottom>
      <diagonal/>
    </border>
    <border>
      <left style="medium">
        <color indexed="64"/>
      </left>
      <right style="thin">
        <color auto="1"/>
      </right>
      <top style="medium">
        <color auto="1"/>
      </top>
      <bottom/>
      <diagonal/>
    </border>
    <border>
      <left/>
      <right/>
      <top/>
      <bottom style="medium">
        <color indexed="64"/>
      </bottom>
      <diagonal/>
    </border>
    <border>
      <left/>
      <right style="medium">
        <color indexed="64"/>
      </right>
      <top/>
      <bottom/>
      <diagonal/>
    </border>
    <border>
      <left style="medium">
        <color auto="1"/>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style="thin">
        <color rgb="FF7F7F7F"/>
      </left>
      <right style="thin">
        <color rgb="FF7F7F7F"/>
      </right>
      <top style="thin">
        <color rgb="FF7F7F7F"/>
      </top>
      <bottom/>
      <diagonal/>
    </border>
    <border>
      <left style="medium">
        <color indexed="64"/>
      </left>
      <right style="medium">
        <color indexed="64"/>
      </right>
      <top/>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s>
  <cellStyleXfs count="1174">
    <xf numFmtId="0" fontId="0" fillId="0" borderId="0"/>
    <xf numFmtId="0" fontId="9" fillId="0" borderId="0"/>
    <xf numFmtId="0" fontId="1" fillId="0" borderId="0"/>
    <xf numFmtId="0" fontId="12" fillId="0" borderId="0" applyNumberFormat="0" applyFill="0" applyBorder="0" applyAlignment="0" applyProtection="0"/>
    <xf numFmtId="0" fontId="16" fillId="0" borderId="0" applyNumberFormat="0" applyFill="0" applyBorder="0" applyAlignment="0" applyProtection="0"/>
    <xf numFmtId="0" fontId="17" fillId="0" borderId="0"/>
    <xf numFmtId="0" fontId="18" fillId="25" borderId="0" applyNumberFormat="0" applyBorder="0" applyAlignment="0" applyProtection="0"/>
    <xf numFmtId="0" fontId="19" fillId="25" borderId="0" applyNumberFormat="0" applyBorder="0" applyAlignment="0" applyProtection="0"/>
    <xf numFmtId="0" fontId="1" fillId="4" borderId="0" applyNumberFormat="0" applyBorder="0" applyAlignment="0" applyProtection="0"/>
    <xf numFmtId="0" fontId="18" fillId="26" borderId="0" applyNumberFormat="0" applyBorder="0" applyAlignment="0" applyProtection="0"/>
    <xf numFmtId="0" fontId="19" fillId="26" borderId="0" applyNumberFormat="0" applyBorder="0" applyAlignment="0" applyProtection="0"/>
    <xf numFmtId="0" fontId="1" fillId="7" borderId="0" applyNumberFormat="0" applyBorder="0" applyAlignment="0" applyProtection="0"/>
    <xf numFmtId="0" fontId="18" fillId="27" borderId="0" applyNumberFormat="0" applyBorder="0" applyAlignment="0" applyProtection="0"/>
    <xf numFmtId="0" fontId="19" fillId="27" borderId="0" applyNumberFormat="0" applyBorder="0" applyAlignment="0" applyProtection="0"/>
    <xf numFmtId="0" fontId="1" fillId="10"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3" borderId="0" applyNumberFormat="0" applyBorder="0" applyAlignment="0" applyProtection="0"/>
    <xf numFmtId="0" fontId="18" fillId="29" borderId="0" applyNumberFormat="0" applyBorder="0" applyAlignment="0" applyProtection="0"/>
    <xf numFmtId="0" fontId="19" fillId="29" borderId="0" applyNumberFormat="0" applyBorder="0" applyAlignment="0" applyProtection="0"/>
    <xf numFmtId="0" fontId="1" fillId="16" borderId="0" applyNumberFormat="0" applyBorder="0" applyAlignment="0" applyProtection="0"/>
    <xf numFmtId="0" fontId="18" fillId="30" borderId="0" applyNumberFormat="0" applyBorder="0" applyAlignment="0" applyProtection="0"/>
    <xf numFmtId="0" fontId="19" fillId="30" borderId="0" applyNumberFormat="0" applyBorder="0" applyAlignment="0" applyProtection="0"/>
    <xf numFmtId="0" fontId="1" fillId="1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0" fontId="18" fillId="31" borderId="0" applyNumberFormat="0" applyBorder="0" applyAlignment="0" applyProtection="0"/>
    <xf numFmtId="0" fontId="19" fillId="31" borderId="0" applyNumberFormat="0" applyBorder="0" applyAlignment="0" applyProtection="0"/>
    <xf numFmtId="0" fontId="1" fillId="5" borderId="0" applyNumberFormat="0" applyBorder="0" applyAlignment="0" applyProtection="0"/>
    <xf numFmtId="0" fontId="18" fillId="32" borderId="0" applyNumberFormat="0" applyBorder="0" applyAlignment="0" applyProtection="0"/>
    <xf numFmtId="0" fontId="19" fillId="32" borderId="0" applyNumberFormat="0" applyBorder="0" applyAlignment="0" applyProtection="0"/>
    <xf numFmtId="0" fontId="1" fillId="8" borderId="0" applyNumberFormat="0" applyBorder="0" applyAlignment="0" applyProtection="0"/>
    <xf numFmtId="0" fontId="18" fillId="33" borderId="0" applyNumberFormat="0" applyBorder="0" applyAlignment="0" applyProtection="0"/>
    <xf numFmtId="0" fontId="19" fillId="33" borderId="0" applyNumberFormat="0" applyBorder="0" applyAlignment="0" applyProtection="0"/>
    <xf numFmtId="0" fontId="1" fillId="11"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4" borderId="0" applyNumberFormat="0" applyBorder="0" applyAlignment="0" applyProtection="0"/>
    <xf numFmtId="0" fontId="18" fillId="31" borderId="0" applyNumberFormat="0" applyBorder="0" applyAlignment="0" applyProtection="0"/>
    <xf numFmtId="0" fontId="19" fillId="31" borderId="0" applyNumberFormat="0" applyBorder="0" applyAlignment="0" applyProtection="0"/>
    <xf numFmtId="0" fontId="1" fillId="17" borderId="0" applyNumberFormat="0" applyBorder="0" applyAlignment="0" applyProtection="0"/>
    <xf numFmtId="0" fontId="18" fillId="34" borderId="0" applyNumberFormat="0" applyBorder="0" applyAlignment="0" applyProtection="0"/>
    <xf numFmtId="0" fontId="19" fillId="34" borderId="0" applyNumberFormat="0" applyBorder="0" applyAlignment="0" applyProtection="0"/>
    <xf numFmtId="0" fontId="1" fillId="20"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0" fillId="34" borderId="0" applyNumberFormat="0" applyBorder="0" applyAlignment="0" applyProtection="0">
      <alignment vertical="center"/>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0" fontId="21" fillId="0" borderId="0" applyNumberFormat="0" applyFont="0" applyFill="0" applyBorder="0" applyProtection="0">
      <alignment horizontal="left" vertical="center"/>
    </xf>
    <xf numFmtId="0" fontId="22" fillId="35" borderId="0" applyNumberFormat="0" applyBorder="0" applyAlignment="0" applyProtection="0"/>
    <xf numFmtId="0" fontId="23" fillId="35" borderId="0" applyNumberFormat="0" applyBorder="0" applyAlignment="0" applyProtection="0"/>
    <xf numFmtId="0" fontId="8" fillId="6" borderId="0" applyNumberFormat="0" applyBorder="0" applyAlignment="0" applyProtection="0"/>
    <xf numFmtId="0" fontId="22" fillId="32" borderId="0" applyNumberFormat="0" applyBorder="0" applyAlignment="0" applyProtection="0"/>
    <xf numFmtId="0" fontId="23" fillId="32" borderId="0" applyNumberFormat="0" applyBorder="0" applyAlignment="0" applyProtection="0"/>
    <xf numFmtId="0" fontId="8" fillId="9" borderId="0" applyNumberFormat="0" applyBorder="0" applyAlignment="0" applyProtection="0"/>
    <xf numFmtId="0" fontId="22" fillId="33" borderId="0" applyNumberFormat="0" applyBorder="0" applyAlignment="0" applyProtection="0"/>
    <xf numFmtId="0" fontId="23" fillId="33" borderId="0" applyNumberFormat="0" applyBorder="0" applyAlignment="0" applyProtection="0"/>
    <xf numFmtId="0" fontId="8" fillId="12" borderId="0" applyNumberFormat="0" applyBorder="0" applyAlignment="0" applyProtection="0"/>
    <xf numFmtId="0" fontId="22" fillId="36" borderId="0" applyNumberFormat="0" applyBorder="0" applyAlignment="0" applyProtection="0"/>
    <xf numFmtId="0" fontId="23" fillId="36" borderId="0" applyNumberFormat="0" applyBorder="0" applyAlignment="0" applyProtection="0"/>
    <xf numFmtId="0" fontId="8" fillId="15" borderId="0" applyNumberFormat="0" applyBorder="0" applyAlignment="0" applyProtection="0"/>
    <xf numFmtId="0" fontId="22" fillId="37" borderId="0" applyNumberFormat="0" applyBorder="0" applyAlignment="0" applyProtection="0"/>
    <xf numFmtId="0" fontId="23" fillId="37" borderId="0" applyNumberFormat="0" applyBorder="0" applyAlignment="0" applyProtection="0"/>
    <xf numFmtId="0" fontId="8" fillId="18" borderId="0" applyNumberFormat="0" applyBorder="0" applyAlignment="0" applyProtection="0"/>
    <xf numFmtId="0" fontId="22" fillId="38" borderId="0" applyNumberFormat="0" applyBorder="0" applyAlignment="0" applyProtection="0"/>
    <xf numFmtId="0" fontId="23" fillId="38" borderId="0" applyNumberFormat="0" applyBorder="0" applyAlignment="0" applyProtection="0"/>
    <xf numFmtId="0" fontId="8" fillId="21"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2"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4" fillId="35"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xf numFmtId="0" fontId="23" fillId="39" borderId="0" applyNumberFormat="0" applyBorder="0" applyAlignment="0" applyProtection="0"/>
    <xf numFmtId="0" fontId="22" fillId="39"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2"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2" fillId="4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2" fillId="37"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2" fillId="42" borderId="0" applyNumberFormat="0" applyBorder="0" applyAlignment="0" applyProtection="0"/>
    <xf numFmtId="0" fontId="25" fillId="43" borderId="0" applyBorder="0" applyAlignment="0"/>
    <xf numFmtId="4" fontId="25" fillId="43" borderId="0" applyBorder="0" applyAlignment="0"/>
    <xf numFmtId="0" fontId="17" fillId="43" borderId="0" applyBorder="0">
      <alignment horizontal="right" vertical="center"/>
    </xf>
    <xf numFmtId="4" fontId="17" fillId="43" borderId="0" applyBorder="0">
      <alignment horizontal="right" vertical="center"/>
    </xf>
    <xf numFmtId="0" fontId="17" fillId="43" borderId="7">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9">
      <alignment horizontal="right" vertical="center"/>
    </xf>
    <xf numFmtId="0"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10">
      <alignment horizontal="right" vertical="center"/>
    </xf>
    <xf numFmtId="0"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0">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1">
      <alignment horizontal="right" vertical="center"/>
    </xf>
    <xf numFmtId="0"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4" fontId="26" fillId="45" borderId="12">
      <alignment horizontal="right" vertical="center"/>
    </xf>
    <xf numFmtId="0" fontId="22" fillId="39" borderId="0" applyNumberFormat="0" applyBorder="0" applyAlignment="0" applyProtection="0"/>
    <xf numFmtId="0" fontId="22" fillId="40" borderId="0" applyNumberFormat="0" applyBorder="0" applyAlignment="0" applyProtection="0"/>
    <xf numFmtId="0" fontId="22" fillId="41"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42" borderId="0" applyNumberFormat="0" applyBorder="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3" fillId="3" borderId="2" applyNumberFormat="0" applyAlignment="0" applyProtection="0"/>
    <xf numFmtId="0" fontId="30" fillId="26" borderId="0" applyNumberFormat="0" applyBorder="0" applyAlignment="0" applyProtection="0"/>
    <xf numFmtId="0" fontId="30" fillId="26" borderId="0" applyNumberFormat="0" applyBorder="0" applyAlignment="0" applyProtection="0"/>
    <xf numFmtId="0" fontId="31" fillId="26" borderId="0" applyNumberFormat="0" applyBorder="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4" fillId="3" borderId="1" applyNumberFormat="0" applyAlignment="0" applyProtection="0"/>
    <xf numFmtId="4" fontId="25" fillId="0" borderId="15" applyFill="0" applyBorder="0" applyProtection="0">
      <alignment horizontal="right" vertical="center"/>
    </xf>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4" fillId="47" borderId="16">
      <alignment horizontal="center" vertical="center"/>
    </xf>
    <xf numFmtId="0" fontId="35" fillId="48" borderId="17" applyNumberFormat="0" applyAlignment="0" applyProtection="0"/>
    <xf numFmtId="0" fontId="35" fillId="48" borderId="17" applyNumberFormat="0" applyAlignment="0" applyProtection="0"/>
    <xf numFmtId="0" fontId="36" fillId="48" borderId="17" applyNumberFormat="0" applyAlignment="0" applyProtection="0"/>
    <xf numFmtId="38" fontId="9" fillId="0" borderId="0" applyFont="0" applyFill="0" applyBorder="0" applyAlignment="0" applyProtection="0"/>
    <xf numFmtId="164" fontId="21" fillId="0" borderId="0" applyFont="0" applyFill="0" applyBorder="0" applyAlignment="0" applyProtection="0"/>
    <xf numFmtId="43" fontId="18" fillId="0" borderId="0" applyFont="0" applyFill="0" applyBorder="0" applyAlignment="0" applyProtection="0"/>
    <xf numFmtId="167" fontId="37" fillId="0" borderId="0" applyFont="0" applyFill="0" applyBorder="0" applyAlignment="0" applyProtection="0"/>
    <xf numFmtId="167" fontId="38" fillId="0" borderId="0" applyFont="0" applyFill="0" applyBorder="0" applyAlignment="0" applyProtection="0"/>
    <xf numFmtId="43" fontId="18" fillId="0" borderId="0" applyFont="0" applyFill="0" applyBorder="0" applyAlignment="0" applyProtection="0"/>
    <xf numFmtId="0" fontId="26" fillId="0" borderId="0" applyNumberFormat="0">
      <alignment horizontal="right"/>
    </xf>
    <xf numFmtId="0" fontId="39" fillId="0" borderId="0">
      <alignment horizontal="left" vertical="center" indent="1"/>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 fillId="0" borderId="0"/>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38" fontId="9" fillId="0" borderId="0" applyFont="0" applyFill="0" applyBorder="0" applyAlignment="0" applyProtection="0"/>
    <xf numFmtId="0" fontId="26" fillId="0" borderId="19">
      <alignment horizontal="left" vertical="top" wrapText="1"/>
    </xf>
    <xf numFmtId="0" fontId="2" fillId="2" borderId="1"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2" fillId="2" borderId="1" applyNumberFormat="0" applyAlignment="0" applyProtection="0"/>
    <xf numFmtId="0" fontId="21" fillId="0" borderId="2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6" fillId="0" borderId="0" applyNumberFormat="0" applyFill="0" applyBorder="0" applyAlignment="0" applyProtection="0"/>
    <xf numFmtId="0" fontId="46" fillId="0" borderId="0"/>
    <xf numFmtId="0" fontId="45" fillId="0" borderId="0" applyNumberFormat="0" applyFill="0" applyBorder="0" applyAlignment="0" applyProtection="0"/>
    <xf numFmtId="0" fontId="45" fillId="0" borderId="0" applyNumberFormat="0" applyFill="0" applyBorder="0" applyAlignment="0" applyProtection="0"/>
    <xf numFmtId="0" fontId="47" fillId="27" borderId="0" applyNumberFormat="0" applyBorder="0" applyAlignment="0" applyProtection="0"/>
    <xf numFmtId="0" fontId="47"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9" fillId="0" borderId="22" applyNumberFormat="0" applyFill="0" applyAlignment="0" applyProtection="0"/>
    <xf numFmtId="0" fontId="49" fillId="0" borderId="22" applyNumberFormat="0" applyFill="0" applyAlignment="0" applyProtection="0"/>
    <xf numFmtId="0" fontId="50" fillId="0" borderId="22" applyNumberFormat="0" applyFill="0" applyAlignment="0" applyProtection="0"/>
    <xf numFmtId="0" fontId="51" fillId="0" borderId="23" applyNumberFormat="0" applyFill="0" applyAlignment="0" applyProtection="0"/>
    <xf numFmtId="0" fontId="51"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4"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2" fillId="2" borderId="1" applyNumberFormat="0" applyAlignment="0" applyProtection="0"/>
    <xf numFmtId="0" fontId="17" fillId="0" borderId="0" applyBorder="0">
      <alignment horizontal="right" vertical="center"/>
    </xf>
    <xf numFmtId="4" fontId="17" fillId="0" borderId="0" applyBorder="0">
      <alignment horizontal="right" vertical="center"/>
    </xf>
    <xf numFmtId="0" fontId="17" fillId="0" borderId="0" applyBorder="0">
      <alignment horizontal="right" vertical="center"/>
    </xf>
    <xf numFmtId="0" fontId="17" fillId="0" borderId="0" applyBorder="0">
      <alignment horizontal="right" vertical="center"/>
    </xf>
    <xf numFmtId="0" fontId="17" fillId="0" borderId="25">
      <alignment horizontal="right" vertical="center"/>
    </xf>
    <xf numFmtId="0"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10">
      <alignment horizontal="right" vertical="center"/>
    </xf>
    <xf numFmtId="1" fontId="57" fillId="44" borderId="0" applyBorder="0">
      <alignment horizontal="right" vertical="center"/>
    </xf>
    <xf numFmtId="165" fontId="9" fillId="0" borderId="0" applyFont="0" applyFill="0" applyBorder="0" applyAlignment="0" applyProtection="0"/>
    <xf numFmtId="0" fontId="21" fillId="49" borderId="7"/>
    <xf numFmtId="0" fontId="58" fillId="0" borderId="26" applyNumberFormat="0" applyFill="0" applyAlignment="0" applyProtection="0"/>
    <xf numFmtId="0" fontId="58" fillId="0" borderId="26" applyNumberFormat="0" applyFill="0" applyAlignment="0" applyProtection="0"/>
    <xf numFmtId="0" fontId="59" fillId="0" borderId="26" applyNumberFormat="0" applyFill="0" applyAlignment="0" applyProtection="0"/>
    <xf numFmtId="0" fontId="60" fillId="50" borderId="0" applyNumberFormat="0" applyBorder="0" applyAlignment="0" applyProtection="0"/>
    <xf numFmtId="0" fontId="60" fillId="50" borderId="0" applyNumberFormat="0" applyBorder="0" applyAlignment="0" applyProtection="0"/>
    <xf numFmtId="0" fontId="21" fillId="0" borderId="0"/>
    <xf numFmtId="0" fontId="21" fillId="0" borderId="0"/>
    <xf numFmtId="0" fontId="1" fillId="0" borderId="0"/>
    <xf numFmtId="0" fontId="1" fillId="0" borderId="0"/>
    <xf numFmtId="0" fontId="1" fillId="0" borderId="0"/>
    <xf numFmtId="0" fontId="1" fillId="0" borderId="0"/>
    <xf numFmtId="0" fontId="21" fillId="0" borderId="0"/>
    <xf numFmtId="0" fontId="21" fillId="0" borderId="0"/>
    <xf numFmtId="0" fontId="9" fillId="0" borderId="0"/>
    <xf numFmtId="0" fontId="21" fillId="0" borderId="0"/>
    <xf numFmtId="0" fontId="21" fillId="0" borderId="0"/>
    <xf numFmtId="0" fontId="37" fillId="0" borderId="0"/>
    <xf numFmtId="0" fontId="38" fillId="0" borderId="0"/>
    <xf numFmtId="4" fontId="21" fillId="0" borderId="0"/>
    <xf numFmtId="0" fontId="21" fillId="0" borderId="0"/>
    <xf numFmtId="0" fontId="1" fillId="0" borderId="0"/>
    <xf numFmtId="0" fontId="1" fillId="0" borderId="0"/>
    <xf numFmtId="4" fontId="21" fillId="0" borderId="0"/>
    <xf numFmtId="4" fontId="61" fillId="0" borderId="0"/>
    <xf numFmtId="4" fontId="21" fillId="0" borderId="0"/>
    <xf numFmtId="4" fontId="21" fillId="0" borderId="0"/>
    <xf numFmtId="4" fontId="21" fillId="0" borderId="0"/>
    <xf numFmtId="0" fontId="21" fillId="0" borderId="0"/>
    <xf numFmtId="0" fontId="21" fillId="0" borderId="0"/>
    <xf numFmtId="0" fontId="21" fillId="0" borderId="0"/>
    <xf numFmtId="0" fontId="62" fillId="0" borderId="0"/>
    <xf numFmtId="0" fontId="62" fillId="0" borderId="0"/>
    <xf numFmtId="0" fontId="62"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21" fillId="0" borderId="0"/>
    <xf numFmtId="0" fontId="21" fillId="0" borderId="0"/>
    <xf numFmtId="0" fontId="62" fillId="0" borderId="0"/>
    <xf numFmtId="0" fontId="1" fillId="0" borderId="0"/>
    <xf numFmtId="0" fontId="1" fillId="0" borderId="0"/>
    <xf numFmtId="4" fontId="17" fillId="0" borderId="0" applyFill="0" applyBorder="0" applyProtection="0">
      <alignment horizontal="right" vertical="center"/>
    </xf>
    <xf numFmtId="4" fontId="17" fillId="0" borderId="0"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0" fontId="25" fillId="0" borderId="0" applyNumberFormat="0" applyFill="0" applyBorder="0" applyProtection="0">
      <alignment horizontal="left" vertical="center"/>
    </xf>
    <xf numFmtId="0" fontId="25" fillId="0" borderId="0"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4" fontId="21" fillId="51" borderId="0" applyNumberFormat="0" applyFont="0" applyBorder="0" applyAlignment="0" applyProtection="0"/>
    <xf numFmtId="4"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37" fillId="52" borderId="0" applyNumberFormat="0" applyFont="0" applyBorder="0" applyAlignment="0" applyProtection="0"/>
    <xf numFmtId="0" fontId="38" fillId="52" borderId="0" applyNumberFormat="0" applyFont="0" applyBorder="0" applyAlignment="0" applyProtection="0"/>
    <xf numFmtId="4" fontId="21" fillId="0" borderId="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9" fontId="37" fillId="0" borderId="0" applyFont="0" applyFill="0" applyBorder="0" applyAlignment="0" applyProtection="0"/>
    <xf numFmtId="9" fontId="38" fillId="0" borderId="0" applyFont="0" applyFill="0" applyBorder="0" applyAlignment="0" applyProtection="0"/>
    <xf numFmtId="0" fontId="63" fillId="0" borderId="0" applyNumberFormat="0" applyFill="0" applyBorder="0" applyAlignment="0" applyProtection="0"/>
    <xf numFmtId="0" fontId="31" fillId="26" borderId="0" applyNumberFormat="0" applyBorder="0" applyAlignment="0" applyProtection="0"/>
    <xf numFmtId="0"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10"/>
    <xf numFmtId="0" fontId="1" fillId="0" borderId="0"/>
    <xf numFmtId="0" fontId="1" fillId="0" borderId="0"/>
    <xf numFmtId="0" fontId="1" fillId="0" borderId="0"/>
    <xf numFmtId="0" fontId="1" fillId="0" borderId="0"/>
    <xf numFmtId="0" fontId="1" fillId="0" borderId="0"/>
    <xf numFmtId="0" fontId="64" fillId="0" borderId="0" applyNumberFormat="0" applyFill="0" applyBorder="0" applyAlignment="0" applyProtection="0"/>
    <xf numFmtId="0" fontId="64" fillId="0" borderId="0" applyNumberFormat="0" applyFill="0" applyBorder="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50" fillId="0" borderId="22" applyNumberFormat="0" applyFill="0" applyAlignment="0" applyProtection="0"/>
    <xf numFmtId="0" fontId="52" fillId="0" borderId="23" applyNumberFormat="0" applyFill="0" applyAlignment="0" applyProtection="0"/>
    <xf numFmtId="0" fontId="54" fillId="0" borderId="24" applyNumberFormat="0" applyFill="0" applyAlignment="0" applyProtection="0"/>
    <xf numFmtId="0" fontId="54" fillId="0" borderId="0" applyNumberFormat="0" applyFill="0" applyBorder="0" applyAlignment="0" applyProtection="0"/>
    <xf numFmtId="0" fontId="65" fillId="0" borderId="0" applyNumberFormat="0" applyFill="0" applyBorder="0" applyAlignment="0" applyProtection="0"/>
    <xf numFmtId="0" fontId="59" fillId="0" borderId="26" applyNumberFormat="0" applyFill="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6" fillId="48" borderId="17" applyNumberFormat="0" applyAlignment="0" applyProtection="0"/>
    <xf numFmtId="0" fontId="16" fillId="0" borderId="0" applyNumberFormat="0" applyFill="0" applyBorder="0" applyAlignment="0" applyProtection="0"/>
    <xf numFmtId="0" fontId="6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xf numFmtId="0" fontId="69" fillId="50" borderId="0" applyNumberFormat="0" applyBorder="0" applyAlignment="0" applyProtection="0">
      <alignment vertical="center"/>
    </xf>
    <xf numFmtId="9" fontId="21"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70" fillId="0" borderId="0" applyFont="0" applyFill="0" applyBorder="0" applyAlignment="0" applyProtection="0"/>
    <xf numFmtId="9" fontId="9" fillId="0" borderId="0" applyFont="0" applyFill="0" applyBorder="0" applyAlignment="0" applyProtection="0"/>
    <xf numFmtId="165" fontId="21" fillId="0" borderId="0" applyFont="0" applyFill="0" applyBorder="0" applyAlignment="0" applyProtection="0"/>
    <xf numFmtId="165" fontId="9" fillId="0" borderId="0" applyFont="0" applyFill="0" applyBorder="0" applyAlignment="0" applyProtection="0"/>
    <xf numFmtId="165" fontId="70"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4"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38" fontId="7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64" fontId="21" fillId="0" borderId="0" applyFont="0" applyFill="0" applyBorder="0" applyAlignment="0" applyProtection="0"/>
    <xf numFmtId="38" fontId="72" fillId="0" borderId="0" applyFont="0" applyFill="0" applyBorder="0" applyAlignment="0" applyProtection="0"/>
    <xf numFmtId="38" fontId="9"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0" fontId="21" fillId="0" borderId="0"/>
    <xf numFmtId="0" fontId="73" fillId="0" borderId="0"/>
    <xf numFmtId="0" fontId="73" fillId="0" borderId="0"/>
    <xf numFmtId="0" fontId="21" fillId="0" borderId="0"/>
    <xf numFmtId="0" fontId="72" fillId="0" borderId="0">
      <alignment vertical="center"/>
    </xf>
    <xf numFmtId="0" fontId="74" fillId="0" borderId="0">
      <alignment vertical="center"/>
    </xf>
    <xf numFmtId="0" fontId="21" fillId="0" borderId="0"/>
    <xf numFmtId="0" fontId="21" fillId="0" borderId="0"/>
    <xf numFmtId="0" fontId="21" fillId="0" borderId="0">
      <alignment vertical="center"/>
    </xf>
    <xf numFmtId="0" fontId="72" fillId="0" borderId="0">
      <alignment vertical="center"/>
    </xf>
    <xf numFmtId="0" fontId="74" fillId="0" borderId="0">
      <alignment vertical="center"/>
    </xf>
    <xf numFmtId="0" fontId="9" fillId="0" borderId="0"/>
    <xf numFmtId="0" fontId="9" fillId="0" borderId="0"/>
    <xf numFmtId="0" fontId="73" fillId="0" borderId="0">
      <alignment vertical="center"/>
    </xf>
    <xf numFmtId="9" fontId="1" fillId="0" borderId="0" applyFont="0" applyFill="0" applyBorder="0" applyAlignment="0" applyProtection="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9" fillId="0" borderId="0"/>
    <xf numFmtId="0" fontId="86" fillId="0" borderId="0">
      <alignment vertical="top"/>
    </xf>
    <xf numFmtId="166" fontId="1" fillId="0" borderId="0" applyFont="0" applyFill="0" applyBorder="0" applyAlignment="0" applyProtection="0"/>
    <xf numFmtId="0" fontId="2" fillId="2" borderId="1" applyNumberFormat="0" applyAlignment="0" applyProtection="0"/>
    <xf numFmtId="0" fontId="4" fillId="3" borderId="1" applyNumberFormat="0" applyAlignment="0" applyProtection="0"/>
    <xf numFmtId="0" fontId="1" fillId="5" borderId="0" applyNumberFormat="0" applyBorder="0" applyAlignment="0" applyProtection="0"/>
    <xf numFmtId="0" fontId="1" fillId="21" borderId="0" applyNumberFormat="0" applyBorder="0" applyAlignment="0" applyProtection="0"/>
    <xf numFmtId="0" fontId="119" fillId="72" borderId="90" applyNumberFormat="0" applyAlignment="0" applyProtection="0"/>
  </cellStyleXfs>
  <cellXfs count="705">
    <xf numFmtId="0" fontId="0" fillId="0" borderId="0" xfId="0"/>
    <xf numFmtId="0" fontId="1" fillId="0" borderId="0" xfId="1" applyFont="1" applyAlignment="1">
      <alignment vertical="center"/>
    </xf>
    <xf numFmtId="0" fontId="10" fillId="0" borderId="0" xfId="1" applyFont="1" applyBorder="1" applyAlignment="1">
      <alignment horizontal="center" vertical="center" wrapText="1"/>
    </xf>
    <xf numFmtId="0" fontId="1" fillId="0" borderId="0" xfId="1" applyFont="1" applyFill="1" applyBorder="1" applyAlignment="1">
      <alignment horizontal="right" vertical="center"/>
    </xf>
    <xf numFmtId="0" fontId="76" fillId="0" borderId="0" xfId="1" applyFont="1" applyAlignment="1"/>
    <xf numFmtId="49" fontId="1" fillId="0" borderId="0" xfId="1" applyNumberFormat="1" applyFont="1" applyAlignment="1">
      <alignment vertical="center" wrapText="1"/>
    </xf>
    <xf numFmtId="0" fontId="1" fillId="0" borderId="0" xfId="1" applyFont="1" applyAlignment="1">
      <alignment horizontal="right" vertical="center"/>
    </xf>
    <xf numFmtId="171" fontId="1" fillId="0" borderId="0" xfId="1" applyNumberFormat="1" applyFont="1" applyAlignment="1">
      <alignment vertical="center"/>
    </xf>
    <xf numFmtId="0" fontId="76" fillId="0" borderId="0" xfId="1" applyFont="1"/>
    <xf numFmtId="0" fontId="79" fillId="0" borderId="0" xfId="1" applyFont="1" applyAlignment="1">
      <alignment vertical="center" wrapText="1"/>
    </xf>
    <xf numFmtId="0" fontId="80" fillId="0" borderId="0" xfId="1" applyFont="1" applyAlignment="1">
      <alignment vertical="center" wrapText="1"/>
    </xf>
    <xf numFmtId="0" fontId="13" fillId="0" borderId="0" xfId="1" applyFont="1" applyAlignment="1">
      <alignment vertical="center"/>
    </xf>
    <xf numFmtId="0" fontId="14" fillId="0" borderId="0" xfId="1" applyFont="1" applyAlignment="1">
      <alignment vertical="center"/>
    </xf>
    <xf numFmtId="0" fontId="81" fillId="0" borderId="0" xfId="1" applyFont="1" applyAlignment="1">
      <alignment vertical="center"/>
    </xf>
    <xf numFmtId="0" fontId="76" fillId="0" borderId="8" xfId="1" applyFont="1" applyBorder="1"/>
    <xf numFmtId="0" fontId="76" fillId="0" borderId="7" xfId="1" applyFont="1" applyBorder="1"/>
    <xf numFmtId="0" fontId="76" fillId="0" borderId="12" xfId="1" applyFont="1" applyBorder="1"/>
    <xf numFmtId="0" fontId="76" fillId="0" borderId="12" xfId="1" applyFont="1" applyFill="1" applyBorder="1"/>
    <xf numFmtId="0" fontId="76" fillId="0" borderId="11" xfId="1" applyFont="1" applyBorder="1"/>
    <xf numFmtId="0" fontId="76" fillId="0" borderId="10" xfId="1" applyFont="1" applyBorder="1"/>
    <xf numFmtId="0" fontId="76" fillId="0" borderId="42" xfId="1" applyFont="1" applyFill="1" applyBorder="1"/>
    <xf numFmtId="0" fontId="0" fillId="0" borderId="0" xfId="0" applyAlignment="1"/>
    <xf numFmtId="0" fontId="76" fillId="0" borderId="0" xfId="0" applyFont="1" applyAlignment="1"/>
    <xf numFmtId="0" fontId="76" fillId="0" borderId="0" xfId="0" applyFont="1"/>
    <xf numFmtId="0" fontId="0" fillId="0" borderId="0" xfId="0" applyFont="1" applyAlignment="1"/>
    <xf numFmtId="0" fontId="76" fillId="0" borderId="0" xfId="597" applyFont="1" applyAlignment="1"/>
    <xf numFmtId="0" fontId="87" fillId="0" borderId="0" xfId="0" applyFont="1" applyFill="1" applyAlignment="1"/>
    <xf numFmtId="0" fontId="0" fillId="0" borderId="0" xfId="0" applyFont="1"/>
    <xf numFmtId="0" fontId="8" fillId="0" borderId="0" xfId="0" applyFont="1" applyFill="1" applyAlignment="1">
      <alignment horizontal="center"/>
    </xf>
    <xf numFmtId="0" fontId="8" fillId="56" borderId="0" xfId="0" applyFont="1" applyFill="1" applyAlignment="1">
      <alignment horizontal="center"/>
    </xf>
    <xf numFmtId="0" fontId="8" fillId="0" borderId="0" xfId="0" applyFont="1" applyFill="1" applyAlignment="1"/>
    <xf numFmtId="0" fontId="8" fillId="56" borderId="0" xfId="0" applyFont="1" applyFill="1" applyAlignment="1"/>
    <xf numFmtId="0" fontId="7" fillId="0" borderId="0" xfId="0" applyFont="1" applyAlignment="1"/>
    <xf numFmtId="0" fontId="15" fillId="24" borderId="6" xfId="0" applyFont="1" applyFill="1" applyBorder="1" applyAlignment="1">
      <alignment horizontal="right" vertical="center"/>
    </xf>
    <xf numFmtId="0" fontId="15" fillId="24" borderId="7" xfId="0" applyFont="1" applyFill="1" applyBorder="1" applyAlignment="1">
      <alignment horizontal="right" vertical="center"/>
    </xf>
    <xf numFmtId="4" fontId="14" fillId="0" borderId="0" xfId="0" applyNumberFormat="1" applyFont="1" applyFill="1" applyBorder="1" applyAlignment="1">
      <alignment vertical="center"/>
    </xf>
    <xf numFmtId="0" fontId="7" fillId="0" borderId="0" xfId="0" applyFont="1" applyFill="1" applyBorder="1" applyAlignment="1"/>
    <xf numFmtId="0" fontId="15" fillId="0" borderId="0" xfId="0" applyFont="1" applyFill="1" applyBorder="1" applyAlignment="1">
      <alignment horizontal="right" vertical="center"/>
    </xf>
    <xf numFmtId="0" fontId="81" fillId="0" borderId="0" xfId="0" applyFont="1" applyFill="1" applyBorder="1" applyAlignment="1">
      <alignment horizontal="right" vertical="center"/>
    </xf>
    <xf numFmtId="0" fontId="0" fillId="0" borderId="0" xfId="0" applyFont="1" applyFill="1" applyBorder="1"/>
    <xf numFmtId="0" fontId="76" fillId="0" borderId="0" xfId="0" applyFont="1" applyFill="1" applyBorder="1"/>
    <xf numFmtId="0" fontId="0" fillId="0" borderId="0" xfId="0" applyFont="1" applyFill="1"/>
    <xf numFmtId="0" fontId="11" fillId="58" borderId="5" xfId="1" applyFont="1" applyFill="1" applyBorder="1" applyAlignment="1">
      <alignment vertical="center" wrapText="1"/>
    </xf>
    <xf numFmtId="0" fontId="11" fillId="58" borderId="6" xfId="1" applyFont="1" applyFill="1" applyBorder="1" applyAlignment="1">
      <alignment vertical="center" wrapText="1"/>
    </xf>
    <xf numFmtId="0" fontId="1" fillId="58" borderId="0" xfId="2" applyFont="1" applyFill="1"/>
    <xf numFmtId="0" fontId="1" fillId="58" borderId="0" xfId="2" applyFont="1" applyFill="1" applyAlignment="1">
      <alignment wrapText="1"/>
    </xf>
    <xf numFmtId="0" fontId="1" fillId="58" borderId="0" xfId="2" applyFont="1" applyFill="1" applyAlignment="1"/>
    <xf numFmtId="0" fontId="7" fillId="58" borderId="0" xfId="2" applyFont="1" applyFill="1" applyAlignment="1">
      <alignment vertical="top" wrapText="1"/>
    </xf>
    <xf numFmtId="0" fontId="7" fillId="58" borderId="0" xfId="2" applyFont="1" applyFill="1" applyAlignment="1">
      <alignment vertical="top"/>
    </xf>
    <xf numFmtId="0" fontId="13" fillId="58" borderId="0" xfId="1" applyFont="1" applyFill="1" applyAlignment="1">
      <alignment horizontal="left" vertical="center" wrapText="1"/>
    </xf>
    <xf numFmtId="0" fontId="13" fillId="58" borderId="0" xfId="1" applyFont="1" applyFill="1" applyAlignment="1">
      <alignment vertical="center" wrapText="1"/>
    </xf>
    <xf numFmtId="0" fontId="15" fillId="58" borderId="0" xfId="1" applyFont="1" applyFill="1" applyAlignment="1">
      <alignment vertical="center"/>
    </xf>
    <xf numFmtId="0" fontId="78" fillId="47" borderId="68" xfId="394" applyFont="1" applyBorder="1" applyAlignment="1">
      <alignment vertical="center"/>
    </xf>
    <xf numFmtId="0" fontId="78" fillId="47" borderId="20" xfId="394" applyFont="1" applyBorder="1" applyAlignment="1">
      <alignment vertical="center"/>
    </xf>
    <xf numFmtId="0" fontId="1" fillId="0" borderId="0" xfId="1" applyFont="1" applyBorder="1" applyAlignment="1">
      <alignment vertical="center"/>
    </xf>
    <xf numFmtId="0" fontId="76" fillId="0" borderId="0" xfId="1" applyFont="1" applyBorder="1" applyAlignment="1"/>
    <xf numFmtId="49" fontId="1" fillId="0" borderId="0" xfId="1" applyNumberFormat="1" applyFont="1" applyBorder="1" applyAlignment="1">
      <alignment vertical="center" wrapText="1"/>
    </xf>
    <xf numFmtId="0" fontId="1" fillId="0" borderId="0" xfId="1" applyFont="1" applyBorder="1" applyAlignment="1">
      <alignment horizontal="right" vertical="center"/>
    </xf>
    <xf numFmtId="171" fontId="1" fillId="0" borderId="0" xfId="1" applyNumberFormat="1" applyFont="1" applyBorder="1" applyAlignment="1">
      <alignment vertical="center"/>
    </xf>
    <xf numFmtId="0" fontId="10" fillId="58" borderId="4" xfId="1" applyFont="1" applyFill="1" applyBorder="1" applyAlignment="1">
      <alignment vertical="center" wrapText="1"/>
    </xf>
    <xf numFmtId="0" fontId="10" fillId="58" borderId="5" xfId="1" applyFont="1" applyFill="1" applyBorder="1" applyAlignment="1">
      <alignment vertical="center" wrapText="1"/>
    </xf>
    <xf numFmtId="0" fontId="0" fillId="58" borderId="0" xfId="0" applyFill="1" applyBorder="1"/>
    <xf numFmtId="0" fontId="5" fillId="58" borderId="0" xfId="0" applyFont="1" applyFill="1" applyBorder="1"/>
    <xf numFmtId="0" fontId="85" fillId="58" borderId="0" xfId="0" applyFont="1" applyFill="1" applyBorder="1"/>
    <xf numFmtId="0" fontId="7" fillId="58" borderId="0" xfId="0" applyFont="1" applyFill="1" applyBorder="1"/>
    <xf numFmtId="173" fontId="0" fillId="58" borderId="0" xfId="0" applyNumberFormat="1" applyFill="1" applyBorder="1"/>
    <xf numFmtId="4" fontId="0" fillId="58" borderId="0" xfId="0" applyNumberFormat="1" applyFill="1" applyBorder="1"/>
    <xf numFmtId="0" fontId="91" fillId="58" borderId="69" xfId="1" applyNumberFormat="1" applyFont="1" applyFill="1" applyBorder="1" applyAlignment="1">
      <alignment vertical="center"/>
    </xf>
    <xf numFmtId="0" fontId="91" fillId="58" borderId="70" xfId="1" applyNumberFormat="1" applyFont="1" applyFill="1" applyBorder="1" applyAlignment="1">
      <alignment vertical="center"/>
    </xf>
    <xf numFmtId="0" fontId="91" fillId="58" borderId="71" xfId="1" applyNumberFormat="1" applyFont="1" applyFill="1" applyBorder="1" applyAlignment="1">
      <alignment vertical="center"/>
    </xf>
    <xf numFmtId="0" fontId="91" fillId="58" borderId="72" xfId="1" applyNumberFormat="1" applyFont="1" applyFill="1" applyBorder="1" applyAlignment="1">
      <alignment vertical="center"/>
    </xf>
    <xf numFmtId="0" fontId="91" fillId="22" borderId="69" xfId="1" applyNumberFormat="1" applyFont="1" applyFill="1" applyBorder="1" applyAlignment="1">
      <alignment vertical="center"/>
    </xf>
    <xf numFmtId="3" fontId="88" fillId="22" borderId="8" xfId="0" applyNumberFormat="1" applyFont="1" applyFill="1" applyBorder="1" applyAlignment="1"/>
    <xf numFmtId="0" fontId="15" fillId="24" borderId="8" xfId="0" applyFont="1" applyFill="1" applyBorder="1" applyAlignment="1">
      <alignment horizontal="right" vertical="center"/>
    </xf>
    <xf numFmtId="0" fontId="15" fillId="24" borderId="12" xfId="0" applyFont="1" applyFill="1" applyBorder="1" applyAlignment="1">
      <alignment horizontal="right" vertical="center"/>
    </xf>
    <xf numFmtId="0" fontId="15" fillId="24" borderId="11" xfId="0" applyFont="1" applyFill="1" applyBorder="1" applyAlignment="1">
      <alignment horizontal="right" vertical="center"/>
    </xf>
    <xf numFmtId="0" fontId="15" fillId="24" borderId="42" xfId="0" applyFont="1" applyFill="1" applyBorder="1" applyAlignment="1">
      <alignment horizontal="right" vertical="center"/>
    </xf>
    <xf numFmtId="0" fontId="15" fillId="24" borderId="10" xfId="0" applyFont="1" applyFill="1" applyBorder="1" applyAlignment="1">
      <alignment horizontal="right" vertical="center"/>
    </xf>
    <xf numFmtId="0" fontId="75" fillId="0" borderId="0" xfId="0" applyFont="1" applyFill="1" applyBorder="1"/>
    <xf numFmtId="0" fontId="75" fillId="0" borderId="0" xfId="0" applyFont="1" applyAlignment="1"/>
    <xf numFmtId="0" fontId="75" fillId="0" borderId="0" xfId="0" applyFont="1"/>
    <xf numFmtId="0" fontId="10" fillId="58" borderId="0" xfId="0" applyFont="1" applyFill="1" applyBorder="1" applyAlignment="1">
      <alignment horizontal="center" vertical="center" wrapText="1"/>
    </xf>
    <xf numFmtId="0" fontId="0" fillId="58" borderId="0" xfId="0" applyFont="1" applyFill="1" applyBorder="1"/>
    <xf numFmtId="0" fontId="0" fillId="58" borderId="0" xfId="0" applyFont="1" applyFill="1"/>
    <xf numFmtId="0" fontId="0" fillId="58" borderId="0" xfId="0" applyFont="1" applyFill="1" applyAlignment="1"/>
    <xf numFmtId="0" fontId="76" fillId="58" borderId="0" xfId="597" applyFont="1" applyFill="1" applyAlignment="1"/>
    <xf numFmtId="0" fontId="76" fillId="58" borderId="0" xfId="597" applyFont="1" applyFill="1" applyBorder="1" applyAlignment="1"/>
    <xf numFmtId="0" fontId="76" fillId="58" borderId="0" xfId="0" applyFont="1" applyFill="1" applyBorder="1"/>
    <xf numFmtId="0" fontId="76" fillId="58" borderId="0" xfId="0" applyFont="1" applyFill="1"/>
    <xf numFmtId="0" fontId="7" fillId="58" borderId="0" xfId="0" applyFont="1" applyFill="1"/>
    <xf numFmtId="0" fontId="82" fillId="58" borderId="0" xfId="0" applyFont="1" applyFill="1" applyAlignment="1"/>
    <xf numFmtId="0" fontId="82" fillId="58" borderId="0" xfId="0" applyFont="1" applyFill="1"/>
    <xf numFmtId="0" fontId="82" fillId="58" borderId="0" xfId="0" applyFont="1" applyFill="1" applyBorder="1"/>
    <xf numFmtId="0" fontId="89" fillId="58" borderId="0" xfId="1167" applyFont="1" applyFill="1" applyAlignment="1"/>
    <xf numFmtId="0" fontId="89" fillId="58" borderId="0" xfId="1167" applyFont="1" applyFill="1" applyBorder="1" applyAlignment="1"/>
    <xf numFmtId="0" fontId="87" fillId="58" borderId="0" xfId="0" applyFont="1" applyFill="1"/>
    <xf numFmtId="0" fontId="75" fillId="58" borderId="0" xfId="1167" applyFont="1" applyFill="1" applyAlignment="1"/>
    <xf numFmtId="0" fontId="8" fillId="58" borderId="0" xfId="0" applyFont="1" applyFill="1"/>
    <xf numFmtId="0" fontId="80" fillId="58" borderId="0" xfId="0" applyFont="1" applyFill="1" applyBorder="1" applyAlignment="1">
      <alignment horizontal="center" vertical="center" wrapText="1"/>
    </xf>
    <xf numFmtId="0" fontId="0" fillId="58" borderId="0" xfId="0" applyFill="1"/>
    <xf numFmtId="0" fontId="92" fillId="58" borderId="0" xfId="0" applyFont="1" applyFill="1" applyAlignment="1">
      <alignment horizontal="left" vertical="center"/>
    </xf>
    <xf numFmtId="0" fontId="12" fillId="58" borderId="0" xfId="3" quotePrefix="1" applyFill="1"/>
    <xf numFmtId="0" fontId="0" fillId="58" borderId="0" xfId="2" applyFont="1" applyFill="1"/>
    <xf numFmtId="0" fontId="93" fillId="58" borderId="0" xfId="2" applyFont="1" applyFill="1"/>
    <xf numFmtId="0" fontId="5" fillId="58" borderId="0" xfId="0" applyFont="1" applyFill="1"/>
    <xf numFmtId="3" fontId="0" fillId="58" borderId="0" xfId="0" applyNumberFormat="1" applyFill="1"/>
    <xf numFmtId="0" fontId="76" fillId="58" borderId="0" xfId="1" applyFont="1" applyFill="1"/>
    <xf numFmtId="0" fontId="11" fillId="58" borderId="0" xfId="1" applyFont="1" applyFill="1" applyBorder="1" applyAlignment="1">
      <alignment vertical="center" wrapText="1"/>
    </xf>
    <xf numFmtId="0" fontId="76" fillId="58" borderId="0" xfId="1" applyFont="1" applyFill="1" applyAlignment="1"/>
    <xf numFmtId="0" fontId="75" fillId="58" borderId="0" xfId="1" applyFont="1" applyFill="1" applyAlignment="1"/>
    <xf numFmtId="0" fontId="82" fillId="58" borderId="0" xfId="1" applyFont="1" applyFill="1"/>
    <xf numFmtId="0" fontId="76" fillId="0" borderId="7" xfId="1" applyFont="1" applyFill="1" applyBorder="1"/>
    <xf numFmtId="0" fontId="76" fillId="0" borderId="0" xfId="0" applyFont="1" applyFill="1" applyBorder="1" applyAlignment="1">
      <alignment horizontal="right" vertical="center"/>
    </xf>
    <xf numFmtId="0" fontId="94" fillId="0" borderId="0" xfId="0" applyFont="1" applyFill="1" applyBorder="1" applyAlignment="1">
      <alignment horizontal="center" vertical="center" wrapText="1"/>
    </xf>
    <xf numFmtId="3" fontId="95" fillId="55" borderId="11" xfId="1" applyNumberFormat="1" applyFont="1" applyFill="1" applyBorder="1" applyAlignment="1">
      <alignment horizontal="center" vertical="center" wrapText="1"/>
    </xf>
    <xf numFmtId="0" fontId="95" fillId="55" borderId="42" xfId="1" applyFont="1" applyFill="1" applyBorder="1" applyAlignment="1">
      <alignment horizontal="center" vertical="center" wrapText="1"/>
    </xf>
    <xf numFmtId="0" fontId="95" fillId="55" borderId="10" xfId="1" applyFont="1" applyFill="1" applyBorder="1" applyAlignment="1">
      <alignment horizontal="center" vertical="center" wrapText="1"/>
    </xf>
    <xf numFmtId="0" fontId="76" fillId="0" borderId="8" xfId="0" applyFont="1" applyBorder="1" applyAlignment="1"/>
    <xf numFmtId="0" fontId="76" fillId="0" borderId="12" xfId="0" applyFont="1" applyBorder="1" applyAlignment="1"/>
    <xf numFmtId="0" fontId="95" fillId="0" borderId="0" xfId="0" applyFont="1" applyFill="1" applyBorder="1" applyAlignment="1">
      <alignment horizontal="center" vertical="center" wrapText="1"/>
    </xf>
    <xf numFmtId="172" fontId="76" fillId="23" borderId="8" xfId="0" applyNumberFormat="1" applyFont="1" applyFill="1" applyBorder="1" applyAlignment="1"/>
    <xf numFmtId="0" fontId="76" fillId="23" borderId="7" xfId="0" applyFont="1" applyFill="1" applyBorder="1" applyAlignment="1"/>
    <xf numFmtId="172" fontId="76" fillId="23" borderId="7" xfId="0" applyNumberFormat="1" applyFont="1" applyFill="1" applyBorder="1" applyAlignment="1"/>
    <xf numFmtId="0" fontId="76" fillId="23" borderId="12" xfId="0" applyFont="1" applyFill="1" applyBorder="1" applyAlignment="1"/>
    <xf numFmtId="4" fontId="15" fillId="0" borderId="0" xfId="0" applyNumberFormat="1" applyFont="1" applyFill="1" applyBorder="1" applyAlignment="1">
      <alignment vertical="center"/>
    </xf>
    <xf numFmtId="0" fontId="76" fillId="0" borderId="11" xfId="0" applyFont="1" applyBorder="1" applyAlignment="1"/>
    <xf numFmtId="0" fontId="76" fillId="0" borderId="42" xfId="0" applyFont="1" applyBorder="1" applyAlignment="1"/>
    <xf numFmtId="172" fontId="76" fillId="23" borderId="11" xfId="0" applyNumberFormat="1" applyFont="1" applyFill="1" applyBorder="1" applyAlignment="1"/>
    <xf numFmtId="0" fontId="76" fillId="23" borderId="10" xfId="0" applyFont="1" applyFill="1" applyBorder="1" applyAlignment="1"/>
    <xf numFmtId="172" fontId="76" fillId="23" borderId="10" xfId="0" applyNumberFormat="1" applyFont="1" applyFill="1" applyBorder="1" applyAlignment="1"/>
    <xf numFmtId="0" fontId="76" fillId="23" borderId="42" xfId="0" applyFont="1" applyFill="1" applyBorder="1" applyAlignment="1"/>
    <xf numFmtId="0" fontId="94" fillId="0" borderId="0" xfId="1" applyFont="1" applyFill="1" applyBorder="1" applyAlignment="1">
      <alignment horizontal="center" vertical="center" wrapText="1"/>
    </xf>
    <xf numFmtId="0" fontId="94" fillId="56" borderId="41" xfId="1" applyFont="1" applyFill="1" applyBorder="1" applyAlignment="1">
      <alignment vertical="center" wrapText="1"/>
    </xf>
    <xf numFmtId="0" fontId="96" fillId="0" borderId="0" xfId="1" applyFont="1" applyAlignment="1">
      <alignment vertical="center" wrapText="1"/>
    </xf>
    <xf numFmtId="171" fontId="94" fillId="55" borderId="9" xfId="1" applyNumberFormat="1" applyFont="1" applyFill="1" applyBorder="1" applyAlignment="1">
      <alignment horizontal="center" vertical="center" wrapText="1"/>
    </xf>
    <xf numFmtId="171" fontId="94" fillId="55" borderId="36" xfId="1" applyNumberFormat="1" applyFont="1" applyFill="1" applyBorder="1" applyAlignment="1">
      <alignment horizontal="center" vertical="center" wrapText="1"/>
    </xf>
    <xf numFmtId="0" fontId="95" fillId="0" borderId="0" xfId="1" applyFont="1" applyFill="1" applyBorder="1" applyAlignment="1">
      <alignment horizontal="center" vertical="center" wrapText="1"/>
    </xf>
    <xf numFmtId="4" fontId="95" fillId="55" borderId="10" xfId="1" applyNumberFormat="1" applyFont="1" applyFill="1" applyBorder="1" applyAlignment="1">
      <alignment horizontal="center" vertical="center" wrapText="1"/>
    </xf>
    <xf numFmtId="49" fontId="95" fillId="55" borderId="10" xfId="1" applyNumberFormat="1" applyFont="1" applyFill="1" applyBorder="1" applyAlignment="1">
      <alignment horizontal="center" vertical="center" wrapText="1"/>
    </xf>
    <xf numFmtId="0" fontId="95" fillId="56" borderId="4" xfId="1" applyFont="1" applyFill="1" applyBorder="1" applyAlignment="1">
      <alignment horizontal="center" vertical="center" wrapText="1"/>
    </xf>
    <xf numFmtId="0" fontId="95" fillId="55" borderId="43" xfId="1" applyFont="1" applyFill="1" applyBorder="1" applyAlignment="1">
      <alignment horizontal="center" vertical="center" wrapText="1"/>
    </xf>
    <xf numFmtId="0" fontId="95" fillId="55" borderId="44" xfId="1" applyFont="1" applyFill="1" applyBorder="1" applyAlignment="1">
      <alignment horizontal="center" vertical="center" wrapText="1"/>
    </xf>
    <xf numFmtId="0" fontId="95" fillId="55" borderId="45" xfId="1" applyFont="1" applyFill="1" applyBorder="1" applyAlignment="1">
      <alignment horizontal="center" vertical="center" wrapText="1"/>
    </xf>
    <xf numFmtId="0" fontId="95" fillId="0" borderId="0" xfId="1" applyFont="1" applyAlignment="1">
      <alignment vertical="center" wrapText="1"/>
    </xf>
    <xf numFmtId="0" fontId="95" fillId="55" borderId="7" xfId="1" applyFont="1" applyFill="1" applyBorder="1" applyAlignment="1">
      <alignment horizontal="center" vertical="center" wrapText="1"/>
    </xf>
    <xf numFmtId="172" fontId="75" fillId="23" borderId="7" xfId="0" applyNumberFormat="1" applyFont="1" applyFill="1" applyBorder="1" applyAlignment="1"/>
    <xf numFmtId="4" fontId="15" fillId="0" borderId="0" xfId="1" applyNumberFormat="1" applyFont="1" applyFill="1" applyBorder="1" applyAlignment="1">
      <alignment vertical="center"/>
    </xf>
    <xf numFmtId="3" fontId="97" fillId="23" borderId="47" xfId="1" applyNumberFormat="1" applyFont="1" applyFill="1" applyBorder="1" applyAlignment="1">
      <alignment vertical="center"/>
    </xf>
    <xf numFmtId="49" fontId="97" fillId="23" borderId="49" xfId="1" applyNumberFormat="1" applyFont="1" applyFill="1" applyBorder="1" applyAlignment="1">
      <alignment vertical="center"/>
    </xf>
    <xf numFmtId="3" fontId="97" fillId="23" borderId="48" xfId="1" applyNumberFormat="1" applyFont="1" applyFill="1" applyBorder="1" applyAlignment="1">
      <alignment vertical="center"/>
    </xf>
    <xf numFmtId="4" fontId="97" fillId="57" borderId="51" xfId="1" applyNumberFormat="1" applyFont="1" applyFill="1" applyBorder="1" applyAlignment="1">
      <alignment vertical="center"/>
    </xf>
    <xf numFmtId="4" fontId="97" fillId="57" borderId="4" xfId="1" applyNumberFormat="1" applyFont="1" applyFill="1" applyBorder="1" applyAlignment="1">
      <alignment vertical="center"/>
    </xf>
    <xf numFmtId="4" fontId="97" fillId="58" borderId="52" xfId="1" applyNumberFormat="1" applyFont="1" applyFill="1" applyBorder="1" applyAlignment="1">
      <alignment vertical="center"/>
    </xf>
    <xf numFmtId="4" fontId="97" fillId="58" borderId="53" xfId="1" applyNumberFormat="1" applyFont="1" applyFill="1" applyBorder="1" applyAlignment="1">
      <alignment vertical="center"/>
    </xf>
    <xf numFmtId="4" fontId="15" fillId="0" borderId="28" xfId="1" applyNumberFormat="1" applyFont="1" applyFill="1" applyBorder="1" applyAlignment="1">
      <alignment vertical="center"/>
    </xf>
    <xf numFmtId="0" fontId="97" fillId="0" borderId="0" xfId="1" applyFont="1" applyAlignment="1">
      <alignment vertical="center"/>
    </xf>
    <xf numFmtId="0" fontId="15" fillId="60" borderId="7" xfId="1" applyFont="1" applyFill="1" applyBorder="1" applyAlignment="1">
      <alignment vertical="center"/>
    </xf>
    <xf numFmtId="0" fontId="15" fillId="60" borderId="7" xfId="1" applyNumberFormat="1" applyFont="1" applyFill="1" applyBorder="1" applyAlignment="1">
      <alignment vertical="center"/>
    </xf>
    <xf numFmtId="3" fontId="15" fillId="22" borderId="7" xfId="1" applyNumberFormat="1" applyFont="1" applyFill="1" applyBorder="1" applyAlignment="1">
      <alignment vertical="center"/>
    </xf>
    <xf numFmtId="49" fontId="15" fillId="22" borderId="7" xfId="1" applyNumberFormat="1" applyFont="1" applyFill="1" applyBorder="1" applyAlignment="1">
      <alignment vertical="center"/>
    </xf>
    <xf numFmtId="4" fontId="15" fillId="23" borderId="55" xfId="1" applyNumberFormat="1" applyFont="1" applyFill="1" applyBorder="1" applyAlignment="1">
      <alignment vertical="center"/>
    </xf>
    <xf numFmtId="4" fontId="15" fillId="57" borderId="6" xfId="1" applyNumberFormat="1" applyFont="1" applyFill="1" applyBorder="1" applyAlignment="1">
      <alignment vertical="center"/>
    </xf>
    <xf numFmtId="4" fontId="15" fillId="23" borderId="4" xfId="1" applyNumberFormat="1" applyFont="1" applyFill="1" applyBorder="1" applyAlignment="1">
      <alignment vertical="center"/>
    </xf>
    <xf numFmtId="4" fontId="15" fillId="24" borderId="8" xfId="1" applyNumberFormat="1" applyFont="1" applyFill="1" applyBorder="1" applyAlignment="1">
      <alignment vertical="center"/>
    </xf>
    <xf numFmtId="4" fontId="15" fillId="24" borderId="55" xfId="1" applyNumberFormat="1" applyFont="1" applyFill="1" applyBorder="1" applyAlignment="1">
      <alignment vertical="center"/>
    </xf>
    <xf numFmtId="0" fontId="15" fillId="0" borderId="0" xfId="1" applyFont="1" applyAlignment="1">
      <alignment vertical="center"/>
    </xf>
    <xf numFmtId="4" fontId="15" fillId="23" borderId="8" xfId="1" applyNumberFormat="1" applyFont="1" applyFill="1" applyBorder="1" applyAlignment="1">
      <alignment horizontal="right" vertical="center"/>
    </xf>
    <xf numFmtId="4" fontId="15" fillId="23" borderId="6" xfId="1" applyNumberFormat="1" applyFont="1" applyFill="1" applyBorder="1" applyAlignment="1">
      <alignment vertical="center"/>
    </xf>
    <xf numFmtId="4" fontId="15" fillId="24" borderId="7" xfId="1" applyNumberFormat="1" applyFont="1" applyFill="1" applyBorder="1" applyAlignment="1">
      <alignment vertical="center"/>
    </xf>
    <xf numFmtId="0" fontId="15" fillId="60" borderId="8" xfId="1" applyFont="1" applyFill="1" applyBorder="1" applyAlignment="1">
      <alignment vertical="center"/>
    </xf>
    <xf numFmtId="0" fontId="15" fillId="60" borderId="55" xfId="1" applyNumberFormat="1" applyFont="1" applyFill="1" applyBorder="1" applyAlignment="1">
      <alignment vertical="center"/>
    </xf>
    <xf numFmtId="4" fontId="15" fillId="24" borderId="6" xfId="1" applyNumberFormat="1" applyFont="1" applyFill="1" applyBorder="1" applyAlignment="1">
      <alignment vertical="center"/>
    </xf>
    <xf numFmtId="4" fontId="97" fillId="0" borderId="0" xfId="1" applyNumberFormat="1" applyFont="1" applyFill="1" applyBorder="1" applyAlignment="1">
      <alignment vertical="center"/>
    </xf>
    <xf numFmtId="4" fontId="97" fillId="23" borderId="15" xfId="1" applyNumberFormat="1" applyFont="1" applyFill="1" applyBorder="1" applyAlignment="1">
      <alignment vertical="center"/>
    </xf>
    <xf numFmtId="49" fontId="15" fillId="23" borderId="7" xfId="1" applyNumberFormat="1" applyFont="1" applyFill="1" applyBorder="1" applyAlignment="1">
      <alignment vertical="center"/>
    </xf>
    <xf numFmtId="3" fontId="97" fillId="23" borderId="54" xfId="1" applyNumberFormat="1" applyFont="1" applyFill="1" applyBorder="1" applyAlignment="1">
      <alignment vertical="center"/>
    </xf>
    <xf numFmtId="4" fontId="97" fillId="23" borderId="6" xfId="1" applyNumberFormat="1" applyFont="1" applyFill="1" applyBorder="1" applyAlignment="1">
      <alignment vertical="center"/>
    </xf>
    <xf numFmtId="4" fontId="97" fillId="23" borderId="4" xfId="1" applyNumberFormat="1" applyFont="1" applyFill="1" applyBorder="1" applyAlignment="1">
      <alignment vertical="center"/>
    </xf>
    <xf numFmtId="0" fontId="15" fillId="60" borderId="6" xfId="1" applyFont="1" applyFill="1" applyBorder="1" applyAlignment="1">
      <alignment vertical="center"/>
    </xf>
    <xf numFmtId="4" fontId="15" fillId="59" borderId="49" xfId="1" applyNumberFormat="1" applyFont="1" applyFill="1" applyBorder="1" applyAlignment="1">
      <alignment vertical="center"/>
    </xf>
    <xf numFmtId="49" fontId="97" fillId="23" borderId="15" xfId="1" applyNumberFormat="1" applyFont="1" applyFill="1" applyBorder="1" applyAlignment="1">
      <alignment vertical="center"/>
    </xf>
    <xf numFmtId="4" fontId="97" fillId="57" borderId="6" xfId="1" applyNumberFormat="1" applyFont="1" applyFill="1" applyBorder="1" applyAlignment="1">
      <alignment vertical="center"/>
    </xf>
    <xf numFmtId="4" fontId="15" fillId="23" borderId="12" xfId="1" applyNumberFormat="1" applyFont="1" applyFill="1" applyBorder="1" applyAlignment="1">
      <alignment vertical="center"/>
    </xf>
    <xf numFmtId="4" fontId="15" fillId="24" borderId="11" xfId="1" applyNumberFormat="1" applyFont="1" applyFill="1" applyBorder="1" applyAlignment="1">
      <alignment vertical="center"/>
    </xf>
    <xf numFmtId="0" fontId="94" fillId="55" borderId="7"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94" fillId="55" borderId="8" xfId="0" applyFont="1" applyFill="1" applyBorder="1" applyAlignment="1">
      <alignment horizontal="center" vertical="center" wrapText="1"/>
    </xf>
    <xf numFmtId="3" fontId="95" fillId="55" borderId="46" xfId="0" applyNumberFormat="1" applyFont="1" applyFill="1" applyBorder="1" applyAlignment="1">
      <alignment horizontal="center" vertical="center" wrapText="1"/>
    </xf>
    <xf numFmtId="3" fontId="95" fillId="55" borderId="63" xfId="0" applyNumberFormat="1" applyFont="1" applyFill="1" applyBorder="1" applyAlignment="1">
      <alignment horizontal="center" vertical="center" wrapText="1"/>
    </xf>
    <xf numFmtId="3" fontId="95" fillId="55" borderId="8" xfId="0" applyNumberFormat="1" applyFont="1" applyFill="1" applyBorder="1" applyAlignment="1">
      <alignment horizontal="center" vertical="center" wrapText="1"/>
    </xf>
    <xf numFmtId="3" fontId="95" fillId="55" borderId="12" xfId="0" applyNumberFormat="1" applyFont="1" applyFill="1" applyBorder="1" applyAlignment="1">
      <alignment horizontal="center" vertical="center" wrapText="1"/>
    </xf>
    <xf numFmtId="3" fontId="95" fillId="55" borderId="7" xfId="0" applyNumberFormat="1" applyFont="1" applyFill="1" applyBorder="1" applyAlignment="1">
      <alignment horizontal="center" vertical="center" wrapText="1"/>
    </xf>
    <xf numFmtId="0" fontId="75" fillId="23" borderId="47" xfId="0" applyFont="1" applyFill="1" applyBorder="1" applyAlignment="1"/>
    <xf numFmtId="0" fontId="75" fillId="23" borderId="15" xfId="0" applyFont="1" applyFill="1" applyBorder="1" applyAlignment="1"/>
    <xf numFmtId="0" fontId="75" fillId="23" borderId="57" xfId="0" applyFont="1" applyFill="1" applyBorder="1" applyAlignment="1"/>
    <xf numFmtId="40" fontId="97" fillId="59" borderId="61" xfId="0" applyNumberFormat="1" applyFont="1" applyFill="1" applyBorder="1" applyAlignment="1">
      <alignment horizontal="right" vertical="center"/>
    </xf>
    <xf numFmtId="40" fontId="97" fillId="59" borderId="45" xfId="0" applyNumberFormat="1" applyFont="1" applyFill="1" applyBorder="1" applyAlignment="1">
      <alignment horizontal="right" vertical="center"/>
    </xf>
    <xf numFmtId="3" fontId="76" fillId="23" borderId="56" xfId="604" applyNumberFormat="1" applyFont="1" applyFill="1" applyBorder="1" applyAlignment="1">
      <alignment vertical="center"/>
    </xf>
    <xf numFmtId="40" fontId="97" fillId="59" borderId="57" xfId="0" applyNumberFormat="1" applyFont="1" applyFill="1" applyBorder="1" applyAlignment="1">
      <alignment horizontal="right" vertical="center"/>
    </xf>
    <xf numFmtId="38" fontId="97" fillId="59" borderId="25" xfId="0" applyNumberFormat="1" applyFont="1" applyFill="1" applyBorder="1" applyAlignment="1">
      <alignment horizontal="right" vertical="center"/>
    </xf>
    <xf numFmtId="40" fontId="97" fillId="59" borderId="51" xfId="0" applyNumberFormat="1" applyFont="1" applyFill="1" applyBorder="1" applyAlignment="1">
      <alignment horizontal="right" vertical="center"/>
    </xf>
    <xf numFmtId="3" fontId="76" fillId="23" borderId="57" xfId="604" applyNumberFormat="1" applyFont="1" applyFill="1" applyBorder="1" applyAlignment="1">
      <alignment vertical="center"/>
    </xf>
    <xf numFmtId="3" fontId="76" fillId="23" borderId="48" xfId="604" applyNumberFormat="1" applyFont="1" applyFill="1" applyBorder="1" applyAlignment="1">
      <alignment vertical="center"/>
    </xf>
    <xf numFmtId="40" fontId="97" fillId="59" borderId="18" xfId="0" applyNumberFormat="1" applyFont="1" applyFill="1" applyBorder="1" applyAlignment="1">
      <alignment horizontal="right" vertical="center"/>
    </xf>
    <xf numFmtId="40" fontId="97" fillId="59" borderId="55" xfId="0" applyNumberFormat="1" applyFont="1" applyFill="1" applyBorder="1" applyAlignment="1">
      <alignment horizontal="right" vertical="center"/>
    </xf>
    <xf numFmtId="40" fontId="97" fillId="59" borderId="5" xfId="0" applyNumberFormat="1" applyFont="1" applyFill="1" applyBorder="1" applyAlignment="1">
      <alignment horizontal="right" vertical="center"/>
    </xf>
    <xf numFmtId="3" fontId="75" fillId="23" borderId="48" xfId="604" applyNumberFormat="1" applyFont="1" applyFill="1" applyBorder="1" applyAlignment="1">
      <alignment vertical="center"/>
    </xf>
    <xf numFmtId="0" fontId="15" fillId="58" borderId="8" xfId="0" applyFont="1" applyFill="1" applyBorder="1" applyAlignment="1">
      <alignment vertical="center"/>
    </xf>
    <xf numFmtId="0" fontId="15" fillId="58" borderId="7" xfId="0" applyFont="1" applyFill="1" applyBorder="1" applyAlignment="1">
      <alignment vertical="center"/>
    </xf>
    <xf numFmtId="3" fontId="15" fillId="22" borderId="15" xfId="0" applyNumberFormat="1" applyFont="1" applyFill="1" applyBorder="1" applyAlignment="1">
      <alignment vertical="center"/>
    </xf>
    <xf numFmtId="3" fontId="15" fillId="22" borderId="48" xfId="0" applyNumberFormat="1" applyFont="1" applyFill="1" applyBorder="1" applyAlignment="1">
      <alignment vertical="center"/>
    </xf>
    <xf numFmtId="3" fontId="15" fillId="22" borderId="8" xfId="0" applyNumberFormat="1" applyFont="1" applyFill="1" applyBorder="1" applyAlignment="1">
      <alignment vertical="center"/>
    </xf>
    <xf numFmtId="3" fontId="76" fillId="23" borderId="4" xfId="604" applyNumberFormat="1" applyFont="1" applyFill="1" applyBorder="1" applyAlignment="1">
      <alignment vertical="center"/>
    </xf>
    <xf numFmtId="3" fontId="76" fillId="23" borderId="12" xfId="604" applyNumberFormat="1" applyFont="1" applyFill="1" applyBorder="1" applyAlignment="1">
      <alignment vertical="center"/>
    </xf>
    <xf numFmtId="0" fontId="15" fillId="24" borderId="8" xfId="997" applyNumberFormat="1" applyFont="1" applyFill="1" applyBorder="1" applyAlignment="1">
      <alignment vertical="center"/>
    </xf>
    <xf numFmtId="4" fontId="15" fillId="24" borderId="12" xfId="0" applyNumberFormat="1" applyFont="1" applyFill="1" applyBorder="1" applyAlignment="1">
      <alignment vertical="center"/>
    </xf>
    <xf numFmtId="4" fontId="15" fillId="24" borderId="7" xfId="0" applyNumberFormat="1" applyFont="1" applyFill="1" applyBorder="1" applyAlignment="1">
      <alignment vertical="center"/>
    </xf>
    <xf numFmtId="3" fontId="76" fillId="23" borderId="18" xfId="604" applyNumberFormat="1" applyFont="1" applyFill="1" applyBorder="1" applyAlignment="1">
      <alignment vertical="center"/>
    </xf>
    <xf numFmtId="3" fontId="15" fillId="22" borderId="7" xfId="0" applyNumberFormat="1" applyFont="1" applyFill="1" applyBorder="1" applyAlignment="1">
      <alignment vertical="center"/>
    </xf>
    <xf numFmtId="3" fontId="15" fillId="22" borderId="47" xfId="0" applyNumberFormat="1" applyFont="1" applyFill="1" applyBorder="1" applyAlignment="1">
      <alignment vertical="center"/>
    </xf>
    <xf numFmtId="0" fontId="15" fillId="58" borderId="11" xfId="0" applyFont="1" applyFill="1" applyBorder="1" applyAlignment="1">
      <alignment vertical="center"/>
    </xf>
    <xf numFmtId="0" fontId="15" fillId="58" borderId="10" xfId="0" applyFont="1" applyFill="1" applyBorder="1" applyAlignment="1">
      <alignment vertical="center"/>
    </xf>
    <xf numFmtId="3" fontId="15" fillId="22" borderId="67" xfId="0" applyNumberFormat="1" applyFont="1" applyFill="1" applyBorder="1" applyAlignment="1">
      <alignment vertical="center"/>
    </xf>
    <xf numFmtId="3" fontId="15" fillId="22" borderId="10" xfId="0" applyNumberFormat="1" applyFont="1" applyFill="1" applyBorder="1" applyAlignment="1">
      <alignment vertical="center"/>
    </xf>
    <xf numFmtId="3" fontId="76" fillId="23" borderId="33" xfId="604" applyNumberFormat="1" applyFont="1" applyFill="1" applyBorder="1" applyAlignment="1">
      <alignment vertical="center"/>
    </xf>
    <xf numFmtId="3" fontId="76" fillId="23" borderId="42" xfId="604" applyNumberFormat="1" applyFont="1" applyFill="1" applyBorder="1" applyAlignment="1">
      <alignment vertical="center"/>
    </xf>
    <xf numFmtId="4" fontId="15" fillId="24" borderId="42" xfId="0" applyNumberFormat="1" applyFont="1" applyFill="1" applyBorder="1" applyAlignment="1">
      <alignment vertical="center"/>
    </xf>
    <xf numFmtId="4" fontId="15" fillId="24" borderId="10" xfId="0" applyNumberFormat="1" applyFont="1" applyFill="1" applyBorder="1" applyAlignment="1">
      <alignment vertical="center"/>
    </xf>
    <xf numFmtId="3" fontId="76" fillId="23" borderId="66" xfId="604" applyNumberFormat="1" applyFont="1" applyFill="1" applyBorder="1" applyAlignment="1">
      <alignment vertical="center"/>
    </xf>
    <xf numFmtId="0" fontId="96" fillId="0" borderId="0" xfId="0" applyFont="1" applyFill="1"/>
    <xf numFmtId="0" fontId="75" fillId="0" borderId="8" xfId="0" applyFont="1" applyBorder="1"/>
    <xf numFmtId="0" fontId="75" fillId="0" borderId="7" xfId="0" applyFont="1" applyBorder="1"/>
    <xf numFmtId="0" fontId="75" fillId="0" borderId="12" xfId="0" applyFont="1" applyBorder="1"/>
    <xf numFmtId="3" fontId="75" fillId="23" borderId="8" xfId="0" applyNumberFormat="1" applyFont="1" applyFill="1" applyBorder="1"/>
    <xf numFmtId="0" fontId="75" fillId="23" borderId="7" xfId="0" applyFont="1" applyFill="1" applyBorder="1"/>
    <xf numFmtId="3" fontId="75" fillId="23" borderId="7" xfId="0" applyNumberFormat="1" applyFont="1" applyFill="1" applyBorder="1"/>
    <xf numFmtId="3" fontId="75" fillId="0" borderId="0" xfId="0" applyNumberFormat="1" applyFont="1" applyFill="1" applyBorder="1"/>
    <xf numFmtId="1" fontId="75" fillId="23" borderId="7" xfId="0" applyNumberFormat="1" applyFont="1" applyFill="1" applyBorder="1"/>
    <xf numFmtId="1" fontId="75" fillId="23" borderId="12" xfId="0" applyNumberFormat="1" applyFont="1" applyFill="1" applyBorder="1"/>
    <xf numFmtId="0" fontId="75" fillId="0" borderId="0" xfId="0" applyFont="1" applyFill="1"/>
    <xf numFmtId="3" fontId="75" fillId="23" borderId="12" xfId="0" applyNumberFormat="1" applyFont="1" applyFill="1" applyBorder="1"/>
    <xf numFmtId="0" fontId="76" fillId="22" borderId="7" xfId="0" applyFont="1" applyFill="1" applyBorder="1"/>
    <xf numFmtId="3" fontId="76" fillId="22" borderId="7" xfId="0" applyNumberFormat="1" applyFont="1" applyFill="1" applyBorder="1"/>
    <xf numFmtId="0" fontId="75" fillId="22" borderId="7" xfId="0" applyFont="1" applyFill="1" applyBorder="1"/>
    <xf numFmtId="172" fontId="76" fillId="24" borderId="8" xfId="0" applyNumberFormat="1" applyFont="1" applyFill="1" applyBorder="1" applyAlignment="1"/>
    <xf numFmtId="172" fontId="76" fillId="24" borderId="6" xfId="0" applyNumberFormat="1" applyFont="1" applyFill="1" applyBorder="1" applyAlignment="1"/>
    <xf numFmtId="0" fontId="76" fillId="0" borderId="8" xfId="0" applyFont="1" applyBorder="1"/>
    <xf numFmtId="0" fontId="76" fillId="0" borderId="7" xfId="0" applyFont="1" applyBorder="1"/>
    <xf numFmtId="0" fontId="76" fillId="0" borderId="12" xfId="0" applyFont="1" applyBorder="1"/>
    <xf numFmtId="0" fontId="75" fillId="0" borderId="8" xfId="0" applyFont="1" applyFill="1" applyBorder="1"/>
    <xf numFmtId="0" fontId="75" fillId="0" borderId="7" xfId="0" applyFont="1" applyFill="1" applyBorder="1"/>
    <xf numFmtId="9" fontId="76" fillId="22" borderId="7" xfId="997" applyFont="1" applyFill="1" applyBorder="1"/>
    <xf numFmtId="9" fontId="76" fillId="22" borderId="12" xfId="997" applyFont="1" applyFill="1" applyBorder="1"/>
    <xf numFmtId="172" fontId="76" fillId="24" borderId="55" xfId="0" applyNumberFormat="1" applyFont="1" applyFill="1" applyBorder="1" applyAlignment="1"/>
    <xf numFmtId="0" fontId="15" fillId="24" borderId="7" xfId="997" applyNumberFormat="1" applyFont="1" applyFill="1" applyBorder="1" applyAlignment="1">
      <alignment vertical="center"/>
    </xf>
    <xf numFmtId="1" fontId="76" fillId="23" borderId="7" xfId="0" applyNumberFormat="1" applyFont="1" applyFill="1" applyBorder="1"/>
    <xf numFmtId="1" fontId="76" fillId="23" borderId="12" xfId="0" applyNumberFormat="1" applyFont="1" applyFill="1" applyBorder="1"/>
    <xf numFmtId="9" fontId="76" fillId="23" borderId="7" xfId="997" applyFont="1" applyFill="1" applyBorder="1"/>
    <xf numFmtId="9" fontId="76" fillId="23" borderId="12" xfId="997" applyFont="1" applyFill="1" applyBorder="1"/>
    <xf numFmtId="3" fontId="75" fillId="23" borderId="56" xfId="604" applyNumberFormat="1" applyFont="1" applyFill="1" applyBorder="1" applyAlignment="1">
      <alignment vertical="center"/>
    </xf>
    <xf numFmtId="3" fontId="75" fillId="23" borderId="57" xfId="604" applyNumberFormat="1" applyFont="1" applyFill="1" applyBorder="1" applyAlignment="1">
      <alignment vertical="center"/>
    </xf>
    <xf numFmtId="4" fontId="15" fillId="22" borderId="12" xfId="0" applyNumberFormat="1" applyFont="1" applyFill="1" applyBorder="1" applyAlignment="1">
      <alignment vertical="center"/>
    </xf>
    <xf numFmtId="9" fontId="15" fillId="22" borderId="7" xfId="997" applyFont="1" applyFill="1" applyBorder="1" applyAlignment="1">
      <alignment vertical="center"/>
    </xf>
    <xf numFmtId="2" fontId="15" fillId="24" borderId="8" xfId="997" applyNumberFormat="1" applyFont="1" applyFill="1" applyBorder="1" applyAlignment="1">
      <alignment vertical="center"/>
    </xf>
    <xf numFmtId="4" fontId="15" fillId="24" borderId="8" xfId="0" applyNumberFormat="1" applyFont="1" applyFill="1" applyBorder="1" applyAlignment="1">
      <alignment vertical="center"/>
    </xf>
    <xf numFmtId="4" fontId="15" fillId="22" borderId="7" xfId="0" applyNumberFormat="1" applyFont="1" applyFill="1" applyBorder="1" applyAlignment="1">
      <alignment vertical="center"/>
    </xf>
    <xf numFmtId="0" fontId="98" fillId="55" borderId="7" xfId="0" applyFont="1" applyFill="1" applyBorder="1" applyAlignment="1">
      <alignment horizontal="center" vertical="center" wrapText="1"/>
    </xf>
    <xf numFmtId="0" fontId="76" fillId="58" borderId="7" xfId="0" applyFont="1" applyFill="1" applyBorder="1"/>
    <xf numFmtId="173" fontId="76" fillId="58" borderId="7" xfId="0" applyNumberFormat="1" applyFont="1" applyFill="1" applyBorder="1"/>
    <xf numFmtId="0" fontId="94" fillId="55" borderId="52" xfId="0" applyFont="1" applyFill="1" applyBorder="1" applyAlignment="1">
      <alignment horizontal="center" vertical="center" wrapText="1"/>
    </xf>
    <xf numFmtId="0" fontId="94" fillId="55" borderId="53" xfId="0" applyFont="1" applyFill="1" applyBorder="1" applyAlignment="1">
      <alignment horizontal="center" vertical="center" wrapText="1"/>
    </xf>
    <xf numFmtId="3" fontId="15" fillId="22" borderId="46" xfId="0" applyNumberFormat="1" applyFont="1" applyFill="1" applyBorder="1" applyAlignment="1">
      <alignment vertical="center"/>
    </xf>
    <xf numFmtId="3" fontId="15" fillId="23" borderId="7" xfId="0" applyNumberFormat="1" applyFont="1" applyFill="1" applyBorder="1" applyAlignment="1">
      <alignment vertical="center"/>
    </xf>
    <xf numFmtId="3" fontId="15" fillId="58" borderId="10" xfId="0" applyNumberFormat="1" applyFont="1" applyFill="1" applyBorder="1" applyAlignment="1">
      <alignment vertical="center"/>
    </xf>
    <xf numFmtId="0" fontId="98" fillId="55" borderId="52" xfId="0" applyFont="1" applyFill="1" applyBorder="1" applyAlignment="1">
      <alignment vertical="center" wrapText="1"/>
    </xf>
    <xf numFmtId="0" fontId="98" fillId="55" borderId="75" xfId="0" applyFont="1" applyFill="1" applyBorder="1" applyAlignment="1">
      <alignment vertical="center" wrapText="1"/>
    </xf>
    <xf numFmtId="173" fontId="15" fillId="23" borderId="12" xfId="0" applyNumberFormat="1" applyFont="1" applyFill="1" applyBorder="1" applyAlignment="1">
      <alignment vertical="center"/>
    </xf>
    <xf numFmtId="0" fontId="15" fillId="58" borderId="18" xfId="0" applyFont="1" applyFill="1" applyBorder="1" applyAlignment="1">
      <alignment vertical="center"/>
    </xf>
    <xf numFmtId="0" fontId="94" fillId="55" borderId="9"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15" fillId="58" borderId="8" xfId="1" applyFont="1" applyFill="1" applyBorder="1" applyAlignment="1">
      <alignment vertical="center"/>
    </xf>
    <xf numFmtId="0" fontId="15" fillId="58" borderId="7" xfId="1" applyFont="1" applyFill="1" applyBorder="1" applyAlignment="1">
      <alignment vertical="center" wrapText="1"/>
    </xf>
    <xf numFmtId="0" fontId="94" fillId="55" borderId="36" xfId="1" applyFont="1" applyFill="1" applyBorder="1" applyAlignment="1">
      <alignment horizontal="center" vertical="center" wrapText="1"/>
    </xf>
    <xf numFmtId="0" fontId="94" fillId="0" borderId="0" xfId="1" applyFont="1" applyFill="1" applyBorder="1" applyAlignment="1">
      <alignment vertical="center" wrapText="1"/>
    </xf>
    <xf numFmtId="0" fontId="15" fillId="23" borderId="8" xfId="1" applyFont="1" applyFill="1" applyBorder="1" applyAlignment="1">
      <alignment vertical="center"/>
    </xf>
    <xf numFmtId="0" fontId="15" fillId="58" borderId="7" xfId="1" applyFont="1" applyFill="1" applyBorder="1" applyAlignment="1">
      <alignment vertical="center"/>
    </xf>
    <xf numFmtId="172" fontId="15" fillId="23" borderId="7" xfId="1" applyNumberFormat="1" applyFont="1" applyFill="1" applyBorder="1" applyAlignment="1">
      <alignment vertical="center"/>
    </xf>
    <xf numFmtId="0" fontId="15" fillId="23" borderId="12" xfId="1" applyFont="1" applyFill="1" applyBorder="1" applyAlignment="1">
      <alignment vertical="center"/>
    </xf>
    <xf numFmtId="2" fontId="76" fillId="0" borderId="0" xfId="1" applyNumberFormat="1" applyFont="1" applyFill="1" applyAlignment="1"/>
    <xf numFmtId="0" fontId="76" fillId="0" borderId="0" xfId="1" applyFont="1" applyFill="1" applyAlignment="1"/>
    <xf numFmtId="0" fontId="15" fillId="58" borderId="10" xfId="1" applyFont="1" applyFill="1" applyBorder="1" applyAlignment="1">
      <alignment vertical="center"/>
    </xf>
    <xf numFmtId="0" fontId="94" fillId="55" borderId="9" xfId="0" applyFont="1" applyFill="1" applyBorder="1" applyAlignment="1">
      <alignment horizontal="center" vertical="center"/>
    </xf>
    <xf numFmtId="0" fontId="15" fillId="58" borderId="7" xfId="0" applyFont="1" applyFill="1" applyBorder="1" applyAlignment="1">
      <alignment vertical="center" wrapText="1"/>
    </xf>
    <xf numFmtId="174" fontId="15" fillId="22" borderId="18" xfId="1168" applyNumberFormat="1" applyFont="1" applyFill="1" applyBorder="1" applyAlignment="1">
      <alignment vertical="center"/>
    </xf>
    <xf numFmtId="174" fontId="97" fillId="23" borderId="47" xfId="1168" applyNumberFormat="1" applyFont="1" applyFill="1" applyBorder="1" applyAlignment="1">
      <alignment vertical="center"/>
    </xf>
    <xf numFmtId="174" fontId="75" fillId="23" borderId="7" xfId="1168" applyNumberFormat="1" applyFont="1" applyFill="1" applyBorder="1" applyAlignment="1"/>
    <xf numFmtId="174" fontId="15" fillId="22" borderId="56" xfId="1168" applyNumberFormat="1" applyFont="1" applyFill="1" applyBorder="1" applyAlignment="1">
      <alignment vertical="center"/>
    </xf>
    <xf numFmtId="174" fontId="97" fillId="23" borderId="50" xfId="1168" applyNumberFormat="1" applyFont="1" applyFill="1" applyBorder="1" applyAlignment="1">
      <alignment vertical="center"/>
    </xf>
    <xf numFmtId="174" fontId="15" fillId="22" borderId="7" xfId="1168" applyNumberFormat="1" applyFont="1" applyFill="1" applyBorder="1" applyAlignment="1">
      <alignment vertical="center"/>
    </xf>
    <xf numFmtId="166" fontId="15" fillId="23" borderId="7" xfId="1168" applyNumberFormat="1" applyFont="1" applyFill="1" applyBorder="1" applyAlignment="1">
      <alignment vertical="center"/>
    </xf>
    <xf numFmtId="166" fontId="15" fillId="23" borderId="12" xfId="1168" applyNumberFormat="1" applyFont="1" applyFill="1" applyBorder="1" applyAlignment="1">
      <alignment vertical="center"/>
    </xf>
    <xf numFmtId="166" fontId="75" fillId="23" borderId="7" xfId="1168" applyNumberFormat="1" applyFont="1" applyFill="1" applyBorder="1" applyAlignment="1"/>
    <xf numFmtId="166" fontId="15" fillId="23" borderId="6" xfId="1168" applyNumberFormat="1" applyFont="1" applyFill="1" applyBorder="1" applyAlignment="1">
      <alignment vertical="center"/>
    </xf>
    <xf numFmtId="4" fontId="15" fillId="24" borderId="18" xfId="1" applyNumberFormat="1" applyFont="1" applyFill="1" applyBorder="1" applyAlignment="1">
      <alignment vertical="center"/>
    </xf>
    <xf numFmtId="4" fontId="15" fillId="24" borderId="5" xfId="1" applyNumberFormat="1" applyFont="1" applyFill="1" applyBorder="1" applyAlignment="1">
      <alignment vertical="center"/>
    </xf>
    <xf numFmtId="172" fontId="75" fillId="23" borderId="4" xfId="0" applyNumberFormat="1" applyFont="1" applyFill="1" applyBorder="1" applyAlignment="1"/>
    <xf numFmtId="172" fontId="75" fillId="23" borderId="46" xfId="0" applyNumberFormat="1" applyFont="1" applyFill="1" applyBorder="1" applyAlignment="1"/>
    <xf numFmtId="172" fontId="75" fillId="23" borderId="15" xfId="0" applyNumberFormat="1" applyFont="1" applyFill="1" applyBorder="1" applyAlignment="1"/>
    <xf numFmtId="0" fontId="95" fillId="55" borderId="8" xfId="1" applyFont="1" applyFill="1" applyBorder="1" applyAlignment="1">
      <alignment horizontal="right" vertical="center" wrapText="1"/>
    </xf>
    <xf numFmtId="0" fontId="95" fillId="55" borderId="6" xfId="1" applyFont="1" applyFill="1" applyBorder="1" applyAlignment="1">
      <alignment horizontal="center" vertical="center" wrapText="1"/>
    </xf>
    <xf numFmtId="171" fontId="95" fillId="55" borderId="7" xfId="1" applyNumberFormat="1" applyFont="1" applyFill="1" applyBorder="1" applyAlignment="1">
      <alignment horizontal="center" vertical="center" wrapText="1"/>
    </xf>
    <xf numFmtId="171" fontId="95" fillId="55" borderId="12" xfId="1" applyNumberFormat="1" applyFont="1" applyFill="1" applyBorder="1" applyAlignment="1">
      <alignment horizontal="center" vertical="center" wrapText="1"/>
    </xf>
    <xf numFmtId="0" fontId="95" fillId="55" borderId="12" xfId="1" applyFont="1" applyFill="1" applyBorder="1" applyAlignment="1">
      <alignment horizontal="center" vertical="center" wrapText="1"/>
    </xf>
    <xf numFmtId="172" fontId="75" fillId="23" borderId="8" xfId="0" applyNumberFormat="1" applyFont="1" applyFill="1" applyBorder="1" applyAlignment="1"/>
    <xf numFmtId="172" fontId="75" fillId="23" borderId="12" xfId="0" applyNumberFormat="1" applyFont="1" applyFill="1" applyBorder="1" applyAlignment="1"/>
    <xf numFmtId="172" fontId="75" fillId="23" borderId="47" xfId="0" applyNumberFormat="1" applyFont="1" applyFill="1" applyBorder="1" applyAlignment="1"/>
    <xf numFmtId="172" fontId="75" fillId="23" borderId="48" xfId="0" applyNumberFormat="1" applyFont="1" applyFill="1" applyBorder="1" applyAlignment="1"/>
    <xf numFmtId="166" fontId="75" fillId="23" borderId="12" xfId="1168" applyNumberFormat="1" applyFont="1" applyFill="1" applyBorder="1" applyAlignment="1"/>
    <xf numFmtId="172" fontId="75" fillId="23" borderId="43" xfId="0" applyNumberFormat="1" applyFont="1" applyFill="1" applyBorder="1" applyAlignment="1"/>
    <xf numFmtId="172" fontId="75" fillId="23" borderId="63" xfId="0" applyNumberFormat="1" applyFont="1" applyFill="1" applyBorder="1" applyAlignment="1"/>
    <xf numFmtId="0" fontId="95" fillId="55" borderId="18" xfId="1" applyFont="1" applyFill="1" applyBorder="1" applyAlignment="1">
      <alignment horizontal="center" vertical="center" wrapText="1"/>
    </xf>
    <xf numFmtId="172" fontId="75" fillId="23" borderId="18" xfId="0" applyNumberFormat="1" applyFont="1" applyFill="1" applyBorder="1" applyAlignment="1"/>
    <xf numFmtId="4" fontId="15" fillId="59" borderId="64" xfId="1" applyNumberFormat="1" applyFont="1" applyFill="1" applyBorder="1" applyAlignment="1">
      <alignment vertical="center"/>
    </xf>
    <xf numFmtId="3" fontId="75" fillId="23" borderId="47" xfId="0" applyNumberFormat="1" applyFont="1" applyFill="1" applyBorder="1"/>
    <xf numFmtId="0" fontId="75" fillId="23" borderId="15" xfId="0" applyFont="1" applyFill="1" applyBorder="1"/>
    <xf numFmtId="3" fontId="75" fillId="23" borderId="15" xfId="0" applyNumberFormat="1" applyFont="1" applyFill="1" applyBorder="1"/>
    <xf numFmtId="0" fontId="75" fillId="0" borderId="15" xfId="0" applyFont="1" applyBorder="1"/>
    <xf numFmtId="0" fontId="75" fillId="0" borderId="48" xfId="0" applyFont="1" applyBorder="1"/>
    <xf numFmtId="3" fontId="95" fillId="55" borderId="8" xfId="1" applyNumberFormat="1" applyFont="1" applyFill="1" applyBorder="1" applyAlignment="1">
      <alignment horizontal="center" vertical="center" wrapText="1"/>
    </xf>
    <xf numFmtId="0" fontId="95" fillId="55" borderId="4" xfId="1" applyFont="1" applyFill="1" applyBorder="1" applyAlignment="1">
      <alignment horizontal="center" vertical="center" wrapText="1"/>
    </xf>
    <xf numFmtId="3" fontId="95" fillId="55" borderId="7" xfId="1" applyNumberFormat="1" applyFont="1" applyFill="1" applyBorder="1" applyAlignment="1">
      <alignment horizontal="center" vertical="center" wrapText="1"/>
    </xf>
    <xf numFmtId="3" fontId="95" fillId="55" borderId="6" xfId="1" applyNumberFormat="1" applyFont="1" applyFill="1" applyBorder="1" applyAlignment="1">
      <alignment horizontal="center" vertical="center" wrapText="1"/>
    </xf>
    <xf numFmtId="172" fontId="76" fillId="23" borderId="47" xfId="0" applyNumberFormat="1" applyFont="1" applyFill="1" applyBorder="1" applyAlignment="1"/>
    <xf numFmtId="172" fontId="76" fillId="23" borderId="51" xfId="0" applyNumberFormat="1" applyFont="1" applyFill="1" applyBorder="1" applyAlignment="1"/>
    <xf numFmtId="3" fontId="95" fillId="55" borderId="18" xfId="1" applyNumberFormat="1" applyFont="1" applyFill="1" applyBorder="1" applyAlignment="1">
      <alignment horizontal="center" vertical="center" wrapText="1"/>
    </xf>
    <xf numFmtId="0" fontId="75" fillId="0" borderId="47" xfId="0" applyFont="1" applyBorder="1"/>
    <xf numFmtId="3" fontId="95" fillId="55" borderId="5" xfId="1" applyNumberFormat="1" applyFont="1" applyFill="1" applyBorder="1" applyAlignment="1">
      <alignment horizontal="center" vertical="center" wrapText="1"/>
    </xf>
    <xf numFmtId="1" fontId="75" fillId="23" borderId="15" xfId="0" applyNumberFormat="1" applyFont="1" applyFill="1" applyBorder="1"/>
    <xf numFmtId="1" fontId="75" fillId="23" borderId="48" xfId="0" applyNumberFormat="1" applyFont="1" applyFill="1" applyBorder="1"/>
    <xf numFmtId="0" fontId="95" fillId="55" borderId="47" xfId="1" applyFont="1" applyFill="1" applyBorder="1" applyAlignment="1">
      <alignment horizontal="center" vertical="center" wrapText="1"/>
    </xf>
    <xf numFmtId="0" fontId="95" fillId="55" borderId="15" xfId="1" applyFont="1" applyFill="1" applyBorder="1" applyAlignment="1">
      <alignment horizontal="center" vertical="center" wrapText="1"/>
    </xf>
    <xf numFmtId="0" fontId="95" fillId="55" borderId="54" xfId="1" applyFont="1" applyFill="1" applyBorder="1" applyAlignment="1">
      <alignment horizontal="center" vertical="center" wrapText="1"/>
    </xf>
    <xf numFmtId="3" fontId="75" fillId="23" borderId="48" xfId="0" applyNumberFormat="1" applyFont="1" applyFill="1" applyBorder="1"/>
    <xf numFmtId="0" fontId="94" fillId="55" borderId="37" xfId="1" applyFont="1" applyFill="1" applyBorder="1" applyAlignment="1">
      <alignment horizontal="center" vertical="center" wrapText="1"/>
    </xf>
    <xf numFmtId="0" fontId="95" fillId="55" borderId="56" xfId="1" applyFont="1" applyFill="1" applyBorder="1" applyAlignment="1">
      <alignment horizontal="center" vertical="center" wrapText="1"/>
    </xf>
    <xf numFmtId="0" fontId="94" fillId="55" borderId="40" xfId="1" applyFont="1" applyFill="1" applyBorder="1" applyAlignment="1">
      <alignment horizontal="center" vertical="center" wrapText="1"/>
    </xf>
    <xf numFmtId="3" fontId="76" fillId="23" borderId="8" xfId="0" applyNumberFormat="1" applyFont="1" applyFill="1" applyBorder="1"/>
    <xf numFmtId="3" fontId="76" fillId="23" borderId="7" xfId="0" applyNumberFormat="1" applyFont="1" applyFill="1" applyBorder="1"/>
    <xf numFmtId="3" fontId="76" fillId="23" borderId="12" xfId="0" applyNumberFormat="1" applyFont="1" applyFill="1" applyBorder="1"/>
    <xf numFmtId="3" fontId="95" fillId="55" borderId="6" xfId="0" applyNumberFormat="1" applyFont="1" applyFill="1" applyBorder="1" applyAlignment="1">
      <alignment horizontal="center" vertical="center" wrapText="1"/>
    </xf>
    <xf numFmtId="3" fontId="15" fillId="22" borderId="6" xfId="0" applyNumberFormat="1" applyFont="1" applyFill="1" applyBorder="1" applyAlignment="1">
      <alignment vertical="center"/>
    </xf>
    <xf numFmtId="40" fontId="97" fillId="59" borderId="15" xfId="0" applyNumberFormat="1" applyFont="1" applyFill="1" applyBorder="1" applyAlignment="1">
      <alignment horizontal="right" vertical="center"/>
    </xf>
    <xf numFmtId="0" fontId="98" fillId="55" borderId="9" xfId="0" applyFont="1" applyFill="1" applyBorder="1" applyAlignment="1">
      <alignment horizontal="center" vertical="center" wrapText="1"/>
    </xf>
    <xf numFmtId="0" fontId="75" fillId="58" borderId="8" xfId="0" applyFont="1" applyFill="1" applyBorder="1"/>
    <xf numFmtId="0" fontId="76" fillId="58" borderId="12" xfId="0" applyFont="1" applyFill="1" applyBorder="1"/>
    <xf numFmtId="0" fontId="76" fillId="58" borderId="8" xfId="0" applyFont="1" applyFill="1" applyBorder="1"/>
    <xf numFmtId="173" fontId="76" fillId="58" borderId="12" xfId="0" applyNumberFormat="1" applyFont="1" applyFill="1" applyBorder="1"/>
    <xf numFmtId="0" fontId="15" fillId="58" borderId="0" xfId="1" applyFont="1" applyFill="1" applyBorder="1" applyAlignment="1">
      <alignment vertical="center" wrapText="1"/>
    </xf>
    <xf numFmtId="175" fontId="15" fillId="22" borderId="7" xfId="1168" applyNumberFormat="1" applyFont="1" applyFill="1" applyBorder="1" applyAlignment="1">
      <alignment vertical="center"/>
    </xf>
    <xf numFmtId="175" fontId="15" fillId="22" borderId="15" xfId="1168" applyNumberFormat="1" applyFont="1" applyFill="1" applyBorder="1" applyAlignment="1">
      <alignment vertical="center"/>
    </xf>
    <xf numFmtId="175" fontId="15" fillId="22" borderId="46" xfId="1168" applyNumberFormat="1" applyFont="1" applyFill="1" applyBorder="1" applyAlignment="1">
      <alignment vertical="center"/>
    </xf>
    <xf numFmtId="174" fontId="15" fillId="23" borderId="7" xfId="1168" applyNumberFormat="1" applyFont="1" applyFill="1" applyBorder="1" applyAlignment="1">
      <alignment vertical="center"/>
    </xf>
    <xf numFmtId="3" fontId="15" fillId="23" borderId="12" xfId="0" applyNumberFormat="1" applyFont="1" applyFill="1" applyBorder="1" applyAlignment="1">
      <alignment vertical="center"/>
    </xf>
    <xf numFmtId="0" fontId="101" fillId="55" borderId="47" xfId="0" applyFont="1" applyFill="1" applyBorder="1" applyAlignment="1">
      <alignment horizontal="center" vertical="center" wrapText="1"/>
    </xf>
    <xf numFmtId="0" fontId="101" fillId="55" borderId="15" xfId="0" applyFont="1" applyFill="1" applyBorder="1" applyAlignment="1">
      <alignment horizontal="center" vertical="center" wrapText="1"/>
    </xf>
    <xf numFmtId="0" fontId="101" fillId="55" borderId="48" xfId="0" applyFont="1" applyFill="1" applyBorder="1" applyAlignment="1">
      <alignment horizontal="center" vertical="center" wrapText="1"/>
    </xf>
    <xf numFmtId="0" fontId="14" fillId="58" borderId="8" xfId="0" applyFont="1" applyFill="1" applyBorder="1" applyAlignment="1">
      <alignment vertical="center"/>
    </xf>
    <xf numFmtId="3" fontId="14" fillId="22" borderId="7" xfId="0" applyNumberFormat="1" applyFont="1" applyFill="1" applyBorder="1" applyAlignment="1">
      <alignment vertical="center"/>
    </xf>
    <xf numFmtId="3" fontId="14" fillId="23" borderId="7" xfId="0" applyNumberFormat="1" applyFont="1" applyFill="1" applyBorder="1" applyAlignment="1">
      <alignment vertical="center"/>
    </xf>
    <xf numFmtId="9" fontId="14" fillId="23" borderId="12" xfId="0" applyNumberFormat="1" applyFont="1" applyFill="1" applyBorder="1" applyAlignment="1">
      <alignment vertical="center"/>
    </xf>
    <xf numFmtId="9" fontId="14" fillId="23" borderId="12" xfId="997" applyNumberFormat="1" applyFont="1" applyFill="1" applyBorder="1" applyAlignment="1">
      <alignment vertical="center"/>
    </xf>
    <xf numFmtId="3" fontId="14" fillId="58" borderId="7" xfId="0" applyNumberFormat="1" applyFont="1" applyFill="1" applyBorder="1" applyAlignment="1">
      <alignment vertical="center"/>
    </xf>
    <xf numFmtId="0" fontId="0" fillId="58" borderId="64" xfId="0" applyFill="1" applyBorder="1"/>
    <xf numFmtId="0" fontId="0" fillId="58" borderId="77" xfId="0" applyFill="1" applyBorder="1"/>
    <xf numFmtId="0" fontId="102" fillId="0" borderId="65" xfId="3" applyFont="1" applyBorder="1"/>
    <xf numFmtId="0" fontId="1" fillId="0" borderId="0" xfId="0" applyFont="1" applyAlignment="1"/>
    <xf numFmtId="0" fontId="1" fillId="0" borderId="0" xfId="0" applyFont="1" applyFill="1" applyBorder="1" applyAlignment="1">
      <alignment horizontal="right" vertical="center"/>
    </xf>
    <xf numFmtId="0" fontId="104" fillId="58" borderId="0" xfId="1" applyNumberFormat="1" applyFont="1" applyFill="1" applyBorder="1" applyAlignment="1">
      <alignment vertical="center"/>
    </xf>
    <xf numFmtId="0" fontId="1" fillId="0" borderId="0" xfId="0" applyFont="1"/>
    <xf numFmtId="0" fontId="1" fillId="0" borderId="0" xfId="0" applyFont="1" applyBorder="1" applyAlignment="1"/>
    <xf numFmtId="1" fontId="1" fillId="0" borderId="0" xfId="0" applyNumberFormat="1" applyFont="1" applyFill="1" applyBorder="1" applyAlignment="1">
      <alignment horizontal="right"/>
    </xf>
    <xf numFmtId="0" fontId="1" fillId="0" borderId="0" xfId="0" applyFont="1" applyFill="1" applyBorder="1" applyAlignment="1"/>
    <xf numFmtId="172" fontId="1" fillId="0" borderId="0" xfId="0" applyNumberFormat="1" applyFont="1" applyBorder="1" applyAlignment="1"/>
    <xf numFmtId="0" fontId="1" fillId="58" borderId="0" xfId="0" applyFont="1" applyFill="1" applyBorder="1"/>
    <xf numFmtId="0" fontId="1" fillId="58" borderId="0" xfId="0" applyFont="1" applyFill="1"/>
    <xf numFmtId="0" fontId="1" fillId="58" borderId="0" xfId="0" applyFont="1" applyFill="1" applyAlignment="1"/>
    <xf numFmtId="0" fontId="1" fillId="0" borderId="0" xfId="0" applyFont="1" applyFill="1" applyBorder="1"/>
    <xf numFmtId="0" fontId="0" fillId="0" borderId="0" xfId="0" applyFont="1" applyBorder="1"/>
    <xf numFmtId="0" fontId="0" fillId="58" borderId="64" xfId="0" applyFont="1" applyFill="1" applyBorder="1"/>
    <xf numFmtId="0" fontId="0" fillId="58" borderId="77" xfId="0" applyFont="1" applyFill="1" applyBorder="1"/>
    <xf numFmtId="0" fontId="0" fillId="0" borderId="64" xfId="0" applyFont="1" applyBorder="1"/>
    <xf numFmtId="0" fontId="0" fillId="0" borderId="77" xfId="0" applyFont="1" applyBorder="1"/>
    <xf numFmtId="0" fontId="103" fillId="0" borderId="64" xfId="3" applyFont="1" applyBorder="1"/>
    <xf numFmtId="0" fontId="0" fillId="0" borderId="76" xfId="0" applyFont="1" applyBorder="1"/>
    <xf numFmtId="0" fontId="0" fillId="0" borderId="68" xfId="0" applyFont="1" applyBorder="1"/>
    <xf numFmtId="0" fontId="103" fillId="0" borderId="65" xfId="3" applyFont="1" applyBorder="1"/>
    <xf numFmtId="0" fontId="103" fillId="0" borderId="76" xfId="3" applyFont="1" applyBorder="1"/>
    <xf numFmtId="0" fontId="0" fillId="58" borderId="65" xfId="0" applyFill="1" applyBorder="1"/>
    <xf numFmtId="0" fontId="0" fillId="58" borderId="76" xfId="0" applyFill="1" applyBorder="1"/>
    <xf numFmtId="0" fontId="0" fillId="58" borderId="68" xfId="0" applyFill="1" applyBorder="1"/>
    <xf numFmtId="0" fontId="96" fillId="55" borderId="7" xfId="0" applyFont="1" applyFill="1" applyBorder="1" applyAlignment="1">
      <alignment horizontal="center" vertical="center"/>
    </xf>
    <xf numFmtId="0" fontId="96" fillId="55" borderId="18" xfId="0" applyFont="1" applyFill="1" applyBorder="1" applyAlignment="1">
      <alignment vertical="center"/>
    </xf>
    <xf numFmtId="0" fontId="97" fillId="58" borderId="7" xfId="1" applyFont="1" applyFill="1" applyBorder="1" applyAlignment="1">
      <alignment vertical="center" wrapText="1"/>
    </xf>
    <xf numFmtId="0" fontId="94" fillId="55" borderId="7" xfId="0" applyFont="1" applyFill="1" applyBorder="1" applyAlignment="1">
      <alignment horizontal="center" vertical="center" wrapText="1"/>
    </xf>
    <xf numFmtId="0" fontId="94" fillId="55" borderId="8" xfId="0" applyFont="1" applyFill="1" applyBorder="1" applyAlignment="1">
      <alignment horizontal="center" vertical="center" wrapText="1"/>
    </xf>
    <xf numFmtId="0" fontId="94" fillId="55" borderId="12" xfId="0" applyFont="1" applyFill="1" applyBorder="1" applyAlignment="1">
      <alignment horizontal="center" vertical="center" wrapText="1"/>
    </xf>
    <xf numFmtId="3" fontId="80" fillId="55" borderId="7" xfId="0" applyNumberFormat="1" applyFont="1" applyFill="1" applyBorder="1" applyAlignment="1">
      <alignment horizontal="center" vertical="center" wrapText="1"/>
    </xf>
    <xf numFmtId="3" fontId="80" fillId="55" borderId="8" xfId="0" applyNumberFormat="1" applyFont="1" applyFill="1" applyBorder="1" applyAlignment="1">
      <alignment horizontal="center" vertical="center" wrapText="1"/>
    </xf>
    <xf numFmtId="40" fontId="97" fillId="59" borderId="48" xfId="0" applyNumberFormat="1" applyFont="1" applyFill="1" applyBorder="1" applyAlignment="1">
      <alignment horizontal="right" vertical="center"/>
    </xf>
    <xf numFmtId="3" fontId="15" fillId="22" borderId="60" xfId="0" applyNumberFormat="1" applyFont="1" applyFill="1" applyBorder="1" applyAlignment="1">
      <alignment vertical="center"/>
    </xf>
    <xf numFmtId="3" fontId="15" fillId="22" borderId="42" xfId="0" applyNumberFormat="1" applyFont="1" applyFill="1" applyBorder="1" applyAlignment="1">
      <alignment vertical="center"/>
    </xf>
    <xf numFmtId="3" fontId="105" fillId="59" borderId="7" xfId="604" applyNumberFormat="1" applyFont="1" applyFill="1" applyBorder="1" applyAlignment="1">
      <alignment vertical="center"/>
    </xf>
    <xf numFmtId="0" fontId="101" fillId="55" borderId="35" xfId="0" applyFont="1" applyFill="1" applyBorder="1" applyAlignment="1">
      <alignment horizontal="center" vertical="center" wrapText="1"/>
    </xf>
    <xf numFmtId="0" fontId="101" fillId="55" borderId="9" xfId="0" applyFont="1" applyFill="1" applyBorder="1" applyAlignment="1">
      <alignment horizontal="center" vertical="center" wrapText="1"/>
    </xf>
    <xf numFmtId="3" fontId="105" fillId="59" borderId="8" xfId="604" applyNumberFormat="1" applyFont="1" applyFill="1" applyBorder="1" applyAlignment="1">
      <alignment vertical="center"/>
    </xf>
    <xf numFmtId="3" fontId="105" fillId="59" borderId="12" xfId="604" applyNumberFormat="1" applyFont="1" applyFill="1" applyBorder="1" applyAlignment="1">
      <alignment vertical="center"/>
    </xf>
    <xf numFmtId="3" fontId="14" fillId="22" borderId="8" xfId="0" applyNumberFormat="1" applyFont="1" applyFill="1" applyBorder="1" applyAlignment="1">
      <alignment vertical="center"/>
    </xf>
    <xf numFmtId="3" fontId="14" fillId="22" borderId="12" xfId="0" applyNumberFormat="1" applyFont="1" applyFill="1" applyBorder="1" applyAlignment="1">
      <alignment vertical="center"/>
    </xf>
    <xf numFmtId="3" fontId="14" fillId="22" borderId="11" xfId="0" applyNumberFormat="1" applyFont="1" applyFill="1" applyBorder="1" applyAlignment="1">
      <alignment vertical="center"/>
    </xf>
    <xf numFmtId="3" fontId="14" fillId="22" borderId="10" xfId="0" applyNumberFormat="1" applyFont="1" applyFill="1" applyBorder="1" applyAlignment="1">
      <alignment vertical="center"/>
    </xf>
    <xf numFmtId="3" fontId="14" fillId="58" borderId="10" xfId="0" applyNumberFormat="1" applyFont="1" applyFill="1" applyBorder="1" applyAlignment="1">
      <alignment vertical="center"/>
    </xf>
    <xf numFmtId="3" fontId="14" fillId="22" borderId="42" xfId="0" applyNumberFormat="1" applyFont="1" applyFill="1" applyBorder="1" applyAlignment="1">
      <alignment vertical="center"/>
    </xf>
    <xf numFmtId="0" fontId="15" fillId="58" borderId="12" xfId="0" applyFont="1" applyFill="1" applyBorder="1" applyAlignment="1">
      <alignment vertical="center"/>
    </xf>
    <xf numFmtId="0" fontId="15" fillId="58" borderId="42" xfId="0" applyFont="1" applyFill="1" applyBorder="1" applyAlignment="1">
      <alignment vertical="center"/>
    </xf>
    <xf numFmtId="0" fontId="98" fillId="55" borderId="7" xfId="0" applyFont="1" applyFill="1" applyBorder="1" applyAlignment="1">
      <alignment horizontal="center" vertical="center" wrapText="1"/>
    </xf>
    <xf numFmtId="0" fontId="81" fillId="58" borderId="0" xfId="0" applyFont="1" applyFill="1" applyBorder="1"/>
    <xf numFmtId="0" fontId="106" fillId="58" borderId="0" xfId="0" applyFont="1" applyFill="1" applyBorder="1"/>
    <xf numFmtId="0" fontId="15" fillId="58" borderId="8" xfId="1" applyFont="1" applyFill="1" applyBorder="1" applyAlignment="1">
      <alignment vertical="center" wrapText="1"/>
    </xf>
    <xf numFmtId="0" fontId="15" fillId="58" borderId="12" xfId="1" applyFont="1" applyFill="1" applyBorder="1" applyAlignment="1">
      <alignment vertical="center" wrapText="1"/>
    </xf>
    <xf numFmtId="0" fontId="15" fillId="58" borderId="11" xfId="1" applyFont="1" applyFill="1" applyBorder="1" applyAlignment="1">
      <alignment vertical="center" wrapText="1"/>
    </xf>
    <xf numFmtId="0" fontId="15" fillId="58" borderId="10" xfId="1" applyFont="1" applyFill="1" applyBorder="1" applyAlignment="1">
      <alignment vertical="center" wrapText="1"/>
    </xf>
    <xf numFmtId="0" fontId="15" fillId="58" borderId="42" xfId="1" applyFont="1" applyFill="1" applyBorder="1" applyAlignment="1">
      <alignment vertical="center" wrapText="1"/>
    </xf>
    <xf numFmtId="0" fontId="76" fillId="0" borderId="6" xfId="0" applyFont="1" applyBorder="1" applyAlignment="1"/>
    <xf numFmtId="0" fontId="76" fillId="0" borderId="34" xfId="0" applyFont="1" applyBorder="1" applyAlignment="1"/>
    <xf numFmtId="0" fontId="75" fillId="23" borderId="7" xfId="0" applyFont="1" applyFill="1" applyBorder="1" applyAlignment="1"/>
    <xf numFmtId="0" fontId="75" fillId="23" borderId="8" xfId="0" applyFont="1" applyFill="1" applyBorder="1" applyAlignment="1"/>
    <xf numFmtId="0" fontId="75" fillId="23" borderId="12" xfId="0" applyFont="1" applyFill="1" applyBorder="1" applyAlignment="1"/>
    <xf numFmtId="40" fontId="97" fillId="59" borderId="7" xfId="0" applyNumberFormat="1" applyFont="1" applyFill="1" applyBorder="1" applyAlignment="1">
      <alignment horizontal="right" vertical="center"/>
    </xf>
    <xf numFmtId="3" fontId="75" fillId="23" borderId="7" xfId="604" applyNumberFormat="1" applyFont="1" applyFill="1" applyBorder="1" applyAlignment="1">
      <alignment vertical="center"/>
    </xf>
    <xf numFmtId="173" fontId="15" fillId="22" borderId="7" xfId="0" applyNumberFormat="1" applyFont="1" applyFill="1" applyBorder="1" applyAlignment="1">
      <alignment vertical="center"/>
    </xf>
    <xf numFmtId="3" fontId="76" fillId="23" borderId="7" xfId="604" applyNumberFormat="1" applyFont="1" applyFill="1" applyBorder="1" applyAlignment="1">
      <alignment vertical="center"/>
    </xf>
    <xf numFmtId="40" fontId="97" fillId="59" borderId="8" xfId="0" applyNumberFormat="1" applyFont="1" applyFill="1" applyBorder="1" applyAlignment="1">
      <alignment horizontal="right" vertical="center"/>
    </xf>
    <xf numFmtId="3" fontId="75" fillId="23" borderId="12" xfId="604" applyNumberFormat="1" applyFont="1" applyFill="1" applyBorder="1" applyAlignment="1">
      <alignment vertical="center"/>
    </xf>
    <xf numFmtId="0" fontId="94" fillId="55" borderId="15" xfId="0" applyFont="1" applyFill="1" applyBorder="1" applyAlignment="1">
      <alignment horizontal="center" vertical="center" wrapText="1"/>
    </xf>
    <xf numFmtId="0" fontId="94" fillId="55" borderId="48" xfId="0" applyFont="1" applyFill="1" applyBorder="1" applyAlignment="1">
      <alignment horizontal="center" vertical="center" wrapText="1"/>
    </xf>
    <xf numFmtId="0" fontId="96" fillId="55" borderId="12" xfId="0" applyFont="1" applyFill="1" applyBorder="1" applyAlignment="1">
      <alignment horizontal="center" vertical="center"/>
    </xf>
    <xf numFmtId="0" fontId="96" fillId="55" borderId="8" xfId="0" applyFont="1" applyFill="1" applyBorder="1" applyAlignment="1">
      <alignment horizontal="center" vertical="center"/>
    </xf>
    <xf numFmtId="0" fontId="12" fillId="0" borderId="76" xfId="3" quotePrefix="1" applyBorder="1"/>
    <xf numFmtId="0" fontId="98" fillId="55" borderId="36" xfId="0" applyFont="1" applyFill="1" applyBorder="1" applyAlignment="1">
      <alignment horizontal="center" vertical="center" wrapText="1"/>
    </xf>
    <xf numFmtId="0" fontId="98" fillId="55" borderId="12" xfId="0"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77" fillId="58" borderId="0" xfId="1" applyFont="1" applyFill="1" applyBorder="1" applyAlignment="1">
      <alignment horizontal="left" vertical="center"/>
    </xf>
    <xf numFmtId="3" fontId="15" fillId="24" borderId="7" xfId="1" applyNumberFormat="1" applyFont="1" applyFill="1" applyBorder="1" applyAlignment="1">
      <alignment vertical="center"/>
    </xf>
    <xf numFmtId="3" fontId="15" fillId="24" borderId="5" xfId="1" applyNumberFormat="1" applyFont="1" applyFill="1" applyBorder="1" applyAlignment="1">
      <alignment vertical="center"/>
    </xf>
    <xf numFmtId="3" fontId="75" fillId="23" borderId="4" xfId="0" applyNumberFormat="1" applyFont="1" applyFill="1" applyBorder="1" applyAlignment="1"/>
    <xf numFmtId="4" fontId="97" fillId="58" borderId="75" xfId="1" applyNumberFormat="1" applyFont="1" applyFill="1" applyBorder="1" applyAlignment="1">
      <alignment vertical="center"/>
    </xf>
    <xf numFmtId="4" fontId="15" fillId="24" borderId="86" xfId="1" applyNumberFormat="1" applyFont="1" applyFill="1" applyBorder="1" applyAlignment="1">
      <alignment vertical="center"/>
    </xf>
    <xf numFmtId="172" fontId="75" fillId="23" borderId="55" xfId="0" applyNumberFormat="1" applyFont="1" applyFill="1" applyBorder="1" applyAlignment="1"/>
    <xf numFmtId="0" fontId="15" fillId="60" borderId="12" xfId="1" applyNumberFormat="1" applyFont="1" applyFill="1" applyBorder="1" applyAlignment="1">
      <alignment vertical="center"/>
    </xf>
    <xf numFmtId="0" fontId="15" fillId="58" borderId="58" xfId="1" applyFont="1" applyFill="1" applyBorder="1" applyAlignment="1">
      <alignment vertical="center"/>
    </xf>
    <xf numFmtId="9" fontId="0" fillId="58" borderId="0" xfId="0" applyNumberFormat="1" applyFont="1" applyFill="1"/>
    <xf numFmtId="0" fontId="94" fillId="55" borderId="9" xfId="1" applyFont="1" applyFill="1" applyBorder="1" applyAlignment="1">
      <alignment horizontal="center" vertical="center" wrapText="1"/>
    </xf>
    <xf numFmtId="175" fontId="15" fillId="24" borderId="7" xfId="1168" applyNumberFormat="1" applyFont="1" applyFill="1" applyBorder="1" applyAlignment="1">
      <alignment vertical="center"/>
    </xf>
    <xf numFmtId="174" fontId="15" fillId="24" borderId="7" xfId="1168" applyNumberFormat="1" applyFont="1" applyFill="1" applyBorder="1" applyAlignment="1">
      <alignment vertical="center"/>
    </xf>
    <xf numFmtId="174" fontId="15" fillId="24" borderId="10" xfId="1168" applyNumberFormat="1" applyFont="1" applyFill="1" applyBorder="1" applyAlignment="1">
      <alignment vertical="center"/>
    </xf>
    <xf numFmtId="166" fontId="15" fillId="24" borderId="7" xfId="1168" applyNumberFormat="1" applyFont="1" applyFill="1" applyBorder="1" applyAlignment="1">
      <alignment vertical="center"/>
    </xf>
    <xf numFmtId="0" fontId="15" fillId="23" borderId="86" xfId="1" applyFont="1" applyFill="1" applyBorder="1" applyAlignment="1">
      <alignment vertical="center"/>
    </xf>
    <xf numFmtId="0" fontId="15" fillId="23" borderId="42" xfId="1" applyFont="1" applyFill="1" applyBorder="1" applyAlignment="1">
      <alignment vertical="center"/>
    </xf>
    <xf numFmtId="175" fontId="15" fillId="24" borderId="12" xfId="1168" applyNumberFormat="1" applyFont="1" applyFill="1" applyBorder="1" applyAlignment="1">
      <alignment vertical="center"/>
    </xf>
    <xf numFmtId="0" fontId="15" fillId="58" borderId="86" xfId="1" applyFont="1" applyFill="1" applyBorder="1" applyAlignment="1">
      <alignment vertical="center"/>
    </xf>
    <xf numFmtId="175" fontId="15" fillId="59" borderId="42" xfId="1168" applyNumberFormat="1" applyFont="1" applyFill="1" applyBorder="1" applyAlignment="1">
      <alignment vertical="center"/>
    </xf>
    <xf numFmtId="174" fontId="99" fillId="59" borderId="7" xfId="1168" applyNumberFormat="1" applyFont="1" applyFill="1" applyBorder="1" applyAlignment="1">
      <alignment vertical="center"/>
    </xf>
    <xf numFmtId="175" fontId="15" fillId="59" borderId="7" xfId="1168" applyNumberFormat="1" applyFont="1" applyFill="1" applyBorder="1" applyAlignment="1">
      <alignment vertical="center"/>
    </xf>
    <xf numFmtId="175" fontId="99" fillId="59" borderId="7" xfId="1168" applyNumberFormat="1" applyFont="1" applyFill="1" applyBorder="1" applyAlignment="1">
      <alignment vertical="center"/>
    </xf>
    <xf numFmtId="174" fontId="15" fillId="59" borderId="7" xfId="1168" applyNumberFormat="1" applyFont="1" applyFill="1" applyBorder="1" applyAlignment="1">
      <alignment vertical="center"/>
    </xf>
    <xf numFmtId="175" fontId="99" fillId="59" borderId="12" xfId="1168" applyNumberFormat="1" applyFont="1" applyFill="1" applyBorder="1" applyAlignment="1">
      <alignment vertical="center"/>
    </xf>
    <xf numFmtId="175" fontId="99" fillId="59" borderId="10" xfId="1168" applyNumberFormat="1" applyFont="1" applyFill="1" applyBorder="1" applyAlignment="1">
      <alignment vertical="center"/>
    </xf>
    <xf numFmtId="175" fontId="15" fillId="59" borderId="10" xfId="1168" applyNumberFormat="1" applyFont="1" applyFill="1" applyBorder="1" applyAlignment="1">
      <alignment vertical="center"/>
    </xf>
    <xf numFmtId="174" fontId="15" fillId="59" borderId="10" xfId="1168" applyNumberFormat="1" applyFont="1" applyFill="1" applyBorder="1" applyAlignment="1">
      <alignment vertical="center"/>
    </xf>
    <xf numFmtId="0" fontId="96" fillId="55" borderId="8" xfId="1" applyFont="1" applyFill="1" applyBorder="1" applyAlignment="1">
      <alignment horizontal="center" vertical="center" wrapText="1"/>
    </xf>
    <xf numFmtId="0" fontId="96" fillId="55" borderId="7" xfId="1" applyFont="1" applyFill="1" applyBorder="1" applyAlignment="1">
      <alignment horizontal="center" vertical="center" wrapText="1"/>
    </xf>
    <xf numFmtId="0" fontId="96" fillId="55" borderId="12" xfId="1" applyFont="1" applyFill="1" applyBorder="1" applyAlignment="1">
      <alignment horizontal="center" vertical="center" wrapText="1"/>
    </xf>
    <xf numFmtId="0" fontId="96" fillId="55" borderId="7" xfId="0" applyFont="1" applyFill="1" applyBorder="1" applyAlignment="1">
      <alignment horizontal="center" vertical="center" wrapText="1"/>
    </xf>
    <xf numFmtId="174" fontId="97" fillId="23" borderId="15" xfId="1168" applyNumberFormat="1" applyFont="1" applyFill="1" applyBorder="1" applyAlignment="1">
      <alignment vertical="center"/>
    </xf>
    <xf numFmtId="0" fontId="76" fillId="58" borderId="10" xfId="0" applyFont="1" applyFill="1" applyBorder="1"/>
    <xf numFmtId="0" fontId="15" fillId="23" borderId="7" xfId="0" applyFont="1" applyFill="1" applyBorder="1" applyAlignment="1">
      <alignment vertical="center"/>
    </xf>
    <xf numFmtId="173" fontId="76" fillId="23" borderId="7" xfId="0" applyNumberFormat="1" applyFont="1" applyFill="1" applyBorder="1"/>
    <xf numFmtId="173" fontId="76" fillId="23" borderId="12" xfId="0" applyNumberFormat="1" applyFont="1" applyFill="1" applyBorder="1"/>
    <xf numFmtId="0" fontId="15" fillId="23" borderId="10" xfId="0" applyFont="1" applyFill="1" applyBorder="1" applyAlignment="1">
      <alignment vertical="center"/>
    </xf>
    <xf numFmtId="173" fontId="76" fillId="23" borderId="10" xfId="0" applyNumberFormat="1" applyFont="1" applyFill="1" applyBorder="1"/>
    <xf numFmtId="173" fontId="76" fillId="23" borderId="42" xfId="0" applyNumberFormat="1" applyFont="1" applyFill="1" applyBorder="1"/>
    <xf numFmtId="0" fontId="76" fillId="23" borderId="7" xfId="0" applyFont="1" applyFill="1" applyBorder="1"/>
    <xf numFmtId="0" fontId="76" fillId="23" borderId="8" xfId="0" applyFont="1" applyFill="1" applyBorder="1"/>
    <xf numFmtId="0" fontId="76" fillId="23" borderId="86" xfId="0" applyFont="1" applyFill="1" applyBorder="1"/>
    <xf numFmtId="0" fontId="76" fillId="23" borderId="10" xfId="0" applyFont="1" applyFill="1" applyBorder="1"/>
    <xf numFmtId="0" fontId="94" fillId="55" borderId="35" xfId="1" applyFont="1" applyFill="1" applyBorder="1" applyAlignment="1">
      <alignment horizontal="center" vertical="center" wrapText="1"/>
    </xf>
    <xf numFmtId="0" fontId="94" fillId="55" borderId="9" xfId="1" applyFont="1" applyFill="1" applyBorder="1" applyAlignment="1">
      <alignment horizontal="center" vertical="center" wrapText="1"/>
    </xf>
    <xf numFmtId="0" fontId="94" fillId="55" borderId="36" xfId="1" applyFont="1" applyFill="1" applyBorder="1" applyAlignment="1">
      <alignment horizontal="center" vertical="center" wrapText="1"/>
    </xf>
    <xf numFmtId="3" fontId="88" fillId="22" borderId="86" xfId="0" applyNumberFormat="1" applyFont="1" applyFill="1" applyBorder="1" applyAlignment="1"/>
    <xf numFmtId="0" fontId="7" fillId="61" borderId="7" xfId="0" applyFont="1" applyFill="1" applyBorder="1"/>
    <xf numFmtId="0" fontId="7" fillId="61" borderId="7" xfId="0" applyFont="1" applyFill="1" applyBorder="1" applyAlignment="1">
      <alignment horizontal="right"/>
    </xf>
    <xf numFmtId="0" fontId="7" fillId="0" borderId="7" xfId="0" applyFont="1" applyBorder="1"/>
    <xf numFmtId="177" fontId="7" fillId="0" borderId="7" xfId="0" applyNumberFormat="1" applyFont="1" applyBorder="1"/>
    <xf numFmtId="0" fontId="0" fillId="0" borderId="7" xfId="0" applyBorder="1" applyAlignment="1">
      <alignment horizontal="left" indent="2"/>
    </xf>
    <xf numFmtId="177" fontId="0" fillId="0" borderId="7" xfId="0" applyNumberFormat="1" applyFont="1" applyBorder="1"/>
    <xf numFmtId="176" fontId="0" fillId="0" borderId="7" xfId="0" applyNumberFormat="1" applyBorder="1"/>
    <xf numFmtId="0" fontId="0" fillId="0" borderId="7" xfId="0" applyBorder="1"/>
    <xf numFmtId="4" fontId="1" fillId="0" borderId="0" xfId="1" applyNumberFormat="1" applyFont="1" applyAlignment="1">
      <alignment vertical="center"/>
    </xf>
    <xf numFmtId="0" fontId="75" fillId="58" borderId="7" xfId="1" applyFont="1" applyFill="1" applyBorder="1" applyAlignment="1">
      <alignment horizontal="center"/>
    </xf>
    <xf numFmtId="0" fontId="76" fillId="58" borderId="7" xfId="1" applyFont="1" applyFill="1" applyBorder="1"/>
    <xf numFmtId="0" fontId="107" fillId="58" borderId="7" xfId="1" applyFont="1" applyFill="1" applyBorder="1" applyAlignment="1">
      <alignment vertical="center"/>
    </xf>
    <xf numFmtId="4" fontId="107" fillId="24" borderId="8" xfId="1" applyNumberFormat="1" applyFont="1" applyFill="1" applyBorder="1" applyAlignment="1">
      <alignment vertical="center"/>
    </xf>
    <xf numFmtId="0" fontId="107" fillId="23" borderId="8" xfId="1" applyFont="1" applyFill="1" applyBorder="1" applyAlignment="1">
      <alignment vertical="center"/>
    </xf>
    <xf numFmtId="0" fontId="0" fillId="0" borderId="7" xfId="0" applyBorder="1" applyAlignment="1"/>
    <xf numFmtId="0" fontId="91" fillId="58" borderId="7" xfId="1" applyNumberFormat="1" applyFont="1" applyFill="1" applyBorder="1" applyAlignment="1">
      <alignment vertical="center"/>
    </xf>
    <xf numFmtId="0" fontId="91" fillId="22" borderId="7" xfId="1" applyNumberFormat="1" applyFont="1" applyFill="1" applyBorder="1" applyAlignment="1">
      <alignment horizontal="right" vertical="center"/>
    </xf>
    <xf numFmtId="0" fontId="91" fillId="22" borderId="69" xfId="1" applyNumberFormat="1" applyFont="1" applyFill="1" applyBorder="1" applyAlignment="1">
      <alignment horizontal="center" vertical="center"/>
    </xf>
    <xf numFmtId="0" fontId="91" fillId="58" borderId="70" xfId="1" applyNumberFormat="1" applyFont="1" applyFill="1" applyBorder="1" applyAlignment="1">
      <alignment horizontal="center" vertical="center"/>
    </xf>
    <xf numFmtId="0" fontId="7" fillId="0" borderId="0" xfId="0" applyFont="1"/>
    <xf numFmtId="0" fontId="109" fillId="0" borderId="0" xfId="0" applyFont="1"/>
    <xf numFmtId="0" fontId="2" fillId="2" borderId="1" xfId="1169"/>
    <xf numFmtId="4" fontId="75" fillId="23" borderId="47" xfId="0" applyNumberFormat="1" applyFont="1" applyFill="1" applyBorder="1"/>
    <xf numFmtId="174" fontId="0" fillId="0" borderId="0" xfId="1168" applyNumberFormat="1" applyFont="1"/>
    <xf numFmtId="178" fontId="0" fillId="0" borderId="0" xfId="0" applyNumberFormat="1"/>
    <xf numFmtId="0" fontId="110" fillId="0" borderId="0" xfId="0" applyFont="1"/>
    <xf numFmtId="0" fontId="2" fillId="2" borderId="1" xfId="1169" applyAlignment="1">
      <alignment wrapText="1"/>
    </xf>
    <xf numFmtId="3" fontId="2" fillId="2" borderId="1" xfId="1169" applyNumberFormat="1"/>
    <xf numFmtId="0" fontId="2" fillId="62" borderId="1" xfId="1169" applyFill="1"/>
    <xf numFmtId="0" fontId="76" fillId="0" borderId="0" xfId="0" applyFont="1" applyAlignment="1">
      <alignment horizontal="center"/>
    </xf>
    <xf numFmtId="0" fontId="112" fillId="0" borderId="0" xfId="0" applyFont="1"/>
    <xf numFmtId="0" fontId="2" fillId="62" borderId="87" xfId="1169" applyFill="1" applyBorder="1"/>
    <xf numFmtId="0" fontId="0" fillId="0" borderId="0" xfId="0" applyAlignment="1">
      <alignment horizontal="center"/>
    </xf>
    <xf numFmtId="0" fontId="111" fillId="63" borderId="7" xfId="1169" applyFont="1" applyFill="1" applyBorder="1"/>
    <xf numFmtId="0" fontId="14" fillId="23" borderId="8" xfId="0" applyFont="1" applyFill="1" applyBorder="1" applyAlignment="1">
      <alignment vertical="center"/>
    </xf>
    <xf numFmtId="175" fontId="15" fillId="23" borderId="7" xfId="1168" applyNumberFormat="1" applyFont="1" applyFill="1" applyBorder="1" applyAlignment="1">
      <alignment vertical="center"/>
    </xf>
    <xf numFmtId="0" fontId="7" fillId="0" borderId="0" xfId="1171" applyFont="1" applyFill="1"/>
    <xf numFmtId="0" fontId="1" fillId="0" borderId="0" xfId="1171" applyFill="1"/>
    <xf numFmtId="3" fontId="15" fillId="22" borderId="7" xfId="0" applyNumberFormat="1" applyFont="1" applyFill="1" applyBorder="1" applyAlignment="1">
      <alignment horizontal="center" vertical="center"/>
    </xf>
    <xf numFmtId="0" fontId="113" fillId="3" borderId="1" xfId="1170" applyFont="1" applyAlignment="1">
      <alignment horizontal="center"/>
    </xf>
    <xf numFmtId="0" fontId="75" fillId="0" borderId="0" xfId="0" applyFont="1" applyAlignment="1">
      <alignment horizontal="right"/>
    </xf>
    <xf numFmtId="0" fontId="75" fillId="64" borderId="8" xfId="0" applyFont="1" applyFill="1" applyBorder="1"/>
    <xf numFmtId="0" fontId="75" fillId="64" borderId="7" xfId="0" applyFont="1" applyFill="1" applyBorder="1"/>
    <xf numFmtId="0" fontId="75" fillId="64" borderId="12" xfId="0" applyFont="1" applyFill="1" applyBorder="1"/>
    <xf numFmtId="0" fontId="75" fillId="64" borderId="0" xfId="0" applyFont="1" applyFill="1" applyBorder="1"/>
    <xf numFmtId="3" fontId="76" fillId="64" borderId="8" xfId="0" applyNumberFormat="1" applyFont="1" applyFill="1" applyBorder="1"/>
    <xf numFmtId="0" fontId="76" fillId="64" borderId="7" xfId="0" applyFont="1" applyFill="1" applyBorder="1"/>
    <xf numFmtId="3" fontId="76" fillId="64" borderId="7" xfId="0" applyNumberFormat="1" applyFont="1" applyFill="1" applyBorder="1"/>
    <xf numFmtId="3" fontId="75" fillId="64" borderId="7" xfId="0" applyNumberFormat="1" applyFont="1" applyFill="1" applyBorder="1"/>
    <xf numFmtId="172" fontId="76" fillId="64" borderId="8" xfId="0" applyNumberFormat="1" applyFont="1" applyFill="1" applyBorder="1" applyAlignment="1"/>
    <xf numFmtId="172" fontId="76" fillId="64" borderId="6" xfId="0" applyNumberFormat="1" applyFont="1" applyFill="1" applyBorder="1" applyAlignment="1"/>
    <xf numFmtId="3" fontId="75" fillId="64" borderId="8" xfId="0" applyNumberFormat="1" applyFont="1" applyFill="1" applyBorder="1"/>
    <xf numFmtId="1" fontId="75" fillId="64" borderId="7" xfId="0" applyNumberFormat="1" applyFont="1" applyFill="1" applyBorder="1"/>
    <xf numFmtId="1" fontId="75" fillId="64" borderId="12" xfId="0" applyNumberFormat="1" applyFont="1" applyFill="1" applyBorder="1"/>
    <xf numFmtId="3" fontId="75" fillId="64" borderId="12" xfId="0" applyNumberFormat="1" applyFont="1" applyFill="1" applyBorder="1"/>
    <xf numFmtId="0" fontId="7" fillId="64" borderId="0" xfId="0" applyFont="1" applyFill="1"/>
    <xf numFmtId="0" fontId="76" fillId="64" borderId="8" xfId="0" applyFont="1" applyFill="1" applyBorder="1"/>
    <xf numFmtId="0" fontId="76" fillId="64" borderId="12" xfId="0" applyFont="1" applyFill="1" applyBorder="1"/>
    <xf numFmtId="0" fontId="76" fillId="64" borderId="0" xfId="0" applyFont="1" applyFill="1" applyBorder="1"/>
    <xf numFmtId="9" fontId="76" fillId="64" borderId="7" xfId="997" applyFont="1" applyFill="1" applyBorder="1"/>
    <xf numFmtId="9" fontId="76" fillId="64" borderId="12" xfId="997" applyFont="1" applyFill="1" applyBorder="1"/>
    <xf numFmtId="0" fontId="15" fillId="64" borderId="8" xfId="997" applyNumberFormat="1" applyFont="1" applyFill="1" applyBorder="1" applyAlignment="1">
      <alignment vertical="center"/>
    </xf>
    <xf numFmtId="172" fontId="76" fillId="64" borderId="55" xfId="0" applyNumberFormat="1" applyFont="1" applyFill="1" applyBorder="1" applyAlignment="1"/>
    <xf numFmtId="0" fontId="15" fillId="64" borderId="7" xfId="997" applyNumberFormat="1" applyFont="1" applyFill="1" applyBorder="1" applyAlignment="1">
      <alignment vertical="center"/>
    </xf>
    <xf numFmtId="1" fontId="76" fillId="64" borderId="7" xfId="0" applyNumberFormat="1" applyFont="1" applyFill="1" applyBorder="1"/>
    <xf numFmtId="1" fontId="76" fillId="64" borderId="12" xfId="0" applyNumberFormat="1" applyFont="1" applyFill="1" applyBorder="1"/>
    <xf numFmtId="3" fontId="76" fillId="64" borderId="12" xfId="0" applyNumberFormat="1" applyFont="1" applyFill="1" applyBorder="1"/>
    <xf numFmtId="0" fontId="0" fillId="64" borderId="0" xfId="0" applyFont="1" applyFill="1"/>
    <xf numFmtId="0" fontId="76" fillId="64" borderId="11" xfId="0" applyFont="1" applyFill="1" applyBorder="1"/>
    <xf numFmtId="0" fontId="76" fillId="64" borderId="10" xfId="0" applyFont="1" applyFill="1" applyBorder="1"/>
    <xf numFmtId="9" fontId="76" fillId="64" borderId="10" xfId="997" applyFont="1" applyFill="1" applyBorder="1"/>
    <xf numFmtId="9" fontId="76" fillId="64" borderId="42" xfId="997" applyFont="1" applyFill="1" applyBorder="1"/>
    <xf numFmtId="0" fontId="15" fillId="64" borderId="11" xfId="997" applyNumberFormat="1" applyFont="1" applyFill="1" applyBorder="1" applyAlignment="1">
      <alignment vertical="center"/>
    </xf>
    <xf numFmtId="172" fontId="76" fillId="64" borderId="59" xfId="0" applyNumberFormat="1" applyFont="1" applyFill="1" applyBorder="1" applyAlignment="1"/>
    <xf numFmtId="0" fontId="75" fillId="64" borderId="11" xfId="0" applyFont="1" applyFill="1" applyBorder="1"/>
    <xf numFmtId="0" fontId="75" fillId="64" borderId="10" xfId="0" applyFont="1" applyFill="1" applyBorder="1"/>
    <xf numFmtId="0" fontId="15" fillId="64" borderId="10" xfId="997" applyNumberFormat="1" applyFont="1" applyFill="1" applyBorder="1" applyAlignment="1">
      <alignment vertical="center"/>
    </xf>
    <xf numFmtId="172" fontId="76" fillId="64" borderId="34" xfId="0" applyNumberFormat="1" applyFont="1" applyFill="1" applyBorder="1" applyAlignment="1"/>
    <xf numFmtId="3" fontId="76" fillId="64" borderId="11" xfId="0" applyNumberFormat="1" applyFont="1" applyFill="1" applyBorder="1"/>
    <xf numFmtId="1" fontId="76" fillId="64" borderId="10" xfId="0" applyNumberFormat="1" applyFont="1" applyFill="1" applyBorder="1"/>
    <xf numFmtId="1" fontId="76" fillId="64" borderId="42" xfId="0" applyNumberFormat="1" applyFont="1" applyFill="1" applyBorder="1"/>
    <xf numFmtId="3" fontId="76" fillId="64" borderId="10" xfId="0" applyNumberFormat="1" applyFont="1" applyFill="1" applyBorder="1"/>
    <xf numFmtId="3" fontId="76" fillId="64" borderId="42" xfId="0" applyNumberFormat="1" applyFont="1" applyFill="1" applyBorder="1"/>
    <xf numFmtId="0" fontId="75" fillId="58" borderId="0" xfId="0" applyFont="1" applyFill="1" applyBorder="1"/>
    <xf numFmtId="0" fontId="75" fillId="58" borderId="0" xfId="0" applyFont="1" applyFill="1"/>
    <xf numFmtId="0" fontId="12" fillId="0" borderId="65" xfId="3" applyBorder="1"/>
    <xf numFmtId="0" fontId="114" fillId="0" borderId="0" xfId="0" applyFont="1"/>
    <xf numFmtId="0" fontId="115" fillId="66" borderId="0" xfId="0" applyFont="1" applyFill="1" applyAlignment="1">
      <alignment horizontal="center" vertical="center" wrapText="1"/>
    </xf>
    <xf numFmtId="0" fontId="115" fillId="67" borderId="0" xfId="0" applyFont="1" applyFill="1" applyAlignment="1">
      <alignment horizontal="center" vertical="center" wrapText="1"/>
    </xf>
    <xf numFmtId="0" fontId="115" fillId="68" borderId="0" xfId="0" applyFont="1" applyFill="1" applyAlignment="1">
      <alignment horizontal="center" vertical="center" wrapText="1"/>
    </xf>
    <xf numFmtId="2" fontId="0" fillId="0" borderId="0" xfId="0" applyNumberFormat="1"/>
    <xf numFmtId="174" fontId="116" fillId="21" borderId="0" xfId="1172" applyNumberFormat="1" applyFont="1" applyAlignment="1">
      <alignment vertical="center"/>
    </xf>
    <xf numFmtId="0" fontId="96" fillId="65" borderId="88" xfId="0" applyFont="1" applyFill="1" applyBorder="1" applyAlignment="1">
      <alignment horizontal="center" vertical="center"/>
    </xf>
    <xf numFmtId="0" fontId="76" fillId="23" borderId="88" xfId="0" applyFont="1" applyFill="1" applyBorder="1" applyAlignment="1">
      <alignment horizontal="center" vertical="center" wrapText="1"/>
    </xf>
    <xf numFmtId="0" fontId="0" fillId="23" borderId="88" xfId="0" applyFont="1" applyFill="1" applyBorder="1"/>
    <xf numFmtId="0" fontId="90" fillId="60" borderId="16" xfId="394" applyFont="1" applyFill="1" applyBorder="1" applyAlignment="1">
      <alignment horizontal="center" vertical="center"/>
    </xf>
    <xf numFmtId="1" fontId="0" fillId="0" borderId="0" xfId="0" applyNumberFormat="1"/>
    <xf numFmtId="0" fontId="117" fillId="60" borderId="16" xfId="394" applyFont="1" applyFill="1" applyBorder="1" applyAlignment="1">
      <alignment horizontal="center" vertical="center"/>
    </xf>
    <xf numFmtId="0" fontId="118" fillId="69" borderId="88" xfId="0" applyFont="1" applyFill="1" applyBorder="1" applyAlignment="1">
      <alignment horizontal="center"/>
    </xf>
    <xf numFmtId="0" fontId="0" fillId="23" borderId="88" xfId="0" applyFont="1" applyFill="1" applyBorder="1" applyAlignment="1">
      <alignment horizontal="center"/>
    </xf>
    <xf numFmtId="0" fontId="0" fillId="23" borderId="88" xfId="0" applyFont="1" applyFill="1" applyBorder="1" applyAlignment="1">
      <alignment horizontal="center" vertical="center"/>
    </xf>
    <xf numFmtId="3" fontId="75" fillId="23" borderId="4" xfId="604" applyNumberFormat="1" applyFont="1" applyFill="1" applyBorder="1" applyAlignment="1">
      <alignment vertical="center"/>
    </xf>
    <xf numFmtId="0" fontId="114" fillId="0" borderId="0" xfId="0" applyFont="1" applyAlignment="1">
      <alignment horizontal="center"/>
    </xf>
    <xf numFmtId="0" fontId="0" fillId="70" borderId="0" xfId="0" applyFill="1" applyAlignment="1">
      <alignment horizontal="center"/>
    </xf>
    <xf numFmtId="9" fontId="0" fillId="70" borderId="0" xfId="997" applyFont="1" applyFill="1" applyAlignment="1">
      <alignment horizontal="center"/>
    </xf>
    <xf numFmtId="0" fontId="0" fillId="70" borderId="0" xfId="997" applyNumberFormat="1" applyFont="1" applyFill="1" applyAlignment="1">
      <alignment horizontal="center"/>
    </xf>
    <xf numFmtId="0" fontId="0" fillId="71" borderId="0" xfId="0" applyFill="1" applyAlignment="1">
      <alignment horizontal="center"/>
    </xf>
    <xf numFmtId="9" fontId="0" fillId="71" borderId="0" xfId="997" applyFont="1" applyFill="1" applyAlignment="1">
      <alignment horizontal="center"/>
    </xf>
    <xf numFmtId="0" fontId="0" fillId="71" borderId="0" xfId="997" applyNumberFormat="1" applyFont="1" applyFill="1" applyAlignment="1">
      <alignment horizontal="center"/>
    </xf>
    <xf numFmtId="0" fontId="7" fillId="0" borderId="0" xfId="0" applyFont="1" applyAlignment="1">
      <alignment horizontal="center"/>
    </xf>
    <xf numFmtId="174" fontId="116" fillId="21" borderId="0" xfId="1172" applyNumberFormat="1" applyFont="1" applyAlignment="1">
      <alignment horizontal="center" vertical="center"/>
    </xf>
    <xf numFmtId="0" fontId="114" fillId="0" borderId="0" xfId="0" applyFont="1" applyAlignment="1">
      <alignment horizontal="left"/>
    </xf>
    <xf numFmtId="3" fontId="95" fillId="55" borderId="61" xfId="0" applyNumberFormat="1" applyFont="1" applyFill="1" applyBorder="1" applyAlignment="1">
      <alignment horizontal="center" vertical="center" wrapText="1"/>
    </xf>
    <xf numFmtId="40" fontId="97" fillId="59" borderId="89" xfId="0" applyNumberFormat="1" applyFont="1" applyFill="1" applyBorder="1" applyAlignment="1">
      <alignment horizontal="right" vertical="center"/>
    </xf>
    <xf numFmtId="3" fontId="15" fillId="22" borderId="5" xfId="0" applyNumberFormat="1" applyFont="1" applyFill="1" applyBorder="1" applyAlignment="1">
      <alignment vertical="center"/>
    </xf>
    <xf numFmtId="4" fontId="76" fillId="23" borderId="18" xfId="604" applyNumberFormat="1" applyFont="1" applyFill="1" applyBorder="1" applyAlignment="1">
      <alignment vertical="center"/>
    </xf>
    <xf numFmtId="4" fontId="76" fillId="23" borderId="4" xfId="604" applyNumberFormat="1" applyFont="1" applyFill="1" applyBorder="1" applyAlignment="1">
      <alignment vertical="center"/>
    </xf>
    <xf numFmtId="4" fontId="76" fillId="23" borderId="12" xfId="604" applyNumberFormat="1" applyFont="1" applyFill="1" applyBorder="1" applyAlignment="1">
      <alignment vertical="center"/>
    </xf>
    <xf numFmtId="4" fontId="75" fillId="23" borderId="4" xfId="604" applyNumberFormat="1" applyFont="1" applyFill="1" applyBorder="1" applyAlignment="1">
      <alignment vertical="center"/>
    </xf>
    <xf numFmtId="166" fontId="93" fillId="23" borderId="88" xfId="1168" applyNumberFormat="1" applyFont="1" applyFill="1" applyBorder="1" applyAlignment="1">
      <alignment horizontal="center" vertical="center"/>
    </xf>
    <xf numFmtId="166" fontId="0" fillId="23" borderId="88" xfId="0" applyNumberFormat="1" applyFont="1" applyFill="1" applyBorder="1"/>
    <xf numFmtId="166" fontId="7" fillId="23" borderId="88" xfId="0" applyNumberFormat="1" applyFont="1" applyFill="1" applyBorder="1" applyAlignment="1">
      <alignment horizontal="center" vertical="center"/>
    </xf>
    <xf numFmtId="38" fontId="97" fillId="59" borderId="57" xfId="0" applyNumberFormat="1" applyFont="1" applyFill="1" applyBorder="1" applyAlignment="1">
      <alignment horizontal="right" vertical="center"/>
    </xf>
    <xf numFmtId="0" fontId="119" fillId="72" borderId="90" xfId="1173"/>
    <xf numFmtId="0" fontId="101" fillId="55" borderId="36" xfId="0" applyFont="1" applyFill="1" applyBorder="1" applyAlignment="1">
      <alignment horizontal="center" vertical="center" wrapText="1"/>
    </xf>
    <xf numFmtId="0" fontId="101" fillId="55" borderId="12" xfId="0" applyFont="1" applyFill="1" applyBorder="1" applyAlignment="1">
      <alignment horizontal="center" vertical="center" wrapText="1"/>
    </xf>
    <xf numFmtId="0" fontId="90" fillId="60" borderId="30" xfId="394" applyFont="1" applyFill="1" applyBorder="1" applyAlignment="1">
      <alignment horizontal="center" vertical="center"/>
    </xf>
    <xf numFmtId="0" fontId="90" fillId="60" borderId="31" xfId="394" applyFont="1" applyFill="1" applyBorder="1" applyAlignment="1">
      <alignment horizontal="center" vertical="center"/>
    </xf>
    <xf numFmtId="0" fontId="90" fillId="60" borderId="32" xfId="394" applyFont="1" applyFill="1" applyBorder="1" applyAlignment="1">
      <alignment horizontal="center" vertical="center"/>
    </xf>
    <xf numFmtId="0" fontId="94" fillId="55" borderId="81" xfId="1" applyFont="1" applyFill="1" applyBorder="1" applyAlignment="1">
      <alignment horizontal="center" vertical="center" wrapText="1"/>
    </xf>
    <xf numFmtId="0" fontId="94" fillId="55" borderId="82" xfId="1"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94" fillId="55" borderId="54" xfId="1" applyFont="1" applyFill="1" applyBorder="1" applyAlignment="1">
      <alignment horizontal="center" vertical="center" wrapText="1"/>
    </xf>
    <xf numFmtId="0" fontId="94" fillId="55" borderId="51" xfId="1" applyFont="1" applyFill="1" applyBorder="1" applyAlignment="1">
      <alignment horizontal="center" vertical="center" wrapText="1"/>
    </xf>
    <xf numFmtId="0" fontId="102" fillId="58" borderId="78" xfId="3" applyNumberFormat="1" applyFont="1" applyFill="1" applyBorder="1" applyAlignment="1">
      <alignment horizontal="center" vertical="center"/>
    </xf>
    <xf numFmtId="0" fontId="102" fillId="58" borderId="79" xfId="3" applyNumberFormat="1" applyFont="1" applyFill="1" applyBorder="1" applyAlignment="1">
      <alignment horizontal="center" vertical="center"/>
    </xf>
    <xf numFmtId="0" fontId="94" fillId="55" borderId="47" xfId="1" applyFont="1" applyFill="1" applyBorder="1" applyAlignment="1">
      <alignment horizontal="center" vertical="center" wrapText="1"/>
    </xf>
    <xf numFmtId="0" fontId="94" fillId="55" borderId="11" xfId="1" applyFont="1" applyFill="1" applyBorder="1" applyAlignment="1">
      <alignment horizontal="center" vertical="center" wrapText="1"/>
    </xf>
    <xf numFmtId="0" fontId="94" fillId="55" borderId="73" xfId="1" applyFont="1" applyFill="1" applyBorder="1" applyAlignment="1">
      <alignment horizontal="center" vertical="center" wrapText="1"/>
    </xf>
    <xf numFmtId="0" fontId="94" fillId="55" borderId="74" xfId="1" applyFont="1" applyFill="1" applyBorder="1" applyAlignment="1">
      <alignment horizontal="center" vertical="center" wrapText="1"/>
    </xf>
    <xf numFmtId="0" fontId="94" fillId="55" borderId="37" xfId="1" applyFont="1" applyFill="1" applyBorder="1" applyAlignment="1">
      <alignment horizontal="center" vertical="center" wrapText="1"/>
    </xf>
    <xf numFmtId="0" fontId="94" fillId="55" borderId="41" xfId="1" applyFont="1" applyFill="1" applyBorder="1" applyAlignment="1">
      <alignment horizontal="center" vertical="center" wrapText="1"/>
    </xf>
    <xf numFmtId="0" fontId="94" fillId="55" borderId="38" xfId="1" applyFont="1" applyFill="1" applyBorder="1" applyAlignment="1">
      <alignment horizontal="center" vertical="center" wrapText="1"/>
    </xf>
    <xf numFmtId="0" fontId="94" fillId="55" borderId="39" xfId="1" applyFont="1" applyFill="1" applyBorder="1" applyAlignment="1">
      <alignment horizontal="center" vertical="center" wrapText="1"/>
    </xf>
    <xf numFmtId="0" fontId="94" fillId="55" borderId="40" xfId="1" applyFont="1" applyFill="1" applyBorder="1" applyAlignment="1">
      <alignment horizontal="center" vertical="center" wrapText="1"/>
    </xf>
    <xf numFmtId="0" fontId="94" fillId="55" borderId="9" xfId="1" applyFont="1" applyFill="1" applyBorder="1" applyAlignment="1">
      <alignment horizontal="center" vertical="center" wrapText="1"/>
    </xf>
    <xf numFmtId="0" fontId="94" fillId="55" borderId="10"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94" fillId="55" borderId="86" xfId="1" applyFont="1" applyFill="1" applyBorder="1" applyAlignment="1">
      <alignment horizontal="center" vertical="center" wrapText="1"/>
    </xf>
    <xf numFmtId="0" fontId="94" fillId="55" borderId="36" xfId="1" applyFont="1" applyFill="1" applyBorder="1" applyAlignment="1">
      <alignment horizontal="center" vertical="center" wrapText="1"/>
    </xf>
    <xf numFmtId="0" fontId="94" fillId="55" borderId="42" xfId="1" applyFont="1" applyFill="1" applyBorder="1" applyAlignment="1">
      <alignment horizontal="center" vertical="center" wrapText="1"/>
    </xf>
    <xf numFmtId="0" fontId="94" fillId="55" borderId="59" xfId="1" applyFont="1" applyFill="1" applyBorder="1" applyAlignment="1">
      <alignment horizontal="center" vertical="center" wrapText="1"/>
    </xf>
    <xf numFmtId="0" fontId="94" fillId="55" borderId="57" xfId="1" applyFont="1" applyFill="1" applyBorder="1" applyAlignment="1">
      <alignment horizontal="center" vertical="center" wrapText="1"/>
    </xf>
    <xf numFmtId="0" fontId="94" fillId="55" borderId="25" xfId="1" applyFont="1" applyFill="1" applyBorder="1" applyAlignment="1">
      <alignment horizontal="center" vertical="center" wrapText="1"/>
    </xf>
    <xf numFmtId="0" fontId="90" fillId="60" borderId="80" xfId="394" applyFont="1" applyFill="1" applyBorder="1" applyAlignment="1">
      <alignment horizontal="center" vertical="center"/>
    </xf>
    <xf numFmtId="0" fontId="90" fillId="60" borderId="28" xfId="394" applyFont="1" applyFill="1" applyBorder="1" applyAlignment="1">
      <alignment horizontal="center" vertical="center"/>
    </xf>
    <xf numFmtId="0" fontId="90" fillId="60" borderId="29" xfId="394" applyFont="1" applyFill="1" applyBorder="1" applyAlignment="1">
      <alignment horizontal="center" vertical="center"/>
    </xf>
    <xf numFmtId="0" fontId="94" fillId="55" borderId="8" xfId="0" applyFont="1" applyFill="1" applyBorder="1" applyAlignment="1">
      <alignment horizontal="center" vertical="center" wrapText="1"/>
    </xf>
    <xf numFmtId="0" fontId="94" fillId="55" borderId="7" xfId="0" applyFont="1" applyFill="1" applyBorder="1" applyAlignment="1">
      <alignment horizontal="center" vertical="center" wrapText="1"/>
    </xf>
    <xf numFmtId="0" fontId="77" fillId="58" borderId="0" xfId="0" applyFont="1" applyFill="1" applyBorder="1" applyAlignment="1">
      <alignment horizontal="left" vertical="center"/>
    </xf>
    <xf numFmtId="0" fontId="94" fillId="55" borderId="35" xfId="0" applyFont="1" applyFill="1" applyBorder="1" applyAlignment="1">
      <alignment horizontal="center" vertical="center" wrapText="1"/>
    </xf>
    <xf numFmtId="0" fontId="94" fillId="55" borderId="9" xfId="0" applyFont="1" applyFill="1" applyBorder="1" applyAlignment="1">
      <alignment horizontal="center" vertical="center" wrapText="1"/>
    </xf>
    <xf numFmtId="0" fontId="94" fillId="55" borderId="36"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101" fillId="55" borderId="37" xfId="0" applyFont="1" applyFill="1" applyBorder="1" applyAlignment="1">
      <alignment horizontal="center" vertical="center" wrapText="1"/>
    </xf>
    <xf numFmtId="0" fontId="101" fillId="55" borderId="40" xfId="0" applyFont="1" applyFill="1" applyBorder="1" applyAlignment="1">
      <alignment horizontal="center" vertical="center" wrapText="1"/>
    </xf>
    <xf numFmtId="0" fontId="94" fillId="55" borderId="75" xfId="0" applyFont="1" applyFill="1" applyBorder="1" applyAlignment="1">
      <alignment horizontal="center" vertical="center" wrapText="1"/>
    </xf>
    <xf numFmtId="0" fontId="94" fillId="55" borderId="47" xfId="0" applyFont="1" applyFill="1" applyBorder="1" applyAlignment="1">
      <alignment horizontal="center" vertical="center" wrapText="1"/>
    </xf>
    <xf numFmtId="0" fontId="94" fillId="55" borderId="62" xfId="0" applyFont="1" applyFill="1" applyBorder="1" applyAlignment="1">
      <alignment horizontal="center" vertical="center" wrapText="1"/>
    </xf>
    <xf numFmtId="0" fontId="94" fillId="55" borderId="57" xfId="0" applyFont="1" applyFill="1" applyBorder="1" applyAlignment="1">
      <alignment horizontal="center" vertical="center" wrapText="1"/>
    </xf>
    <xf numFmtId="0" fontId="94" fillId="55" borderId="29" xfId="0" applyFont="1" applyFill="1" applyBorder="1" applyAlignment="1">
      <alignment horizontal="center" vertical="center" wrapText="1"/>
    </xf>
    <xf numFmtId="0" fontId="94" fillId="55" borderId="54" xfId="0" applyFont="1" applyFill="1" applyBorder="1" applyAlignment="1">
      <alignment horizontal="center" vertical="center" wrapText="1"/>
    </xf>
    <xf numFmtId="0" fontId="94" fillId="55" borderId="15" xfId="0" applyFont="1" applyFill="1" applyBorder="1" applyAlignment="1">
      <alignment horizontal="center" vertical="center" wrapText="1"/>
    </xf>
    <xf numFmtId="0" fontId="90" fillId="60" borderId="83" xfId="394" applyFont="1" applyFill="1" applyBorder="1" applyAlignment="1">
      <alignment horizontal="center" vertical="center"/>
    </xf>
    <xf numFmtId="0" fontId="90" fillId="60" borderId="84" xfId="394" applyFont="1" applyFill="1" applyBorder="1" applyAlignment="1">
      <alignment horizontal="center" vertical="center"/>
    </xf>
    <xf numFmtId="0" fontId="90" fillId="60" borderId="85" xfId="394" applyFont="1" applyFill="1" applyBorder="1" applyAlignment="1">
      <alignment horizontal="center" vertical="center"/>
    </xf>
    <xf numFmtId="0" fontId="94" fillId="55" borderId="39" xfId="0" applyFont="1" applyFill="1" applyBorder="1" applyAlignment="1">
      <alignment horizontal="center" vertical="center" wrapText="1"/>
    </xf>
    <xf numFmtId="0" fontId="94" fillId="55" borderId="4" xfId="0" applyFont="1" applyFill="1" applyBorder="1" applyAlignment="1">
      <alignment horizontal="center" vertical="center" wrapText="1"/>
    </xf>
    <xf numFmtId="0" fontId="94" fillId="55" borderId="6" xfId="0" applyFont="1" applyFill="1" applyBorder="1" applyAlignment="1">
      <alignment horizontal="center" vertical="center" wrapText="1"/>
    </xf>
    <xf numFmtId="0" fontId="98" fillId="55" borderId="52" xfId="0" applyFont="1" applyFill="1" applyBorder="1" applyAlignment="1">
      <alignment horizontal="center" vertical="center" wrapText="1"/>
    </xf>
    <xf numFmtId="0" fontId="98" fillId="55" borderId="15" xfId="0" applyFont="1" applyFill="1" applyBorder="1" applyAlignment="1">
      <alignment horizontal="center" vertical="center" wrapText="1"/>
    </xf>
    <xf numFmtId="0" fontId="98" fillId="55" borderId="75" xfId="0" applyFont="1" applyFill="1" applyBorder="1" applyAlignment="1">
      <alignment horizontal="center" vertical="center" wrapText="1"/>
    </xf>
    <xf numFmtId="0" fontId="98" fillId="55" borderId="47" xfId="0" applyFont="1" applyFill="1" applyBorder="1" applyAlignment="1">
      <alignment horizontal="center" vertical="center" wrapText="1"/>
    </xf>
    <xf numFmtId="0" fontId="100" fillId="60" borderId="30" xfId="0" applyFont="1" applyFill="1" applyBorder="1" applyAlignment="1">
      <alignment horizontal="center" vertical="center" wrapText="1"/>
    </xf>
    <xf numFmtId="0" fontId="100" fillId="60" borderId="31" xfId="0" applyFont="1" applyFill="1" applyBorder="1" applyAlignment="1">
      <alignment horizontal="center" vertical="center" wrapText="1"/>
    </xf>
    <xf numFmtId="0" fontId="100" fillId="60" borderId="32" xfId="0" applyFont="1" applyFill="1" applyBorder="1" applyAlignment="1">
      <alignment horizontal="center" vertical="center" wrapText="1"/>
    </xf>
    <xf numFmtId="0" fontId="98" fillId="55" borderId="7" xfId="0" applyFont="1" applyFill="1" applyBorder="1" applyAlignment="1">
      <alignment horizontal="center" vertical="center" wrapText="1"/>
    </xf>
    <xf numFmtId="0" fontId="98" fillId="55" borderId="46" xfId="0" applyFont="1" applyFill="1" applyBorder="1" applyAlignment="1">
      <alignment horizontal="center" vertical="center" wrapText="1"/>
    </xf>
    <xf numFmtId="0" fontId="96" fillId="55" borderId="4" xfId="0" applyFont="1" applyFill="1" applyBorder="1" applyAlignment="1">
      <alignment horizontal="center" vertical="center" wrapText="1"/>
    </xf>
    <xf numFmtId="0" fontId="96" fillId="55" borderId="5" xfId="0" applyFont="1" applyFill="1" applyBorder="1" applyAlignment="1">
      <alignment horizontal="center" vertical="center" wrapText="1"/>
    </xf>
    <xf numFmtId="0" fontId="96" fillId="55" borderId="55" xfId="0" applyFont="1" applyFill="1" applyBorder="1" applyAlignment="1">
      <alignment horizontal="center" vertical="center" wrapText="1"/>
    </xf>
    <xf numFmtId="0" fontId="96" fillId="55" borderId="18" xfId="0" applyFont="1" applyFill="1" applyBorder="1" applyAlignment="1">
      <alignment horizontal="center" vertical="center"/>
    </xf>
    <xf numFmtId="0" fontId="96" fillId="55" borderId="6" xfId="0" applyFont="1" applyFill="1" applyBorder="1" applyAlignment="1">
      <alignment horizontal="center" vertical="center"/>
    </xf>
    <xf numFmtId="0" fontId="96" fillId="55" borderId="7" xfId="0" applyFont="1" applyFill="1" applyBorder="1" applyAlignment="1">
      <alignment horizontal="center" vertical="center" wrapText="1"/>
    </xf>
    <xf numFmtId="0" fontId="77" fillId="58" borderId="0" xfId="1" applyFont="1" applyFill="1" applyBorder="1" applyAlignment="1">
      <alignment horizontal="left" vertical="center"/>
    </xf>
    <xf numFmtId="0" fontId="76" fillId="58" borderId="4" xfId="1" applyFont="1" applyFill="1" applyBorder="1" applyAlignment="1">
      <alignment horizontal="center"/>
    </xf>
    <xf numFmtId="0" fontId="76" fillId="58" borderId="6" xfId="1" applyFont="1" applyFill="1" applyBorder="1" applyAlignment="1">
      <alignment horizontal="center"/>
    </xf>
    <xf numFmtId="0" fontId="94" fillId="55" borderId="62" xfId="0" applyFont="1" applyFill="1" applyBorder="1" applyAlignment="1">
      <alignment horizontal="center" vertical="center"/>
    </xf>
    <xf numFmtId="0" fontId="94" fillId="55" borderId="28" xfId="0" applyFont="1" applyFill="1" applyBorder="1" applyAlignment="1">
      <alignment horizontal="center" vertical="center"/>
    </xf>
    <xf numFmtId="0" fontId="94" fillId="55" borderId="29" xfId="0" applyFont="1" applyFill="1" applyBorder="1" applyAlignment="1">
      <alignment horizontal="center" vertical="center"/>
    </xf>
    <xf numFmtId="0" fontId="12" fillId="58" borderId="4" xfId="3" applyFill="1" applyBorder="1" applyAlignment="1">
      <alignment horizontal="left" vertical="center" wrapText="1"/>
    </xf>
    <xf numFmtId="0" fontId="15" fillId="58" borderId="5" xfId="0" applyFont="1" applyFill="1" applyBorder="1" applyAlignment="1">
      <alignment horizontal="left" vertical="center" wrapText="1"/>
    </xf>
    <xf numFmtId="0" fontId="15" fillId="58" borderId="55" xfId="0" applyFont="1" applyFill="1" applyBorder="1" applyAlignment="1">
      <alignment horizontal="left" vertical="center" wrapText="1"/>
    </xf>
    <xf numFmtId="0" fontId="15" fillId="58" borderId="4" xfId="0" applyFont="1" applyFill="1" applyBorder="1" applyAlignment="1">
      <alignment horizontal="left" vertical="center" wrapText="1"/>
    </xf>
    <xf numFmtId="0" fontId="12" fillId="58" borderId="7" xfId="3" applyFill="1" applyBorder="1" applyAlignment="1">
      <alignment horizontal="left" vertical="center" wrapText="1"/>
    </xf>
    <xf numFmtId="0" fontId="15" fillId="58" borderId="7" xfId="0" applyFont="1" applyFill="1" applyBorder="1" applyAlignment="1">
      <alignment horizontal="left" vertical="center" wrapText="1"/>
    </xf>
  </cellXfs>
  <cellStyles count="1174">
    <cellStyle name="???????????" xfId="4" xr:uid="{00000000-0005-0000-0000-000000000000}"/>
    <cellStyle name="???????_2++" xfId="5" xr:uid="{00000000-0005-0000-0000-000001000000}"/>
    <cellStyle name="20 % - Akzent1 2" xfId="6" xr:uid="{00000000-0005-0000-0000-000002000000}"/>
    <cellStyle name="20 % - Akzent1 3" xfId="7" xr:uid="{00000000-0005-0000-0000-000003000000}"/>
    <cellStyle name="20 % - Akzent1 4" xfId="8" xr:uid="{00000000-0005-0000-0000-000004000000}"/>
    <cellStyle name="20 % - Akzent2 2" xfId="9" xr:uid="{00000000-0005-0000-0000-000005000000}"/>
    <cellStyle name="20 % - Akzent2 3" xfId="10" xr:uid="{00000000-0005-0000-0000-000006000000}"/>
    <cellStyle name="20 % - Akzent2 4" xfId="11" xr:uid="{00000000-0005-0000-0000-000007000000}"/>
    <cellStyle name="20 % - Akzent3 2" xfId="12" xr:uid="{00000000-0005-0000-0000-000008000000}"/>
    <cellStyle name="20 % - Akzent3 3" xfId="13" xr:uid="{00000000-0005-0000-0000-000009000000}"/>
    <cellStyle name="20 % - Akzent3 4" xfId="14" xr:uid="{00000000-0005-0000-0000-00000A000000}"/>
    <cellStyle name="20 % - Akzent4 2" xfId="15" xr:uid="{00000000-0005-0000-0000-00000B000000}"/>
    <cellStyle name="20 % - Akzent4 3" xfId="16" xr:uid="{00000000-0005-0000-0000-00000C000000}"/>
    <cellStyle name="20 % - Akzent4 4" xfId="17" xr:uid="{00000000-0005-0000-0000-00000D000000}"/>
    <cellStyle name="20 % - Akzent5 2" xfId="18" xr:uid="{00000000-0005-0000-0000-00000E000000}"/>
    <cellStyle name="20 % - Akzent5 3" xfId="19" xr:uid="{00000000-0005-0000-0000-00000F000000}"/>
    <cellStyle name="20 % - Akzent5 4" xfId="20" xr:uid="{00000000-0005-0000-0000-000010000000}"/>
    <cellStyle name="20 % - Akzent6 2" xfId="21" xr:uid="{00000000-0005-0000-0000-000011000000}"/>
    <cellStyle name="20 % - Akzent6 3" xfId="22" xr:uid="{00000000-0005-0000-0000-000012000000}"/>
    <cellStyle name="20 % - Akzent6 4" xfId="23" xr:uid="{00000000-0005-0000-0000-000013000000}"/>
    <cellStyle name="20% - Accent1 2" xfId="24" xr:uid="{00000000-0005-0000-0000-000014000000}"/>
    <cellStyle name="20% - Accent1 3" xfId="25" xr:uid="{00000000-0005-0000-0000-000015000000}"/>
    <cellStyle name="20% - Accent2 2" xfId="26" xr:uid="{00000000-0005-0000-0000-000016000000}"/>
    <cellStyle name="20% - Accent2 3" xfId="27" xr:uid="{00000000-0005-0000-0000-000017000000}"/>
    <cellStyle name="20% - Accent3 2" xfId="28" xr:uid="{00000000-0005-0000-0000-000018000000}"/>
    <cellStyle name="20% - Accent3 3" xfId="29" xr:uid="{00000000-0005-0000-0000-000019000000}"/>
    <cellStyle name="20% - Accent4 2" xfId="30" xr:uid="{00000000-0005-0000-0000-00001A000000}"/>
    <cellStyle name="20% - Accent4 3" xfId="31" xr:uid="{00000000-0005-0000-0000-00001B000000}"/>
    <cellStyle name="20% - Accent5 2" xfId="32" xr:uid="{00000000-0005-0000-0000-00001C000000}"/>
    <cellStyle name="20% - Accent5 3" xfId="33" xr:uid="{00000000-0005-0000-0000-00001D000000}"/>
    <cellStyle name="20% - Accent6 2" xfId="34" xr:uid="{00000000-0005-0000-0000-00001E000000}"/>
    <cellStyle name="20% - Accent6 3" xfId="35" xr:uid="{00000000-0005-0000-0000-00001F000000}"/>
    <cellStyle name="20% - アクセント 1" xfId="36" xr:uid="{00000000-0005-0000-0000-000020000000}"/>
    <cellStyle name="20% - アクセント 2" xfId="37" xr:uid="{00000000-0005-0000-0000-000021000000}"/>
    <cellStyle name="20% - アクセント 3" xfId="38" xr:uid="{00000000-0005-0000-0000-000022000000}"/>
    <cellStyle name="20% - アクセント 4" xfId="39" xr:uid="{00000000-0005-0000-0000-000023000000}"/>
    <cellStyle name="20% - アクセント 5" xfId="40" xr:uid="{00000000-0005-0000-0000-000024000000}"/>
    <cellStyle name="20% - アクセント 6" xfId="41" xr:uid="{00000000-0005-0000-0000-000025000000}"/>
    <cellStyle name="2x indented GHG Textfiels" xfId="42" xr:uid="{00000000-0005-0000-0000-000026000000}"/>
    <cellStyle name="2x indented GHG Textfiels 2" xfId="43" xr:uid="{00000000-0005-0000-0000-000027000000}"/>
    <cellStyle name="2x indented GHG Textfiels 2 2" xfId="44" xr:uid="{00000000-0005-0000-0000-000028000000}"/>
    <cellStyle name="2x indented GHG Textfiels 3" xfId="45" xr:uid="{00000000-0005-0000-0000-000029000000}"/>
    <cellStyle name="2x indented GHG Textfiels 3 2" xfId="46" xr:uid="{00000000-0005-0000-0000-00002A000000}"/>
    <cellStyle name="2x indented GHG Textfiels 3 2 2" xfId="47" xr:uid="{00000000-0005-0000-0000-00002B000000}"/>
    <cellStyle name="2x indented GHG Textfiels 3 2 2 2" xfId="48" xr:uid="{00000000-0005-0000-0000-00002C000000}"/>
    <cellStyle name="2x indented GHG Textfiels 3 2 3" xfId="49" xr:uid="{00000000-0005-0000-0000-00002D000000}"/>
    <cellStyle name="2x indented GHG Textfiels 3 3" xfId="50" xr:uid="{00000000-0005-0000-0000-00002E000000}"/>
    <cellStyle name="2x indented GHG Textfiels 3 3 2" xfId="51" xr:uid="{00000000-0005-0000-0000-00002F000000}"/>
    <cellStyle name="2x indented GHG Textfiels 3 3 2 2" xfId="52" xr:uid="{00000000-0005-0000-0000-000030000000}"/>
    <cellStyle name="2x indented GHG Textfiels 3 3 3" xfId="53" xr:uid="{00000000-0005-0000-0000-000031000000}"/>
    <cellStyle name="2x indented GHG Textfiels 3 3 3 2" xfId="54" xr:uid="{00000000-0005-0000-0000-000032000000}"/>
    <cellStyle name="2x indented GHG Textfiels 3 3 4" xfId="55" xr:uid="{00000000-0005-0000-0000-000033000000}"/>
    <cellStyle name="2x indented GHG Textfiels 3 3 4 2" xfId="56" xr:uid="{00000000-0005-0000-0000-000034000000}"/>
    <cellStyle name="40 % - Akzent1 2" xfId="57" xr:uid="{00000000-0005-0000-0000-000035000000}"/>
    <cellStyle name="40 % - Akzent1 3" xfId="58" xr:uid="{00000000-0005-0000-0000-000036000000}"/>
    <cellStyle name="40 % - Akzent1 4" xfId="59" xr:uid="{00000000-0005-0000-0000-000037000000}"/>
    <cellStyle name="40 % - Akzent2 2" xfId="60" xr:uid="{00000000-0005-0000-0000-000038000000}"/>
    <cellStyle name="40 % - Akzent2 3" xfId="61" xr:uid="{00000000-0005-0000-0000-000039000000}"/>
    <cellStyle name="40 % - Akzent2 4" xfId="62" xr:uid="{00000000-0005-0000-0000-00003A000000}"/>
    <cellStyle name="40 % - Akzent3 2" xfId="63" xr:uid="{00000000-0005-0000-0000-00003B000000}"/>
    <cellStyle name="40 % - Akzent3 3" xfId="64" xr:uid="{00000000-0005-0000-0000-00003C000000}"/>
    <cellStyle name="40 % - Akzent3 4" xfId="65" xr:uid="{00000000-0005-0000-0000-00003D000000}"/>
    <cellStyle name="40 % - Akzent4 2" xfId="66" xr:uid="{00000000-0005-0000-0000-00003E000000}"/>
    <cellStyle name="40 % - Akzent4 3" xfId="67" xr:uid="{00000000-0005-0000-0000-00003F000000}"/>
    <cellStyle name="40 % - Akzent4 4" xfId="68" xr:uid="{00000000-0005-0000-0000-000040000000}"/>
    <cellStyle name="40 % - Akzent5 2" xfId="69" xr:uid="{00000000-0005-0000-0000-000041000000}"/>
    <cellStyle name="40 % - Akzent5 3" xfId="70" xr:uid="{00000000-0005-0000-0000-000042000000}"/>
    <cellStyle name="40 % - Akzent5 4" xfId="71" xr:uid="{00000000-0005-0000-0000-000043000000}"/>
    <cellStyle name="40 % - Akzent6 2" xfId="72" xr:uid="{00000000-0005-0000-0000-000044000000}"/>
    <cellStyle name="40 % - Akzent6 3" xfId="73" xr:uid="{00000000-0005-0000-0000-000045000000}"/>
    <cellStyle name="40 % - Akzent6 4" xfId="74" xr:uid="{00000000-0005-0000-0000-000046000000}"/>
    <cellStyle name="40% - Accent1" xfId="1171" builtinId="31"/>
    <cellStyle name="40% - Accent1 2" xfId="75" xr:uid="{00000000-0005-0000-0000-000047000000}"/>
    <cellStyle name="40% - Accent1 3" xfId="76" xr:uid="{00000000-0005-0000-0000-000048000000}"/>
    <cellStyle name="40% - Accent2 2" xfId="77" xr:uid="{00000000-0005-0000-0000-000049000000}"/>
    <cellStyle name="40% - Accent2 3" xfId="78" xr:uid="{00000000-0005-0000-0000-00004A000000}"/>
    <cellStyle name="40% - Accent3 2" xfId="79" xr:uid="{00000000-0005-0000-0000-00004B000000}"/>
    <cellStyle name="40% - Accent3 3" xfId="80" xr:uid="{00000000-0005-0000-0000-00004C000000}"/>
    <cellStyle name="40% - Accent4 2" xfId="81" xr:uid="{00000000-0005-0000-0000-00004D000000}"/>
    <cellStyle name="40% - Accent4 3" xfId="82" xr:uid="{00000000-0005-0000-0000-00004E000000}"/>
    <cellStyle name="40% - Accent5 2" xfId="83" xr:uid="{00000000-0005-0000-0000-00004F000000}"/>
    <cellStyle name="40% - Accent5 3" xfId="84" xr:uid="{00000000-0005-0000-0000-000050000000}"/>
    <cellStyle name="40% - Accent6 2" xfId="85" xr:uid="{00000000-0005-0000-0000-000051000000}"/>
    <cellStyle name="40% - Accent6 3" xfId="86" xr:uid="{00000000-0005-0000-0000-000052000000}"/>
    <cellStyle name="40% - アクセント 1" xfId="87" xr:uid="{00000000-0005-0000-0000-000053000000}"/>
    <cellStyle name="40% - アクセント 2" xfId="88" xr:uid="{00000000-0005-0000-0000-000054000000}"/>
    <cellStyle name="40% - アクセント 3" xfId="89" xr:uid="{00000000-0005-0000-0000-000055000000}"/>
    <cellStyle name="40% - アクセント 4" xfId="90" xr:uid="{00000000-0005-0000-0000-000056000000}"/>
    <cellStyle name="40% - アクセント 5" xfId="91" xr:uid="{00000000-0005-0000-0000-000057000000}"/>
    <cellStyle name="40% - アクセント 6" xfId="92" xr:uid="{00000000-0005-0000-0000-000058000000}"/>
    <cellStyle name="5x indented GHG Textfiels" xfId="93" xr:uid="{00000000-0005-0000-0000-000059000000}"/>
    <cellStyle name="5x indented GHG Textfiels 2" xfId="94" xr:uid="{00000000-0005-0000-0000-00005A000000}"/>
    <cellStyle name="5x indented GHG Textfiels 2 2" xfId="95" xr:uid="{00000000-0005-0000-0000-00005B000000}"/>
    <cellStyle name="5x indented GHG Textfiels 3" xfId="96" xr:uid="{00000000-0005-0000-0000-00005C000000}"/>
    <cellStyle name="5x indented GHG Textfiels 3 2" xfId="97" xr:uid="{00000000-0005-0000-0000-00005D000000}"/>
    <cellStyle name="5x indented GHG Textfiels 3 3" xfId="98" xr:uid="{00000000-0005-0000-0000-00005E000000}"/>
    <cellStyle name="5x indented GHG Textfiels 3 3 2" xfId="99" xr:uid="{00000000-0005-0000-0000-00005F000000}"/>
    <cellStyle name="5x indented GHG Textfiels 3 3 2 2" xfId="100" xr:uid="{00000000-0005-0000-0000-000060000000}"/>
    <cellStyle name="5x indented GHG Textfiels 3 3 3" xfId="101" xr:uid="{00000000-0005-0000-0000-000061000000}"/>
    <cellStyle name="5x indented GHG Textfiels 3 3 3 2" xfId="102" xr:uid="{00000000-0005-0000-0000-000062000000}"/>
    <cellStyle name="5x indented GHG Textfiels 3 3 4" xfId="103" xr:uid="{00000000-0005-0000-0000-000063000000}"/>
    <cellStyle name="5x indented GHG Textfiels 3 3 4 2" xfId="104" xr:uid="{00000000-0005-0000-0000-000064000000}"/>
    <cellStyle name="5x indented GHG Textfiels 3 3 5" xfId="105" xr:uid="{00000000-0005-0000-0000-000065000000}"/>
    <cellStyle name="5x indented GHG Textfiels_Table 4(II)" xfId="106" xr:uid="{00000000-0005-0000-0000-000066000000}"/>
    <cellStyle name="60 % - Akzent1 2" xfId="107" xr:uid="{00000000-0005-0000-0000-000067000000}"/>
    <cellStyle name="60 % - Akzent1 3" xfId="108" xr:uid="{00000000-0005-0000-0000-000068000000}"/>
    <cellStyle name="60 % - Akzent1 4" xfId="109" xr:uid="{00000000-0005-0000-0000-000069000000}"/>
    <cellStyle name="60 % - Akzent2 2" xfId="110" xr:uid="{00000000-0005-0000-0000-00006A000000}"/>
    <cellStyle name="60 % - Akzent2 3" xfId="111" xr:uid="{00000000-0005-0000-0000-00006B000000}"/>
    <cellStyle name="60 % - Akzent2 4" xfId="112" xr:uid="{00000000-0005-0000-0000-00006C000000}"/>
    <cellStyle name="60 % - Akzent3 2" xfId="113" xr:uid="{00000000-0005-0000-0000-00006D000000}"/>
    <cellStyle name="60 % - Akzent3 3" xfId="114" xr:uid="{00000000-0005-0000-0000-00006E000000}"/>
    <cellStyle name="60 % - Akzent3 4" xfId="115" xr:uid="{00000000-0005-0000-0000-00006F000000}"/>
    <cellStyle name="60 % - Akzent4 2" xfId="116" xr:uid="{00000000-0005-0000-0000-000070000000}"/>
    <cellStyle name="60 % - Akzent4 3" xfId="117" xr:uid="{00000000-0005-0000-0000-000071000000}"/>
    <cellStyle name="60 % - Akzent4 4" xfId="118" xr:uid="{00000000-0005-0000-0000-000072000000}"/>
    <cellStyle name="60 % - Akzent5 2" xfId="119" xr:uid="{00000000-0005-0000-0000-000073000000}"/>
    <cellStyle name="60 % - Akzent5 3" xfId="120" xr:uid="{00000000-0005-0000-0000-000074000000}"/>
    <cellStyle name="60 % - Akzent5 4" xfId="121" xr:uid="{00000000-0005-0000-0000-000075000000}"/>
    <cellStyle name="60 % - Akzent6 2" xfId="122" xr:uid="{00000000-0005-0000-0000-000076000000}"/>
    <cellStyle name="60 % - Akzent6 3" xfId="123" xr:uid="{00000000-0005-0000-0000-000077000000}"/>
    <cellStyle name="60 % - Akzent6 4" xfId="124" xr:uid="{00000000-0005-0000-0000-000078000000}"/>
    <cellStyle name="60% - Accent1 2" xfId="125" xr:uid="{00000000-0005-0000-0000-000079000000}"/>
    <cellStyle name="60% - Accent1 3" xfId="126" xr:uid="{00000000-0005-0000-0000-00007A000000}"/>
    <cellStyle name="60% - Accent2 2" xfId="127" xr:uid="{00000000-0005-0000-0000-00007B000000}"/>
    <cellStyle name="60% - Accent2 3" xfId="128" xr:uid="{00000000-0005-0000-0000-00007C000000}"/>
    <cellStyle name="60% - Accent3 2" xfId="129" xr:uid="{00000000-0005-0000-0000-00007D000000}"/>
    <cellStyle name="60% - Accent3 3" xfId="130" xr:uid="{00000000-0005-0000-0000-00007E000000}"/>
    <cellStyle name="60% - Accent4 2" xfId="131" xr:uid="{00000000-0005-0000-0000-00007F000000}"/>
    <cellStyle name="60% - Accent4 3" xfId="132" xr:uid="{00000000-0005-0000-0000-000080000000}"/>
    <cellStyle name="60% - Accent5 2" xfId="133" xr:uid="{00000000-0005-0000-0000-000081000000}"/>
    <cellStyle name="60% - Accent5 3" xfId="134" xr:uid="{00000000-0005-0000-0000-000082000000}"/>
    <cellStyle name="60% - Accent6" xfId="1172" builtinId="52"/>
    <cellStyle name="60% - Accent6 2" xfId="135" xr:uid="{00000000-0005-0000-0000-000083000000}"/>
    <cellStyle name="60% - Accent6 3" xfId="136" xr:uid="{00000000-0005-0000-0000-000084000000}"/>
    <cellStyle name="60% - アクセント 1" xfId="137" xr:uid="{00000000-0005-0000-0000-000085000000}"/>
    <cellStyle name="60% - アクセント 2" xfId="138" xr:uid="{00000000-0005-0000-0000-000086000000}"/>
    <cellStyle name="60% - アクセント 3" xfId="139" xr:uid="{00000000-0005-0000-0000-000087000000}"/>
    <cellStyle name="60% - アクセント 4" xfId="140" xr:uid="{00000000-0005-0000-0000-000088000000}"/>
    <cellStyle name="60% - アクセント 5" xfId="141" xr:uid="{00000000-0005-0000-0000-000089000000}"/>
    <cellStyle name="60% - アクセント 6" xfId="142" xr:uid="{00000000-0005-0000-0000-00008A000000}"/>
    <cellStyle name="Accent1 2" xfId="143" xr:uid="{00000000-0005-0000-0000-00008B000000}"/>
    <cellStyle name="Accent1 3" xfId="144" xr:uid="{00000000-0005-0000-0000-00008C000000}"/>
    <cellStyle name="Accent1 4" xfId="145" xr:uid="{00000000-0005-0000-0000-00008D000000}"/>
    <cellStyle name="Accent2 2" xfId="146" xr:uid="{00000000-0005-0000-0000-00008E000000}"/>
    <cellStyle name="Accent2 3" xfId="147" xr:uid="{00000000-0005-0000-0000-00008F000000}"/>
    <cellStyle name="Accent2 4" xfId="148" xr:uid="{00000000-0005-0000-0000-000090000000}"/>
    <cellStyle name="Accent3 2" xfId="149" xr:uid="{00000000-0005-0000-0000-000091000000}"/>
    <cellStyle name="Accent3 3" xfId="150" xr:uid="{00000000-0005-0000-0000-000092000000}"/>
    <cellStyle name="Accent3 4" xfId="151" xr:uid="{00000000-0005-0000-0000-000093000000}"/>
    <cellStyle name="Accent4 2" xfId="152" xr:uid="{00000000-0005-0000-0000-000094000000}"/>
    <cellStyle name="Accent4 3" xfId="153" xr:uid="{00000000-0005-0000-0000-000095000000}"/>
    <cellStyle name="Accent4 4" xfId="154" xr:uid="{00000000-0005-0000-0000-000096000000}"/>
    <cellStyle name="Accent5 2" xfId="155" xr:uid="{00000000-0005-0000-0000-000097000000}"/>
    <cellStyle name="Accent5 3" xfId="156" xr:uid="{00000000-0005-0000-0000-000098000000}"/>
    <cellStyle name="Accent5 4" xfId="157" xr:uid="{00000000-0005-0000-0000-000099000000}"/>
    <cellStyle name="Accent6 2" xfId="158" xr:uid="{00000000-0005-0000-0000-00009A000000}"/>
    <cellStyle name="Accent6 3" xfId="159" xr:uid="{00000000-0005-0000-0000-00009B000000}"/>
    <cellStyle name="Accent6 4" xfId="160" xr:uid="{00000000-0005-0000-0000-00009C000000}"/>
    <cellStyle name="AggblueBoldCels" xfId="161" xr:uid="{00000000-0005-0000-0000-00009D000000}"/>
    <cellStyle name="AggblueBoldCels 2" xfId="162" xr:uid="{00000000-0005-0000-0000-00009E000000}"/>
    <cellStyle name="AggblueCels" xfId="163" xr:uid="{00000000-0005-0000-0000-00009F000000}"/>
    <cellStyle name="AggblueCels 2" xfId="164" xr:uid="{00000000-0005-0000-0000-0000A0000000}"/>
    <cellStyle name="AggblueCels_1x" xfId="165" xr:uid="{00000000-0005-0000-0000-0000A1000000}"/>
    <cellStyle name="AggBoldCells" xfId="166" xr:uid="{00000000-0005-0000-0000-0000A2000000}"/>
    <cellStyle name="AggBoldCells 2" xfId="167" xr:uid="{00000000-0005-0000-0000-0000A3000000}"/>
    <cellStyle name="AggBoldCells 3" xfId="168" xr:uid="{00000000-0005-0000-0000-0000A4000000}"/>
    <cellStyle name="AggBoldCells 4" xfId="169" xr:uid="{00000000-0005-0000-0000-0000A5000000}"/>
    <cellStyle name="AggCels" xfId="170" xr:uid="{00000000-0005-0000-0000-0000A6000000}"/>
    <cellStyle name="AggCels 2" xfId="171" xr:uid="{00000000-0005-0000-0000-0000A7000000}"/>
    <cellStyle name="AggCels 3" xfId="172" xr:uid="{00000000-0005-0000-0000-0000A8000000}"/>
    <cellStyle name="AggCels 4" xfId="173" xr:uid="{00000000-0005-0000-0000-0000A9000000}"/>
    <cellStyle name="AggCels_T(2)" xfId="174" xr:uid="{00000000-0005-0000-0000-0000AA000000}"/>
    <cellStyle name="AggGreen" xfId="175" xr:uid="{00000000-0005-0000-0000-0000AB000000}"/>
    <cellStyle name="AggGreen 2" xfId="176" xr:uid="{00000000-0005-0000-0000-0000AC000000}"/>
    <cellStyle name="AggGreen 2 2" xfId="177" xr:uid="{00000000-0005-0000-0000-0000AD000000}"/>
    <cellStyle name="AggGreen 2 2 2" xfId="178" xr:uid="{00000000-0005-0000-0000-0000AE000000}"/>
    <cellStyle name="AggGreen 2 2 2 2" xfId="179" xr:uid="{00000000-0005-0000-0000-0000AF000000}"/>
    <cellStyle name="AggGreen 2 2 3" xfId="180" xr:uid="{00000000-0005-0000-0000-0000B0000000}"/>
    <cellStyle name="AggGreen 2 3" xfId="181" xr:uid="{00000000-0005-0000-0000-0000B1000000}"/>
    <cellStyle name="AggGreen 2 3 2" xfId="182" xr:uid="{00000000-0005-0000-0000-0000B2000000}"/>
    <cellStyle name="AggGreen 2 3 2 2" xfId="183" xr:uid="{00000000-0005-0000-0000-0000B3000000}"/>
    <cellStyle name="AggGreen 2 3 3" xfId="184" xr:uid="{00000000-0005-0000-0000-0000B4000000}"/>
    <cellStyle name="AggGreen 2 3 3 2" xfId="185" xr:uid="{00000000-0005-0000-0000-0000B5000000}"/>
    <cellStyle name="AggGreen 2 3 4" xfId="186" xr:uid="{00000000-0005-0000-0000-0000B6000000}"/>
    <cellStyle name="AggGreen 2 3 4 2" xfId="187" xr:uid="{00000000-0005-0000-0000-0000B7000000}"/>
    <cellStyle name="AggGreen 3" xfId="188" xr:uid="{00000000-0005-0000-0000-0000B8000000}"/>
    <cellStyle name="AggGreen 3 2" xfId="189" xr:uid="{00000000-0005-0000-0000-0000B9000000}"/>
    <cellStyle name="AggGreen 3 2 2" xfId="190" xr:uid="{00000000-0005-0000-0000-0000BA000000}"/>
    <cellStyle name="AggGreen 3 3" xfId="191" xr:uid="{00000000-0005-0000-0000-0000BB000000}"/>
    <cellStyle name="AggGreen 4" xfId="192" xr:uid="{00000000-0005-0000-0000-0000BC000000}"/>
    <cellStyle name="AggGreen 4 2" xfId="193" xr:uid="{00000000-0005-0000-0000-0000BD000000}"/>
    <cellStyle name="AggGreen 4 2 2" xfId="194" xr:uid="{00000000-0005-0000-0000-0000BE000000}"/>
    <cellStyle name="AggGreen 4 3" xfId="195" xr:uid="{00000000-0005-0000-0000-0000BF000000}"/>
    <cellStyle name="AggGreen 4 3 2" xfId="196" xr:uid="{00000000-0005-0000-0000-0000C0000000}"/>
    <cellStyle name="AggGreen 4 4" xfId="197" xr:uid="{00000000-0005-0000-0000-0000C1000000}"/>
    <cellStyle name="AggGreen 4 4 2" xfId="198" xr:uid="{00000000-0005-0000-0000-0000C2000000}"/>
    <cellStyle name="AggGreen 5" xfId="199" xr:uid="{00000000-0005-0000-0000-0000C3000000}"/>
    <cellStyle name="AggGreen_Bbdr" xfId="200" xr:uid="{00000000-0005-0000-0000-0000C4000000}"/>
    <cellStyle name="AggGreen12" xfId="201" xr:uid="{00000000-0005-0000-0000-0000C5000000}"/>
    <cellStyle name="AggGreen12 2" xfId="202" xr:uid="{00000000-0005-0000-0000-0000C6000000}"/>
    <cellStyle name="AggGreen12 2 2" xfId="203" xr:uid="{00000000-0005-0000-0000-0000C7000000}"/>
    <cellStyle name="AggGreen12 2 2 2" xfId="204" xr:uid="{00000000-0005-0000-0000-0000C8000000}"/>
    <cellStyle name="AggGreen12 2 2 2 2" xfId="205" xr:uid="{00000000-0005-0000-0000-0000C9000000}"/>
    <cellStyle name="AggGreen12 2 2 3" xfId="206" xr:uid="{00000000-0005-0000-0000-0000CA000000}"/>
    <cellStyle name="AggGreen12 2 3" xfId="207" xr:uid="{00000000-0005-0000-0000-0000CB000000}"/>
    <cellStyle name="AggGreen12 2 3 2" xfId="208" xr:uid="{00000000-0005-0000-0000-0000CC000000}"/>
    <cellStyle name="AggGreen12 2 3 2 2" xfId="209" xr:uid="{00000000-0005-0000-0000-0000CD000000}"/>
    <cellStyle name="AggGreen12 2 3 3" xfId="210" xr:uid="{00000000-0005-0000-0000-0000CE000000}"/>
    <cellStyle name="AggGreen12 2 3 3 2" xfId="211" xr:uid="{00000000-0005-0000-0000-0000CF000000}"/>
    <cellStyle name="AggGreen12 2 3 4" xfId="212" xr:uid="{00000000-0005-0000-0000-0000D0000000}"/>
    <cellStyle name="AggGreen12 2 3 4 2" xfId="213" xr:uid="{00000000-0005-0000-0000-0000D1000000}"/>
    <cellStyle name="AggGreen12 3" xfId="214" xr:uid="{00000000-0005-0000-0000-0000D2000000}"/>
    <cellStyle name="AggGreen12 3 2" xfId="215" xr:uid="{00000000-0005-0000-0000-0000D3000000}"/>
    <cellStyle name="AggGreen12 3 2 2" xfId="216" xr:uid="{00000000-0005-0000-0000-0000D4000000}"/>
    <cellStyle name="AggGreen12 3 3" xfId="217" xr:uid="{00000000-0005-0000-0000-0000D5000000}"/>
    <cellStyle name="AggGreen12 4" xfId="218" xr:uid="{00000000-0005-0000-0000-0000D6000000}"/>
    <cellStyle name="AggGreen12 4 2" xfId="219" xr:uid="{00000000-0005-0000-0000-0000D7000000}"/>
    <cellStyle name="AggGreen12 4 2 2" xfId="220" xr:uid="{00000000-0005-0000-0000-0000D8000000}"/>
    <cellStyle name="AggGreen12 4 3" xfId="221" xr:uid="{00000000-0005-0000-0000-0000D9000000}"/>
    <cellStyle name="AggGreen12 4 3 2" xfId="222" xr:uid="{00000000-0005-0000-0000-0000DA000000}"/>
    <cellStyle name="AggGreen12 4 4" xfId="223" xr:uid="{00000000-0005-0000-0000-0000DB000000}"/>
    <cellStyle name="AggGreen12 4 4 2" xfId="224" xr:uid="{00000000-0005-0000-0000-0000DC000000}"/>
    <cellStyle name="AggGreen12 5" xfId="225" xr:uid="{00000000-0005-0000-0000-0000DD000000}"/>
    <cellStyle name="AggOrange" xfId="226" xr:uid="{00000000-0005-0000-0000-0000DE000000}"/>
    <cellStyle name="AggOrange 2" xfId="227" xr:uid="{00000000-0005-0000-0000-0000DF000000}"/>
    <cellStyle name="AggOrange 2 2" xfId="228" xr:uid="{00000000-0005-0000-0000-0000E0000000}"/>
    <cellStyle name="AggOrange 2 2 2" xfId="229" xr:uid="{00000000-0005-0000-0000-0000E1000000}"/>
    <cellStyle name="AggOrange 2 2 2 2" xfId="230" xr:uid="{00000000-0005-0000-0000-0000E2000000}"/>
    <cellStyle name="AggOrange 2 2 3" xfId="231" xr:uid="{00000000-0005-0000-0000-0000E3000000}"/>
    <cellStyle name="AggOrange 2 3" xfId="232" xr:uid="{00000000-0005-0000-0000-0000E4000000}"/>
    <cellStyle name="AggOrange 2 3 2" xfId="233" xr:uid="{00000000-0005-0000-0000-0000E5000000}"/>
    <cellStyle name="AggOrange 2 3 2 2" xfId="234" xr:uid="{00000000-0005-0000-0000-0000E6000000}"/>
    <cellStyle name="AggOrange 2 3 3" xfId="235" xr:uid="{00000000-0005-0000-0000-0000E7000000}"/>
    <cellStyle name="AggOrange 2 3 3 2" xfId="236" xr:uid="{00000000-0005-0000-0000-0000E8000000}"/>
    <cellStyle name="AggOrange 2 3 4" xfId="237" xr:uid="{00000000-0005-0000-0000-0000E9000000}"/>
    <cellStyle name="AggOrange 2 3 4 2" xfId="238" xr:uid="{00000000-0005-0000-0000-0000EA000000}"/>
    <cellStyle name="AggOrange 3" xfId="239" xr:uid="{00000000-0005-0000-0000-0000EB000000}"/>
    <cellStyle name="AggOrange 3 2" xfId="240" xr:uid="{00000000-0005-0000-0000-0000EC000000}"/>
    <cellStyle name="AggOrange 3 2 2" xfId="241" xr:uid="{00000000-0005-0000-0000-0000ED000000}"/>
    <cellStyle name="AggOrange 3 3" xfId="242" xr:uid="{00000000-0005-0000-0000-0000EE000000}"/>
    <cellStyle name="AggOrange 4" xfId="243" xr:uid="{00000000-0005-0000-0000-0000EF000000}"/>
    <cellStyle name="AggOrange 4 2" xfId="244" xr:uid="{00000000-0005-0000-0000-0000F0000000}"/>
    <cellStyle name="AggOrange 4 2 2" xfId="245" xr:uid="{00000000-0005-0000-0000-0000F1000000}"/>
    <cellStyle name="AggOrange 4 3" xfId="246" xr:uid="{00000000-0005-0000-0000-0000F2000000}"/>
    <cellStyle name="AggOrange 4 3 2" xfId="247" xr:uid="{00000000-0005-0000-0000-0000F3000000}"/>
    <cellStyle name="AggOrange 4 4" xfId="248" xr:uid="{00000000-0005-0000-0000-0000F4000000}"/>
    <cellStyle name="AggOrange 4 4 2" xfId="249" xr:uid="{00000000-0005-0000-0000-0000F5000000}"/>
    <cellStyle name="AggOrange 5" xfId="250" xr:uid="{00000000-0005-0000-0000-0000F6000000}"/>
    <cellStyle name="AggOrange_B_border" xfId="251" xr:uid="{00000000-0005-0000-0000-0000F7000000}"/>
    <cellStyle name="AggOrange9" xfId="252" xr:uid="{00000000-0005-0000-0000-0000F8000000}"/>
    <cellStyle name="AggOrange9 2" xfId="253" xr:uid="{00000000-0005-0000-0000-0000F9000000}"/>
    <cellStyle name="AggOrange9 2 2" xfId="254" xr:uid="{00000000-0005-0000-0000-0000FA000000}"/>
    <cellStyle name="AggOrange9 2 2 2" xfId="255" xr:uid="{00000000-0005-0000-0000-0000FB000000}"/>
    <cellStyle name="AggOrange9 2 2 2 2" xfId="256" xr:uid="{00000000-0005-0000-0000-0000FC000000}"/>
    <cellStyle name="AggOrange9 2 2 3" xfId="257" xr:uid="{00000000-0005-0000-0000-0000FD000000}"/>
    <cellStyle name="AggOrange9 2 3" xfId="258" xr:uid="{00000000-0005-0000-0000-0000FE000000}"/>
    <cellStyle name="AggOrange9 2 3 2" xfId="259" xr:uid="{00000000-0005-0000-0000-0000FF000000}"/>
    <cellStyle name="AggOrange9 2 3 2 2" xfId="260" xr:uid="{00000000-0005-0000-0000-000000010000}"/>
    <cellStyle name="AggOrange9 2 3 3" xfId="261" xr:uid="{00000000-0005-0000-0000-000001010000}"/>
    <cellStyle name="AggOrange9 2 3 3 2" xfId="262" xr:uid="{00000000-0005-0000-0000-000002010000}"/>
    <cellStyle name="AggOrange9 2 3 4" xfId="263" xr:uid="{00000000-0005-0000-0000-000003010000}"/>
    <cellStyle name="AggOrange9 2 3 4 2" xfId="264" xr:uid="{00000000-0005-0000-0000-000004010000}"/>
    <cellStyle name="AggOrange9 3" xfId="265" xr:uid="{00000000-0005-0000-0000-000005010000}"/>
    <cellStyle name="AggOrange9 3 2" xfId="266" xr:uid="{00000000-0005-0000-0000-000006010000}"/>
    <cellStyle name="AggOrange9 3 2 2" xfId="267" xr:uid="{00000000-0005-0000-0000-000007010000}"/>
    <cellStyle name="AggOrange9 3 3" xfId="268" xr:uid="{00000000-0005-0000-0000-000008010000}"/>
    <cellStyle name="AggOrange9 4" xfId="269" xr:uid="{00000000-0005-0000-0000-000009010000}"/>
    <cellStyle name="AggOrange9 4 2" xfId="270" xr:uid="{00000000-0005-0000-0000-00000A010000}"/>
    <cellStyle name="AggOrange9 4 2 2" xfId="271" xr:uid="{00000000-0005-0000-0000-00000B010000}"/>
    <cellStyle name="AggOrange9 4 3" xfId="272" xr:uid="{00000000-0005-0000-0000-00000C010000}"/>
    <cellStyle name="AggOrange9 4 3 2" xfId="273" xr:uid="{00000000-0005-0000-0000-00000D010000}"/>
    <cellStyle name="AggOrange9 4 4" xfId="274" xr:uid="{00000000-0005-0000-0000-00000E010000}"/>
    <cellStyle name="AggOrange9 4 4 2" xfId="275" xr:uid="{00000000-0005-0000-0000-00000F010000}"/>
    <cellStyle name="AggOrange9 5" xfId="276" xr:uid="{00000000-0005-0000-0000-000010010000}"/>
    <cellStyle name="AggOrangeLB_2x" xfId="277" xr:uid="{00000000-0005-0000-0000-000011010000}"/>
    <cellStyle name="AggOrangeLBorder" xfId="278" xr:uid="{00000000-0005-0000-0000-000012010000}"/>
    <cellStyle name="AggOrangeLBorder 2" xfId="279" xr:uid="{00000000-0005-0000-0000-000013010000}"/>
    <cellStyle name="AggOrangeLBorder 2 2" xfId="280" xr:uid="{00000000-0005-0000-0000-000014010000}"/>
    <cellStyle name="AggOrangeLBorder 2 3" xfId="281" xr:uid="{00000000-0005-0000-0000-000015010000}"/>
    <cellStyle name="AggOrangeLBorder 2 3 2" xfId="282" xr:uid="{00000000-0005-0000-0000-000016010000}"/>
    <cellStyle name="AggOrangeLBorder 2 3 2 2" xfId="283" xr:uid="{00000000-0005-0000-0000-000017010000}"/>
    <cellStyle name="AggOrangeLBorder 2 3 3" xfId="284" xr:uid="{00000000-0005-0000-0000-000018010000}"/>
    <cellStyle name="AggOrangeLBorder 2 3 3 2" xfId="285" xr:uid="{00000000-0005-0000-0000-000019010000}"/>
    <cellStyle name="AggOrangeLBorder 2 3 4" xfId="286" xr:uid="{00000000-0005-0000-0000-00001A010000}"/>
    <cellStyle name="AggOrangeLBorder 2 3 4 2" xfId="287" xr:uid="{00000000-0005-0000-0000-00001B010000}"/>
    <cellStyle name="AggOrangeLBorder 2 3 5" xfId="288" xr:uid="{00000000-0005-0000-0000-00001C010000}"/>
    <cellStyle name="AggOrangeLBorder 3" xfId="289" xr:uid="{00000000-0005-0000-0000-00001D010000}"/>
    <cellStyle name="AggOrangeLBorder 4" xfId="290" xr:uid="{00000000-0005-0000-0000-00001E010000}"/>
    <cellStyle name="AggOrangeLBorder 4 2" xfId="291" xr:uid="{00000000-0005-0000-0000-00001F010000}"/>
    <cellStyle name="AggOrangeLBorder 4 2 2" xfId="292" xr:uid="{00000000-0005-0000-0000-000020010000}"/>
    <cellStyle name="AggOrangeLBorder 4 3" xfId="293" xr:uid="{00000000-0005-0000-0000-000021010000}"/>
    <cellStyle name="AggOrangeLBorder 4 3 2" xfId="294" xr:uid="{00000000-0005-0000-0000-000022010000}"/>
    <cellStyle name="AggOrangeLBorder 4 4" xfId="295" xr:uid="{00000000-0005-0000-0000-000023010000}"/>
    <cellStyle name="AggOrangeLBorder 4 4 2" xfId="296" xr:uid="{00000000-0005-0000-0000-000024010000}"/>
    <cellStyle name="AggOrangeLBorder 4 5" xfId="297" xr:uid="{00000000-0005-0000-0000-000025010000}"/>
    <cellStyle name="AggOrangeLBorder 5" xfId="298" xr:uid="{00000000-0005-0000-0000-000026010000}"/>
    <cellStyle name="AggOrangeRBorder" xfId="299" xr:uid="{00000000-0005-0000-0000-000027010000}"/>
    <cellStyle name="AggOrangeRBorder 2" xfId="300" xr:uid="{00000000-0005-0000-0000-000028010000}"/>
    <cellStyle name="AggOrangeRBorder 2 2" xfId="301" xr:uid="{00000000-0005-0000-0000-000029010000}"/>
    <cellStyle name="AggOrangeRBorder 2 2 2" xfId="302" xr:uid="{00000000-0005-0000-0000-00002A010000}"/>
    <cellStyle name="AggOrangeRBorder 2 2 2 2" xfId="303" xr:uid="{00000000-0005-0000-0000-00002B010000}"/>
    <cellStyle name="AggOrangeRBorder 2 3" xfId="304" xr:uid="{00000000-0005-0000-0000-00002C010000}"/>
    <cellStyle name="AggOrangeRBorder 2 3 2" xfId="305" xr:uid="{00000000-0005-0000-0000-00002D010000}"/>
    <cellStyle name="AggOrangeRBorder 2 3 2 2" xfId="306" xr:uid="{00000000-0005-0000-0000-00002E010000}"/>
    <cellStyle name="AggOrangeRBorder 2 3 3" xfId="307" xr:uid="{00000000-0005-0000-0000-00002F010000}"/>
    <cellStyle name="AggOrangeRBorder 2 3 3 2" xfId="308" xr:uid="{00000000-0005-0000-0000-000030010000}"/>
    <cellStyle name="AggOrangeRBorder 2 3 4" xfId="309" xr:uid="{00000000-0005-0000-0000-000031010000}"/>
    <cellStyle name="AggOrangeRBorder 2 3 4 2" xfId="310" xr:uid="{00000000-0005-0000-0000-000032010000}"/>
    <cellStyle name="AggOrangeRBorder 2 3 5" xfId="311" xr:uid="{00000000-0005-0000-0000-000033010000}"/>
    <cellStyle name="AggOrangeRBorder 3" xfId="312" xr:uid="{00000000-0005-0000-0000-000034010000}"/>
    <cellStyle name="AggOrangeRBorder 3 2" xfId="313" xr:uid="{00000000-0005-0000-0000-000035010000}"/>
    <cellStyle name="AggOrangeRBorder 3 2 2" xfId="314" xr:uid="{00000000-0005-0000-0000-000036010000}"/>
    <cellStyle name="AggOrangeRBorder 3 2 3" xfId="315" xr:uid="{00000000-0005-0000-0000-000037010000}"/>
    <cellStyle name="AggOrangeRBorder 4" xfId="316" xr:uid="{00000000-0005-0000-0000-000038010000}"/>
    <cellStyle name="AggOrangeRBorder 4 2" xfId="317" xr:uid="{00000000-0005-0000-0000-000039010000}"/>
    <cellStyle name="AggOrangeRBorder 4 2 2" xfId="318" xr:uid="{00000000-0005-0000-0000-00003A010000}"/>
    <cellStyle name="AggOrangeRBorder 4 3" xfId="319" xr:uid="{00000000-0005-0000-0000-00003B010000}"/>
    <cellStyle name="AggOrangeRBorder 4 3 2" xfId="320" xr:uid="{00000000-0005-0000-0000-00003C010000}"/>
    <cellStyle name="AggOrangeRBorder 4 4" xfId="321" xr:uid="{00000000-0005-0000-0000-00003D010000}"/>
    <cellStyle name="AggOrangeRBorder 4 4 2" xfId="322" xr:uid="{00000000-0005-0000-0000-00003E010000}"/>
    <cellStyle name="AggOrangeRBorder 4 5" xfId="323" xr:uid="{00000000-0005-0000-0000-00003F010000}"/>
    <cellStyle name="AggOrangeRBorder 5" xfId="324" xr:uid="{00000000-0005-0000-0000-000040010000}"/>
    <cellStyle name="AggOrangeRBorder_CRFReport-template" xfId="325" xr:uid="{00000000-0005-0000-0000-000041010000}"/>
    <cellStyle name="Akzent1 2" xfId="326" xr:uid="{00000000-0005-0000-0000-000042010000}"/>
    <cellStyle name="Akzent2 2" xfId="327" xr:uid="{00000000-0005-0000-0000-000043010000}"/>
    <cellStyle name="Akzent3 2" xfId="328" xr:uid="{00000000-0005-0000-0000-000044010000}"/>
    <cellStyle name="Akzent4 2" xfId="329" xr:uid="{00000000-0005-0000-0000-000045010000}"/>
    <cellStyle name="Akzent5 2" xfId="330" xr:uid="{00000000-0005-0000-0000-000046010000}"/>
    <cellStyle name="Akzent6 2" xfId="331" xr:uid="{00000000-0005-0000-0000-000047010000}"/>
    <cellStyle name="Ausgabe 2" xfId="332" xr:uid="{00000000-0005-0000-0000-000048010000}"/>
    <cellStyle name="Ausgabe 2 2" xfId="333" xr:uid="{00000000-0005-0000-0000-000049010000}"/>
    <cellStyle name="Ausgabe 2 2 2" xfId="334" xr:uid="{00000000-0005-0000-0000-00004A010000}"/>
    <cellStyle name="Ausgabe 2 3" xfId="335" xr:uid="{00000000-0005-0000-0000-00004B010000}"/>
    <cellStyle name="Ausgabe 2 3 2" xfId="336" xr:uid="{00000000-0005-0000-0000-00004C010000}"/>
    <cellStyle name="Ausgabe 2 4" xfId="337" xr:uid="{00000000-0005-0000-0000-00004D010000}"/>
    <cellStyle name="Ausgabe 3" xfId="338" xr:uid="{00000000-0005-0000-0000-00004E010000}"/>
    <cellStyle name="Ausgabe 3 2" xfId="339" xr:uid="{00000000-0005-0000-0000-00004F010000}"/>
    <cellStyle name="Ausgabe 3 2 2" xfId="340" xr:uid="{00000000-0005-0000-0000-000050010000}"/>
    <cellStyle name="Ausgabe 3 3" xfId="341" xr:uid="{00000000-0005-0000-0000-000051010000}"/>
    <cellStyle name="Ausgabe 3 3 2" xfId="342" xr:uid="{00000000-0005-0000-0000-000052010000}"/>
    <cellStyle name="Ausgabe 3 4" xfId="343" xr:uid="{00000000-0005-0000-0000-000053010000}"/>
    <cellStyle name="Ausgabe 4" xfId="344" xr:uid="{00000000-0005-0000-0000-000054010000}"/>
    <cellStyle name="Ausgabe 4 2" xfId="345" xr:uid="{00000000-0005-0000-0000-000055010000}"/>
    <cellStyle name="Ausgabe 5" xfId="346" xr:uid="{00000000-0005-0000-0000-000056010000}"/>
    <cellStyle name="Ausgabe 5 2" xfId="347" xr:uid="{00000000-0005-0000-0000-000057010000}"/>
    <cellStyle name="Ausgabe 6" xfId="348" xr:uid="{00000000-0005-0000-0000-000058010000}"/>
    <cellStyle name="Ausgabe 7" xfId="349" xr:uid="{00000000-0005-0000-0000-000059010000}"/>
    <cellStyle name="Bad 2" xfId="350" xr:uid="{00000000-0005-0000-0000-00005A010000}"/>
    <cellStyle name="Bad 3" xfId="351" xr:uid="{00000000-0005-0000-0000-00005B010000}"/>
    <cellStyle name="Bad 4" xfId="352" xr:uid="{00000000-0005-0000-0000-00005C010000}"/>
    <cellStyle name="Berechnung 2" xfId="353" xr:uid="{00000000-0005-0000-0000-00005D010000}"/>
    <cellStyle name="Berechnung 2 2" xfId="354" xr:uid="{00000000-0005-0000-0000-00005E010000}"/>
    <cellStyle name="Berechnung 2 2 2" xfId="355" xr:uid="{00000000-0005-0000-0000-00005F010000}"/>
    <cellStyle name="Berechnung 2 3" xfId="356" xr:uid="{00000000-0005-0000-0000-000060010000}"/>
    <cellStyle name="Berechnung 2 3 2" xfId="357" xr:uid="{00000000-0005-0000-0000-000061010000}"/>
    <cellStyle name="Berechnung 2 4" xfId="358" xr:uid="{00000000-0005-0000-0000-000062010000}"/>
    <cellStyle name="Berechnung 2 4 2" xfId="359" xr:uid="{00000000-0005-0000-0000-000063010000}"/>
    <cellStyle name="Berechnung 2 5" xfId="360" xr:uid="{00000000-0005-0000-0000-000064010000}"/>
    <cellStyle name="Berechnung 3" xfId="361" xr:uid="{00000000-0005-0000-0000-000065010000}"/>
    <cellStyle name="Berechnung 3 2" xfId="362" xr:uid="{00000000-0005-0000-0000-000066010000}"/>
    <cellStyle name="Berechnung 3 2 2" xfId="363" xr:uid="{00000000-0005-0000-0000-000067010000}"/>
    <cellStyle name="Berechnung 3 3" xfId="364" xr:uid="{00000000-0005-0000-0000-000068010000}"/>
    <cellStyle name="Berechnung 3 3 2" xfId="365" xr:uid="{00000000-0005-0000-0000-000069010000}"/>
    <cellStyle name="Berechnung 3 4" xfId="366" xr:uid="{00000000-0005-0000-0000-00006A010000}"/>
    <cellStyle name="Berechnung 3 4 2" xfId="367" xr:uid="{00000000-0005-0000-0000-00006B010000}"/>
    <cellStyle name="Berechnung 3 5" xfId="368" xr:uid="{00000000-0005-0000-0000-00006C010000}"/>
    <cellStyle name="Berechnung 4" xfId="369" xr:uid="{00000000-0005-0000-0000-00006D010000}"/>
    <cellStyle name="Berechnung 4 2" xfId="370" xr:uid="{00000000-0005-0000-0000-00006E010000}"/>
    <cellStyle name="Berechnung 5" xfId="371" xr:uid="{00000000-0005-0000-0000-00006F010000}"/>
    <cellStyle name="Berechnung 5 2" xfId="372" xr:uid="{00000000-0005-0000-0000-000070010000}"/>
    <cellStyle name="Berechnung 6" xfId="373" xr:uid="{00000000-0005-0000-0000-000071010000}"/>
    <cellStyle name="Berechnung 6 2" xfId="374" xr:uid="{00000000-0005-0000-0000-000072010000}"/>
    <cellStyle name="Berechnung 7" xfId="375" xr:uid="{00000000-0005-0000-0000-000073010000}"/>
    <cellStyle name="Berechnung 8" xfId="376" xr:uid="{00000000-0005-0000-0000-000074010000}"/>
    <cellStyle name="Bold GHG Numbers (0.00)" xfId="377" xr:uid="{00000000-0005-0000-0000-000075010000}"/>
    <cellStyle name="Calculation" xfId="1170" builtinId="22"/>
    <cellStyle name="Calculation 2" xfId="378" xr:uid="{00000000-0005-0000-0000-000076010000}"/>
    <cellStyle name="Calculation 2 2" xfId="379" xr:uid="{00000000-0005-0000-0000-000077010000}"/>
    <cellStyle name="Calculation 2 2 2" xfId="380" xr:uid="{00000000-0005-0000-0000-000078010000}"/>
    <cellStyle name="Calculation 2 3" xfId="381" xr:uid="{00000000-0005-0000-0000-000079010000}"/>
    <cellStyle name="Calculation 2 3 2" xfId="382" xr:uid="{00000000-0005-0000-0000-00007A010000}"/>
    <cellStyle name="Calculation 2 4" xfId="383" xr:uid="{00000000-0005-0000-0000-00007B010000}"/>
    <cellStyle name="Calculation 2 4 2" xfId="384" xr:uid="{00000000-0005-0000-0000-00007C010000}"/>
    <cellStyle name="Calculation 2 5" xfId="385" xr:uid="{00000000-0005-0000-0000-00007D010000}"/>
    <cellStyle name="Calculation 3" xfId="386" xr:uid="{00000000-0005-0000-0000-00007E010000}"/>
    <cellStyle name="Calculation 3 2" xfId="387" xr:uid="{00000000-0005-0000-0000-00007F010000}"/>
    <cellStyle name="Calculation 3 2 2" xfId="388" xr:uid="{00000000-0005-0000-0000-000080010000}"/>
    <cellStyle name="Calculation 3 3" xfId="389" xr:uid="{00000000-0005-0000-0000-000081010000}"/>
    <cellStyle name="Calculation 3 3 2" xfId="390" xr:uid="{00000000-0005-0000-0000-000082010000}"/>
    <cellStyle name="Calculation 3 4" xfId="391" xr:uid="{00000000-0005-0000-0000-000083010000}"/>
    <cellStyle name="Calculation 3 4 2" xfId="392" xr:uid="{00000000-0005-0000-0000-000084010000}"/>
    <cellStyle name="Calculation 3 5" xfId="393" xr:uid="{00000000-0005-0000-0000-000085010000}"/>
    <cellStyle name="Category VN" xfId="394" xr:uid="{00000000-0005-0000-0000-000086010000}"/>
    <cellStyle name="Check Cell" xfId="1173" builtinId="23"/>
    <cellStyle name="Check Cell 2" xfId="395" xr:uid="{00000000-0005-0000-0000-000087010000}"/>
    <cellStyle name="Check Cell 3" xfId="396" xr:uid="{00000000-0005-0000-0000-000088010000}"/>
    <cellStyle name="Check Cell 4" xfId="397" xr:uid="{00000000-0005-0000-0000-000089010000}"/>
    <cellStyle name="Comma" xfId="1168" builtinId="3"/>
    <cellStyle name="Comma [0] 2" xfId="398" xr:uid="{00000000-0005-0000-0000-00008A010000}"/>
    <cellStyle name="Comma [0] 3" xfId="399" xr:uid="{00000000-0005-0000-0000-00008B010000}"/>
    <cellStyle name="Comma 2" xfId="400" xr:uid="{00000000-0005-0000-0000-00008C010000}"/>
    <cellStyle name="Comma 2 2" xfId="401" xr:uid="{00000000-0005-0000-0000-00008D010000}"/>
    <cellStyle name="Comma 2 2 2" xfId="402" xr:uid="{00000000-0005-0000-0000-00008E010000}"/>
    <cellStyle name="Comma 3" xfId="403" xr:uid="{00000000-0005-0000-0000-00008F010000}"/>
    <cellStyle name="Constants" xfId="404" xr:uid="{00000000-0005-0000-0000-000090010000}"/>
    <cellStyle name="ContentsHyperlink" xfId="405" xr:uid="{00000000-0005-0000-0000-000091010000}"/>
    <cellStyle name="CustomCellsOrange" xfId="406" xr:uid="{00000000-0005-0000-0000-000092010000}"/>
    <cellStyle name="CustomCellsOrange 2" xfId="407" xr:uid="{00000000-0005-0000-0000-000093010000}"/>
    <cellStyle name="CustomCellsOrange 2 2" xfId="408" xr:uid="{00000000-0005-0000-0000-000094010000}"/>
    <cellStyle name="CustomCellsOrange 2 2 2" xfId="409" xr:uid="{00000000-0005-0000-0000-000095010000}"/>
    <cellStyle name="CustomCellsOrange 2 2 2 2" xfId="410" xr:uid="{00000000-0005-0000-0000-000096010000}"/>
    <cellStyle name="CustomCellsOrange 2 2 2 2 2" xfId="411" xr:uid="{00000000-0005-0000-0000-000097010000}"/>
    <cellStyle name="CustomCellsOrange 2 2 3" xfId="412" xr:uid="{00000000-0005-0000-0000-000098010000}"/>
    <cellStyle name="CustomCellsOrange 2 2 3 2" xfId="413" xr:uid="{00000000-0005-0000-0000-000099010000}"/>
    <cellStyle name="CustomCellsOrange 2 2 4" xfId="414" xr:uid="{00000000-0005-0000-0000-00009A010000}"/>
    <cellStyle name="CustomCellsOrange 2 2 4 2" xfId="415" xr:uid="{00000000-0005-0000-0000-00009B010000}"/>
    <cellStyle name="CustomCellsOrange 2 2 5" xfId="416" xr:uid="{00000000-0005-0000-0000-00009C010000}"/>
    <cellStyle name="CustomCellsOrange 2 2 5 2" xfId="417" xr:uid="{00000000-0005-0000-0000-00009D010000}"/>
    <cellStyle name="CustomCellsOrange 3" xfId="418" xr:uid="{00000000-0005-0000-0000-00009E010000}"/>
    <cellStyle name="CustomCellsOrange 3 2" xfId="419" xr:uid="{00000000-0005-0000-0000-00009F010000}"/>
    <cellStyle name="CustomCellsOrange 3 2 2" xfId="420" xr:uid="{00000000-0005-0000-0000-0000A0010000}"/>
    <cellStyle name="CustomCellsOrange 3 3" xfId="421" xr:uid="{00000000-0005-0000-0000-0000A1010000}"/>
    <cellStyle name="CustomCellsOrange 3 3 2" xfId="422" xr:uid="{00000000-0005-0000-0000-0000A2010000}"/>
    <cellStyle name="CustomCellsOrange 3 4" xfId="423" xr:uid="{00000000-0005-0000-0000-0000A3010000}"/>
    <cellStyle name="CustomCellsOrange 3 4 2" xfId="424" xr:uid="{00000000-0005-0000-0000-0000A4010000}"/>
    <cellStyle name="CustomCellsOrange 3 5" xfId="425" xr:uid="{00000000-0005-0000-0000-0000A5010000}"/>
    <cellStyle name="CustomizationCells" xfId="426" xr:uid="{00000000-0005-0000-0000-0000A6010000}"/>
    <cellStyle name="CustomizationCells 2" xfId="427" xr:uid="{00000000-0005-0000-0000-0000A7010000}"/>
    <cellStyle name="CustomizationCells 2 2" xfId="428" xr:uid="{00000000-0005-0000-0000-0000A8010000}"/>
    <cellStyle name="CustomizationCells 2 2 2" xfId="429" xr:uid="{00000000-0005-0000-0000-0000A9010000}"/>
    <cellStyle name="CustomizationCells 2 2 2 2" xfId="430" xr:uid="{00000000-0005-0000-0000-0000AA010000}"/>
    <cellStyle name="CustomizationCells 2 2 2 2 2" xfId="431" xr:uid="{00000000-0005-0000-0000-0000AB010000}"/>
    <cellStyle name="CustomizationCells 2 2 3" xfId="432" xr:uid="{00000000-0005-0000-0000-0000AC010000}"/>
    <cellStyle name="CustomizationCells 2 2 3 2" xfId="433" xr:uid="{00000000-0005-0000-0000-0000AD010000}"/>
    <cellStyle name="CustomizationCells 2 2 4" xfId="434" xr:uid="{00000000-0005-0000-0000-0000AE010000}"/>
    <cellStyle name="CustomizationCells 2 2 4 2" xfId="435" xr:uid="{00000000-0005-0000-0000-0000AF010000}"/>
    <cellStyle name="CustomizationCells 2 2 5" xfId="436" xr:uid="{00000000-0005-0000-0000-0000B0010000}"/>
    <cellStyle name="CustomizationCells 2 2 5 2" xfId="437" xr:uid="{00000000-0005-0000-0000-0000B1010000}"/>
    <cellStyle name="CustomizationCells 3" xfId="438" xr:uid="{00000000-0005-0000-0000-0000B2010000}"/>
    <cellStyle name="CustomizationCells 3 2" xfId="439" xr:uid="{00000000-0005-0000-0000-0000B3010000}"/>
    <cellStyle name="CustomizationCells 3 2 2" xfId="440" xr:uid="{00000000-0005-0000-0000-0000B4010000}"/>
    <cellStyle name="CustomizationCells 3 3" xfId="441" xr:uid="{00000000-0005-0000-0000-0000B5010000}"/>
    <cellStyle name="CustomizationCells 3 3 2" xfId="442" xr:uid="{00000000-0005-0000-0000-0000B6010000}"/>
    <cellStyle name="CustomizationCells 3 4" xfId="443" xr:uid="{00000000-0005-0000-0000-0000B7010000}"/>
    <cellStyle name="CustomizationCells 3 4 2" xfId="444" xr:uid="{00000000-0005-0000-0000-0000B8010000}"/>
    <cellStyle name="CustomizationCells 3 5" xfId="445" xr:uid="{00000000-0005-0000-0000-0000B9010000}"/>
    <cellStyle name="CustomizationCells 4" xfId="446" xr:uid="{00000000-0005-0000-0000-0000BA010000}"/>
    <cellStyle name="CustomizationGreenCells" xfId="447" xr:uid="{00000000-0005-0000-0000-0000BB010000}"/>
    <cellStyle name="CustomizationGreenCells 2" xfId="448" xr:uid="{00000000-0005-0000-0000-0000BC010000}"/>
    <cellStyle name="CustomizationGreenCells 3" xfId="449" xr:uid="{00000000-0005-0000-0000-0000BD010000}"/>
    <cellStyle name="CustomizationGreenCells 3 2" xfId="450" xr:uid="{00000000-0005-0000-0000-0000BE010000}"/>
    <cellStyle name="CustomizationGreenCells 3 2 2" xfId="451" xr:uid="{00000000-0005-0000-0000-0000BF010000}"/>
    <cellStyle name="CustomizationGreenCells 3 3" xfId="452" xr:uid="{00000000-0005-0000-0000-0000C0010000}"/>
    <cellStyle name="CustomizationGreenCells 3 3 2" xfId="453" xr:uid="{00000000-0005-0000-0000-0000C1010000}"/>
    <cellStyle name="CustomizationGreenCells 3 4" xfId="454" xr:uid="{00000000-0005-0000-0000-0000C2010000}"/>
    <cellStyle name="CustomizationGreenCells 3 4 2" xfId="455" xr:uid="{00000000-0005-0000-0000-0000C3010000}"/>
    <cellStyle name="CustomizationGreenCells 3 5" xfId="456" xr:uid="{00000000-0005-0000-0000-0000C4010000}"/>
    <cellStyle name="Dezimal [0] 2" xfId="457" xr:uid="{00000000-0005-0000-0000-0000C5010000}"/>
    <cellStyle name="DocBox_EmptyRow" xfId="458" xr:uid="{00000000-0005-0000-0000-0000C6010000}"/>
    <cellStyle name="Eingabe 2" xfId="459" xr:uid="{00000000-0005-0000-0000-0000C7010000}"/>
    <cellStyle name="Eingabe 3" xfId="460" xr:uid="{00000000-0005-0000-0000-0000C8010000}"/>
    <cellStyle name="Eingabe 3 2" xfId="461" xr:uid="{00000000-0005-0000-0000-0000C9010000}"/>
    <cellStyle name="Eingabe 3 2 2" xfId="462" xr:uid="{00000000-0005-0000-0000-0000CA010000}"/>
    <cellStyle name="Eingabe 3 3" xfId="463" xr:uid="{00000000-0005-0000-0000-0000CB010000}"/>
    <cellStyle name="Eingabe 3 3 2" xfId="464" xr:uid="{00000000-0005-0000-0000-0000CC010000}"/>
    <cellStyle name="Eingabe 3 4" xfId="465" xr:uid="{00000000-0005-0000-0000-0000CD010000}"/>
    <cellStyle name="Eingabe 3 4 2" xfId="466" xr:uid="{00000000-0005-0000-0000-0000CE010000}"/>
    <cellStyle name="Eingabe 3 5" xfId="467" xr:uid="{00000000-0005-0000-0000-0000CF010000}"/>
    <cellStyle name="Eingabe 4" xfId="468" xr:uid="{00000000-0005-0000-0000-0000D0010000}"/>
    <cellStyle name="Eingabe 4 2" xfId="469" xr:uid="{00000000-0005-0000-0000-0000D1010000}"/>
    <cellStyle name="Eingabe 4 2 2" xfId="470" xr:uid="{00000000-0005-0000-0000-0000D2010000}"/>
    <cellStyle name="Eingabe 4 3" xfId="471" xr:uid="{00000000-0005-0000-0000-0000D3010000}"/>
    <cellStyle name="Eingabe 4 3 2" xfId="472" xr:uid="{00000000-0005-0000-0000-0000D4010000}"/>
    <cellStyle name="Eingabe 4 4" xfId="473" xr:uid="{00000000-0005-0000-0000-0000D5010000}"/>
    <cellStyle name="Eingabe 4 4 2" xfId="474" xr:uid="{00000000-0005-0000-0000-0000D6010000}"/>
    <cellStyle name="Eingabe 4 5" xfId="475" xr:uid="{00000000-0005-0000-0000-0000D7010000}"/>
    <cellStyle name="Eingabe 5" xfId="476" xr:uid="{00000000-0005-0000-0000-0000D8010000}"/>
    <cellStyle name="Eingabe 5 2" xfId="477" xr:uid="{00000000-0005-0000-0000-0000D9010000}"/>
    <cellStyle name="Eingabe 6" xfId="478" xr:uid="{00000000-0005-0000-0000-0000DA010000}"/>
    <cellStyle name="Eingabe 6 2" xfId="479" xr:uid="{00000000-0005-0000-0000-0000DB010000}"/>
    <cellStyle name="Eingabe 7" xfId="480" xr:uid="{00000000-0005-0000-0000-0000DC010000}"/>
    <cellStyle name="Eingabe 7 2" xfId="481" xr:uid="{00000000-0005-0000-0000-0000DD010000}"/>
    <cellStyle name="Eingabe 8" xfId="482" xr:uid="{00000000-0005-0000-0000-0000DE010000}"/>
    <cellStyle name="Eingabe 9" xfId="483" xr:uid="{00000000-0005-0000-0000-0000DF010000}"/>
    <cellStyle name="Empty_B_border" xfId="484" xr:uid="{00000000-0005-0000-0000-0000E0010000}"/>
    <cellStyle name="Ergebnis 2" xfId="485" xr:uid="{00000000-0005-0000-0000-0000E1010000}"/>
    <cellStyle name="Ergebnis 2 2" xfId="486" xr:uid="{00000000-0005-0000-0000-0000E2010000}"/>
    <cellStyle name="Ergebnis 2 2 2" xfId="487" xr:uid="{00000000-0005-0000-0000-0000E3010000}"/>
    <cellStyle name="Ergebnis 2 3" xfId="488" xr:uid="{00000000-0005-0000-0000-0000E4010000}"/>
    <cellStyle name="Ergebnis 2 3 2" xfId="489" xr:uid="{00000000-0005-0000-0000-0000E5010000}"/>
    <cellStyle name="Ergebnis 2 4" xfId="490" xr:uid="{00000000-0005-0000-0000-0000E6010000}"/>
    <cellStyle name="Ergebnis 2 4 2" xfId="491" xr:uid="{00000000-0005-0000-0000-0000E7010000}"/>
    <cellStyle name="Ergebnis 2 5" xfId="492" xr:uid="{00000000-0005-0000-0000-0000E8010000}"/>
    <cellStyle name="Ergebnis 3" xfId="493" xr:uid="{00000000-0005-0000-0000-0000E9010000}"/>
    <cellStyle name="Ergebnis 3 2" xfId="494" xr:uid="{00000000-0005-0000-0000-0000EA010000}"/>
    <cellStyle name="Ergebnis 3 2 2" xfId="495" xr:uid="{00000000-0005-0000-0000-0000EB010000}"/>
    <cellStyle name="Ergebnis 3 3" xfId="496" xr:uid="{00000000-0005-0000-0000-0000EC010000}"/>
    <cellStyle name="Ergebnis 3 3 2" xfId="497" xr:uid="{00000000-0005-0000-0000-0000ED010000}"/>
    <cellStyle name="Ergebnis 3 4" xfId="498" xr:uid="{00000000-0005-0000-0000-0000EE010000}"/>
    <cellStyle name="Ergebnis 3 4 2" xfId="499" xr:uid="{00000000-0005-0000-0000-0000EF010000}"/>
    <cellStyle name="Ergebnis 3 5" xfId="500" xr:uid="{00000000-0005-0000-0000-0000F0010000}"/>
    <cellStyle name="Ergebnis 4" xfId="501" xr:uid="{00000000-0005-0000-0000-0000F1010000}"/>
    <cellStyle name="Ergebnis 4 2" xfId="502" xr:uid="{00000000-0005-0000-0000-0000F2010000}"/>
    <cellStyle name="Ergebnis 5" xfId="503" xr:uid="{00000000-0005-0000-0000-0000F3010000}"/>
    <cellStyle name="Ergebnis 5 2" xfId="504" xr:uid="{00000000-0005-0000-0000-0000F4010000}"/>
    <cellStyle name="Ergebnis 6" xfId="505" xr:uid="{00000000-0005-0000-0000-0000F5010000}"/>
    <cellStyle name="Ergebnis 6 2" xfId="506" xr:uid="{00000000-0005-0000-0000-0000F6010000}"/>
    <cellStyle name="Ergebnis 7" xfId="507" xr:uid="{00000000-0005-0000-0000-0000F7010000}"/>
    <cellStyle name="Ergebnis 8" xfId="508" xr:uid="{00000000-0005-0000-0000-0000F8010000}"/>
    <cellStyle name="Erklärender Text 2" xfId="509" xr:uid="{00000000-0005-0000-0000-0000F9010000}"/>
    <cellStyle name="Erklärender Text 3" xfId="510" xr:uid="{00000000-0005-0000-0000-0000FA010000}"/>
    <cellStyle name="Erklärender Text 4" xfId="511" xr:uid="{00000000-0005-0000-0000-0000FB010000}"/>
    <cellStyle name="Excel Built-in Normal" xfId="512" xr:uid="{00000000-0005-0000-0000-0000FC010000}"/>
    <cellStyle name="Explanatory Text 2" xfId="513" xr:uid="{00000000-0005-0000-0000-0000FD010000}"/>
    <cellStyle name="Explanatory Text 3" xfId="514" xr:uid="{00000000-0005-0000-0000-0000FE010000}"/>
    <cellStyle name="Good 2" xfId="515" xr:uid="{00000000-0005-0000-0000-0000FF010000}"/>
    <cellStyle name="Good 3" xfId="516" xr:uid="{00000000-0005-0000-0000-000000020000}"/>
    <cellStyle name="Good 4" xfId="517" xr:uid="{00000000-0005-0000-0000-000001020000}"/>
    <cellStyle name="Gut 2" xfId="518" xr:uid="{00000000-0005-0000-0000-000002020000}"/>
    <cellStyle name="Heading 1 2" xfId="519" xr:uid="{00000000-0005-0000-0000-000003020000}"/>
    <cellStyle name="Heading 1 3" xfId="520" xr:uid="{00000000-0005-0000-0000-000004020000}"/>
    <cellStyle name="Heading 1 4" xfId="521" xr:uid="{00000000-0005-0000-0000-000005020000}"/>
    <cellStyle name="Heading 2 2" xfId="522" xr:uid="{00000000-0005-0000-0000-000006020000}"/>
    <cellStyle name="Heading 2 3" xfId="523" xr:uid="{00000000-0005-0000-0000-000007020000}"/>
    <cellStyle name="Heading 2 4" xfId="524" xr:uid="{00000000-0005-0000-0000-000008020000}"/>
    <cellStyle name="Heading 3 2" xfId="525" xr:uid="{00000000-0005-0000-0000-000009020000}"/>
    <cellStyle name="Heading 3 3" xfId="526" xr:uid="{00000000-0005-0000-0000-00000A020000}"/>
    <cellStyle name="Heading 3 4" xfId="527" xr:uid="{00000000-0005-0000-0000-00000B020000}"/>
    <cellStyle name="Heading 4 2" xfId="528" xr:uid="{00000000-0005-0000-0000-00000C020000}"/>
    <cellStyle name="Heading 4 3" xfId="529" xr:uid="{00000000-0005-0000-0000-00000D020000}"/>
    <cellStyle name="Heading 4 4" xfId="530" xr:uid="{00000000-0005-0000-0000-00000E020000}"/>
    <cellStyle name="Headline" xfId="531" xr:uid="{00000000-0005-0000-0000-00000F020000}"/>
    <cellStyle name="Hyperlink" xfId="3" builtinId="8"/>
    <cellStyle name="Hyperlink 2" xfId="532" xr:uid="{00000000-0005-0000-0000-000011020000}"/>
    <cellStyle name="Input" xfId="1169" builtinId="20"/>
    <cellStyle name="Input 2" xfId="533" xr:uid="{00000000-0005-0000-0000-000012020000}"/>
    <cellStyle name="Input 2 2" xfId="534" xr:uid="{00000000-0005-0000-0000-000013020000}"/>
    <cellStyle name="Input 2 2 2" xfId="535" xr:uid="{00000000-0005-0000-0000-000014020000}"/>
    <cellStyle name="Input 2 3" xfId="536" xr:uid="{00000000-0005-0000-0000-000015020000}"/>
    <cellStyle name="Input 2 3 2" xfId="537" xr:uid="{00000000-0005-0000-0000-000016020000}"/>
    <cellStyle name="Input 2 4" xfId="538" xr:uid="{00000000-0005-0000-0000-000017020000}"/>
    <cellStyle name="Input 2 4 2" xfId="539" xr:uid="{00000000-0005-0000-0000-000018020000}"/>
    <cellStyle name="Input 2 5" xfId="540" xr:uid="{00000000-0005-0000-0000-000019020000}"/>
    <cellStyle name="Input 3" xfId="541" xr:uid="{00000000-0005-0000-0000-00001A020000}"/>
    <cellStyle name="Input 3 2" xfId="542" xr:uid="{00000000-0005-0000-0000-00001B020000}"/>
    <cellStyle name="Input 3 2 2" xfId="543" xr:uid="{00000000-0005-0000-0000-00001C020000}"/>
    <cellStyle name="Input 3 3" xfId="544" xr:uid="{00000000-0005-0000-0000-00001D020000}"/>
    <cellStyle name="Input 3 3 2" xfId="545" xr:uid="{00000000-0005-0000-0000-00001E020000}"/>
    <cellStyle name="Input 3 4" xfId="546" xr:uid="{00000000-0005-0000-0000-00001F020000}"/>
    <cellStyle name="Input 3 4 2" xfId="547" xr:uid="{00000000-0005-0000-0000-000020020000}"/>
    <cellStyle name="Input 3 5" xfId="548" xr:uid="{00000000-0005-0000-0000-000021020000}"/>
    <cellStyle name="Input 4" xfId="549" xr:uid="{00000000-0005-0000-0000-000022020000}"/>
    <cellStyle name="InputCells" xfId="550" xr:uid="{00000000-0005-0000-0000-000023020000}"/>
    <cellStyle name="InputCells 2" xfId="551" xr:uid="{00000000-0005-0000-0000-000024020000}"/>
    <cellStyle name="InputCells 3" xfId="552" xr:uid="{00000000-0005-0000-0000-000025020000}"/>
    <cellStyle name="InputCells 4" xfId="553" xr:uid="{00000000-0005-0000-0000-000026020000}"/>
    <cellStyle name="InputCells_Bborder_1" xfId="554" xr:uid="{00000000-0005-0000-0000-000027020000}"/>
    <cellStyle name="InputCells12" xfId="555" xr:uid="{00000000-0005-0000-0000-000028020000}"/>
    <cellStyle name="InputCells12 2" xfId="556" xr:uid="{00000000-0005-0000-0000-000029020000}"/>
    <cellStyle name="InputCells12 2 2" xfId="557" xr:uid="{00000000-0005-0000-0000-00002A020000}"/>
    <cellStyle name="InputCells12 2 2 2" xfId="558" xr:uid="{00000000-0005-0000-0000-00002B020000}"/>
    <cellStyle name="InputCells12 2 2 2 2" xfId="559" xr:uid="{00000000-0005-0000-0000-00002C020000}"/>
    <cellStyle name="InputCells12 2 2 3" xfId="560" xr:uid="{00000000-0005-0000-0000-00002D020000}"/>
    <cellStyle name="InputCells12 2 3" xfId="561" xr:uid="{00000000-0005-0000-0000-00002E020000}"/>
    <cellStyle name="InputCells12 2 3 2" xfId="562" xr:uid="{00000000-0005-0000-0000-00002F020000}"/>
    <cellStyle name="InputCells12 2 3 2 2" xfId="563" xr:uid="{00000000-0005-0000-0000-000030020000}"/>
    <cellStyle name="InputCells12 2 3 3" xfId="564" xr:uid="{00000000-0005-0000-0000-000031020000}"/>
    <cellStyle name="InputCells12 2 3 3 2" xfId="565" xr:uid="{00000000-0005-0000-0000-000032020000}"/>
    <cellStyle name="InputCells12 2 3 4" xfId="566" xr:uid="{00000000-0005-0000-0000-000033020000}"/>
    <cellStyle name="InputCells12 2 3 4 2" xfId="567" xr:uid="{00000000-0005-0000-0000-000034020000}"/>
    <cellStyle name="InputCells12 3" xfId="568" xr:uid="{00000000-0005-0000-0000-000035020000}"/>
    <cellStyle name="InputCells12 3 2" xfId="569" xr:uid="{00000000-0005-0000-0000-000036020000}"/>
    <cellStyle name="InputCells12 3 2 2" xfId="570" xr:uid="{00000000-0005-0000-0000-000037020000}"/>
    <cellStyle name="InputCells12 3 3" xfId="571" xr:uid="{00000000-0005-0000-0000-000038020000}"/>
    <cellStyle name="InputCells12 4" xfId="572" xr:uid="{00000000-0005-0000-0000-000039020000}"/>
    <cellStyle name="InputCells12 4 2" xfId="573" xr:uid="{00000000-0005-0000-0000-00003A020000}"/>
    <cellStyle name="InputCells12 4 2 2" xfId="574" xr:uid="{00000000-0005-0000-0000-00003B020000}"/>
    <cellStyle name="InputCells12 4 3" xfId="575" xr:uid="{00000000-0005-0000-0000-00003C020000}"/>
    <cellStyle name="InputCells12 4 3 2" xfId="576" xr:uid="{00000000-0005-0000-0000-00003D020000}"/>
    <cellStyle name="InputCells12 4 4" xfId="577" xr:uid="{00000000-0005-0000-0000-00003E020000}"/>
    <cellStyle name="InputCells12 4 4 2" xfId="578" xr:uid="{00000000-0005-0000-0000-00003F020000}"/>
    <cellStyle name="InputCells12 5" xfId="579" xr:uid="{00000000-0005-0000-0000-000040020000}"/>
    <cellStyle name="InputCells12_BBorder" xfId="580" xr:uid="{00000000-0005-0000-0000-000041020000}"/>
    <cellStyle name="IntCells" xfId="581" xr:uid="{00000000-0005-0000-0000-000042020000}"/>
    <cellStyle name="Komma 2" xfId="582" xr:uid="{00000000-0005-0000-0000-000044020000}"/>
    <cellStyle name="KP_thin_border_dark_grey" xfId="583" xr:uid="{00000000-0005-0000-0000-000045020000}"/>
    <cellStyle name="Linked Cell 2" xfId="584" xr:uid="{00000000-0005-0000-0000-000046020000}"/>
    <cellStyle name="Linked Cell 3" xfId="585" xr:uid="{00000000-0005-0000-0000-000047020000}"/>
    <cellStyle name="Linked Cell 4" xfId="586" xr:uid="{00000000-0005-0000-0000-000048020000}"/>
    <cellStyle name="Neutral 2" xfId="587" xr:uid="{00000000-0005-0000-0000-000049020000}"/>
    <cellStyle name="Neutral 3" xfId="588" xr:uid="{00000000-0005-0000-0000-00004A020000}"/>
    <cellStyle name="Normaali 2" xfId="589" xr:uid="{00000000-0005-0000-0000-00004B020000}"/>
    <cellStyle name="Normaali 2 2" xfId="590" xr:uid="{00000000-0005-0000-0000-00004C020000}"/>
    <cellStyle name="Normal" xfId="0" builtinId="0"/>
    <cellStyle name="Normal 10" xfId="591" xr:uid="{00000000-0005-0000-0000-00004D020000}"/>
    <cellStyle name="Normal 10 2" xfId="592" xr:uid="{00000000-0005-0000-0000-00004E020000}"/>
    <cellStyle name="Normal 10 3" xfId="998" xr:uid="{00000000-0005-0000-0000-00004F020000}"/>
    <cellStyle name="Normal 10 4" xfId="999" xr:uid="{00000000-0005-0000-0000-000050020000}"/>
    <cellStyle name="Normal 10 5" xfId="1000" xr:uid="{00000000-0005-0000-0000-000051020000}"/>
    <cellStyle name="Normal 10 6" xfId="1001" xr:uid="{00000000-0005-0000-0000-000052020000}"/>
    <cellStyle name="Normal 11" xfId="593" xr:uid="{00000000-0005-0000-0000-000053020000}"/>
    <cellStyle name="Normal 11 2" xfId="594" xr:uid="{00000000-0005-0000-0000-000054020000}"/>
    <cellStyle name="Normal 11 3" xfId="1002" xr:uid="{00000000-0005-0000-0000-000055020000}"/>
    <cellStyle name="Normal 11 4" xfId="1003" xr:uid="{00000000-0005-0000-0000-000056020000}"/>
    <cellStyle name="Normal 11 5" xfId="1004" xr:uid="{00000000-0005-0000-0000-000057020000}"/>
    <cellStyle name="Normal 11 6" xfId="1005" xr:uid="{00000000-0005-0000-0000-000058020000}"/>
    <cellStyle name="Normal 12" xfId="595" xr:uid="{00000000-0005-0000-0000-000059020000}"/>
    <cellStyle name="Normal 12 2" xfId="596" xr:uid="{00000000-0005-0000-0000-00005A020000}"/>
    <cellStyle name="Normal 12 3" xfId="1006" xr:uid="{00000000-0005-0000-0000-00005B020000}"/>
    <cellStyle name="Normal 12 4" xfId="1007" xr:uid="{00000000-0005-0000-0000-00005C020000}"/>
    <cellStyle name="Normal 12 5" xfId="1008" xr:uid="{00000000-0005-0000-0000-00005D020000}"/>
    <cellStyle name="Normal 12 6" xfId="1009" xr:uid="{00000000-0005-0000-0000-00005E020000}"/>
    <cellStyle name="Normal 13 2" xfId="1010" xr:uid="{00000000-0005-0000-0000-00005F020000}"/>
    <cellStyle name="Normal 13 3" xfId="1011" xr:uid="{00000000-0005-0000-0000-000060020000}"/>
    <cellStyle name="Normal 13 4" xfId="1012" xr:uid="{00000000-0005-0000-0000-000061020000}"/>
    <cellStyle name="Normal 13 5" xfId="1013" xr:uid="{00000000-0005-0000-0000-000062020000}"/>
    <cellStyle name="Normal 13 6" xfId="1014" xr:uid="{00000000-0005-0000-0000-000063020000}"/>
    <cellStyle name="Normal 13 7" xfId="1015" xr:uid="{00000000-0005-0000-0000-000064020000}"/>
    <cellStyle name="Normal 14 2" xfId="1016" xr:uid="{00000000-0005-0000-0000-000065020000}"/>
    <cellStyle name="Normal 14 3" xfId="1017" xr:uid="{00000000-0005-0000-0000-000066020000}"/>
    <cellStyle name="Normal 14 4" xfId="1018" xr:uid="{00000000-0005-0000-0000-000067020000}"/>
    <cellStyle name="Normal 14 5" xfId="1019" xr:uid="{00000000-0005-0000-0000-000068020000}"/>
    <cellStyle name="Normal 14 6" xfId="1020" xr:uid="{00000000-0005-0000-0000-000069020000}"/>
    <cellStyle name="Normal 17 2" xfId="1021" xr:uid="{00000000-0005-0000-0000-00006A020000}"/>
    <cellStyle name="Normal 17 3" xfId="1022" xr:uid="{00000000-0005-0000-0000-00006B020000}"/>
    <cellStyle name="Normal 17 4" xfId="1023" xr:uid="{00000000-0005-0000-0000-00006C020000}"/>
    <cellStyle name="Normal 17 5" xfId="1024" xr:uid="{00000000-0005-0000-0000-00006D020000}"/>
    <cellStyle name="Normal 17 6" xfId="1025" xr:uid="{00000000-0005-0000-0000-00006E020000}"/>
    <cellStyle name="Normal 18 2" xfId="1026" xr:uid="{00000000-0005-0000-0000-00006F020000}"/>
    <cellStyle name="Normal 18 3" xfId="1027" xr:uid="{00000000-0005-0000-0000-000070020000}"/>
    <cellStyle name="Normal 18 4" xfId="1028" xr:uid="{00000000-0005-0000-0000-000071020000}"/>
    <cellStyle name="Normal 18 5" xfId="1029" xr:uid="{00000000-0005-0000-0000-000072020000}"/>
    <cellStyle name="Normal 18 6" xfId="1030" xr:uid="{00000000-0005-0000-0000-000073020000}"/>
    <cellStyle name="Normal 19 2" xfId="1031" xr:uid="{00000000-0005-0000-0000-000074020000}"/>
    <cellStyle name="Normal 19 3" xfId="1032" xr:uid="{00000000-0005-0000-0000-000075020000}"/>
    <cellStyle name="Normal 19 4" xfId="1033" xr:uid="{00000000-0005-0000-0000-000076020000}"/>
    <cellStyle name="Normal 19 5" xfId="1034" xr:uid="{00000000-0005-0000-0000-000077020000}"/>
    <cellStyle name="Normal 19 6" xfId="1035" xr:uid="{00000000-0005-0000-0000-000078020000}"/>
    <cellStyle name="Normal 2" xfId="597" xr:uid="{00000000-0005-0000-0000-000079020000}"/>
    <cellStyle name="Normal 2 2" xfId="598" xr:uid="{00000000-0005-0000-0000-00007A020000}"/>
    <cellStyle name="Normal 2 2 2" xfId="599" xr:uid="{00000000-0005-0000-0000-00007B020000}"/>
    <cellStyle name="Normal 2 3" xfId="600" xr:uid="{00000000-0005-0000-0000-00007C020000}"/>
    <cellStyle name="Normal 2 3 2" xfId="601" xr:uid="{00000000-0005-0000-0000-00007D020000}"/>
    <cellStyle name="Normal 2 4" xfId="602" xr:uid="{00000000-0005-0000-0000-00007E020000}"/>
    <cellStyle name="Normal 2 5" xfId="603" xr:uid="{00000000-0005-0000-0000-00007F020000}"/>
    <cellStyle name="Normal 2 6" xfId="1167" xr:uid="{00000000-0005-0000-0000-000080020000}"/>
    <cellStyle name="Normal 22" xfId="604" xr:uid="{00000000-0005-0000-0000-000081020000}"/>
    <cellStyle name="Normal 22 2" xfId="605" xr:uid="{00000000-0005-0000-0000-000082020000}"/>
    <cellStyle name="Normal 24 2" xfId="1036" xr:uid="{00000000-0005-0000-0000-000083020000}"/>
    <cellStyle name="Normal 24 3" xfId="1037" xr:uid="{00000000-0005-0000-0000-000084020000}"/>
    <cellStyle name="Normal 24 4" xfId="1038" xr:uid="{00000000-0005-0000-0000-000085020000}"/>
    <cellStyle name="Normal 24 5" xfId="1039" xr:uid="{00000000-0005-0000-0000-000086020000}"/>
    <cellStyle name="Normal 24 6" xfId="1040" xr:uid="{00000000-0005-0000-0000-000087020000}"/>
    <cellStyle name="Normal 25 2" xfId="1041" xr:uid="{00000000-0005-0000-0000-000088020000}"/>
    <cellStyle name="Normal 25 3" xfId="1042" xr:uid="{00000000-0005-0000-0000-000089020000}"/>
    <cellStyle name="Normal 25 4" xfId="1043" xr:uid="{00000000-0005-0000-0000-00008A020000}"/>
    <cellStyle name="Normal 25 5" xfId="1044" xr:uid="{00000000-0005-0000-0000-00008B020000}"/>
    <cellStyle name="Normal 25 6" xfId="1045" xr:uid="{00000000-0005-0000-0000-00008C020000}"/>
    <cellStyle name="Normal 26 2" xfId="1046" xr:uid="{00000000-0005-0000-0000-00008D020000}"/>
    <cellStyle name="Normal 26 3" xfId="1047" xr:uid="{00000000-0005-0000-0000-00008E020000}"/>
    <cellStyle name="Normal 26 4" xfId="1048" xr:uid="{00000000-0005-0000-0000-00008F020000}"/>
    <cellStyle name="Normal 26 5" xfId="1049" xr:uid="{00000000-0005-0000-0000-000090020000}"/>
    <cellStyle name="Normal 26 6" xfId="1050" xr:uid="{00000000-0005-0000-0000-000091020000}"/>
    <cellStyle name="Normal 27 2" xfId="1051" xr:uid="{00000000-0005-0000-0000-000092020000}"/>
    <cellStyle name="Normal 27 3" xfId="1052" xr:uid="{00000000-0005-0000-0000-000093020000}"/>
    <cellStyle name="Normal 27 4" xfId="1053" xr:uid="{00000000-0005-0000-0000-000094020000}"/>
    <cellStyle name="Normal 27 5" xfId="1054" xr:uid="{00000000-0005-0000-0000-000095020000}"/>
    <cellStyle name="Normal 27 6" xfId="1055" xr:uid="{00000000-0005-0000-0000-000096020000}"/>
    <cellStyle name="Normal 28 2" xfId="1056" xr:uid="{00000000-0005-0000-0000-000097020000}"/>
    <cellStyle name="Normal 28 3" xfId="1057" xr:uid="{00000000-0005-0000-0000-000098020000}"/>
    <cellStyle name="Normal 28 4" xfId="1058" xr:uid="{00000000-0005-0000-0000-000099020000}"/>
    <cellStyle name="Normal 28 5" xfId="1059" xr:uid="{00000000-0005-0000-0000-00009A020000}"/>
    <cellStyle name="Normal 28 6" xfId="1060" xr:uid="{00000000-0005-0000-0000-00009B020000}"/>
    <cellStyle name="Normal 29 2" xfId="1061" xr:uid="{00000000-0005-0000-0000-00009C020000}"/>
    <cellStyle name="Normal 29 3" xfId="1062" xr:uid="{00000000-0005-0000-0000-00009D020000}"/>
    <cellStyle name="Normal 29 4" xfId="1063" xr:uid="{00000000-0005-0000-0000-00009E020000}"/>
    <cellStyle name="Normal 29 5" xfId="1064" xr:uid="{00000000-0005-0000-0000-00009F020000}"/>
    <cellStyle name="Normal 29 6" xfId="1065" xr:uid="{00000000-0005-0000-0000-0000A0020000}"/>
    <cellStyle name="Normal 3" xfId="606" xr:uid="{00000000-0005-0000-0000-0000A1020000}"/>
    <cellStyle name="Normal 3 2" xfId="607" xr:uid="{00000000-0005-0000-0000-0000A2020000}"/>
    <cellStyle name="Normal 3 2 2" xfId="608" xr:uid="{00000000-0005-0000-0000-0000A3020000}"/>
    <cellStyle name="Normal 3 3" xfId="609" xr:uid="{00000000-0005-0000-0000-0000A4020000}"/>
    <cellStyle name="Normal 3 4" xfId="610" xr:uid="{00000000-0005-0000-0000-0000A5020000}"/>
    <cellStyle name="Normal 3 5" xfId="1066" xr:uid="{00000000-0005-0000-0000-0000A6020000}"/>
    <cellStyle name="Normal 3 6" xfId="1067" xr:uid="{00000000-0005-0000-0000-0000A7020000}"/>
    <cellStyle name="Normal 30 2" xfId="1068" xr:uid="{00000000-0005-0000-0000-0000A8020000}"/>
    <cellStyle name="Normal 30 3" xfId="1069" xr:uid="{00000000-0005-0000-0000-0000A9020000}"/>
    <cellStyle name="Normal 30 4" xfId="1070" xr:uid="{00000000-0005-0000-0000-0000AA020000}"/>
    <cellStyle name="Normal 30 5" xfId="1071" xr:uid="{00000000-0005-0000-0000-0000AB020000}"/>
    <cellStyle name="Normal 30 6" xfId="1072" xr:uid="{00000000-0005-0000-0000-0000AC020000}"/>
    <cellStyle name="Normal 31 2" xfId="1073" xr:uid="{00000000-0005-0000-0000-0000AD020000}"/>
    <cellStyle name="Normal 31 3" xfId="1074" xr:uid="{00000000-0005-0000-0000-0000AE020000}"/>
    <cellStyle name="Normal 31 4" xfId="1075" xr:uid="{00000000-0005-0000-0000-0000AF020000}"/>
    <cellStyle name="Normal 31 5" xfId="1076" xr:uid="{00000000-0005-0000-0000-0000B0020000}"/>
    <cellStyle name="Normal 31 6" xfId="1077" xr:uid="{00000000-0005-0000-0000-0000B1020000}"/>
    <cellStyle name="Normal 32 2" xfId="1078" xr:uid="{00000000-0005-0000-0000-0000B2020000}"/>
    <cellStyle name="Normal 32 3" xfId="1079" xr:uid="{00000000-0005-0000-0000-0000B3020000}"/>
    <cellStyle name="Normal 32 4" xfId="1080" xr:uid="{00000000-0005-0000-0000-0000B4020000}"/>
    <cellStyle name="Normal 32 5" xfId="1081" xr:uid="{00000000-0005-0000-0000-0000B5020000}"/>
    <cellStyle name="Normal 32 6" xfId="1082" xr:uid="{00000000-0005-0000-0000-0000B6020000}"/>
    <cellStyle name="Normal 34 2" xfId="1083" xr:uid="{00000000-0005-0000-0000-0000B7020000}"/>
    <cellStyle name="Normal 34 3" xfId="1084" xr:uid="{00000000-0005-0000-0000-0000B8020000}"/>
    <cellStyle name="Normal 34 4" xfId="1085" xr:uid="{00000000-0005-0000-0000-0000B9020000}"/>
    <cellStyle name="Normal 34 5" xfId="1086" xr:uid="{00000000-0005-0000-0000-0000BA020000}"/>
    <cellStyle name="Normal 34 6" xfId="1087" xr:uid="{00000000-0005-0000-0000-0000BB020000}"/>
    <cellStyle name="Normal 35 2" xfId="1088" xr:uid="{00000000-0005-0000-0000-0000BC020000}"/>
    <cellStyle name="Normal 35 3" xfId="1089" xr:uid="{00000000-0005-0000-0000-0000BD020000}"/>
    <cellStyle name="Normal 35 4" xfId="1090" xr:uid="{00000000-0005-0000-0000-0000BE020000}"/>
    <cellStyle name="Normal 35 5" xfId="1091" xr:uid="{00000000-0005-0000-0000-0000BF020000}"/>
    <cellStyle name="Normal 35 6" xfId="1092" xr:uid="{00000000-0005-0000-0000-0000C0020000}"/>
    <cellStyle name="Normal 37 2" xfId="1093" xr:uid="{00000000-0005-0000-0000-0000C1020000}"/>
    <cellStyle name="Normal 37 3" xfId="1094" xr:uid="{00000000-0005-0000-0000-0000C2020000}"/>
    <cellStyle name="Normal 37 4" xfId="1095" xr:uid="{00000000-0005-0000-0000-0000C3020000}"/>
    <cellStyle name="Normal 37 5" xfId="1096" xr:uid="{00000000-0005-0000-0000-0000C4020000}"/>
    <cellStyle name="Normal 37 6" xfId="1097" xr:uid="{00000000-0005-0000-0000-0000C5020000}"/>
    <cellStyle name="Normal 38 2" xfId="1098" xr:uid="{00000000-0005-0000-0000-0000C6020000}"/>
    <cellStyle name="Normal 38 3" xfId="1099" xr:uid="{00000000-0005-0000-0000-0000C7020000}"/>
    <cellStyle name="Normal 38 4" xfId="1100" xr:uid="{00000000-0005-0000-0000-0000C8020000}"/>
    <cellStyle name="Normal 38 5" xfId="1101" xr:uid="{00000000-0005-0000-0000-0000C9020000}"/>
    <cellStyle name="Normal 38 6" xfId="1102" xr:uid="{00000000-0005-0000-0000-0000CA020000}"/>
    <cellStyle name="Normal 4" xfId="611" xr:uid="{00000000-0005-0000-0000-0000CB020000}"/>
    <cellStyle name="Normal 4 2" xfId="612" xr:uid="{00000000-0005-0000-0000-0000CC020000}"/>
    <cellStyle name="Normal 4 2 2" xfId="613" xr:uid="{00000000-0005-0000-0000-0000CD020000}"/>
    <cellStyle name="Normal 4 2 3" xfId="614" xr:uid="{00000000-0005-0000-0000-0000CE020000}"/>
    <cellStyle name="Normal 4 3" xfId="615" xr:uid="{00000000-0005-0000-0000-0000CF020000}"/>
    <cellStyle name="Normal 4 3 2" xfId="616" xr:uid="{00000000-0005-0000-0000-0000D0020000}"/>
    <cellStyle name="Normal 4 4" xfId="1103" xr:uid="{00000000-0005-0000-0000-0000D1020000}"/>
    <cellStyle name="Normal 4 5" xfId="1104" xr:uid="{00000000-0005-0000-0000-0000D2020000}"/>
    <cellStyle name="Normal 4 6" xfId="1105" xr:uid="{00000000-0005-0000-0000-0000D3020000}"/>
    <cellStyle name="Normal 40 2" xfId="1106" xr:uid="{00000000-0005-0000-0000-0000D4020000}"/>
    <cellStyle name="Normal 40 3" xfId="1107" xr:uid="{00000000-0005-0000-0000-0000D5020000}"/>
    <cellStyle name="Normal 40 4" xfId="1108" xr:uid="{00000000-0005-0000-0000-0000D6020000}"/>
    <cellStyle name="Normal 40 5" xfId="1109" xr:uid="{00000000-0005-0000-0000-0000D7020000}"/>
    <cellStyle name="Normal 40 6" xfId="1110" xr:uid="{00000000-0005-0000-0000-0000D8020000}"/>
    <cellStyle name="Normal 41 2" xfId="1111" xr:uid="{00000000-0005-0000-0000-0000D9020000}"/>
    <cellStyle name="Normal 41 3" xfId="1112" xr:uid="{00000000-0005-0000-0000-0000DA020000}"/>
    <cellStyle name="Normal 41 4" xfId="1113" xr:uid="{00000000-0005-0000-0000-0000DB020000}"/>
    <cellStyle name="Normal 41 5" xfId="1114" xr:uid="{00000000-0005-0000-0000-0000DC020000}"/>
    <cellStyle name="Normal 41 6" xfId="1115" xr:uid="{00000000-0005-0000-0000-0000DD020000}"/>
    <cellStyle name="Normal 44 2" xfId="1116" xr:uid="{00000000-0005-0000-0000-0000DE020000}"/>
    <cellStyle name="Normal 44 3" xfId="1117" xr:uid="{00000000-0005-0000-0000-0000DF020000}"/>
    <cellStyle name="Normal 44 4" xfId="1118" xr:uid="{00000000-0005-0000-0000-0000E0020000}"/>
    <cellStyle name="Normal 44 5" xfId="1119" xr:uid="{00000000-0005-0000-0000-0000E1020000}"/>
    <cellStyle name="Normal 44 6" xfId="1120" xr:uid="{00000000-0005-0000-0000-0000E2020000}"/>
    <cellStyle name="Normal 45 2" xfId="1121" xr:uid="{00000000-0005-0000-0000-0000E3020000}"/>
    <cellStyle name="Normal 45 3" xfId="1122" xr:uid="{00000000-0005-0000-0000-0000E4020000}"/>
    <cellStyle name="Normal 45 4" xfId="1123" xr:uid="{00000000-0005-0000-0000-0000E5020000}"/>
    <cellStyle name="Normal 45 5" xfId="1124" xr:uid="{00000000-0005-0000-0000-0000E6020000}"/>
    <cellStyle name="Normal 45 6" xfId="1125" xr:uid="{00000000-0005-0000-0000-0000E7020000}"/>
    <cellStyle name="Normal 46 2" xfId="1126" xr:uid="{00000000-0005-0000-0000-0000E8020000}"/>
    <cellStyle name="Normal 46 3" xfId="1127" xr:uid="{00000000-0005-0000-0000-0000E9020000}"/>
    <cellStyle name="Normal 46 4" xfId="1128" xr:uid="{00000000-0005-0000-0000-0000EA020000}"/>
    <cellStyle name="Normal 46 5" xfId="1129" xr:uid="{00000000-0005-0000-0000-0000EB020000}"/>
    <cellStyle name="Normal 46 6" xfId="1130" xr:uid="{00000000-0005-0000-0000-0000EC020000}"/>
    <cellStyle name="Normal 49 2" xfId="1131" xr:uid="{00000000-0005-0000-0000-0000ED020000}"/>
    <cellStyle name="Normal 49 3" xfId="1132" xr:uid="{00000000-0005-0000-0000-0000EE020000}"/>
    <cellStyle name="Normal 49 4" xfId="1133" xr:uid="{00000000-0005-0000-0000-0000EF020000}"/>
    <cellStyle name="Normal 49 5" xfId="1134" xr:uid="{00000000-0005-0000-0000-0000F0020000}"/>
    <cellStyle name="Normal 49 6" xfId="1135" xr:uid="{00000000-0005-0000-0000-0000F1020000}"/>
    <cellStyle name="Normal 5" xfId="617" xr:uid="{00000000-0005-0000-0000-0000F2020000}"/>
    <cellStyle name="Normal 5 2" xfId="618" xr:uid="{00000000-0005-0000-0000-0000F3020000}"/>
    <cellStyle name="Normal 5 2 2" xfId="619" xr:uid="{00000000-0005-0000-0000-0000F4020000}"/>
    <cellStyle name="Normal 5 2 2 2" xfId="620" xr:uid="{00000000-0005-0000-0000-0000F5020000}"/>
    <cellStyle name="Normal 5 2 2 2 2" xfId="621" xr:uid="{00000000-0005-0000-0000-0000F6020000}"/>
    <cellStyle name="Normal 5 2 2 2 2 2" xfId="622" xr:uid="{00000000-0005-0000-0000-0000F7020000}"/>
    <cellStyle name="Normal 5 2 2 2 3" xfId="623" xr:uid="{00000000-0005-0000-0000-0000F8020000}"/>
    <cellStyle name="Normal 5 2 2 3" xfId="624" xr:uid="{00000000-0005-0000-0000-0000F9020000}"/>
    <cellStyle name="Normal 5 2 2 3 2" xfId="625" xr:uid="{00000000-0005-0000-0000-0000FA020000}"/>
    <cellStyle name="Normal 5 2 2 4" xfId="626" xr:uid="{00000000-0005-0000-0000-0000FB020000}"/>
    <cellStyle name="Normal 5 2 3" xfId="627" xr:uid="{00000000-0005-0000-0000-0000FC020000}"/>
    <cellStyle name="Normal 5 2 3 2" xfId="628" xr:uid="{00000000-0005-0000-0000-0000FD020000}"/>
    <cellStyle name="Normal 5 2 3 2 2" xfId="629" xr:uid="{00000000-0005-0000-0000-0000FE020000}"/>
    <cellStyle name="Normal 5 2 3 3" xfId="630" xr:uid="{00000000-0005-0000-0000-0000FF020000}"/>
    <cellStyle name="Normal 5 2 4" xfId="631" xr:uid="{00000000-0005-0000-0000-000000030000}"/>
    <cellStyle name="Normal 5 2 4 2" xfId="632" xr:uid="{00000000-0005-0000-0000-000001030000}"/>
    <cellStyle name="Normal 5 2 5" xfId="633" xr:uid="{00000000-0005-0000-0000-000002030000}"/>
    <cellStyle name="Normal 5 2 5 2" xfId="634" xr:uid="{00000000-0005-0000-0000-000003030000}"/>
    <cellStyle name="Normal 5 2 6" xfId="635" xr:uid="{00000000-0005-0000-0000-000004030000}"/>
    <cellStyle name="Normal 5 3" xfId="636" xr:uid="{00000000-0005-0000-0000-000005030000}"/>
    <cellStyle name="Normal 5 3 2" xfId="637" xr:uid="{00000000-0005-0000-0000-000006030000}"/>
    <cellStyle name="Normal 5 3 2 2" xfId="638" xr:uid="{00000000-0005-0000-0000-000007030000}"/>
    <cellStyle name="Normal 5 3 2 2 2" xfId="639" xr:uid="{00000000-0005-0000-0000-000008030000}"/>
    <cellStyle name="Normal 5 3 2 3" xfId="640" xr:uid="{00000000-0005-0000-0000-000009030000}"/>
    <cellStyle name="Normal 5 3 3" xfId="641" xr:uid="{00000000-0005-0000-0000-00000A030000}"/>
    <cellStyle name="Normal 5 3 3 2" xfId="642" xr:uid="{00000000-0005-0000-0000-00000B030000}"/>
    <cellStyle name="Normal 5 3 4" xfId="643" xr:uid="{00000000-0005-0000-0000-00000C030000}"/>
    <cellStyle name="Normal 5 4" xfId="644" xr:uid="{00000000-0005-0000-0000-00000D030000}"/>
    <cellStyle name="Normal 5 4 2" xfId="645" xr:uid="{00000000-0005-0000-0000-00000E030000}"/>
    <cellStyle name="Normal 5 4 2 2" xfId="646" xr:uid="{00000000-0005-0000-0000-00000F030000}"/>
    <cellStyle name="Normal 5 4 3" xfId="647" xr:uid="{00000000-0005-0000-0000-000010030000}"/>
    <cellStyle name="Normal 5 5" xfId="648" xr:uid="{00000000-0005-0000-0000-000011030000}"/>
    <cellStyle name="Normal 5 5 2" xfId="649" xr:uid="{00000000-0005-0000-0000-000012030000}"/>
    <cellStyle name="Normal 5 6" xfId="650" xr:uid="{00000000-0005-0000-0000-000013030000}"/>
    <cellStyle name="Normal 5 7" xfId="651" xr:uid="{00000000-0005-0000-0000-000014030000}"/>
    <cellStyle name="Normal 5 8" xfId="652" xr:uid="{00000000-0005-0000-0000-000015030000}"/>
    <cellStyle name="Normal 54 2" xfId="1136" xr:uid="{00000000-0005-0000-0000-000016030000}"/>
    <cellStyle name="Normal 54 3" xfId="1137" xr:uid="{00000000-0005-0000-0000-000017030000}"/>
    <cellStyle name="Normal 54 4" xfId="1138" xr:uid="{00000000-0005-0000-0000-000018030000}"/>
    <cellStyle name="Normal 54 5" xfId="1139" xr:uid="{00000000-0005-0000-0000-000019030000}"/>
    <cellStyle name="Normal 54 6" xfId="1140" xr:uid="{00000000-0005-0000-0000-00001A030000}"/>
    <cellStyle name="Normal 56 2" xfId="1141" xr:uid="{00000000-0005-0000-0000-00001B030000}"/>
    <cellStyle name="Normal 56 3" xfId="1142" xr:uid="{00000000-0005-0000-0000-00001C030000}"/>
    <cellStyle name="Normal 56 4" xfId="1143" xr:uid="{00000000-0005-0000-0000-00001D030000}"/>
    <cellStyle name="Normal 56 5" xfId="1144" xr:uid="{00000000-0005-0000-0000-00001E030000}"/>
    <cellStyle name="Normal 56 6" xfId="1145" xr:uid="{00000000-0005-0000-0000-00001F030000}"/>
    <cellStyle name="Normal 57 2" xfId="1146" xr:uid="{00000000-0005-0000-0000-000020030000}"/>
    <cellStyle name="Normal 57 3" xfId="1147" xr:uid="{00000000-0005-0000-0000-000021030000}"/>
    <cellStyle name="Normal 57 4" xfId="1148" xr:uid="{00000000-0005-0000-0000-000022030000}"/>
    <cellStyle name="Normal 57 5" xfId="1149" xr:uid="{00000000-0005-0000-0000-000023030000}"/>
    <cellStyle name="Normal 57 6" xfId="1150" xr:uid="{00000000-0005-0000-0000-000024030000}"/>
    <cellStyle name="Normal 6" xfId="653" xr:uid="{00000000-0005-0000-0000-000025030000}"/>
    <cellStyle name="Normal 6 10" xfId="654" xr:uid="{00000000-0005-0000-0000-000026030000}"/>
    <cellStyle name="Normal 6 10 2" xfId="655" xr:uid="{00000000-0005-0000-0000-000027030000}"/>
    <cellStyle name="Normal 6 11" xfId="656" xr:uid="{00000000-0005-0000-0000-000028030000}"/>
    <cellStyle name="Normal 6 2" xfId="657" xr:uid="{00000000-0005-0000-0000-000029030000}"/>
    <cellStyle name="Normal 6 2 2" xfId="658" xr:uid="{00000000-0005-0000-0000-00002A030000}"/>
    <cellStyle name="Normal 6 2 2 2" xfId="659" xr:uid="{00000000-0005-0000-0000-00002B030000}"/>
    <cellStyle name="Normal 6 2 2 2 2" xfId="660" xr:uid="{00000000-0005-0000-0000-00002C030000}"/>
    <cellStyle name="Normal 6 2 2 2 2 2" xfId="661" xr:uid="{00000000-0005-0000-0000-00002D030000}"/>
    <cellStyle name="Normal 6 2 2 2 3" xfId="662" xr:uid="{00000000-0005-0000-0000-00002E030000}"/>
    <cellStyle name="Normal 6 2 2 3" xfId="663" xr:uid="{00000000-0005-0000-0000-00002F030000}"/>
    <cellStyle name="Normal 6 2 2 3 2" xfId="664" xr:uid="{00000000-0005-0000-0000-000030030000}"/>
    <cellStyle name="Normal 6 2 2 4" xfId="665" xr:uid="{00000000-0005-0000-0000-000031030000}"/>
    <cellStyle name="Normal 6 2 3" xfId="666" xr:uid="{00000000-0005-0000-0000-000032030000}"/>
    <cellStyle name="Normal 6 2 3 2" xfId="667" xr:uid="{00000000-0005-0000-0000-000033030000}"/>
    <cellStyle name="Normal 6 2 3 2 2" xfId="668" xr:uid="{00000000-0005-0000-0000-000034030000}"/>
    <cellStyle name="Normal 6 2 3 3" xfId="669" xr:uid="{00000000-0005-0000-0000-000035030000}"/>
    <cellStyle name="Normal 6 2 4" xfId="670" xr:uid="{00000000-0005-0000-0000-000036030000}"/>
    <cellStyle name="Normal 6 2 4 2" xfId="671" xr:uid="{00000000-0005-0000-0000-000037030000}"/>
    <cellStyle name="Normal 6 2 5" xfId="672" xr:uid="{00000000-0005-0000-0000-000038030000}"/>
    <cellStyle name="Normal 6 2 5 2" xfId="673" xr:uid="{00000000-0005-0000-0000-000039030000}"/>
    <cellStyle name="Normal 6 2 6" xfId="674" xr:uid="{00000000-0005-0000-0000-00003A030000}"/>
    <cellStyle name="Normal 6 3" xfId="675" xr:uid="{00000000-0005-0000-0000-00003B030000}"/>
    <cellStyle name="Normal 6 3 2" xfId="676" xr:uid="{00000000-0005-0000-0000-00003C030000}"/>
    <cellStyle name="Normal 6 3 2 2" xfId="677" xr:uid="{00000000-0005-0000-0000-00003D030000}"/>
    <cellStyle name="Normal 6 3 2 2 2" xfId="678" xr:uid="{00000000-0005-0000-0000-00003E030000}"/>
    <cellStyle name="Normal 6 3 2 2 2 2" xfId="679" xr:uid="{00000000-0005-0000-0000-00003F030000}"/>
    <cellStyle name="Normal 6 3 2 2 3" xfId="680" xr:uid="{00000000-0005-0000-0000-000040030000}"/>
    <cellStyle name="Normal 6 3 2 3" xfId="681" xr:uid="{00000000-0005-0000-0000-000041030000}"/>
    <cellStyle name="Normal 6 3 2 3 2" xfId="682" xr:uid="{00000000-0005-0000-0000-000042030000}"/>
    <cellStyle name="Normal 6 3 2 4" xfId="683" xr:uid="{00000000-0005-0000-0000-000043030000}"/>
    <cellStyle name="Normal 6 3 3" xfId="684" xr:uid="{00000000-0005-0000-0000-000044030000}"/>
    <cellStyle name="Normal 6 3 3 2" xfId="685" xr:uid="{00000000-0005-0000-0000-000045030000}"/>
    <cellStyle name="Normal 6 3 3 2 2" xfId="686" xr:uid="{00000000-0005-0000-0000-000046030000}"/>
    <cellStyle name="Normal 6 3 3 3" xfId="687" xr:uid="{00000000-0005-0000-0000-000047030000}"/>
    <cellStyle name="Normal 6 3 4" xfId="688" xr:uid="{00000000-0005-0000-0000-000048030000}"/>
    <cellStyle name="Normal 6 3 4 2" xfId="689" xr:uid="{00000000-0005-0000-0000-000049030000}"/>
    <cellStyle name="Normal 6 3 5" xfId="690" xr:uid="{00000000-0005-0000-0000-00004A030000}"/>
    <cellStyle name="Normal 6 4" xfId="691" xr:uid="{00000000-0005-0000-0000-00004B030000}"/>
    <cellStyle name="Normal 6 4 2" xfId="692" xr:uid="{00000000-0005-0000-0000-00004C030000}"/>
    <cellStyle name="Normal 6 4 2 2" xfId="693" xr:uid="{00000000-0005-0000-0000-00004D030000}"/>
    <cellStyle name="Normal 6 4 2 2 2" xfId="694" xr:uid="{00000000-0005-0000-0000-00004E030000}"/>
    <cellStyle name="Normal 6 4 2 3" xfId="695" xr:uid="{00000000-0005-0000-0000-00004F030000}"/>
    <cellStyle name="Normal 6 4 3" xfId="696" xr:uid="{00000000-0005-0000-0000-000050030000}"/>
    <cellStyle name="Normal 6 4 3 2" xfId="697" xr:uid="{00000000-0005-0000-0000-000051030000}"/>
    <cellStyle name="Normal 6 4 4" xfId="698" xr:uid="{00000000-0005-0000-0000-000052030000}"/>
    <cellStyle name="Normal 6 5" xfId="699" xr:uid="{00000000-0005-0000-0000-000053030000}"/>
    <cellStyle name="Normal 6 5 2" xfId="700" xr:uid="{00000000-0005-0000-0000-000054030000}"/>
    <cellStyle name="Normal 6 5 2 2" xfId="701" xr:uid="{00000000-0005-0000-0000-000055030000}"/>
    <cellStyle name="Normal 6 5 3" xfId="702" xr:uid="{00000000-0005-0000-0000-000056030000}"/>
    <cellStyle name="Normal 6 6" xfId="703" xr:uid="{00000000-0005-0000-0000-000057030000}"/>
    <cellStyle name="Normal 6 6 2" xfId="704" xr:uid="{00000000-0005-0000-0000-000058030000}"/>
    <cellStyle name="Normal 6 7" xfId="705" xr:uid="{00000000-0005-0000-0000-000059030000}"/>
    <cellStyle name="Normal 6 7 2" xfId="706" xr:uid="{00000000-0005-0000-0000-00005A030000}"/>
    <cellStyle name="Normal 6 8" xfId="707" xr:uid="{00000000-0005-0000-0000-00005B030000}"/>
    <cellStyle name="Normal 6 8 2" xfId="708" xr:uid="{00000000-0005-0000-0000-00005C030000}"/>
    <cellStyle name="Normal 6 9" xfId="709" xr:uid="{00000000-0005-0000-0000-00005D030000}"/>
    <cellStyle name="Normal 6 9 2" xfId="710" xr:uid="{00000000-0005-0000-0000-00005E030000}"/>
    <cellStyle name="Normal 62" xfId="1151" xr:uid="{00000000-0005-0000-0000-00005F030000}"/>
    <cellStyle name="Normal 62 2" xfId="1152" xr:uid="{00000000-0005-0000-0000-000060030000}"/>
    <cellStyle name="Normal 62 3" xfId="1153" xr:uid="{00000000-0005-0000-0000-000061030000}"/>
    <cellStyle name="Normal 62 4" xfId="1154" xr:uid="{00000000-0005-0000-0000-000062030000}"/>
    <cellStyle name="Normal 64" xfId="1155" xr:uid="{00000000-0005-0000-0000-000063030000}"/>
    <cellStyle name="Normal 64 2" xfId="1156" xr:uid="{00000000-0005-0000-0000-000064030000}"/>
    <cellStyle name="Normal 65" xfId="1157" xr:uid="{00000000-0005-0000-0000-000065030000}"/>
    <cellStyle name="Normal 7" xfId="711" xr:uid="{00000000-0005-0000-0000-000066030000}"/>
    <cellStyle name="Normal 7 2" xfId="712" xr:uid="{00000000-0005-0000-0000-000067030000}"/>
    <cellStyle name="Normal 7 2 2" xfId="713" xr:uid="{00000000-0005-0000-0000-000068030000}"/>
    <cellStyle name="Normal 7 2 2 2" xfId="714" xr:uid="{00000000-0005-0000-0000-000069030000}"/>
    <cellStyle name="Normal 7 2 2 2 2" xfId="715" xr:uid="{00000000-0005-0000-0000-00006A030000}"/>
    <cellStyle name="Normal 7 2 2 2 2 2" xfId="716" xr:uid="{00000000-0005-0000-0000-00006B030000}"/>
    <cellStyle name="Normal 7 2 2 2 3" xfId="717" xr:uid="{00000000-0005-0000-0000-00006C030000}"/>
    <cellStyle name="Normal 7 2 2 3" xfId="718" xr:uid="{00000000-0005-0000-0000-00006D030000}"/>
    <cellStyle name="Normal 7 2 2 3 2" xfId="719" xr:uid="{00000000-0005-0000-0000-00006E030000}"/>
    <cellStyle name="Normal 7 2 2 4" xfId="720" xr:uid="{00000000-0005-0000-0000-00006F030000}"/>
    <cellStyle name="Normal 7 2 3" xfId="721" xr:uid="{00000000-0005-0000-0000-000070030000}"/>
    <cellStyle name="Normal 7 2 3 2" xfId="722" xr:uid="{00000000-0005-0000-0000-000071030000}"/>
    <cellStyle name="Normal 7 2 3 2 2" xfId="723" xr:uid="{00000000-0005-0000-0000-000072030000}"/>
    <cellStyle name="Normal 7 2 3 3" xfId="724" xr:uid="{00000000-0005-0000-0000-000073030000}"/>
    <cellStyle name="Normal 7 2 4" xfId="725" xr:uid="{00000000-0005-0000-0000-000074030000}"/>
    <cellStyle name="Normal 7 2 4 2" xfId="726" xr:uid="{00000000-0005-0000-0000-000075030000}"/>
    <cellStyle name="Normal 7 2 5" xfId="727" xr:uid="{00000000-0005-0000-0000-000076030000}"/>
    <cellStyle name="Normal 7 2 5 2" xfId="728" xr:uid="{00000000-0005-0000-0000-000077030000}"/>
    <cellStyle name="Normal 7 2 6" xfId="729" xr:uid="{00000000-0005-0000-0000-000078030000}"/>
    <cellStyle name="Normal 7 3" xfId="730" xr:uid="{00000000-0005-0000-0000-000079030000}"/>
    <cellStyle name="Normal 7 3 2" xfId="731" xr:uid="{00000000-0005-0000-0000-00007A030000}"/>
    <cellStyle name="Normal 7 3 2 2" xfId="732" xr:uid="{00000000-0005-0000-0000-00007B030000}"/>
    <cellStyle name="Normal 7 3 2 2 2" xfId="733" xr:uid="{00000000-0005-0000-0000-00007C030000}"/>
    <cellStyle name="Normal 7 3 2 3" xfId="734" xr:uid="{00000000-0005-0000-0000-00007D030000}"/>
    <cellStyle name="Normal 7 3 3" xfId="735" xr:uid="{00000000-0005-0000-0000-00007E030000}"/>
    <cellStyle name="Normal 7 3 3 2" xfId="736" xr:uid="{00000000-0005-0000-0000-00007F030000}"/>
    <cellStyle name="Normal 7 3 4" xfId="737" xr:uid="{00000000-0005-0000-0000-000080030000}"/>
    <cellStyle name="Normal 7 4" xfId="738" xr:uid="{00000000-0005-0000-0000-000081030000}"/>
    <cellStyle name="Normal 7 4 2" xfId="739" xr:uid="{00000000-0005-0000-0000-000082030000}"/>
    <cellStyle name="Normal 7 4 2 2" xfId="740" xr:uid="{00000000-0005-0000-0000-000083030000}"/>
    <cellStyle name="Normal 7 4 3" xfId="741" xr:uid="{00000000-0005-0000-0000-000084030000}"/>
    <cellStyle name="Normal 7 5" xfId="742" xr:uid="{00000000-0005-0000-0000-000085030000}"/>
    <cellStyle name="Normal 7 5 2" xfId="743" xr:uid="{00000000-0005-0000-0000-000086030000}"/>
    <cellStyle name="Normal 7 6" xfId="744" xr:uid="{00000000-0005-0000-0000-000087030000}"/>
    <cellStyle name="Normal 7 7" xfId="745" xr:uid="{00000000-0005-0000-0000-000088030000}"/>
    <cellStyle name="Normal 7 8" xfId="746" xr:uid="{00000000-0005-0000-0000-000089030000}"/>
    <cellStyle name="Normal 8" xfId="747" xr:uid="{00000000-0005-0000-0000-00008A030000}"/>
    <cellStyle name="Normal 8 2" xfId="748" xr:uid="{00000000-0005-0000-0000-00008B030000}"/>
    <cellStyle name="Normal 8 3" xfId="749" xr:uid="{00000000-0005-0000-0000-00008C030000}"/>
    <cellStyle name="Normal 8 4" xfId="1158" xr:uid="{00000000-0005-0000-0000-00008D030000}"/>
    <cellStyle name="Normal 8 5" xfId="1159" xr:uid="{00000000-0005-0000-0000-00008E030000}"/>
    <cellStyle name="Normal 8 6" xfId="1160" xr:uid="{00000000-0005-0000-0000-00008F030000}"/>
    <cellStyle name="Normal 9" xfId="750" xr:uid="{00000000-0005-0000-0000-000090030000}"/>
    <cellStyle name="Normal 9 2" xfId="751" xr:uid="{00000000-0005-0000-0000-000091030000}"/>
    <cellStyle name="Normal 9 3" xfId="1161" xr:uid="{00000000-0005-0000-0000-000092030000}"/>
    <cellStyle name="Normal 9 4" xfId="1162" xr:uid="{00000000-0005-0000-0000-000093030000}"/>
    <cellStyle name="Normal 9 5" xfId="1163" xr:uid="{00000000-0005-0000-0000-000094030000}"/>
    <cellStyle name="Normal 9 6" xfId="1164" xr:uid="{00000000-0005-0000-0000-000095030000}"/>
    <cellStyle name="Normal GHG Numbers (0.00)" xfId="752" xr:uid="{00000000-0005-0000-0000-000096030000}"/>
    <cellStyle name="Normal GHG Numbers (0.00) 2" xfId="753" xr:uid="{00000000-0005-0000-0000-000097030000}"/>
    <cellStyle name="Normal GHG Numbers (0.00) 3" xfId="754" xr:uid="{00000000-0005-0000-0000-000098030000}"/>
    <cellStyle name="Normal GHG Numbers (0.00) 3 2" xfId="755" xr:uid="{00000000-0005-0000-0000-000099030000}"/>
    <cellStyle name="Normal GHG Numbers (0.00) 3 2 2" xfId="756" xr:uid="{00000000-0005-0000-0000-00009A030000}"/>
    <cellStyle name="Normal GHG Numbers (0.00) 3 2 2 2" xfId="757" xr:uid="{00000000-0005-0000-0000-00009B030000}"/>
    <cellStyle name="Normal GHG Numbers (0.00) 3 2 3" xfId="758" xr:uid="{00000000-0005-0000-0000-00009C030000}"/>
    <cellStyle name="Normal GHG Numbers (0.00) 3 3" xfId="759" xr:uid="{00000000-0005-0000-0000-00009D030000}"/>
    <cellStyle name="Normal GHG Numbers (0.00) 3 3 2" xfId="760" xr:uid="{00000000-0005-0000-0000-00009E030000}"/>
    <cellStyle name="Normal GHG Numbers (0.00) 3 3 2 2" xfId="761" xr:uid="{00000000-0005-0000-0000-00009F030000}"/>
    <cellStyle name="Normal GHG Numbers (0.00) 3 3 3" xfId="762" xr:uid="{00000000-0005-0000-0000-0000A0030000}"/>
    <cellStyle name="Normal GHG Numbers (0.00) 3 3 3 2" xfId="763" xr:uid="{00000000-0005-0000-0000-0000A1030000}"/>
    <cellStyle name="Normal GHG Numbers (0.00) 3 3 4" xfId="764" xr:uid="{00000000-0005-0000-0000-0000A2030000}"/>
    <cellStyle name="Normal GHG Numbers (0.00) 3 3 4 2" xfId="765" xr:uid="{00000000-0005-0000-0000-0000A3030000}"/>
    <cellStyle name="Normal GHG Numbers (0.00) 3 4" xfId="766" xr:uid="{00000000-0005-0000-0000-0000A4030000}"/>
    <cellStyle name="Normal GHG Textfiels Bold" xfId="767" xr:uid="{00000000-0005-0000-0000-0000A5030000}"/>
    <cellStyle name="Normal GHG Textfiels Bold 2" xfId="768" xr:uid="{00000000-0005-0000-0000-0000A6030000}"/>
    <cellStyle name="Normal GHG Textfiels Bold 3" xfId="769" xr:uid="{00000000-0005-0000-0000-0000A7030000}"/>
    <cellStyle name="Normal GHG Textfiels Bold 3 2" xfId="770" xr:uid="{00000000-0005-0000-0000-0000A8030000}"/>
    <cellStyle name="Normal GHG Textfiels Bold 3 2 2" xfId="771" xr:uid="{00000000-0005-0000-0000-0000A9030000}"/>
    <cellStyle name="Normal GHG Textfiels Bold 3 2 2 2" xfId="772" xr:uid="{00000000-0005-0000-0000-0000AA030000}"/>
    <cellStyle name="Normal GHG Textfiels Bold 3 2 3" xfId="773" xr:uid="{00000000-0005-0000-0000-0000AB030000}"/>
    <cellStyle name="Normal GHG Textfiels Bold 3 3" xfId="774" xr:uid="{00000000-0005-0000-0000-0000AC030000}"/>
    <cellStyle name="Normal GHG Textfiels Bold 3 3 2" xfId="775" xr:uid="{00000000-0005-0000-0000-0000AD030000}"/>
    <cellStyle name="Normal GHG Textfiels Bold 3 3 2 2" xfId="776" xr:uid="{00000000-0005-0000-0000-0000AE030000}"/>
    <cellStyle name="Normal GHG Textfiels Bold 3 3 3" xfId="777" xr:uid="{00000000-0005-0000-0000-0000AF030000}"/>
    <cellStyle name="Normal GHG Textfiels Bold 3 3 3 2" xfId="778" xr:uid="{00000000-0005-0000-0000-0000B0030000}"/>
    <cellStyle name="Normal GHG Textfiels Bold 3 3 4" xfId="779" xr:uid="{00000000-0005-0000-0000-0000B1030000}"/>
    <cellStyle name="Normal GHG Textfiels Bold 3 3 4 2" xfId="780" xr:uid="{00000000-0005-0000-0000-0000B2030000}"/>
    <cellStyle name="Normal GHG whole table" xfId="781" xr:uid="{00000000-0005-0000-0000-0000B3030000}"/>
    <cellStyle name="Normal GHG whole table 2" xfId="782" xr:uid="{00000000-0005-0000-0000-0000B4030000}"/>
    <cellStyle name="Normal GHG whole table 2 2" xfId="783" xr:uid="{00000000-0005-0000-0000-0000B5030000}"/>
    <cellStyle name="Normal GHG whole table 2 2 2" xfId="784" xr:uid="{00000000-0005-0000-0000-0000B6030000}"/>
    <cellStyle name="Normal GHG whole table 2 3" xfId="785" xr:uid="{00000000-0005-0000-0000-0000B7030000}"/>
    <cellStyle name="Normal GHG whole table 3" xfId="786" xr:uid="{00000000-0005-0000-0000-0000B8030000}"/>
    <cellStyle name="Normal GHG whole table 3 2" xfId="787" xr:uid="{00000000-0005-0000-0000-0000B9030000}"/>
    <cellStyle name="Normal GHG whole table 3 2 2" xfId="788" xr:uid="{00000000-0005-0000-0000-0000BA030000}"/>
    <cellStyle name="Normal GHG whole table 3 3" xfId="789" xr:uid="{00000000-0005-0000-0000-0000BB030000}"/>
    <cellStyle name="Normal GHG whole table 3 3 2" xfId="790" xr:uid="{00000000-0005-0000-0000-0000BC030000}"/>
    <cellStyle name="Normal GHG whole table 3 4" xfId="791" xr:uid="{00000000-0005-0000-0000-0000BD030000}"/>
    <cellStyle name="Normal GHG whole table 3 4 2" xfId="792" xr:uid="{00000000-0005-0000-0000-0000BE030000}"/>
    <cellStyle name="Normal GHG whole table 4" xfId="793" xr:uid="{00000000-0005-0000-0000-0000BF030000}"/>
    <cellStyle name="Normal GHG-Shade" xfId="794" xr:uid="{00000000-0005-0000-0000-0000C0030000}"/>
    <cellStyle name="Normal GHG-Shade 2" xfId="795" xr:uid="{00000000-0005-0000-0000-0000C1030000}"/>
    <cellStyle name="Normal GHG-Shade 2 2" xfId="796" xr:uid="{00000000-0005-0000-0000-0000C2030000}"/>
    <cellStyle name="Normal GHG-Shade 2 3" xfId="797" xr:uid="{00000000-0005-0000-0000-0000C3030000}"/>
    <cellStyle name="Normal GHG-Shade 2 4" xfId="798" xr:uid="{00000000-0005-0000-0000-0000C4030000}"/>
    <cellStyle name="Normal GHG-Shade 2 5" xfId="799" xr:uid="{00000000-0005-0000-0000-0000C5030000}"/>
    <cellStyle name="Normal GHG-Shade 3" xfId="800" xr:uid="{00000000-0005-0000-0000-0000C6030000}"/>
    <cellStyle name="Normal GHG-Shade 3 2" xfId="801" xr:uid="{00000000-0005-0000-0000-0000C7030000}"/>
    <cellStyle name="Normal GHG-Shade 4" xfId="802" xr:uid="{00000000-0005-0000-0000-0000C8030000}"/>
    <cellStyle name="Normal GHG-Shade 4 2" xfId="803" xr:uid="{00000000-0005-0000-0000-0000C9030000}"/>
    <cellStyle name="Normál_Munka1" xfId="804" xr:uid="{00000000-0005-0000-0000-0000CA030000}"/>
    <cellStyle name="Note 2" xfId="805" xr:uid="{00000000-0005-0000-0000-0000CB030000}"/>
    <cellStyle name="Note 2 2" xfId="806" xr:uid="{00000000-0005-0000-0000-0000CC030000}"/>
    <cellStyle name="Note 2 2 2" xfId="807" xr:uid="{00000000-0005-0000-0000-0000CD030000}"/>
    <cellStyle name="Note 2 3" xfId="808" xr:uid="{00000000-0005-0000-0000-0000CE030000}"/>
    <cellStyle name="Note 2 3 2" xfId="809" xr:uid="{00000000-0005-0000-0000-0000CF030000}"/>
    <cellStyle name="Note 2 4" xfId="810" xr:uid="{00000000-0005-0000-0000-0000D0030000}"/>
    <cellStyle name="Note 2 4 2" xfId="811" xr:uid="{00000000-0005-0000-0000-0000D1030000}"/>
    <cellStyle name="Note 2 5" xfId="812" xr:uid="{00000000-0005-0000-0000-0000D2030000}"/>
    <cellStyle name="Note 3" xfId="813" xr:uid="{00000000-0005-0000-0000-0000D3030000}"/>
    <cellStyle name="Note 3 2" xfId="814" xr:uid="{00000000-0005-0000-0000-0000D4030000}"/>
    <cellStyle name="Note 3 2 2" xfId="815" xr:uid="{00000000-0005-0000-0000-0000D5030000}"/>
    <cellStyle name="Note 3 3" xfId="816" xr:uid="{00000000-0005-0000-0000-0000D6030000}"/>
    <cellStyle name="Note 3 3 2" xfId="817" xr:uid="{00000000-0005-0000-0000-0000D7030000}"/>
    <cellStyle name="Note 3 4" xfId="818" xr:uid="{00000000-0005-0000-0000-0000D8030000}"/>
    <cellStyle name="Note 3 4 2" xfId="819" xr:uid="{00000000-0005-0000-0000-0000D9030000}"/>
    <cellStyle name="Note 3 5" xfId="820" xr:uid="{00000000-0005-0000-0000-0000DA030000}"/>
    <cellStyle name="Notiz 2" xfId="821" xr:uid="{00000000-0005-0000-0000-0000DB030000}"/>
    <cellStyle name="Notiz 2 2" xfId="822" xr:uid="{00000000-0005-0000-0000-0000DC030000}"/>
    <cellStyle name="Notiz 3" xfId="823" xr:uid="{00000000-0005-0000-0000-0000DD030000}"/>
    <cellStyle name="Notiz 3 2" xfId="824" xr:uid="{00000000-0005-0000-0000-0000DE030000}"/>
    <cellStyle name="Notiz 4" xfId="825" xr:uid="{00000000-0005-0000-0000-0000DF030000}"/>
    <cellStyle name="Notiz 4 2" xfId="826" xr:uid="{00000000-0005-0000-0000-0000E0030000}"/>
    <cellStyle name="Notiz 5" xfId="827" xr:uid="{00000000-0005-0000-0000-0000E1030000}"/>
    <cellStyle name="Notiz 6" xfId="828" xr:uid="{00000000-0005-0000-0000-0000E2030000}"/>
    <cellStyle name="Output 2" xfId="829" xr:uid="{00000000-0005-0000-0000-0000E3030000}"/>
    <cellStyle name="Output 2 2" xfId="830" xr:uid="{00000000-0005-0000-0000-0000E4030000}"/>
    <cellStyle name="Output 2 2 2" xfId="831" xr:uid="{00000000-0005-0000-0000-0000E5030000}"/>
    <cellStyle name="Output 2 3" xfId="832" xr:uid="{00000000-0005-0000-0000-0000E6030000}"/>
    <cellStyle name="Output 2 3 2" xfId="833" xr:uid="{00000000-0005-0000-0000-0000E7030000}"/>
    <cellStyle name="Output 2 4" xfId="834" xr:uid="{00000000-0005-0000-0000-0000E8030000}"/>
    <cellStyle name="Output 3" xfId="835" xr:uid="{00000000-0005-0000-0000-0000E9030000}"/>
    <cellStyle name="Output 3 2" xfId="836" xr:uid="{00000000-0005-0000-0000-0000EA030000}"/>
    <cellStyle name="Output 3 2 2" xfId="837" xr:uid="{00000000-0005-0000-0000-0000EB030000}"/>
    <cellStyle name="Output 3 3" xfId="838" xr:uid="{00000000-0005-0000-0000-0000EC030000}"/>
    <cellStyle name="Output 3 3 2" xfId="839" xr:uid="{00000000-0005-0000-0000-0000ED030000}"/>
    <cellStyle name="Output 3 4" xfId="840" xr:uid="{00000000-0005-0000-0000-0000EE030000}"/>
    <cellStyle name="Pattern" xfId="841" xr:uid="{00000000-0005-0000-0000-0000EF030000}"/>
    <cellStyle name="Pattern 2" xfId="842" xr:uid="{00000000-0005-0000-0000-0000F0030000}"/>
    <cellStyle name="Pattern 2 2" xfId="843" xr:uid="{00000000-0005-0000-0000-0000F1030000}"/>
    <cellStyle name="Pattern 2 2 2" xfId="844" xr:uid="{00000000-0005-0000-0000-0000F2030000}"/>
    <cellStyle name="Pattern 2 3" xfId="845" xr:uid="{00000000-0005-0000-0000-0000F3030000}"/>
    <cellStyle name="Pattern 3" xfId="846" xr:uid="{00000000-0005-0000-0000-0000F4030000}"/>
    <cellStyle name="Pattern 3 2" xfId="847" xr:uid="{00000000-0005-0000-0000-0000F5030000}"/>
    <cellStyle name="Pattern 3 2 2" xfId="848" xr:uid="{00000000-0005-0000-0000-0000F6030000}"/>
    <cellStyle name="Pattern 3 3" xfId="849" xr:uid="{00000000-0005-0000-0000-0000F7030000}"/>
    <cellStyle name="Pattern 3 3 2" xfId="850" xr:uid="{00000000-0005-0000-0000-0000F8030000}"/>
    <cellStyle name="Pattern 3 4" xfId="851" xr:uid="{00000000-0005-0000-0000-0000F9030000}"/>
    <cellStyle name="Pattern 3 4 2" xfId="852" xr:uid="{00000000-0005-0000-0000-0000FA030000}"/>
    <cellStyle name="Percent" xfId="997" builtinId="5"/>
    <cellStyle name="Percent 2" xfId="853" xr:uid="{00000000-0005-0000-0000-0000FB030000}"/>
    <cellStyle name="Percent 2 2" xfId="854" xr:uid="{00000000-0005-0000-0000-0000FC030000}"/>
    <cellStyle name="RowLevel_1 2" xfId="855" xr:uid="{00000000-0005-0000-0000-0000FE030000}"/>
    <cellStyle name="Schlecht 2" xfId="856" xr:uid="{00000000-0005-0000-0000-0000FF030000}"/>
    <cellStyle name="Shade" xfId="857" xr:uid="{00000000-0005-0000-0000-000000040000}"/>
    <cellStyle name="Shade 2" xfId="858" xr:uid="{00000000-0005-0000-0000-000001040000}"/>
    <cellStyle name="Shade 2 2" xfId="859" xr:uid="{00000000-0005-0000-0000-000002040000}"/>
    <cellStyle name="Shade 2 2 2" xfId="860" xr:uid="{00000000-0005-0000-0000-000003040000}"/>
    <cellStyle name="Shade 2 2 2 2" xfId="861" xr:uid="{00000000-0005-0000-0000-000004040000}"/>
    <cellStyle name="Shade 2 2 3" xfId="862" xr:uid="{00000000-0005-0000-0000-000005040000}"/>
    <cellStyle name="Shade 2 3" xfId="863" xr:uid="{00000000-0005-0000-0000-000006040000}"/>
    <cellStyle name="Shade 2 3 2" xfId="864" xr:uid="{00000000-0005-0000-0000-000007040000}"/>
    <cellStyle name="Shade 2 3 2 2" xfId="865" xr:uid="{00000000-0005-0000-0000-000008040000}"/>
    <cellStyle name="Shade 2 3 3" xfId="866" xr:uid="{00000000-0005-0000-0000-000009040000}"/>
    <cellStyle name="Shade 2 3 3 2" xfId="867" xr:uid="{00000000-0005-0000-0000-00000A040000}"/>
    <cellStyle name="Shade 2 3 4" xfId="868" xr:uid="{00000000-0005-0000-0000-00000B040000}"/>
    <cellStyle name="Shade 2 3 4 2" xfId="869" xr:uid="{00000000-0005-0000-0000-00000C040000}"/>
    <cellStyle name="Shade 3" xfId="870" xr:uid="{00000000-0005-0000-0000-00000D040000}"/>
    <cellStyle name="Shade 3 2" xfId="871" xr:uid="{00000000-0005-0000-0000-00000E040000}"/>
    <cellStyle name="Shade 3 2 2" xfId="872" xr:uid="{00000000-0005-0000-0000-00000F040000}"/>
    <cellStyle name="Shade 3 3" xfId="873" xr:uid="{00000000-0005-0000-0000-000010040000}"/>
    <cellStyle name="Shade 4" xfId="874" xr:uid="{00000000-0005-0000-0000-000011040000}"/>
    <cellStyle name="Shade 4 2" xfId="875" xr:uid="{00000000-0005-0000-0000-000012040000}"/>
    <cellStyle name="Shade 4 2 2" xfId="876" xr:uid="{00000000-0005-0000-0000-000013040000}"/>
    <cellStyle name="Shade 4 2 3" xfId="877" xr:uid="{00000000-0005-0000-0000-000014040000}"/>
    <cellStyle name="Shade 4 3" xfId="878" xr:uid="{00000000-0005-0000-0000-000015040000}"/>
    <cellStyle name="Shade 4 3 2" xfId="879" xr:uid="{00000000-0005-0000-0000-000016040000}"/>
    <cellStyle name="Shade 4 4" xfId="880" xr:uid="{00000000-0005-0000-0000-000017040000}"/>
    <cellStyle name="Shade 4 4 2" xfId="881" xr:uid="{00000000-0005-0000-0000-000018040000}"/>
    <cellStyle name="Shade 5" xfId="882" xr:uid="{00000000-0005-0000-0000-000019040000}"/>
    <cellStyle name="Shade_B_border2" xfId="883" xr:uid="{00000000-0005-0000-0000-00001A040000}"/>
    <cellStyle name="Standard 2" xfId="1" xr:uid="{00000000-0005-0000-0000-00001C040000}"/>
    <cellStyle name="Standard 2 2" xfId="2" xr:uid="{00000000-0005-0000-0000-00001D040000}"/>
    <cellStyle name="Standard 2 2 2" xfId="884" xr:uid="{00000000-0005-0000-0000-00001E040000}"/>
    <cellStyle name="Standard 2 2 3" xfId="885" xr:uid="{00000000-0005-0000-0000-00001F040000}"/>
    <cellStyle name="Standard 2 3" xfId="886" xr:uid="{00000000-0005-0000-0000-000020040000}"/>
    <cellStyle name="Standard 2 4" xfId="887" xr:uid="{00000000-0005-0000-0000-000021040000}"/>
    <cellStyle name="Standard 3" xfId="888" xr:uid="{00000000-0005-0000-0000-000022040000}"/>
    <cellStyle name="Standard 4" xfId="1165" xr:uid="{00000000-0005-0000-0000-000023040000}"/>
    <cellStyle name="Standard 5" xfId="1166" xr:uid="{00000000-0005-0000-0000-000024040000}"/>
    <cellStyle name="Title 2" xfId="889" xr:uid="{00000000-0005-0000-0000-000025040000}"/>
    <cellStyle name="Title 3" xfId="890" xr:uid="{00000000-0005-0000-0000-000026040000}"/>
    <cellStyle name="Total 2" xfId="891" xr:uid="{00000000-0005-0000-0000-000027040000}"/>
    <cellStyle name="Total 2 2" xfId="892" xr:uid="{00000000-0005-0000-0000-000028040000}"/>
    <cellStyle name="Total 2 2 2" xfId="893" xr:uid="{00000000-0005-0000-0000-000029040000}"/>
    <cellStyle name="Total 2 3" xfId="894" xr:uid="{00000000-0005-0000-0000-00002A040000}"/>
    <cellStyle name="Total 2 3 2" xfId="895" xr:uid="{00000000-0005-0000-0000-00002B040000}"/>
    <cellStyle name="Total 2 4" xfId="896" xr:uid="{00000000-0005-0000-0000-00002C040000}"/>
    <cellStyle name="Total 2 4 2" xfId="897" xr:uid="{00000000-0005-0000-0000-00002D040000}"/>
    <cellStyle name="Total 2 5" xfId="898" xr:uid="{00000000-0005-0000-0000-00002E040000}"/>
    <cellStyle name="Total 3" xfId="899" xr:uid="{00000000-0005-0000-0000-00002F040000}"/>
    <cellStyle name="Total 3 2" xfId="900" xr:uid="{00000000-0005-0000-0000-000030040000}"/>
    <cellStyle name="Total 3 2 2" xfId="901" xr:uid="{00000000-0005-0000-0000-000031040000}"/>
    <cellStyle name="Total 3 3" xfId="902" xr:uid="{00000000-0005-0000-0000-000032040000}"/>
    <cellStyle name="Total 3 3 2" xfId="903" xr:uid="{00000000-0005-0000-0000-000033040000}"/>
    <cellStyle name="Total 3 4" xfId="904" xr:uid="{00000000-0005-0000-0000-000034040000}"/>
    <cellStyle name="Total 3 4 2" xfId="905" xr:uid="{00000000-0005-0000-0000-000035040000}"/>
    <cellStyle name="Total 3 5" xfId="906" xr:uid="{00000000-0005-0000-0000-000036040000}"/>
    <cellStyle name="Überschrift 1 2" xfId="907" xr:uid="{00000000-0005-0000-0000-000037040000}"/>
    <cellStyle name="Überschrift 2 2" xfId="908" xr:uid="{00000000-0005-0000-0000-000038040000}"/>
    <cellStyle name="Überschrift 3 2" xfId="909" xr:uid="{00000000-0005-0000-0000-000039040000}"/>
    <cellStyle name="Überschrift 4 2" xfId="910" xr:uid="{00000000-0005-0000-0000-00003A040000}"/>
    <cellStyle name="Überschrift 5" xfId="911" xr:uid="{00000000-0005-0000-0000-00003B040000}"/>
    <cellStyle name="Verknüpfte Zelle 2" xfId="912" xr:uid="{00000000-0005-0000-0000-00003C040000}"/>
    <cellStyle name="Warnender Text 2" xfId="913" xr:uid="{00000000-0005-0000-0000-00003D040000}"/>
    <cellStyle name="Warnender Text 3" xfId="914" xr:uid="{00000000-0005-0000-0000-00003E040000}"/>
    <cellStyle name="Warnender Text 4" xfId="915" xr:uid="{00000000-0005-0000-0000-00003F040000}"/>
    <cellStyle name="Warning Text 2" xfId="916" xr:uid="{00000000-0005-0000-0000-000040040000}"/>
    <cellStyle name="Warning Text 3" xfId="917" xr:uid="{00000000-0005-0000-0000-000041040000}"/>
    <cellStyle name="Zelle überprüfen 2" xfId="918" xr:uid="{00000000-0005-0000-0000-000042040000}"/>
    <cellStyle name="Гиперссылка" xfId="919" xr:uid="{00000000-0005-0000-0000-000043040000}"/>
    <cellStyle name="Гиперссылка 2" xfId="920" xr:uid="{00000000-0005-0000-0000-000044040000}"/>
    <cellStyle name="Гиперссылка 3" xfId="921" xr:uid="{00000000-0005-0000-0000-000045040000}"/>
    <cellStyle name="Гиперссылка 4" xfId="922" xr:uid="{00000000-0005-0000-0000-000046040000}"/>
    <cellStyle name="Обычный_2++" xfId="923" xr:uid="{00000000-0005-0000-0000-000047040000}"/>
    <cellStyle name="どちらでもない" xfId="924" xr:uid="{00000000-0005-0000-0000-000048040000}"/>
    <cellStyle name="パーセント 2" xfId="925" xr:uid="{00000000-0005-0000-0000-000049040000}"/>
    <cellStyle name="パーセント 2 2" xfId="926" xr:uid="{00000000-0005-0000-0000-00004A040000}"/>
    <cellStyle name="パーセント 2 2 2" xfId="927" xr:uid="{00000000-0005-0000-0000-00004B040000}"/>
    <cellStyle name="パーセント 2 2 3" xfId="928" xr:uid="{00000000-0005-0000-0000-00004C040000}"/>
    <cellStyle name="パーセント 2 2 3 2" xfId="929" xr:uid="{00000000-0005-0000-0000-00004D040000}"/>
    <cellStyle name="パーセント 2 3" xfId="930" xr:uid="{00000000-0005-0000-0000-00004E040000}"/>
    <cellStyle name="パーセント 2 4" xfId="931" xr:uid="{00000000-0005-0000-0000-00004F040000}"/>
    <cellStyle name="桁区切り [0.00] 2" xfId="932" xr:uid="{00000000-0005-0000-0000-000050040000}"/>
    <cellStyle name="桁区切り [0.00] 3" xfId="933" xr:uid="{00000000-0005-0000-0000-000051040000}"/>
    <cellStyle name="桁区切り [0.00] 4" xfId="934" xr:uid="{00000000-0005-0000-0000-000052040000}"/>
    <cellStyle name="桁区切り 10" xfId="935" xr:uid="{00000000-0005-0000-0000-000053040000}"/>
    <cellStyle name="桁区切り 11" xfId="936" xr:uid="{00000000-0005-0000-0000-000054040000}"/>
    <cellStyle name="桁区切り 12" xfId="937" xr:uid="{00000000-0005-0000-0000-000055040000}"/>
    <cellStyle name="桁区切り 13" xfId="938" xr:uid="{00000000-0005-0000-0000-000056040000}"/>
    <cellStyle name="桁区切り 14" xfId="939" xr:uid="{00000000-0005-0000-0000-000057040000}"/>
    <cellStyle name="桁区切り 15" xfId="940" xr:uid="{00000000-0005-0000-0000-000058040000}"/>
    <cellStyle name="桁区切り 16" xfId="941" xr:uid="{00000000-0005-0000-0000-000059040000}"/>
    <cellStyle name="桁区切り 17" xfId="942" xr:uid="{00000000-0005-0000-0000-00005A040000}"/>
    <cellStyle name="桁区切り 18" xfId="943" xr:uid="{00000000-0005-0000-0000-00005B040000}"/>
    <cellStyle name="桁区切り 19" xfId="944" xr:uid="{00000000-0005-0000-0000-00005C040000}"/>
    <cellStyle name="桁区切り 2" xfId="945" xr:uid="{00000000-0005-0000-0000-00005D040000}"/>
    <cellStyle name="桁区切り 2 2" xfId="946" xr:uid="{00000000-0005-0000-0000-00005E040000}"/>
    <cellStyle name="桁区切り 20" xfId="947" xr:uid="{00000000-0005-0000-0000-00005F040000}"/>
    <cellStyle name="桁区切り 21" xfId="948" xr:uid="{00000000-0005-0000-0000-000060040000}"/>
    <cellStyle name="桁区切り 22" xfId="949" xr:uid="{00000000-0005-0000-0000-000061040000}"/>
    <cellStyle name="桁区切り 23" xfId="950" xr:uid="{00000000-0005-0000-0000-000062040000}"/>
    <cellStyle name="桁区切り 24" xfId="951" xr:uid="{00000000-0005-0000-0000-000063040000}"/>
    <cellStyle name="桁区切り 25" xfId="952" xr:uid="{00000000-0005-0000-0000-000064040000}"/>
    <cellStyle name="桁区切り 26" xfId="953" xr:uid="{00000000-0005-0000-0000-000065040000}"/>
    <cellStyle name="桁区切り 27" xfId="954" xr:uid="{00000000-0005-0000-0000-000066040000}"/>
    <cellStyle name="桁区切り 28" xfId="955" xr:uid="{00000000-0005-0000-0000-000067040000}"/>
    <cellStyle name="桁区切り 29" xfId="956" xr:uid="{00000000-0005-0000-0000-000068040000}"/>
    <cellStyle name="桁区切り 3" xfId="957" xr:uid="{00000000-0005-0000-0000-000069040000}"/>
    <cellStyle name="桁区切り 30" xfId="958" xr:uid="{00000000-0005-0000-0000-00006A040000}"/>
    <cellStyle name="桁区切り 31" xfId="959" xr:uid="{00000000-0005-0000-0000-00006B040000}"/>
    <cellStyle name="桁区切り 32" xfId="960" xr:uid="{00000000-0005-0000-0000-00006C040000}"/>
    <cellStyle name="桁区切り 33" xfId="961" xr:uid="{00000000-0005-0000-0000-00006D040000}"/>
    <cellStyle name="桁区切り 34" xfId="962" xr:uid="{00000000-0005-0000-0000-00006E040000}"/>
    <cellStyle name="桁区切り 35" xfId="963" xr:uid="{00000000-0005-0000-0000-00006F040000}"/>
    <cellStyle name="桁区切り 36" xfId="964" xr:uid="{00000000-0005-0000-0000-000070040000}"/>
    <cellStyle name="桁区切り 37" xfId="965" xr:uid="{00000000-0005-0000-0000-000071040000}"/>
    <cellStyle name="桁区切り 38" xfId="966" xr:uid="{00000000-0005-0000-0000-000072040000}"/>
    <cellStyle name="桁区切り 39" xfId="967" xr:uid="{00000000-0005-0000-0000-000073040000}"/>
    <cellStyle name="桁区切り 4" xfId="968" xr:uid="{00000000-0005-0000-0000-000074040000}"/>
    <cellStyle name="桁区切り 40" xfId="969" xr:uid="{00000000-0005-0000-0000-000075040000}"/>
    <cellStyle name="桁区切り 41" xfId="970" xr:uid="{00000000-0005-0000-0000-000076040000}"/>
    <cellStyle name="桁区切り 42" xfId="971" xr:uid="{00000000-0005-0000-0000-000077040000}"/>
    <cellStyle name="桁区切り 43" xfId="972" xr:uid="{00000000-0005-0000-0000-000078040000}"/>
    <cellStyle name="桁区切り 44" xfId="973" xr:uid="{00000000-0005-0000-0000-000079040000}"/>
    <cellStyle name="桁区切り 45" xfId="974" xr:uid="{00000000-0005-0000-0000-00007A040000}"/>
    <cellStyle name="桁区切り 46" xfId="975" xr:uid="{00000000-0005-0000-0000-00007B040000}"/>
    <cellStyle name="桁区切り 47" xfId="976" xr:uid="{00000000-0005-0000-0000-00007C040000}"/>
    <cellStyle name="桁区切り 48" xfId="977" xr:uid="{00000000-0005-0000-0000-00007D040000}"/>
    <cellStyle name="桁区切り 5" xfId="978" xr:uid="{00000000-0005-0000-0000-00007E040000}"/>
    <cellStyle name="桁区切り 6" xfId="979" xr:uid="{00000000-0005-0000-0000-00007F040000}"/>
    <cellStyle name="桁区切り 7" xfId="980" xr:uid="{00000000-0005-0000-0000-000080040000}"/>
    <cellStyle name="桁区切り 8" xfId="981" xr:uid="{00000000-0005-0000-0000-000081040000}"/>
    <cellStyle name="桁区切り 9" xfId="982" xr:uid="{00000000-0005-0000-0000-000082040000}"/>
    <cellStyle name="標準 2" xfId="983" xr:uid="{00000000-0005-0000-0000-000083040000}"/>
    <cellStyle name="標準 2 2" xfId="984" xr:uid="{00000000-0005-0000-0000-000084040000}"/>
    <cellStyle name="標準 2 2 2" xfId="985" xr:uid="{00000000-0005-0000-0000-000085040000}"/>
    <cellStyle name="標準 2 2 3" xfId="986" xr:uid="{00000000-0005-0000-0000-000086040000}"/>
    <cellStyle name="標準 2 3" xfId="987" xr:uid="{00000000-0005-0000-0000-000087040000}"/>
    <cellStyle name="標準 2 3 2" xfId="988" xr:uid="{00000000-0005-0000-0000-000088040000}"/>
    <cellStyle name="標準 2 4" xfId="989" xr:uid="{00000000-0005-0000-0000-000089040000}"/>
    <cellStyle name="標準 3" xfId="990" xr:uid="{00000000-0005-0000-0000-00008A040000}"/>
    <cellStyle name="標準 3 2" xfId="991" xr:uid="{00000000-0005-0000-0000-00008B040000}"/>
    <cellStyle name="標準 3 3" xfId="992" xr:uid="{00000000-0005-0000-0000-00008C040000}"/>
    <cellStyle name="標準 3 4" xfId="993" xr:uid="{00000000-0005-0000-0000-00008D040000}"/>
    <cellStyle name="標準 4" xfId="994" xr:uid="{00000000-0005-0000-0000-00008E040000}"/>
    <cellStyle name="標準 5" xfId="995" xr:uid="{00000000-0005-0000-0000-00008F040000}"/>
    <cellStyle name="標準_A-7TemplateRailBlanc" xfId="996" xr:uid="{00000000-0005-0000-0000-000090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1A3a</a:t>
            </a:r>
            <a:r>
              <a:rPr lang="en-US" baseline="0"/>
              <a:t> Domestic a</a:t>
            </a:r>
            <a:r>
              <a:rPr lang="en-US"/>
              <a:t>viation</a:t>
            </a:r>
          </a:p>
        </c:rich>
      </c:tx>
      <c:overlay val="0"/>
    </c:title>
    <c:autoTitleDeleted val="0"/>
    <c:plotArea>
      <c:layout/>
      <c:barChart>
        <c:barDir val="col"/>
        <c:grouping val="clustered"/>
        <c:varyColors val="0"/>
        <c:ser>
          <c:idx val="0"/>
          <c:order val="0"/>
          <c:tx>
            <c:strRef>
              <c:f>'Top-Down Validation'!$I$26</c:f>
              <c:strCache>
                <c:ptCount val="1"/>
                <c:pt idx="0">
                  <c:v>Energy Balance
(1000 tonnes)</c:v>
                </c:pt>
              </c:strCache>
            </c:strRef>
          </c:tx>
          <c:invertIfNegative val="0"/>
          <c:cat>
            <c:strRef>
              <c:f>('Top-Down Validation'!$H$29,'Top-Down Validation'!$H$30)</c:f>
              <c:strCache>
                <c:ptCount val="2"/>
                <c:pt idx="0">
                  <c:v>Kerosene</c:v>
                </c:pt>
                <c:pt idx="1">
                  <c:v>Aviation gasoline</c:v>
                </c:pt>
              </c:strCache>
            </c:strRef>
          </c:cat>
          <c:val>
            <c:numRef>
              <c:f>('Top-Down Validation'!$I$29,'Top-Down Validation'!$I$30)</c:f>
              <c:numCache>
                <c:formatCode>_-* #,##0.0\ _€_-;\-* #,##0.0\ _€_-;_-* "-"??\ _€_-;_-@_-</c:formatCode>
                <c:ptCount val="2"/>
                <c:pt idx="0">
                  <c:v>44.471000000000004</c:v>
                </c:pt>
                <c:pt idx="1">
                  <c:v>18.7</c:v>
                </c:pt>
              </c:numCache>
            </c:numRef>
          </c:val>
          <c:extLst>
            <c:ext xmlns:c16="http://schemas.microsoft.com/office/drawing/2014/chart" uri="{C3380CC4-5D6E-409C-BE32-E72D297353CC}">
              <c16:uniqueId val="{00000000-A883-4B07-BC43-19DA08488CD5}"/>
            </c:ext>
          </c:extLst>
        </c:ser>
        <c:ser>
          <c:idx val="2"/>
          <c:order val="1"/>
          <c:tx>
            <c:strRef>
              <c:f>'Top-Down Validation'!$K$26</c:f>
              <c:strCache>
                <c:ptCount val="1"/>
                <c:pt idx="0">
                  <c:v>Calculated
(1000 tonnes)</c:v>
                </c:pt>
              </c:strCache>
            </c:strRef>
          </c:tx>
          <c:spPr>
            <a:solidFill>
              <a:schemeClr val="accent2"/>
            </a:solidFill>
          </c:spPr>
          <c:invertIfNegative val="0"/>
          <c:cat>
            <c:strRef>
              <c:f>('Top-Down Validation'!$H$29,'Top-Down Validation'!$H$30)</c:f>
              <c:strCache>
                <c:ptCount val="2"/>
                <c:pt idx="0">
                  <c:v>Kerosene</c:v>
                </c:pt>
                <c:pt idx="1">
                  <c:v>Aviation gasoline</c:v>
                </c:pt>
              </c:strCache>
            </c:strRef>
          </c:cat>
          <c:val>
            <c:numRef>
              <c:f>('Top-Down Validation'!$K$29,'Top-Down Validation'!$K$30)</c:f>
              <c:numCache>
                <c:formatCode>_-* #,##0\ _€_-;\-* #,##0\ _€_-;_-* "-"??\ _€_-;_-@_-</c:formatCode>
                <c:ptCount val="2"/>
                <c:pt idx="0">
                  <c:v>44.471000000000004</c:v>
                </c:pt>
                <c:pt idx="1">
                  <c:v>18.7</c:v>
                </c:pt>
              </c:numCache>
            </c:numRef>
          </c:val>
          <c:extLst>
            <c:ext xmlns:c16="http://schemas.microsoft.com/office/drawing/2014/chart" uri="{C3380CC4-5D6E-409C-BE32-E72D297353CC}">
              <c16:uniqueId val="{00000000-75D5-45BF-956E-E25A7558074D}"/>
            </c:ext>
          </c:extLst>
        </c:ser>
        <c:dLbls>
          <c:showLegendKey val="0"/>
          <c:showVal val="0"/>
          <c:showCatName val="0"/>
          <c:showSerName val="0"/>
          <c:showPercent val="0"/>
          <c:showBubbleSize val="0"/>
        </c:dLbls>
        <c:gapWidth val="150"/>
        <c:axId val="167527936"/>
        <c:axId val="167529472"/>
      </c:barChart>
      <c:catAx>
        <c:axId val="167527936"/>
        <c:scaling>
          <c:orientation val="minMax"/>
        </c:scaling>
        <c:delete val="0"/>
        <c:axPos val="b"/>
        <c:numFmt formatCode="General" sourceLinked="1"/>
        <c:majorTickMark val="none"/>
        <c:minorTickMark val="none"/>
        <c:tickLblPos val="nextTo"/>
        <c:crossAx val="167529472"/>
        <c:crosses val="autoZero"/>
        <c:auto val="1"/>
        <c:lblAlgn val="ctr"/>
        <c:lblOffset val="100"/>
        <c:noMultiLvlLbl val="0"/>
      </c:catAx>
      <c:valAx>
        <c:axId val="16752947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2793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1A3b Road Transportation</a:t>
            </a:r>
          </a:p>
        </c:rich>
      </c:tx>
      <c:overlay val="0"/>
    </c:title>
    <c:autoTitleDeleted val="0"/>
    <c:plotArea>
      <c:layout/>
      <c:barChart>
        <c:barDir val="col"/>
        <c:grouping val="clustered"/>
        <c:varyColors val="0"/>
        <c:ser>
          <c:idx val="0"/>
          <c:order val="0"/>
          <c:tx>
            <c:strRef>
              <c:f>'Top-Down Validation'!$O$26</c:f>
              <c:strCache>
                <c:ptCount val="1"/>
                <c:pt idx="0">
                  <c:v>Energy Balance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Validation'!$O$27:$O$28,'Top-Down Validation'!$O$32:$O$33)</c:f>
              <c:numCache>
                <c:formatCode>_-* #,##0.0\ _€_-;\-* #,##0.0\ _€_-;_-* "-"??\ _€_-;_-@_-</c:formatCode>
                <c:ptCount val="4"/>
                <c:pt idx="0">
                  <c:v>1107</c:v>
                </c:pt>
                <c:pt idx="1">
                  <c:v>2307.6999999999998</c:v>
                </c:pt>
              </c:numCache>
            </c:numRef>
          </c:val>
          <c:extLst>
            <c:ext xmlns:c16="http://schemas.microsoft.com/office/drawing/2014/chart" uri="{C3380CC4-5D6E-409C-BE32-E72D297353CC}">
              <c16:uniqueId val="{00000000-A883-4B07-BC43-19DA08488CD5}"/>
            </c:ext>
          </c:extLst>
        </c:ser>
        <c:ser>
          <c:idx val="1"/>
          <c:order val="1"/>
          <c:tx>
            <c:strRef>
              <c:f>'Top-Down Validation'!$Q$26</c:f>
              <c:strCache>
                <c:ptCount val="1"/>
                <c:pt idx="0">
                  <c:v>Calculated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Validation'!$Q$27:$Q$28,'Top-Down Validation'!$Q$32:$Q$33)</c:f>
              <c:numCache>
                <c:formatCode>_-* #,##0\ _€_-;\-* #,##0\ _€_-;_-* "-"??\ _€_-;_-@_-</c:formatCode>
                <c:ptCount val="4"/>
                <c:pt idx="0">
                  <c:v>962.16695388157871</c:v>
                </c:pt>
                <c:pt idx="1">
                  <c:v>1233.0802899418447</c:v>
                </c:pt>
                <c:pt idx="2">
                  <c:v>0</c:v>
                </c:pt>
                <c:pt idx="3">
                  <c:v>0</c:v>
                </c:pt>
              </c:numCache>
            </c:numRef>
          </c:val>
          <c:extLst>
            <c:ext xmlns:c16="http://schemas.microsoft.com/office/drawing/2014/chart" uri="{C3380CC4-5D6E-409C-BE32-E72D297353CC}">
              <c16:uniqueId val="{00000000-E0D1-4646-8485-B2E94BD26C7D}"/>
            </c:ext>
          </c:extLst>
        </c:ser>
        <c:dLbls>
          <c:showLegendKey val="0"/>
          <c:showVal val="0"/>
          <c:showCatName val="0"/>
          <c:showSerName val="0"/>
          <c:showPercent val="0"/>
          <c:showBubbleSize val="0"/>
        </c:dLbls>
        <c:gapWidth val="150"/>
        <c:axId val="167641856"/>
        <c:axId val="167643392"/>
      </c:barChart>
      <c:catAx>
        <c:axId val="167641856"/>
        <c:scaling>
          <c:orientation val="minMax"/>
        </c:scaling>
        <c:delete val="0"/>
        <c:axPos val="b"/>
        <c:numFmt formatCode="General" sourceLinked="1"/>
        <c:majorTickMark val="none"/>
        <c:minorTickMark val="none"/>
        <c:tickLblPos val="nextTo"/>
        <c:crossAx val="167643392"/>
        <c:crosses val="autoZero"/>
        <c:auto val="1"/>
        <c:lblAlgn val="ctr"/>
        <c:lblOffset val="100"/>
        <c:noMultiLvlLbl val="0"/>
      </c:catAx>
      <c:valAx>
        <c:axId val="16764339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418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1A3c</a:t>
            </a:r>
            <a:r>
              <a:rPr lang="en-US" baseline="0"/>
              <a:t> Railways</a:t>
            </a:r>
            <a:endParaRPr lang="en-US"/>
          </a:p>
        </c:rich>
      </c:tx>
      <c:overlay val="0"/>
    </c:title>
    <c:autoTitleDeleted val="0"/>
    <c:plotArea>
      <c:layout/>
      <c:barChart>
        <c:barDir val="col"/>
        <c:grouping val="clustered"/>
        <c:varyColors val="0"/>
        <c:ser>
          <c:idx val="0"/>
          <c:order val="0"/>
          <c:tx>
            <c:strRef>
              <c:f>'Top-Down Validation'!$U$26</c:f>
              <c:strCache>
                <c:ptCount val="1"/>
                <c:pt idx="0">
                  <c:v>Energy Balance
(1000 tonnes)</c:v>
                </c:pt>
              </c:strCache>
            </c:strRef>
          </c:tx>
          <c:invertIfNegative val="0"/>
          <c:cat>
            <c:strLit>
              <c:ptCount val="1"/>
              <c:pt idx="0">
                <c:v>Diesel Oil</c:v>
              </c:pt>
            </c:strLit>
          </c:cat>
          <c:val>
            <c:numRef>
              <c:f>'Top-Down Validation'!$U$28</c:f>
              <c:numCache>
                <c:formatCode>_-* #,##0.0\ _€_-;\-* #,##0.0\ _€_-;_-* "-"??\ _€_-;_-@_-</c:formatCode>
                <c:ptCount val="1"/>
                <c:pt idx="0">
                  <c:v>36.9</c:v>
                </c:pt>
              </c:numCache>
            </c:numRef>
          </c:val>
          <c:extLst>
            <c:ext xmlns:c16="http://schemas.microsoft.com/office/drawing/2014/chart" uri="{C3380CC4-5D6E-409C-BE32-E72D297353CC}">
              <c16:uniqueId val="{00000000-A883-4B07-BC43-19DA08488CD5}"/>
            </c:ext>
          </c:extLst>
        </c:ser>
        <c:ser>
          <c:idx val="1"/>
          <c:order val="1"/>
          <c:tx>
            <c:strRef>
              <c:f>'Top-Down Validation'!$W$26</c:f>
              <c:strCache>
                <c:ptCount val="1"/>
                <c:pt idx="0">
                  <c:v>Calculated
(1000 tonnes)</c:v>
                </c:pt>
              </c:strCache>
            </c:strRef>
          </c:tx>
          <c:invertIfNegative val="0"/>
          <c:cat>
            <c:strLit>
              <c:ptCount val="1"/>
              <c:pt idx="0">
                <c:v>Diesel Oil</c:v>
              </c:pt>
            </c:strLit>
          </c:cat>
          <c:val>
            <c:numRef>
              <c:f>'Top-Down Validation'!$W$28</c:f>
              <c:numCache>
                <c:formatCode>_-* #,##0\ _€_-;\-* #,##0\ _€_-;_-* "-"??\ _€_-;_-@_-</c:formatCode>
                <c:ptCount val="1"/>
                <c:pt idx="0">
                  <c:v>36.9</c:v>
                </c:pt>
              </c:numCache>
            </c:numRef>
          </c:val>
          <c:extLst>
            <c:ext xmlns:c16="http://schemas.microsoft.com/office/drawing/2014/chart" uri="{C3380CC4-5D6E-409C-BE32-E72D297353CC}">
              <c16:uniqueId val="{00000000-78AE-4913-9A36-B28CDE98D17D}"/>
            </c:ext>
          </c:extLst>
        </c:ser>
        <c:dLbls>
          <c:showLegendKey val="0"/>
          <c:showVal val="0"/>
          <c:showCatName val="0"/>
          <c:showSerName val="0"/>
          <c:showPercent val="0"/>
          <c:showBubbleSize val="0"/>
        </c:dLbls>
        <c:gapWidth val="150"/>
        <c:axId val="167584128"/>
        <c:axId val="167585664"/>
      </c:barChart>
      <c:catAx>
        <c:axId val="167584128"/>
        <c:scaling>
          <c:orientation val="minMax"/>
        </c:scaling>
        <c:delete val="0"/>
        <c:axPos val="b"/>
        <c:numFmt formatCode="General" sourceLinked="1"/>
        <c:majorTickMark val="none"/>
        <c:minorTickMark val="none"/>
        <c:tickLblPos val="nextTo"/>
        <c:crossAx val="167585664"/>
        <c:crosses val="autoZero"/>
        <c:auto val="1"/>
        <c:lblAlgn val="ctr"/>
        <c:lblOffset val="100"/>
        <c:noMultiLvlLbl val="0"/>
      </c:catAx>
      <c:valAx>
        <c:axId val="167585664"/>
        <c:scaling>
          <c:orientation val="minMax"/>
          <c:min val="0"/>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84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1A3d ii Domestic water-borne navigation</a:t>
            </a:r>
          </a:p>
        </c:rich>
      </c:tx>
      <c:overlay val="0"/>
    </c:title>
    <c:autoTitleDeleted val="0"/>
    <c:plotArea>
      <c:layout/>
      <c:barChart>
        <c:barDir val="col"/>
        <c:grouping val="clustered"/>
        <c:varyColors val="0"/>
        <c:ser>
          <c:idx val="0"/>
          <c:order val="0"/>
          <c:tx>
            <c:strRef>
              <c:f>'Top-Down Validation'!$AA$26</c:f>
              <c:strCache>
                <c:ptCount val="1"/>
                <c:pt idx="0">
                  <c:v>Energy Balance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Validation'!$AA$27,'Top-Down Validation'!$AA$28,'Top-Down Validation'!$AA$31)</c:f>
              <c:numCache>
                <c:formatCode>_-* #,##0.0\ _€_-;\-* #,##0.0\ _€_-;_-* "-"??\ _€_-;_-@_-</c:formatCode>
                <c:ptCount val="3"/>
                <c:pt idx="1">
                  <c:v>0.79519156118143419</c:v>
                </c:pt>
              </c:numCache>
            </c:numRef>
          </c:val>
          <c:extLst>
            <c:ext xmlns:c16="http://schemas.microsoft.com/office/drawing/2014/chart" uri="{C3380CC4-5D6E-409C-BE32-E72D297353CC}">
              <c16:uniqueId val="{00000000-A883-4B07-BC43-19DA08488CD5}"/>
            </c:ext>
          </c:extLst>
        </c:ser>
        <c:ser>
          <c:idx val="1"/>
          <c:order val="1"/>
          <c:tx>
            <c:strRef>
              <c:f>'Top-Down Validation'!$AC$26</c:f>
              <c:strCache>
                <c:ptCount val="1"/>
                <c:pt idx="0">
                  <c:v>Calculated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Validation'!$AC$27,'Top-Down Validation'!$AC$28,'Top-Down Validation'!$AC$31)</c:f>
              <c:numCache>
                <c:formatCode>_-* #,##0\ _€_-;\-* #,##0\ _€_-;_-* "-"??\ _€_-;_-@_-</c:formatCode>
                <c:ptCount val="3"/>
                <c:pt idx="1">
                  <c:v>1654.9002218533333</c:v>
                </c:pt>
              </c:numCache>
            </c:numRef>
          </c:val>
          <c:extLst>
            <c:ext xmlns:c16="http://schemas.microsoft.com/office/drawing/2014/chart" uri="{C3380CC4-5D6E-409C-BE32-E72D297353CC}">
              <c16:uniqueId val="{00000000-B066-44CD-AA3E-ECAA77CACBF8}"/>
            </c:ext>
          </c:extLst>
        </c:ser>
        <c:dLbls>
          <c:showLegendKey val="0"/>
          <c:showVal val="0"/>
          <c:showCatName val="0"/>
          <c:showSerName val="0"/>
          <c:showPercent val="0"/>
          <c:showBubbleSize val="0"/>
        </c:dLbls>
        <c:gapWidth val="150"/>
        <c:axId val="167624704"/>
        <c:axId val="167626240"/>
      </c:barChart>
      <c:catAx>
        <c:axId val="167624704"/>
        <c:scaling>
          <c:orientation val="minMax"/>
        </c:scaling>
        <c:delete val="0"/>
        <c:axPos val="b"/>
        <c:numFmt formatCode="General" sourceLinked="1"/>
        <c:majorTickMark val="none"/>
        <c:minorTickMark val="none"/>
        <c:tickLblPos val="nextTo"/>
        <c:crossAx val="167626240"/>
        <c:crosses val="autoZero"/>
        <c:auto val="1"/>
        <c:lblAlgn val="ctr"/>
        <c:lblOffset val="100"/>
        <c:noMultiLvlLbl val="0"/>
      </c:catAx>
      <c:valAx>
        <c:axId val="16762624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24704"/>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International bunkers</a:t>
            </a:r>
          </a:p>
        </c:rich>
      </c:tx>
      <c:overlay val="0"/>
    </c:title>
    <c:autoTitleDeleted val="0"/>
    <c:plotArea>
      <c:layout/>
      <c:barChart>
        <c:barDir val="col"/>
        <c:grouping val="clustered"/>
        <c:varyColors val="0"/>
        <c:ser>
          <c:idx val="0"/>
          <c:order val="0"/>
          <c:tx>
            <c:strRef>
              <c:f>'Top-Down Validation'!$AG$26</c:f>
              <c:strCache>
                <c:ptCount val="1"/>
                <c:pt idx="0">
                  <c:v>Energy Balance
(1000 tonnes)</c:v>
                </c:pt>
              </c:strCache>
            </c:strRef>
          </c:tx>
          <c:invertIfNegative val="0"/>
          <c:cat>
            <c:strLit>
              <c:ptCount val="3"/>
              <c:pt idx="0">
                <c:v>Diesel Oil</c:v>
              </c:pt>
              <c:pt idx="1">
                <c:v>Kerosene</c:v>
              </c:pt>
              <c:pt idx="2">
                <c:v>HFO</c:v>
              </c:pt>
            </c:strLit>
          </c:cat>
          <c:val>
            <c:numRef>
              <c:f>('Top-Down Validation'!$AG$28,'Top-Down Validation'!$AG$29,'Top-Down Validation'!$AG$31)</c:f>
              <c:numCache>
                <c:formatCode>_-* #,##0.0\ _€_-;\-* #,##0.0\ _€_-;_-* "-"??\ _€_-;_-@_-</c:formatCode>
                <c:ptCount val="3"/>
              </c:numCache>
            </c:numRef>
          </c:val>
          <c:extLst>
            <c:ext xmlns:c16="http://schemas.microsoft.com/office/drawing/2014/chart" uri="{C3380CC4-5D6E-409C-BE32-E72D297353CC}">
              <c16:uniqueId val="{00000000-A883-4B07-BC43-19DA08488CD5}"/>
            </c:ext>
          </c:extLst>
        </c:ser>
        <c:ser>
          <c:idx val="1"/>
          <c:order val="1"/>
          <c:tx>
            <c:strRef>
              <c:f>'Top-Down Validation'!$AI$26</c:f>
              <c:strCache>
                <c:ptCount val="1"/>
                <c:pt idx="0">
                  <c:v>Calculated
(1000 tonnes)</c:v>
                </c:pt>
              </c:strCache>
            </c:strRef>
          </c:tx>
          <c:invertIfNegative val="0"/>
          <c:cat>
            <c:strLit>
              <c:ptCount val="3"/>
              <c:pt idx="0">
                <c:v>Diesel Oil</c:v>
              </c:pt>
              <c:pt idx="1">
                <c:v>Kerosene</c:v>
              </c:pt>
              <c:pt idx="2">
                <c:v>HFO</c:v>
              </c:pt>
            </c:strLit>
          </c:cat>
          <c:val>
            <c:numRef>
              <c:f>('Top-Down Validation'!$AI$28,'Top-Down Validation'!$AI$29,'Top-Down Validation'!$AI$31)</c:f>
              <c:numCache>
                <c:formatCode>_-* #,##0\ _€_-;\-* #,##0\ _€_-;_-* "-"??\ _€_-;_-@_-</c:formatCode>
                <c:ptCount val="3"/>
                <c:pt idx="0">
                  <c:v>0</c:v>
                </c:pt>
                <c:pt idx="1">
                  <c:v>590.82899999999995</c:v>
                </c:pt>
                <c:pt idx="2">
                  <c:v>0</c:v>
                </c:pt>
              </c:numCache>
            </c:numRef>
          </c:val>
          <c:extLst>
            <c:ext xmlns:c16="http://schemas.microsoft.com/office/drawing/2014/chart" uri="{C3380CC4-5D6E-409C-BE32-E72D297353CC}">
              <c16:uniqueId val="{00000000-44DB-4408-93AA-A6EEFBC412B7}"/>
            </c:ext>
          </c:extLst>
        </c:ser>
        <c:dLbls>
          <c:showLegendKey val="0"/>
          <c:showVal val="0"/>
          <c:showCatName val="0"/>
          <c:showSerName val="0"/>
          <c:showPercent val="0"/>
          <c:showBubbleSize val="0"/>
        </c:dLbls>
        <c:gapWidth val="150"/>
        <c:axId val="167722368"/>
        <c:axId val="167724160"/>
      </c:barChart>
      <c:catAx>
        <c:axId val="167722368"/>
        <c:scaling>
          <c:orientation val="minMax"/>
        </c:scaling>
        <c:delete val="0"/>
        <c:axPos val="b"/>
        <c:numFmt formatCode="General" sourceLinked="1"/>
        <c:majorTickMark val="none"/>
        <c:minorTickMark val="none"/>
        <c:tickLblPos val="nextTo"/>
        <c:crossAx val="167724160"/>
        <c:crosses val="autoZero"/>
        <c:auto val="1"/>
        <c:lblAlgn val="ctr"/>
        <c:lblOffset val="100"/>
        <c:noMultiLvlLbl val="0"/>
      </c:catAx>
      <c:valAx>
        <c:axId val="16772416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72236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 A3 Transport (excluding international bunker)</a:t>
            </a:r>
          </a:p>
        </c:rich>
      </c:tx>
      <c:overlay val="0"/>
    </c:title>
    <c:autoTitleDeleted val="0"/>
    <c:plotArea>
      <c:layout/>
      <c:barChart>
        <c:barDir val="col"/>
        <c:grouping val="clustered"/>
        <c:varyColors val="0"/>
        <c:ser>
          <c:idx val="0"/>
          <c:order val="0"/>
          <c:tx>
            <c:strRef>
              <c:f>'Top-Down Validation'!$C$26</c:f>
              <c:strCache>
                <c:ptCount val="1"/>
                <c:pt idx="0">
                  <c:v>Energy Balance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Validation'!$C$27:$C$33</c:f>
              <c:numCache>
                <c:formatCode>#,##0</c:formatCode>
                <c:ptCount val="7"/>
                <c:pt idx="0">
                  <c:v>1107</c:v>
                </c:pt>
                <c:pt idx="1">
                  <c:v>2080.9</c:v>
                </c:pt>
                <c:pt idx="2">
                  <c:v>635.29999999999995</c:v>
                </c:pt>
                <c:pt idx="3">
                  <c:v>18.7</c:v>
                </c:pt>
              </c:numCache>
            </c:numRef>
          </c:val>
          <c:extLst>
            <c:ext xmlns:c16="http://schemas.microsoft.com/office/drawing/2014/chart" uri="{C3380CC4-5D6E-409C-BE32-E72D297353CC}">
              <c16:uniqueId val="{00000000-0881-4962-A246-5CE7C93C5D52}"/>
            </c:ext>
          </c:extLst>
        </c:ser>
        <c:ser>
          <c:idx val="1"/>
          <c:order val="1"/>
          <c:tx>
            <c:strRef>
              <c:f>'Top-Down Validation'!$E$26</c:f>
              <c:strCache>
                <c:ptCount val="1"/>
                <c:pt idx="0">
                  <c:v>Calculated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Validation'!$E$27:$E$33</c:f>
              <c:numCache>
                <c:formatCode>#,##0</c:formatCode>
                <c:ptCount val="7"/>
                <c:pt idx="0">
                  <c:v>962.16695388157871</c:v>
                </c:pt>
                <c:pt idx="1">
                  <c:v>2924.8805117951779</c:v>
                </c:pt>
                <c:pt idx="2">
                  <c:v>635.29999999999995</c:v>
                </c:pt>
                <c:pt idx="3">
                  <c:v>18.7</c:v>
                </c:pt>
              </c:numCache>
            </c:numRef>
          </c:val>
          <c:extLst>
            <c:ext xmlns:c16="http://schemas.microsoft.com/office/drawing/2014/chart" uri="{C3380CC4-5D6E-409C-BE32-E72D297353CC}">
              <c16:uniqueId val="{00000001-0881-4962-A246-5CE7C93C5D52}"/>
            </c:ext>
          </c:extLst>
        </c:ser>
        <c:dLbls>
          <c:showLegendKey val="0"/>
          <c:showVal val="0"/>
          <c:showCatName val="0"/>
          <c:showSerName val="0"/>
          <c:showPercent val="0"/>
          <c:showBubbleSize val="0"/>
        </c:dLbls>
        <c:gapWidth val="150"/>
        <c:axId val="167759232"/>
        <c:axId val="167761024"/>
      </c:barChart>
      <c:catAx>
        <c:axId val="167759232"/>
        <c:scaling>
          <c:orientation val="minMax"/>
        </c:scaling>
        <c:delete val="0"/>
        <c:axPos val="b"/>
        <c:numFmt formatCode="General" sourceLinked="1"/>
        <c:majorTickMark val="none"/>
        <c:minorTickMark val="none"/>
        <c:tickLblPos val="nextTo"/>
        <c:crossAx val="167761024"/>
        <c:crosses val="autoZero"/>
        <c:auto val="1"/>
        <c:lblAlgn val="ctr"/>
        <c:lblOffset val="100"/>
        <c:noMultiLvlLbl val="0"/>
      </c:catAx>
      <c:valAx>
        <c:axId val="167761024"/>
        <c:scaling>
          <c:orientation val="minMax"/>
        </c:scaling>
        <c:delete val="0"/>
        <c:axPos val="l"/>
        <c:majorGridlines/>
        <c:title>
          <c:tx>
            <c:rich>
              <a:bodyPr/>
              <a:lstStyle/>
              <a:p>
                <a:pPr>
                  <a:defRPr/>
                </a:pPr>
                <a:r>
                  <a:rPr lang="en-US"/>
                  <a:t>Domestic fuel consumption</a:t>
                </a:r>
              </a:p>
              <a:p>
                <a:pPr>
                  <a:defRPr/>
                </a:pPr>
                <a:r>
                  <a:rPr lang="en-US"/>
                  <a:t>in 1000 tonnes</a:t>
                </a:r>
              </a:p>
            </c:rich>
          </c:tx>
          <c:overlay val="0"/>
        </c:title>
        <c:numFmt formatCode="#,##0" sourceLinked="0"/>
        <c:majorTickMark val="none"/>
        <c:minorTickMark val="none"/>
        <c:tickLblPos val="nextTo"/>
        <c:crossAx val="167759232"/>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46414476698625E-2"/>
          <c:y val="0.12332543731713781"/>
          <c:w val="0.84350717104660278"/>
          <c:h val="0.82543855883572725"/>
        </c:manualLayout>
      </c:layout>
      <c:ofPieChart>
        <c:ofPieType val="pie"/>
        <c:varyColors val="1"/>
        <c:ser>
          <c:idx val="0"/>
          <c:order val="0"/>
          <c:tx>
            <c:strRef>
              <c:f>'GHG Inventory'!$H$7</c:f>
              <c:strCache>
                <c:ptCount val="1"/>
                <c:pt idx="0">
                  <c:v>CO2-eq</c:v>
                </c:pt>
              </c:strCache>
            </c:strRef>
          </c:tx>
          <c:dLbls>
            <c:dLbl>
              <c:idx val="3"/>
              <c:layout>
                <c:manualLayout>
                  <c:x val="-1.5746421521446976E-2"/>
                  <c:y val="-8.33534074496908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E788-40A8-9E5F-89D9479F600B}"/>
                </c:ext>
              </c:extLst>
            </c:dLbl>
            <c:dLbl>
              <c:idx val="5"/>
              <c:layout>
                <c:manualLayout>
                  <c:x val="-9.9034625470989755E-3"/>
                  <c:y val="-5.632004728385675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88-40A8-9E5F-89D9479F600B}"/>
                </c:ext>
              </c:extLst>
            </c:dLbl>
            <c:dLbl>
              <c:idx val="6"/>
              <c:layout>
                <c:manualLayout>
                  <c:x val="0"/>
                  <c:y val="0.1103869450009419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788-40A8-9E5F-89D9479F600B}"/>
                </c:ext>
              </c:extLst>
            </c:dLbl>
            <c:spPr>
              <a:noFill/>
              <a:ln>
                <a:noFill/>
              </a:ln>
              <a:effectLst/>
            </c:sp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'GHG Inventory'!$D$8:$D$14</c:f>
              <c:strCache>
                <c:ptCount val="7"/>
                <c:pt idx="0">
                  <c:v>Passenger car</c:v>
                </c:pt>
                <c:pt idx="1">
                  <c:v>Light duty trucks</c:v>
                </c:pt>
                <c:pt idx="2">
                  <c:v>Heavy duty trucks &amp; bus</c:v>
                </c:pt>
                <c:pt idx="3">
                  <c:v>Motorcycles</c:v>
                </c:pt>
                <c:pt idx="4">
                  <c:v>Domestic aviation</c:v>
                </c:pt>
                <c:pt idx="5">
                  <c:v>Railways</c:v>
                </c:pt>
                <c:pt idx="6">
                  <c:v>Domestic water-borne navigation</c:v>
                </c:pt>
              </c:strCache>
            </c:strRef>
          </c:cat>
          <c:val>
            <c:numRef>
              <c:f>'GHG Inventory'!$H$8:$H$14</c:f>
              <c:numCache>
                <c:formatCode>#,##0</c:formatCode>
                <c:ptCount val="7"/>
                <c:pt idx="0">
                  <c:v>2246.1872604919058</c:v>
                </c:pt>
                <c:pt idx="1">
                  <c:v>726.78989379598238</c:v>
                </c:pt>
                <c:pt idx="2">
                  <c:v>3201.4883582957591</c:v>
                </c:pt>
                <c:pt idx="3">
                  <c:v>858.39718061595772</c:v>
                </c:pt>
                <c:pt idx="4">
                  <c:v>199.90989374935</c:v>
                </c:pt>
                <c:pt idx="5">
                  <c:v>131.26221688500002</c:v>
                </c:pt>
                <c:pt idx="6">
                  <c:v>5425.1869363759515</c:v>
                </c:pt>
              </c:numCache>
            </c:numRef>
          </c:val>
          <c:extLst>
            <c:ext xmlns:c16="http://schemas.microsoft.com/office/drawing/2014/chart" uri="{C3380CC4-5D6E-409C-BE32-E72D297353CC}">
              <c16:uniqueId val="{00000003-E788-40A8-9E5F-89D9479F600B}"/>
            </c:ext>
          </c:extLst>
        </c:ser>
        <c:dLbls>
          <c:showLegendKey val="0"/>
          <c:showVal val="1"/>
          <c:showCatName val="0"/>
          <c:showSerName val="0"/>
          <c:showPercent val="0"/>
          <c:showBubbleSize val="0"/>
          <c:showLeaderLines val="1"/>
        </c:dLbls>
        <c:gapWidth val="150"/>
        <c:splitType val="pos"/>
        <c:splitPos val="3"/>
        <c:secondPieSize val="30"/>
        <c:serLines/>
      </c:ofPieChart>
    </c:plotArea>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Total transport performance F</a:t>
            </a:r>
            <a:r>
              <a:rPr lang="en-US" sz="1600" baseline="0"/>
              <a:t>reight</a:t>
            </a:r>
            <a:endParaRPr lang="en-US" sz="1600"/>
          </a:p>
        </c:rich>
      </c:tx>
      <c:overlay val="0"/>
    </c:title>
    <c:autoTitleDeleted val="0"/>
    <c:plotArea>
      <c:layout>
        <c:manualLayout>
          <c:layoutTarget val="inner"/>
          <c:xMode val="edge"/>
          <c:yMode val="edge"/>
          <c:x val="0.11089288421943623"/>
          <c:y val="0.15106771885732653"/>
          <c:w val="0.70505412544471402"/>
          <c:h val="0.49771531689751275"/>
        </c:manualLayout>
      </c:layout>
      <c:barChart>
        <c:barDir val="col"/>
        <c:grouping val="clustered"/>
        <c:varyColors val="0"/>
        <c:ser>
          <c:idx val="0"/>
          <c:order val="0"/>
          <c:tx>
            <c:strRef>
              <c:f>'Modal split'!$M$19</c:f>
              <c:strCache>
                <c:ptCount val="1"/>
                <c:pt idx="0">
                  <c:v>Freight performance (statistics)</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split'!$M$21:$M$25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split'!$O$19</c:f>
              <c:strCache>
                <c:ptCount val="1"/>
                <c:pt idx="0">
                  <c:v>Freight performance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0"/>
          <c:showCatName val="0"/>
          <c:showSerName val="0"/>
          <c:showPercent val="0"/>
          <c:showBubbleSize val="0"/>
        </c:dLbls>
        <c:gapWidth val="150"/>
        <c:axId val="170010112"/>
        <c:axId val="170011648"/>
      </c:barChart>
      <c:catAx>
        <c:axId val="170010112"/>
        <c:scaling>
          <c:orientation val="minMax"/>
        </c:scaling>
        <c:delete val="0"/>
        <c:axPos val="b"/>
        <c:numFmt formatCode="General" sourceLinked="1"/>
        <c:majorTickMark val="none"/>
        <c:minorTickMark val="none"/>
        <c:tickLblPos val="nextTo"/>
        <c:crossAx val="170011648"/>
        <c:crosses val="autoZero"/>
        <c:auto val="1"/>
        <c:lblAlgn val="ctr"/>
        <c:lblOffset val="100"/>
        <c:noMultiLvlLbl val="0"/>
      </c:catAx>
      <c:valAx>
        <c:axId val="170011648"/>
        <c:scaling>
          <c:orientation val="minMax"/>
        </c:scaling>
        <c:delete val="0"/>
        <c:axPos val="l"/>
        <c:majorGridlines/>
        <c:title>
          <c:tx>
            <c:rich>
              <a:bodyPr/>
              <a:lstStyle/>
              <a:p>
                <a:pPr>
                  <a:defRPr/>
                </a:pPr>
                <a:r>
                  <a:rPr lang="en-US" baseline="0"/>
                  <a:t>Mio TKM</a:t>
                </a:r>
                <a:endParaRPr lang="en-US"/>
              </a:p>
            </c:rich>
          </c:tx>
          <c:overlay val="0"/>
        </c:title>
        <c:numFmt formatCode="#,##0" sourceLinked="0"/>
        <c:majorTickMark val="none"/>
        <c:minorTickMark val="none"/>
        <c:tickLblPos val="nextTo"/>
        <c:crossAx val="170010112"/>
        <c:crosses val="autoZero"/>
        <c:crossBetween val="between"/>
      </c:valAx>
    </c:plotArea>
    <c:legend>
      <c:legendPos val="r"/>
      <c:layout>
        <c:manualLayout>
          <c:xMode val="edge"/>
          <c:yMode val="edge"/>
          <c:x val="0.82692740199054193"/>
          <c:y val="0.28095633509694834"/>
          <c:w val="0.16483730376466427"/>
          <c:h val="0.34760549372097926"/>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Total transport performance Passengers</a:t>
            </a:r>
            <a:endParaRPr lang="en-US" sz="1400">
              <a:effectLst/>
            </a:endParaRPr>
          </a:p>
        </c:rich>
      </c:tx>
      <c:overlay val="0"/>
    </c:title>
    <c:autoTitleDeleted val="0"/>
    <c:plotArea>
      <c:layout>
        <c:manualLayout>
          <c:layoutTarget val="inner"/>
          <c:xMode val="edge"/>
          <c:yMode val="edge"/>
          <c:x val="0.14270378702662168"/>
          <c:y val="0.15106771885732653"/>
          <c:w val="0.627617922759655"/>
          <c:h val="0.44354442364960001"/>
        </c:manualLayout>
      </c:layout>
      <c:barChart>
        <c:barDir val="col"/>
        <c:grouping val="clustered"/>
        <c:varyColors val="0"/>
        <c:ser>
          <c:idx val="0"/>
          <c:order val="0"/>
          <c:tx>
            <c:strRef>
              <c:f>'Modal split'!$D$19</c:f>
              <c:strCache>
                <c:ptCount val="1"/>
                <c:pt idx="0">
                  <c:v>Passenger performance (statistics)</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split'!$D$21:$D$26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split'!$F$19</c:f>
              <c:strCache>
                <c:ptCount val="1"/>
                <c:pt idx="0">
                  <c:v>Passenger performance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split'!$F$21:$F$26</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A7BB-4B7E-B1BA-5BB26A0A0126}"/>
            </c:ext>
          </c:extLst>
        </c:ser>
        <c:dLbls>
          <c:showLegendKey val="0"/>
          <c:showVal val="0"/>
          <c:showCatName val="0"/>
          <c:showSerName val="0"/>
          <c:showPercent val="0"/>
          <c:showBubbleSize val="0"/>
        </c:dLbls>
        <c:gapWidth val="150"/>
        <c:axId val="170046592"/>
        <c:axId val="170048128"/>
      </c:barChart>
      <c:catAx>
        <c:axId val="170046592"/>
        <c:scaling>
          <c:orientation val="minMax"/>
        </c:scaling>
        <c:delete val="0"/>
        <c:axPos val="b"/>
        <c:numFmt formatCode="General" sourceLinked="1"/>
        <c:majorTickMark val="none"/>
        <c:minorTickMark val="none"/>
        <c:tickLblPos val="nextTo"/>
        <c:txPr>
          <a:bodyPr rot="0" vert="horz"/>
          <a:lstStyle/>
          <a:p>
            <a:pPr>
              <a:defRPr/>
            </a:pPr>
            <a:endParaRPr lang="en-US"/>
          </a:p>
        </c:txPr>
        <c:crossAx val="170048128"/>
        <c:crosses val="autoZero"/>
        <c:auto val="1"/>
        <c:lblAlgn val="ctr"/>
        <c:lblOffset val="100"/>
        <c:noMultiLvlLbl val="0"/>
      </c:catAx>
      <c:valAx>
        <c:axId val="170048128"/>
        <c:scaling>
          <c:orientation val="minMax"/>
        </c:scaling>
        <c:delete val="0"/>
        <c:axPos val="l"/>
        <c:majorGridlines/>
        <c:title>
          <c:tx>
            <c:rich>
              <a:bodyPr/>
              <a:lstStyle/>
              <a:p>
                <a:pPr>
                  <a:defRPr/>
                </a:pPr>
                <a:r>
                  <a:rPr lang="en-US"/>
                  <a:t>Mio </a:t>
                </a:r>
                <a:r>
                  <a:rPr lang="en-US" baseline="0"/>
                  <a:t>PKM</a:t>
                </a:r>
                <a:endParaRPr lang="en-US"/>
              </a:p>
            </c:rich>
          </c:tx>
          <c:overlay val="0"/>
        </c:title>
        <c:numFmt formatCode="#,##0" sourceLinked="0"/>
        <c:majorTickMark val="none"/>
        <c:minorTickMark val="none"/>
        <c:tickLblPos val="nextTo"/>
        <c:crossAx val="170046592"/>
        <c:crosses val="autoZero"/>
        <c:crossBetween val="between"/>
      </c:valAx>
    </c:plotArea>
    <c:legend>
      <c:legendPos val="r"/>
      <c:layout>
        <c:manualLayout>
          <c:xMode val="edge"/>
          <c:yMode val="edge"/>
          <c:x val="0.77600674915635548"/>
          <c:y val="0.23288685883587432"/>
          <c:w val="0.21446944131983506"/>
          <c:h val="0.35500079776114452"/>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Specific</a:t>
            </a:r>
            <a:r>
              <a:rPr lang="en-US" sz="1600" baseline="0"/>
              <a:t> Fuel Consumption Freight</a:t>
            </a:r>
            <a:endParaRPr lang="en-US" sz="1600"/>
          </a:p>
        </c:rich>
      </c:tx>
      <c:overlay val="0"/>
    </c:title>
    <c:autoTitleDeleted val="0"/>
    <c:plotArea>
      <c:layout/>
      <c:barChart>
        <c:barDir val="col"/>
        <c:grouping val="clustered"/>
        <c:varyColors val="0"/>
        <c:ser>
          <c:idx val="0"/>
          <c:order val="0"/>
          <c:tx>
            <c:strRef>
              <c:f>'Modal split'!$P$19</c:f>
              <c:strCache>
                <c:ptCount val="1"/>
                <c:pt idx="0">
                  <c:v>Freight spec. FC (Germany)</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split'!$P$21:$P$25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split'!$R$19</c:f>
              <c:strCache>
                <c:ptCount val="1"/>
                <c:pt idx="0">
                  <c:v>Freight spec. FC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split'!$R$21:$R$25</c:f>
              <c:numCache>
                <c:formatCode>#,##0</c:formatCode>
                <c:ptCount val="5"/>
              </c:numCache>
            </c:numRef>
          </c:val>
          <c:extLst>
            <c:ext xmlns:c16="http://schemas.microsoft.com/office/drawing/2014/chart" uri="{C3380CC4-5D6E-409C-BE32-E72D297353CC}">
              <c16:uniqueId val="{00000000-B750-40B5-8CB6-646D04FBAB34}"/>
            </c:ext>
          </c:extLst>
        </c:ser>
        <c:dLbls>
          <c:showLegendKey val="0"/>
          <c:showVal val="0"/>
          <c:showCatName val="0"/>
          <c:showSerName val="0"/>
          <c:showPercent val="0"/>
          <c:showBubbleSize val="0"/>
        </c:dLbls>
        <c:gapWidth val="150"/>
        <c:axId val="170083456"/>
        <c:axId val="170084992"/>
      </c:barChart>
      <c:catAx>
        <c:axId val="170083456"/>
        <c:scaling>
          <c:orientation val="minMax"/>
        </c:scaling>
        <c:delete val="0"/>
        <c:axPos val="b"/>
        <c:numFmt formatCode="General" sourceLinked="1"/>
        <c:majorTickMark val="none"/>
        <c:minorTickMark val="none"/>
        <c:tickLblPos val="nextTo"/>
        <c:crossAx val="170084992"/>
        <c:crosses val="autoZero"/>
        <c:auto val="1"/>
        <c:lblAlgn val="ctr"/>
        <c:lblOffset val="100"/>
        <c:noMultiLvlLbl val="0"/>
      </c:catAx>
      <c:valAx>
        <c:axId val="170084992"/>
        <c:scaling>
          <c:orientation val="minMax"/>
        </c:scaling>
        <c:delete val="0"/>
        <c:axPos val="l"/>
        <c:majorGridlines/>
        <c:title>
          <c:tx>
            <c:rich>
              <a:bodyPr/>
              <a:lstStyle/>
              <a:p>
                <a:pPr>
                  <a:defRPr/>
                </a:pPr>
                <a:r>
                  <a:rPr lang="en-US"/>
                  <a:t>g</a:t>
                </a:r>
                <a:r>
                  <a:rPr lang="en-US" baseline="0"/>
                  <a:t> fuel per TKM</a:t>
                </a:r>
                <a:endParaRPr lang="en-US"/>
              </a:p>
            </c:rich>
          </c:tx>
          <c:overlay val="0"/>
        </c:title>
        <c:numFmt formatCode="#,##0" sourceLinked="0"/>
        <c:majorTickMark val="none"/>
        <c:minorTickMark val="none"/>
        <c:tickLblPos val="nextTo"/>
        <c:crossAx val="1700834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Specific Fuel Consumption Passengers</a:t>
            </a:r>
            <a:endParaRPr lang="en-US" sz="1400">
              <a:effectLst/>
            </a:endParaRPr>
          </a:p>
        </c:rich>
      </c:tx>
      <c:overlay val="0"/>
    </c:title>
    <c:autoTitleDeleted val="0"/>
    <c:plotArea>
      <c:layout/>
      <c:barChart>
        <c:barDir val="col"/>
        <c:grouping val="clustered"/>
        <c:varyColors val="0"/>
        <c:ser>
          <c:idx val="0"/>
          <c:order val="0"/>
          <c:tx>
            <c:strRef>
              <c:f>'Modal split'!$G$19</c:f>
              <c:strCache>
                <c:ptCount val="1"/>
                <c:pt idx="0">
                  <c:v>Passenger spec. FC </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split'!$G$21:$G$26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split'!$I$19</c:f>
              <c:strCache>
                <c:ptCount val="1"/>
                <c:pt idx="0">
                  <c:v>Passenger spec. FC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split'!$I$21:$I$26</c:f>
              <c:numCache>
                <c:formatCode>#,##0</c:formatCode>
                <c:ptCount val="6"/>
                <c:pt idx="0">
                  <c:v>0</c:v>
                </c:pt>
                <c:pt idx="1">
                  <c:v>0</c:v>
                </c:pt>
                <c:pt idx="2">
                  <c:v>0</c:v>
                </c:pt>
                <c:pt idx="3" formatCode="#,##0.0">
                  <c:v>0</c:v>
                </c:pt>
                <c:pt idx="4" formatCode="#,##0.0">
                  <c:v>0</c:v>
                </c:pt>
                <c:pt idx="5" formatCode="#,##0.0">
                  <c:v>0</c:v>
                </c:pt>
              </c:numCache>
            </c:numRef>
          </c:val>
          <c:extLst>
            <c:ext xmlns:c16="http://schemas.microsoft.com/office/drawing/2014/chart" uri="{C3380CC4-5D6E-409C-BE32-E72D297353CC}">
              <c16:uniqueId val="{00000000-8B42-48BC-9A49-73C8C570EFEC}"/>
            </c:ext>
          </c:extLst>
        </c:ser>
        <c:dLbls>
          <c:showLegendKey val="0"/>
          <c:showVal val="0"/>
          <c:showCatName val="0"/>
          <c:showSerName val="0"/>
          <c:showPercent val="0"/>
          <c:showBubbleSize val="0"/>
        </c:dLbls>
        <c:gapWidth val="150"/>
        <c:axId val="170128128"/>
        <c:axId val="170129664"/>
      </c:barChart>
      <c:catAx>
        <c:axId val="170128128"/>
        <c:scaling>
          <c:orientation val="minMax"/>
        </c:scaling>
        <c:delete val="0"/>
        <c:axPos val="b"/>
        <c:numFmt formatCode="General" sourceLinked="1"/>
        <c:majorTickMark val="none"/>
        <c:minorTickMark val="none"/>
        <c:tickLblPos val="nextTo"/>
        <c:crossAx val="170129664"/>
        <c:crosses val="autoZero"/>
        <c:auto val="1"/>
        <c:lblAlgn val="ctr"/>
        <c:lblOffset val="100"/>
        <c:noMultiLvlLbl val="0"/>
      </c:catAx>
      <c:valAx>
        <c:axId val="170129664"/>
        <c:scaling>
          <c:orientation val="minMax"/>
        </c:scaling>
        <c:delete val="0"/>
        <c:axPos val="l"/>
        <c:majorGridlines/>
        <c:title>
          <c:tx>
            <c:rich>
              <a:bodyPr/>
              <a:lstStyle/>
              <a:p>
                <a:pPr>
                  <a:defRPr/>
                </a:pPr>
                <a:r>
                  <a:rPr lang="en-US"/>
                  <a:t>g</a:t>
                </a:r>
                <a:r>
                  <a:rPr lang="en-US" baseline="0"/>
                  <a:t> fuel per PKM</a:t>
                </a:r>
                <a:endParaRPr lang="en-US"/>
              </a:p>
            </c:rich>
          </c:tx>
          <c:overlay val="0"/>
        </c:title>
        <c:numFmt formatCode="#,##0" sourceLinked="0"/>
        <c:majorTickMark val="none"/>
        <c:minorTickMark val="none"/>
        <c:tickLblPos val="nextTo"/>
        <c:crossAx val="170128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baseline="0"/>
              <a:t>freight (% TKM)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split'!$O$19</c:f>
              <c:strCache>
                <c:ptCount val="1"/>
                <c:pt idx="0">
                  <c:v>Freight performance calculated</c:v>
                </c:pt>
              </c:strCache>
            </c:strRef>
          </c:tx>
          <c:dLbls>
            <c:dLbl>
              <c:idx val="1"/>
              <c:layout>
                <c:manualLayout>
                  <c:x val="3.0201428596594544E-2"/>
                  <c:y val="-3.589633996503826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B79C-448E-81F1-9D17B560BB15}"/>
                </c:ext>
              </c:extLst>
            </c:dLbl>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split'!$L$21:$L$25</c:f>
              <c:strCache>
                <c:ptCount val="5"/>
                <c:pt idx="0">
                  <c:v>Domestic aviation</c:v>
                </c:pt>
                <c:pt idx="1">
                  <c:v>Light duty trucks</c:v>
                </c:pt>
                <c:pt idx="2">
                  <c:v>Heavy duty trucks</c:v>
                </c:pt>
                <c:pt idx="3">
                  <c:v>Railways</c:v>
                </c:pt>
                <c:pt idx="4">
                  <c:v>Domestic water-borne navigation</c:v>
                </c:pt>
              </c:strCache>
            </c: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a:t>passengers </a:t>
            </a:r>
            <a:r>
              <a:rPr lang="en-US" sz="1800" baseline="0"/>
              <a:t>(% PKM)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split'!$F$19</c:f>
              <c:strCache>
                <c:ptCount val="1"/>
                <c:pt idx="0">
                  <c:v>Passenger performance calculated</c:v>
                </c:pt>
              </c:strCache>
            </c:strRef>
          </c:tx>
          <c:dLbls>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split'!$C$21:$C$26</c:f>
              <c:strCache>
                <c:ptCount val="6"/>
                <c:pt idx="0">
                  <c:v>Domestic aviation</c:v>
                </c:pt>
                <c:pt idx="1">
                  <c:v>Passenger car</c:v>
                </c:pt>
                <c:pt idx="2">
                  <c:v>Bus</c:v>
                </c:pt>
                <c:pt idx="3">
                  <c:v>Motorcycles</c:v>
                </c:pt>
                <c:pt idx="4">
                  <c:v>Railways</c:v>
                </c:pt>
                <c:pt idx="5">
                  <c:v>Domestic water-borne navigation</c:v>
                </c:pt>
              </c:strCache>
            </c:strRef>
          </c:cat>
          <c:val>
            <c:numRef>
              <c:f>'Modal split'!$F$21:$F$26</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0</xdr:col>
      <xdr:colOff>416380</xdr:colOff>
      <xdr:row>2</xdr:row>
      <xdr:rowOff>16145</xdr:rowOff>
    </xdr:from>
    <xdr:ext cx="5500326" cy="8511531"/>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416380" y="1349645"/>
          <a:ext cx="5500326" cy="85115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 spcCol="180000" rtlCol="0" anchor="t">
          <a:noAutofit/>
        </a:bodyPr>
        <a:lstStyle/>
        <a:p>
          <a:r>
            <a:rPr lang="en-US" sz="1200" b="1">
              <a:latin typeface="+mn-lt"/>
            </a:rPr>
            <a:t>Purpose of the tool: </a:t>
          </a:r>
        </a:p>
        <a:p>
          <a:r>
            <a:rPr lang="en-US" sz="1200">
              <a:latin typeface="+mn-lt"/>
            </a:rPr>
            <a:t>This tool calculates transport total fuel consumption and estimates the corresponding tank-to-wheel emissions for </a:t>
          </a:r>
          <a:r>
            <a:rPr lang="en-US" sz="1200">
              <a:solidFill>
                <a:schemeClr val="dk1"/>
              </a:solidFill>
              <a:effectLst/>
              <a:latin typeface="+mn-lt"/>
              <a:ea typeface="+mn-ea"/>
              <a:cs typeface="+mn-cs"/>
            </a:rPr>
            <a:t>CO2, CH4 and N2O </a:t>
          </a:r>
          <a:r>
            <a:rPr lang="en-US" sz="1200" baseline="0">
              <a:latin typeface="+mn-lt"/>
            </a:rPr>
            <a:t>for a given country and year.</a:t>
          </a:r>
          <a:r>
            <a:rPr lang="en-US" sz="1200">
              <a:latin typeface="+mn-lt"/>
            </a:rPr>
            <a:t> </a:t>
          </a:r>
        </a:p>
        <a:p>
          <a:endParaRPr lang="en-US" sz="1200">
            <a:latin typeface="+mn-lt"/>
          </a:endParaRPr>
        </a:p>
        <a:p>
          <a:pPr marL="0" indent="0"/>
          <a:r>
            <a:rPr lang="en-US" sz="1200" b="1">
              <a:solidFill>
                <a:schemeClr val="dk1"/>
              </a:solidFill>
              <a:latin typeface="+mn-lt"/>
              <a:ea typeface="+mn-ea"/>
              <a:cs typeface="+mn-cs"/>
            </a:rPr>
            <a:t>Methodology</a:t>
          </a:r>
          <a:r>
            <a:rPr lang="en-US" sz="1200" b="1" baseline="0">
              <a:solidFill>
                <a:schemeClr val="dk1"/>
              </a:solidFill>
              <a:latin typeface="+mn-lt"/>
              <a:ea typeface="+mn-ea"/>
              <a:cs typeface="+mn-cs"/>
            </a:rPr>
            <a:t> and user</a:t>
          </a:r>
          <a:r>
            <a:rPr lang="en-US" sz="1200" b="1">
              <a:solidFill>
                <a:schemeClr val="dk1"/>
              </a:solidFill>
              <a:latin typeface="+mn-lt"/>
              <a:ea typeface="+mn-ea"/>
              <a:cs typeface="+mn-cs"/>
            </a:rPr>
            <a:t> instructions:</a:t>
          </a:r>
        </a:p>
        <a:p>
          <a:r>
            <a:rPr lang="en-US" sz="1200">
              <a:solidFill>
                <a:schemeClr val="dk1"/>
              </a:solidFill>
              <a:effectLst/>
              <a:latin typeface="+mn-lt"/>
              <a:ea typeface="+mn-ea"/>
              <a:cs typeface="+mn-cs"/>
            </a:rPr>
            <a:t>The methodology</a:t>
          </a:r>
          <a:r>
            <a:rPr lang="en-US" sz="1200" baseline="0">
              <a:solidFill>
                <a:schemeClr val="dk1"/>
              </a:solidFill>
              <a:effectLst/>
              <a:latin typeface="+mn-lt"/>
              <a:ea typeface="+mn-ea"/>
              <a:cs typeface="+mn-cs"/>
            </a:rPr>
            <a:t> complies with IPCC guidelines 2006 for national greenhouse gas inventories.  The classifications (CFR-codes 1A3a to 1A3d) and the available default data for fuel specifications and GHG emission factors. </a:t>
          </a:r>
          <a:endParaRPr lang="en-US" sz="1200">
            <a:effectLst/>
          </a:endParaRPr>
        </a:p>
        <a:p>
          <a:endParaRPr lang="en-US" sz="1200">
            <a:effectLst/>
          </a:endParaRPr>
        </a:p>
        <a:p>
          <a:r>
            <a:rPr lang="en-US" sz="1200">
              <a:solidFill>
                <a:schemeClr val="dk1"/>
              </a:solidFill>
              <a:effectLst/>
              <a:latin typeface="+mn-lt"/>
              <a:ea typeface="+mn-ea"/>
              <a:cs typeface="+mn-cs"/>
            </a:rPr>
            <a:t>Please note the color code used in the different sheets: </a:t>
          </a:r>
          <a:endParaRPr lang="en-US" sz="1200">
            <a:effectLst/>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u="sng" baseline="0">
            <a:solidFill>
              <a:schemeClr val="dk1"/>
            </a:solidFill>
            <a:effectLst/>
            <a:latin typeface="+mn-lt"/>
            <a:ea typeface="+mn-ea"/>
            <a:cs typeface="+mn-cs"/>
          </a:endParaRPr>
        </a:p>
        <a:p>
          <a:r>
            <a:rPr lang="en-US" sz="1200" u="sng" baseline="0">
              <a:solidFill>
                <a:schemeClr val="dk1"/>
              </a:solidFill>
              <a:effectLst/>
              <a:latin typeface="+mn-lt"/>
              <a:ea typeface="+mn-ea"/>
              <a:cs typeface="+mn-cs"/>
            </a:rPr>
            <a:t>Note: </a:t>
          </a:r>
          <a:r>
            <a:rPr lang="en-US" sz="1200" baseline="0">
              <a:solidFill>
                <a:schemeClr val="dk1"/>
              </a:solidFill>
              <a:effectLst/>
              <a:latin typeface="+mn-lt"/>
              <a:ea typeface="+mn-ea"/>
              <a:cs typeface="+mn-cs"/>
            </a:rPr>
            <a:t>The tool does not enable full accordance with the requirements of the IPCC guidelines. For example, the categories "other transport" and "pipeline transports" are not yet included.  Moreover GHG emissions of biofuels have to be excluded of the fuel used in transport (according to the IPCC methodology, these are accounted for in other sectors e.g. agriculture) but the current bottom-up approach calculating fuel use may hide a share of biofuel. The energy balance data should nevertheless avoid accounting biodiesel.</a:t>
          </a:r>
          <a:endParaRPr lang="en-US" sz="1200">
            <a:effectLst/>
          </a:endParaRPr>
        </a:p>
        <a:p>
          <a:r>
            <a:rPr lang="en-US" sz="1200" baseline="0">
              <a:solidFill>
                <a:schemeClr val="dk1"/>
              </a:solidFill>
              <a:effectLst/>
              <a:latin typeface="+mn-lt"/>
              <a:ea typeface="+mn-ea"/>
              <a:cs typeface="+mn-cs"/>
            </a:rPr>
            <a:t>The developers do not bear any responsibility for the correctness of the results. The data used has been sourced from a variety of sources including the Kenya National Bureau of Statistics, the National Transport and Safety Authority (NTSA) and a nation wide user survey to estimate vehicle kilometres, among others. The vehicle statistics data are not exact figures, but reasonable estimates of active fleets based on exisisting statistics from the NTSA.  </a:t>
          </a:r>
        </a:p>
        <a:p>
          <a:r>
            <a:rPr lang="en-US" sz="1200" b="1">
              <a:solidFill>
                <a:schemeClr val="dk1"/>
              </a:solidFill>
              <a:latin typeface="+mn-lt"/>
              <a:ea typeface="+mn-ea"/>
              <a:cs typeface="+mn-cs"/>
            </a:rPr>
            <a:t>Context:</a:t>
          </a:r>
        </a:p>
        <a:p>
          <a:pPr marL="0" indent="0"/>
          <a:r>
            <a:rPr lang="en-US" sz="1200" b="0">
              <a:solidFill>
                <a:schemeClr val="dk1"/>
              </a:solidFill>
              <a:latin typeface="+mn-lt"/>
              <a:ea typeface="+mn-ea"/>
              <a:cs typeface="+mn-cs"/>
            </a:rPr>
            <a:t>This tool has been developed by GIZ and IFEU in the context of the project "Advancing Transport Climate Strategies in Rapidly Motorising Countries" (TraCS). It was initially tested  for Vietnam  and therefore a work-in progress. The project is financed through the International Climate Initiative of the German Federal Ministry for the Environment, Nature Conservation, and Nuclear Safety (BMU). The tool can be used for free, acknowledging GIZ, IFEU and BMUB. It is not allowed to use the tool for commercial purposes.</a:t>
          </a:r>
          <a:endParaRPr lang="en-US" sz="1200">
            <a:effectLst/>
          </a:endParaRPr>
        </a:p>
        <a:p>
          <a:pPr marL="0" indent="0"/>
          <a:r>
            <a:rPr lang="en-US" sz="1200" b="1">
              <a:solidFill>
                <a:schemeClr val="dk1"/>
              </a:solidFill>
              <a:latin typeface="+mn-lt"/>
              <a:ea typeface="+mn-ea"/>
              <a:cs typeface="+mn-cs"/>
            </a:rPr>
            <a:t>Contact: </a:t>
          </a:r>
        </a:p>
        <a:p>
          <a:r>
            <a:rPr lang="en-US" sz="1200" b="0" baseline="0">
              <a:solidFill>
                <a:schemeClr val="dk1"/>
              </a:solidFill>
              <a:effectLst/>
              <a:latin typeface="+mn-lt"/>
              <a:ea typeface="+mn-ea"/>
              <a:cs typeface="+mn-cs"/>
            </a:rPr>
            <a:t>Daniel Bongardt (daniel.bongardt@giz.de) and Elena Scherer (elena scherer@giz.de)</a:t>
          </a:r>
        </a:p>
        <a:p>
          <a:r>
            <a:rPr lang="en-US" sz="1200" b="0" baseline="0">
              <a:solidFill>
                <a:schemeClr val="dk1"/>
              </a:solidFill>
              <a:effectLst/>
              <a:latin typeface="+mn-lt"/>
              <a:ea typeface="+mn-ea"/>
              <a:cs typeface="+mn-cs"/>
            </a:rPr>
            <a:t>+49 228 4460 - 1416, Friedrich Ebert Allee 40, 53113 Bonn, Germany</a:t>
          </a:r>
        </a:p>
        <a:p>
          <a:endParaRPr lang="en-US" sz="1200" b="0" baseline="0">
            <a:solidFill>
              <a:schemeClr val="dk1"/>
            </a:solidFill>
            <a:effectLst/>
            <a:latin typeface="+mn-lt"/>
            <a:ea typeface="+mn-ea"/>
            <a:cs typeface="+mn-cs"/>
          </a:endParaRPr>
        </a:p>
        <a:p>
          <a:pPr eaLnBrk="1" fontAlgn="auto" latinLnBrk="0" hangingPunct="1"/>
          <a:endParaRPr lang="en-US" sz="1200" b="1" baseline="0">
            <a:solidFill>
              <a:schemeClr val="dk1"/>
            </a:solidFill>
            <a:effectLst/>
            <a:latin typeface="+mn-lt"/>
            <a:ea typeface="+mn-ea"/>
            <a:cs typeface="+mn-cs"/>
          </a:endParaRPr>
        </a:p>
        <a:p>
          <a:pPr eaLnBrk="1" fontAlgn="auto" latinLnBrk="0" hangingPunct="1"/>
          <a:r>
            <a:rPr lang="de-DE" sz="1200" b="1" baseline="0">
              <a:solidFill>
                <a:schemeClr val="dk1"/>
              </a:solidFill>
              <a:effectLst/>
              <a:latin typeface="+mn-lt"/>
              <a:ea typeface="+mn-ea"/>
              <a:cs typeface="+mn-cs"/>
            </a:rPr>
            <a:t>Last update</a:t>
          </a:r>
          <a:endParaRPr lang="de-DE" sz="1200">
            <a:effectLst/>
            <a:latin typeface="+mn-lt"/>
          </a:endParaRPr>
        </a:p>
        <a:p>
          <a:pPr eaLnBrk="1" fontAlgn="auto" latinLnBrk="0" hangingPunct="1"/>
          <a:r>
            <a:rPr lang="en-US" sz="1200" b="0" baseline="0">
              <a:solidFill>
                <a:schemeClr val="dk1"/>
              </a:solidFill>
              <a:effectLst/>
              <a:latin typeface="+mn-lt"/>
              <a:ea typeface="+mn-ea"/>
              <a:cs typeface="+mn-cs"/>
            </a:rPr>
            <a:t>Tool Version: 1.1 BETA (07.01.2019) </a:t>
          </a:r>
          <a:endParaRPr lang="de-DE" sz="1200">
            <a:effectLst/>
            <a:latin typeface="+mn-lt"/>
          </a:endParaRPr>
        </a:p>
      </xdr:txBody>
    </xdr:sp>
    <xdr:clientData/>
  </xdr:oneCellAnchor>
  <xdr:twoCellAnchor editAs="oneCell">
    <xdr:from>
      <xdr:col>9</xdr:col>
      <xdr:colOff>647807</xdr:colOff>
      <xdr:row>0</xdr:row>
      <xdr:rowOff>0</xdr:rowOff>
    </xdr:from>
    <xdr:to>
      <xdr:col>12</xdr:col>
      <xdr:colOff>331799</xdr:colOff>
      <xdr:row>0</xdr:row>
      <xdr:rowOff>918882</xdr:rowOff>
    </xdr:to>
    <xdr:pic>
      <xdr:nvPicPr>
        <xdr:cNvPr id="3" name="Image 4" descr="GIZ.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35895" y="0"/>
          <a:ext cx="2205316" cy="918882"/>
        </a:xfrm>
        <a:prstGeom prst="rect">
          <a:avLst/>
        </a:prstGeom>
      </xdr:spPr>
    </xdr:pic>
    <xdr:clientData/>
  </xdr:twoCellAnchor>
  <xdr:twoCellAnchor editAs="oneCell">
    <xdr:from>
      <xdr:col>0</xdr:col>
      <xdr:colOff>497754</xdr:colOff>
      <xdr:row>11</xdr:row>
      <xdr:rowOff>150214</xdr:rowOff>
    </xdr:from>
    <xdr:to>
      <xdr:col>1</xdr:col>
      <xdr:colOff>846490</xdr:colOff>
      <xdr:row>15</xdr:row>
      <xdr:rowOff>23240</xdr:rowOff>
    </xdr:to>
    <xdr:pic>
      <xdr:nvPicPr>
        <xdr:cNvPr id="10" name="Grafik 9">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754" y="3325214"/>
          <a:ext cx="1225036" cy="673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453573</xdr:colOff>
      <xdr:row>0</xdr:row>
      <xdr:rowOff>0</xdr:rowOff>
    </xdr:from>
    <xdr:to>
      <xdr:col>9</xdr:col>
      <xdr:colOff>671287</xdr:colOff>
      <xdr:row>0</xdr:row>
      <xdr:rowOff>1124856</xdr:rowOff>
    </xdr:to>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453573" y="0"/>
          <a:ext cx="8372928" cy="1124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500">
              <a:solidFill>
                <a:schemeClr val="tx2"/>
              </a:solidFill>
              <a:latin typeface="+mn-lt"/>
            </a:rPr>
            <a:t>Transport Inventory and Greenhouse Gas Emission Reporting (TrIGGER) Tool</a:t>
          </a:r>
        </a:p>
      </xdr:txBody>
    </xdr:sp>
    <xdr:clientData/>
  </xdr:twoCellAnchor>
  <xdr:twoCellAnchor editAs="oneCell">
    <xdr:from>
      <xdr:col>12</xdr:col>
      <xdr:colOff>313764</xdr:colOff>
      <xdr:row>0</xdr:row>
      <xdr:rowOff>179295</xdr:rowOff>
    </xdr:from>
    <xdr:to>
      <xdr:col>15</xdr:col>
      <xdr:colOff>108286</xdr:colOff>
      <xdr:row>0</xdr:row>
      <xdr:rowOff>795619</xdr:rowOff>
    </xdr:to>
    <xdr:pic>
      <xdr:nvPicPr>
        <xdr:cNvPr id="7" name="Grafik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23176" y="179295"/>
          <a:ext cx="2315845" cy="616324"/>
        </a:xfrm>
        <a:prstGeom prst="rect">
          <a:avLst/>
        </a:prstGeom>
      </xdr:spPr>
    </xdr:pic>
    <xdr:clientData/>
  </xdr:twoCellAnchor>
  <xdr:twoCellAnchor editAs="oneCell">
    <xdr:from>
      <xdr:col>3</xdr:col>
      <xdr:colOff>860799</xdr:colOff>
      <xdr:row>40</xdr:row>
      <xdr:rowOff>67795</xdr:rowOff>
    </xdr:from>
    <xdr:to>
      <xdr:col>6</xdr:col>
      <xdr:colOff>500601</xdr:colOff>
      <xdr:row>47</xdr:row>
      <xdr:rowOff>11767</xdr:rowOff>
    </xdr:to>
    <xdr:pic>
      <xdr:nvPicPr>
        <xdr:cNvPr id="8" name="anon-image" descr="https://s14-eu5.ixquick.com/cgi-bin/serveimage?url=https:%2F%2Fwww.ecologic.eu%2Ffiles%2Fevent%2F2013%2FBMU_NKI_finanz_Web_300dpi_en_quer_ohne_anschnitt_0.jpg&amp;sp=a905393e8996ac5644aac9be68f9d24c">
          <a:extLst>
            <a:ext uri="{FF2B5EF4-FFF2-40B4-BE49-F238E27FC236}">
              <a16:creationId xmlns:a16="http://schemas.microsoft.com/office/drawing/2014/main" id="{00000000-0008-0000-0000-000008000000}"/>
            </a:ext>
          </a:extLst>
        </xdr:cNvPr>
        <xdr:cNvPicPr>
          <a:picLocks noChangeAspect="1" noChangeArrowheads="1"/>
        </xdr:cNvPicPr>
      </xdr:nvPicPr>
      <xdr:blipFill rotWithShape="1">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t="3009" r="45231" b="10138"/>
        <a:stretch/>
      </xdr:blipFill>
      <xdr:spPr bwMode="auto">
        <a:xfrm>
          <a:off x="3730999" y="8589495"/>
          <a:ext cx="2268702" cy="1188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544287</xdr:colOff>
      <xdr:row>0</xdr:row>
      <xdr:rowOff>108856</xdr:rowOff>
    </xdr:from>
    <xdr:to>
      <xdr:col>13</xdr:col>
      <xdr:colOff>458109</xdr:colOff>
      <xdr:row>4</xdr:row>
      <xdr:rowOff>226785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590144" y="108856"/>
          <a:ext cx="8313965" cy="163285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aviation sheet</a:t>
          </a:r>
        </a:p>
        <a:p>
          <a:pPr algn="l"/>
          <a:r>
            <a:rPr lang="en-US" sz="1400">
              <a:solidFill>
                <a:schemeClr val="dk1"/>
              </a:solidFill>
              <a:effectLst/>
              <a:latin typeface="+mn-lt"/>
              <a:ea typeface="+mn-ea"/>
              <a:cs typeface="+mn-cs"/>
            </a:rPr>
            <a:t>GHG emissions of aviation distributed</a:t>
          </a:r>
          <a:r>
            <a:rPr lang="en-US" sz="1400" baseline="0">
              <a:solidFill>
                <a:schemeClr val="dk1"/>
              </a:solidFill>
              <a:effectLst/>
              <a:latin typeface="+mn-lt"/>
              <a:ea typeface="+mn-ea"/>
              <a:cs typeface="+mn-cs"/>
            </a:rPr>
            <a:t> between domestic and international </a:t>
          </a:r>
          <a:r>
            <a:rPr lang="en-US" sz="1400">
              <a:solidFill>
                <a:schemeClr val="dk1"/>
              </a:solidFill>
              <a:effectLst/>
              <a:latin typeface="+mn-lt"/>
              <a:ea typeface="+mn-ea"/>
              <a:cs typeface="+mn-cs"/>
            </a:rPr>
            <a:t>are calculated in a </a:t>
          </a:r>
          <a:r>
            <a:rPr lang="en-US" sz="1400" b="1">
              <a:solidFill>
                <a:schemeClr val="dk1"/>
              </a:solidFill>
              <a:effectLst/>
              <a:latin typeface="+mn-lt"/>
              <a:ea typeface="+mn-ea"/>
              <a:cs typeface="+mn-cs"/>
            </a:rPr>
            <a:t>top-down approach</a:t>
          </a:r>
          <a:r>
            <a:rPr lang="en-US" sz="1400">
              <a:solidFill>
                <a:schemeClr val="dk1"/>
              </a:solidFill>
              <a:effectLst/>
              <a:latin typeface="+mn-lt"/>
              <a:ea typeface="+mn-ea"/>
              <a:cs typeface="+mn-cs"/>
            </a:rPr>
            <a:t>. Only domestic</a:t>
          </a:r>
          <a:r>
            <a:rPr lang="en-US" sz="1400" baseline="0">
              <a:solidFill>
                <a:schemeClr val="dk1"/>
              </a:solidFill>
              <a:effectLst/>
              <a:latin typeface="+mn-lt"/>
              <a:ea typeface="+mn-ea"/>
              <a:cs typeface="+mn-cs"/>
            </a:rPr>
            <a:t> aviation (both departing and landing taking place in the same country) is counted towards GHG emissions according to the IPCC Guidelines methodology. International aviation is given as information</a:t>
          </a:r>
          <a:endParaRPr lang="en-US" sz="1400">
            <a:solidFill>
              <a:schemeClr val="dk1"/>
            </a:solidFill>
            <a:effectLst/>
            <a:latin typeface="+mn-lt"/>
            <a:ea typeface="+mn-ea"/>
            <a:cs typeface="+mn-cs"/>
          </a:endParaRP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only </a:t>
          </a:r>
          <a:r>
            <a:rPr lang="en-US" sz="1400" b="1">
              <a:solidFill>
                <a:schemeClr val="dk1"/>
              </a:solidFill>
              <a:effectLst/>
              <a:latin typeface="+mn-lt"/>
              <a:ea typeface="+mn-ea"/>
              <a:cs typeface="+mn-cs"/>
            </a:rPr>
            <a:t>data input is the total fuel consumption </a:t>
          </a:r>
          <a:r>
            <a:rPr lang="en-US" sz="1400">
              <a:solidFill>
                <a:schemeClr val="dk1"/>
              </a:solidFill>
              <a:effectLst/>
              <a:latin typeface="+mn-lt"/>
              <a:ea typeface="+mn-ea"/>
              <a:cs typeface="+mn-cs"/>
            </a:rPr>
            <a:t>by fuel for  both domestic and international aviation. </a:t>
          </a:r>
        </a:p>
      </xdr:txBody>
    </xdr:sp>
    <xdr:clientData/>
  </xdr:twoCellAnchor>
  <xdr:twoCellAnchor>
    <xdr:from>
      <xdr:col>14</xdr:col>
      <xdr:colOff>553357</xdr:colOff>
      <xdr:row>0</xdr:row>
      <xdr:rowOff>27214</xdr:rowOff>
    </xdr:from>
    <xdr:to>
      <xdr:col>18</xdr:col>
      <xdr:colOff>879927</xdr:colOff>
      <xdr:row>1</xdr:row>
      <xdr:rowOff>26760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13643428" y="27214"/>
          <a:ext cx="3038928" cy="35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14</xdr:col>
      <xdr:colOff>589643</xdr:colOff>
      <xdr:row>0</xdr:row>
      <xdr:rowOff>344714</xdr:rowOff>
    </xdr:from>
    <xdr:to>
      <xdr:col>19</xdr:col>
      <xdr:colOff>219213</xdr:colOff>
      <xdr:row>4</xdr:row>
      <xdr:rowOff>171021</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3679714" y="344714"/>
          <a:ext cx="3688400" cy="1341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4532</xdr:colOff>
      <xdr:row>0</xdr:row>
      <xdr:rowOff>40821</xdr:rowOff>
    </xdr:from>
    <xdr:to>
      <xdr:col>20</xdr:col>
      <xdr:colOff>1006929</xdr:colOff>
      <xdr:row>4</xdr:row>
      <xdr:rowOff>1183821</xdr:rowOff>
    </xdr:to>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7502068" y="40821"/>
          <a:ext cx="9329968" cy="255814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road sheet</a:t>
          </a:r>
        </a:p>
        <a:p>
          <a:pPr algn="l"/>
          <a:r>
            <a:rPr lang="en-US" sz="1400">
              <a:solidFill>
                <a:schemeClr val="dk1"/>
              </a:solidFill>
              <a:effectLst/>
              <a:latin typeface="+mn-lt"/>
              <a:ea typeface="+mn-ea"/>
              <a:cs typeface="+mn-cs"/>
            </a:rPr>
            <a:t>This </a:t>
          </a:r>
          <a:r>
            <a:rPr lang="en-US" sz="1400" b="1">
              <a:solidFill>
                <a:schemeClr val="dk1"/>
              </a:solidFill>
              <a:effectLst/>
              <a:latin typeface="+mn-lt"/>
              <a:ea typeface="+mn-ea"/>
              <a:cs typeface="+mn-cs"/>
            </a:rPr>
            <a:t>bottom-up approach </a:t>
          </a:r>
          <a:r>
            <a:rPr lang="en-US" sz="1400">
              <a:solidFill>
                <a:schemeClr val="dk1"/>
              </a:solidFill>
              <a:effectLst/>
              <a:latin typeface="+mn-lt"/>
              <a:ea typeface="+mn-ea"/>
              <a:cs typeface="+mn-cs"/>
            </a:rPr>
            <a:t>is based on</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multiplying activity data i.e.</a:t>
          </a:r>
          <a:r>
            <a:rPr lang="en-US" sz="1400" baseline="0">
              <a:solidFill>
                <a:schemeClr val="dk1"/>
              </a:solidFill>
              <a:effectLst/>
              <a:latin typeface="+mn-lt"/>
              <a:ea typeface="+mn-ea"/>
              <a:cs typeface="+mn-cs"/>
            </a:rPr>
            <a:t> vehicle </a:t>
          </a:r>
          <a:r>
            <a:rPr lang="en-US" sz="1400">
              <a:solidFill>
                <a:schemeClr val="dk1"/>
              </a:solidFill>
              <a:effectLst/>
              <a:latin typeface="+mn-lt"/>
              <a:ea typeface="+mn-ea"/>
              <a:cs typeface="+mn-cs"/>
            </a:rPr>
            <a:t>stock and average vehicle kilometer (VKT) per vehicles with specific fuel consumption and emission factors.</a:t>
          </a:r>
        </a:p>
        <a:p>
          <a:pPr algn="l"/>
          <a:endParaRPr lang="en-GB" sz="1400">
            <a:effectLst/>
            <a:latin typeface="+mn-lt"/>
          </a:endParaRPr>
        </a:p>
        <a:p>
          <a:pPr algn="l"/>
          <a:r>
            <a:rPr lang="en-US" sz="1400">
              <a:solidFill>
                <a:schemeClr val="dk1"/>
              </a:solidFill>
              <a:effectLst/>
              <a:latin typeface="+mn-lt"/>
              <a:ea typeface="+mn-ea"/>
              <a:cs typeface="+mn-cs"/>
            </a:rPr>
            <a:t>Data is disaggregated per </a:t>
          </a:r>
          <a:r>
            <a:rPr lang="en-US" sz="1400" b="1">
              <a:solidFill>
                <a:schemeClr val="dk1"/>
              </a:solidFill>
              <a:effectLst/>
              <a:latin typeface="+mn-lt"/>
              <a:ea typeface="+mn-ea"/>
              <a:cs typeface="+mn-cs"/>
            </a:rPr>
            <a:t>vehicle type, size, class, fuel type and technology</a:t>
          </a:r>
          <a:r>
            <a:rPr lang="en-US" sz="1400">
              <a:solidFill>
                <a:schemeClr val="dk1"/>
              </a:solidFill>
              <a:effectLst/>
              <a:latin typeface="+mn-lt"/>
              <a:ea typeface="+mn-ea"/>
              <a:cs typeface="+mn-cs"/>
            </a:rPr>
            <a:t>. In the columns under "activity data" </a:t>
          </a:r>
          <a:r>
            <a:rPr lang="en-US" sz="1400" b="1">
              <a:solidFill>
                <a:schemeClr val="dk1"/>
              </a:solidFill>
              <a:effectLst/>
              <a:latin typeface="+mn-lt"/>
              <a:ea typeface="+mn-ea"/>
              <a:cs typeface="+mn-cs"/>
            </a:rPr>
            <a:t>vehicle stock </a:t>
          </a:r>
          <a:r>
            <a:rPr lang="en-US" sz="1400">
              <a:solidFill>
                <a:schemeClr val="dk1"/>
              </a:solidFill>
              <a:effectLst/>
              <a:latin typeface="+mn-lt"/>
              <a:ea typeface="+mn-ea"/>
              <a:cs typeface="+mn-cs"/>
            </a:rPr>
            <a:t>and </a:t>
          </a:r>
          <a:r>
            <a:rPr lang="en-US" sz="1400" b="1">
              <a:solidFill>
                <a:schemeClr val="dk1"/>
              </a:solidFill>
              <a:effectLst/>
              <a:latin typeface="+mn-lt"/>
              <a:ea typeface="+mn-ea"/>
              <a:cs typeface="+mn-cs"/>
            </a:rPr>
            <a:t>average vkt </a:t>
          </a:r>
          <a:r>
            <a:rPr lang="en-US" sz="1400">
              <a:solidFill>
                <a:schemeClr val="dk1"/>
              </a:solidFill>
              <a:effectLst/>
              <a:latin typeface="+mn-lt"/>
              <a:ea typeface="+mn-ea"/>
              <a:cs typeface="+mn-cs"/>
            </a:rPr>
            <a:t>should be given on the highest disaggregation level of vehicle type.</a:t>
          </a:r>
        </a:p>
        <a:p>
          <a:pPr algn="l"/>
          <a:r>
            <a:rPr lang="en-US" sz="1400">
              <a:solidFill>
                <a:schemeClr val="dk1"/>
              </a:solidFill>
              <a:effectLst/>
              <a:latin typeface="+mn-lt"/>
              <a:ea typeface="+mn-ea"/>
              <a:cs typeface="+mn-cs"/>
            </a:rPr>
            <a:t>For fuel specification and average fuel consumption, the proposed default values for each fuel and vehicle subcategory can be used. However, if more accurate or recent data is available it should be updated.</a:t>
          </a:r>
        </a:p>
        <a:p>
          <a:pPr algn="l"/>
          <a:endParaRPr lang="en-GB" sz="1400">
            <a:effectLst/>
            <a:latin typeface="+mn-lt"/>
          </a:endParaRPr>
        </a:p>
        <a:p>
          <a:pPr algn="l"/>
          <a:r>
            <a:rPr lang="en-US" sz="1400">
              <a:solidFill>
                <a:schemeClr val="dk1"/>
              </a:solidFill>
              <a:effectLst/>
              <a:latin typeface="+mn-lt"/>
              <a:ea typeface="+mn-ea"/>
              <a:cs typeface="+mn-cs"/>
            </a:rPr>
            <a:t>Additional</a:t>
          </a:r>
          <a:r>
            <a:rPr lang="en-US" sz="1400" baseline="0">
              <a:solidFill>
                <a:schemeClr val="dk1"/>
              </a:solidFill>
              <a:effectLst/>
              <a:latin typeface="+mn-lt"/>
              <a:ea typeface="+mn-ea"/>
              <a:cs typeface="+mn-cs"/>
            </a:rPr>
            <a:t> information on vehicle load and transport performance can be used for validation and projections  (see below column AJ-AN) but is not part of the calculation for the inventory.</a:t>
          </a:r>
          <a:endParaRPr lang="en-GB" sz="1400">
            <a:effectLst/>
            <a:latin typeface="+mn-lt"/>
          </a:endParaRPr>
        </a:p>
        <a:p>
          <a:pPr algn="ctr"/>
          <a:endParaRPr lang="en-GB" sz="1400">
            <a:effectLst/>
            <a:latin typeface="+mn-lt"/>
          </a:endParaRPr>
        </a:p>
        <a:p>
          <a:endParaRPr lang="en-GB" sz="1100">
            <a:latin typeface="+mn-lt"/>
          </a:endParaRPr>
        </a:p>
      </xdr:txBody>
    </xdr:sp>
    <xdr:clientData/>
  </xdr:twoCellAnchor>
  <xdr:twoCellAnchor>
    <xdr:from>
      <xdr:col>21</xdr:col>
      <xdr:colOff>9078</xdr:colOff>
      <xdr:row>0</xdr:row>
      <xdr:rowOff>27215</xdr:rowOff>
    </xdr:from>
    <xdr:to>
      <xdr:col>25</xdr:col>
      <xdr:colOff>81648</xdr:colOff>
      <xdr:row>1</xdr:row>
      <xdr:rowOff>26761</xdr:rowOff>
    </xdr:to>
    <xdr:sp macro="" textlink="">
      <xdr:nvSpPr>
        <xdr:cNvPr id="13" name="Textfeld 12">
          <a:extLst>
            <a:ext uri="{FF2B5EF4-FFF2-40B4-BE49-F238E27FC236}">
              <a16:creationId xmlns:a16="http://schemas.microsoft.com/office/drawing/2014/main" id="{00000000-0008-0000-0200-00000D000000}"/>
            </a:ext>
          </a:extLst>
        </xdr:cNvPr>
        <xdr:cNvSpPr txBox="1"/>
      </xdr:nvSpPr>
      <xdr:spPr>
        <a:xfrm>
          <a:off x="16936364" y="27215"/>
          <a:ext cx="3229427"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21</xdr:col>
      <xdr:colOff>45358</xdr:colOff>
      <xdr:row>1</xdr:row>
      <xdr:rowOff>13606</xdr:rowOff>
    </xdr:from>
    <xdr:to>
      <xdr:col>30</xdr:col>
      <xdr:colOff>168908</xdr:colOff>
      <xdr:row>4</xdr:row>
      <xdr:rowOff>1275026</xdr:rowOff>
    </xdr:to>
    <xdr:pic>
      <xdr:nvPicPr>
        <xdr:cNvPr id="2" name="Grafik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6972644" y="367392"/>
          <a:ext cx="7193276" cy="23227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843642</xdr:colOff>
      <xdr:row>0</xdr:row>
      <xdr:rowOff>54428</xdr:rowOff>
    </xdr:from>
    <xdr:to>
      <xdr:col>13</xdr:col>
      <xdr:colOff>503464</xdr:colOff>
      <xdr:row>4</xdr:row>
      <xdr:rowOff>312964</xdr:rowOff>
    </xdr:to>
    <xdr:sp macro="" textlink="">
      <xdr:nvSpPr>
        <xdr:cNvPr id="4" name="Textfeld 3">
          <a:extLst>
            <a:ext uri="{FF2B5EF4-FFF2-40B4-BE49-F238E27FC236}">
              <a16:creationId xmlns:a16="http://schemas.microsoft.com/office/drawing/2014/main" id="{00000000-0008-0000-0300-000004000000}"/>
            </a:ext>
          </a:extLst>
        </xdr:cNvPr>
        <xdr:cNvSpPr txBox="1"/>
      </xdr:nvSpPr>
      <xdr:spPr>
        <a:xfrm>
          <a:off x="4585606" y="54428"/>
          <a:ext cx="6463394" cy="168728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sng" strike="noStrike" kern="0" cap="none" spc="0" normalizeH="0" baseline="0" noProof="0">
              <a:ln>
                <a:noFill/>
              </a:ln>
              <a:solidFill>
                <a:prstClr val="black"/>
              </a:solidFill>
              <a:effectLst/>
              <a:uLnTx/>
              <a:uFillTx/>
              <a:latin typeface="+mn-lt"/>
              <a:ea typeface="+mn-ea"/>
              <a:cs typeface="+mn-cs"/>
            </a:rPr>
            <a:t>Description Rail Sheet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GHG emissions are calculated in a </a:t>
          </a:r>
          <a:r>
            <a:rPr kumimoji="0" lang="en-US" sz="1400" b="1" i="0" u="none" strike="noStrike" kern="0" cap="none" spc="0" normalizeH="0" baseline="0" noProof="0">
              <a:ln>
                <a:noFill/>
              </a:ln>
              <a:solidFill>
                <a:prstClr val="black"/>
              </a:solidFill>
              <a:effectLst/>
              <a:uLnTx/>
              <a:uFillTx/>
              <a:latin typeface="+mn-lt"/>
              <a:ea typeface="+mn-ea"/>
              <a:cs typeface="+mn-cs"/>
            </a:rPr>
            <a:t>top-down approach</a:t>
          </a:r>
          <a:r>
            <a:rPr kumimoji="0" lang="en-US" sz="14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The only data input is the total fuel consumption for railways. Additional data on VKT and transport performance can be used for comparison and calculation of specific fuel consumption.</a:t>
          </a:r>
        </a:p>
      </xdr:txBody>
    </xdr:sp>
    <xdr:clientData/>
  </xdr:twoCellAnchor>
  <xdr:twoCellAnchor>
    <xdr:from>
      <xdr:col>13</xdr:col>
      <xdr:colOff>453620</xdr:colOff>
      <xdr:row>0</xdr:row>
      <xdr:rowOff>13607</xdr:rowOff>
    </xdr:from>
    <xdr:to>
      <xdr:col>17</xdr:col>
      <xdr:colOff>303941</xdr:colOff>
      <xdr:row>1</xdr:row>
      <xdr:rowOff>13153</xdr:rowOff>
    </xdr:to>
    <xdr:sp macro="" textlink="">
      <xdr:nvSpPr>
        <xdr:cNvPr id="46" name="Textfeld 45">
          <a:extLst>
            <a:ext uri="{FF2B5EF4-FFF2-40B4-BE49-F238E27FC236}">
              <a16:creationId xmlns:a16="http://schemas.microsoft.com/office/drawing/2014/main" id="{00000000-0008-0000-0300-00002E000000}"/>
            </a:ext>
          </a:extLst>
        </xdr:cNvPr>
        <xdr:cNvSpPr txBox="1"/>
      </xdr:nvSpPr>
      <xdr:spPr>
        <a:xfrm>
          <a:off x="12659227" y="13607"/>
          <a:ext cx="2898321"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13</xdr:col>
      <xdr:colOff>544287</xdr:colOff>
      <xdr:row>0</xdr:row>
      <xdr:rowOff>285750</xdr:rowOff>
    </xdr:from>
    <xdr:to>
      <xdr:col>18</xdr:col>
      <xdr:colOff>247246</xdr:colOff>
      <xdr:row>4</xdr:row>
      <xdr:rowOff>207307</xdr:rowOff>
    </xdr:to>
    <xdr:pic>
      <xdr:nvPicPr>
        <xdr:cNvPr id="6" name="Grafik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11089823" y="285750"/>
          <a:ext cx="3520579" cy="13503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13607</xdr:colOff>
      <xdr:row>0</xdr:row>
      <xdr:rowOff>54428</xdr:rowOff>
    </xdr:from>
    <xdr:to>
      <xdr:col>17</xdr:col>
      <xdr:colOff>1815</xdr:colOff>
      <xdr:row>4</xdr:row>
      <xdr:rowOff>1130300</xdr:rowOff>
    </xdr:to>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4344307" y="54428"/>
          <a:ext cx="8255908" cy="251097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Water-Bone navigation </a:t>
          </a:r>
          <a:br>
            <a:rPr lang="en-US" sz="1400" b="1" u="sng">
              <a:solidFill>
                <a:schemeClr val="dk1"/>
              </a:solidFill>
              <a:effectLst/>
              <a:latin typeface="+mn-lt"/>
              <a:ea typeface="+mn-ea"/>
              <a:cs typeface="+mn-cs"/>
            </a:rPr>
          </a:br>
          <a:r>
            <a:rPr lang="en-US" sz="1400" b="1" u="sng">
              <a:solidFill>
                <a:schemeClr val="dk1"/>
              </a:solidFill>
              <a:effectLst/>
              <a:latin typeface="+mn-lt"/>
              <a:ea typeface="+mn-ea"/>
              <a:cs typeface="+mn-cs"/>
            </a:rPr>
            <a:t>Maritime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maritime navigation are calculated in a </a:t>
          </a:r>
          <a:r>
            <a:rPr lang="en-US" sz="1400" b="1">
              <a:solidFill>
                <a:schemeClr val="dk1"/>
              </a:solidFill>
              <a:effectLst/>
              <a:latin typeface="+mn-lt"/>
              <a:ea typeface="+mn-ea"/>
              <a:cs typeface="+mn-cs"/>
            </a:rPr>
            <a:t>simplified bottom-up approach</a:t>
          </a:r>
          <a:r>
            <a:rPr lang="en-US" sz="1400">
              <a:solidFill>
                <a:schemeClr val="dk1"/>
              </a:solidFill>
              <a:effectLst/>
              <a:latin typeface="+mn-lt"/>
              <a:ea typeface="+mn-ea"/>
              <a:cs typeface="+mn-cs"/>
            </a:rPr>
            <a:t> based on total transport performance.</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total transport volume x average transport distance x average specific fuel consumption. Total fuel consumption is multiplied with default emission factors to calculate GHG emissions.</a:t>
          </a:r>
        </a:p>
        <a:p>
          <a:pPr algn="l"/>
          <a:r>
            <a:rPr lang="en-US" sz="1400">
              <a:solidFill>
                <a:schemeClr val="dk1"/>
              </a:solidFill>
              <a:effectLst/>
              <a:latin typeface="+mn-lt"/>
              <a:ea typeface="+mn-ea"/>
              <a:cs typeface="+mn-cs"/>
            </a:rPr>
            <a:t>A split of HFO and diesel oil in fuel consumption has to be estimated. The data is differentiated between national and international transport.</a:t>
          </a:r>
        </a:p>
      </xdr:txBody>
    </xdr:sp>
    <xdr:clientData/>
  </xdr:twoCellAnchor>
  <xdr:twoCellAnchor>
    <xdr:from>
      <xdr:col>19</xdr:col>
      <xdr:colOff>81643</xdr:colOff>
      <xdr:row>0</xdr:row>
      <xdr:rowOff>45359</xdr:rowOff>
    </xdr:from>
    <xdr:to>
      <xdr:col>22</xdr:col>
      <xdr:colOff>353785</xdr:colOff>
      <xdr:row>1</xdr:row>
      <xdr:rowOff>38555</xdr:rowOff>
    </xdr:to>
    <xdr:sp macro="" textlink="">
      <xdr:nvSpPr>
        <xdr:cNvPr id="20" name="Textfeld 19">
          <a:extLst>
            <a:ext uri="{FF2B5EF4-FFF2-40B4-BE49-F238E27FC236}">
              <a16:creationId xmlns:a16="http://schemas.microsoft.com/office/drawing/2014/main" id="{00000000-0008-0000-0400-000014000000}"/>
            </a:ext>
          </a:extLst>
        </xdr:cNvPr>
        <xdr:cNvSpPr txBox="1"/>
      </xdr:nvSpPr>
      <xdr:spPr>
        <a:xfrm>
          <a:off x="14069786" y="45359"/>
          <a:ext cx="3038928" cy="346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19</xdr:col>
      <xdr:colOff>136072</xdr:colOff>
      <xdr:row>1</xdr:row>
      <xdr:rowOff>72574</xdr:rowOff>
    </xdr:from>
    <xdr:to>
      <xdr:col>29</xdr:col>
      <xdr:colOff>239032</xdr:colOff>
      <xdr:row>4</xdr:row>
      <xdr:rowOff>1017364</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4124215" y="426360"/>
          <a:ext cx="7538356" cy="20229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40822</xdr:colOff>
      <xdr:row>0</xdr:row>
      <xdr:rowOff>81644</xdr:rowOff>
    </xdr:from>
    <xdr:to>
      <xdr:col>15</xdr:col>
      <xdr:colOff>870857</xdr:colOff>
      <xdr:row>4</xdr:row>
      <xdr:rowOff>993321</xdr:rowOff>
    </xdr:to>
    <xdr:sp macro="" textlink="">
      <xdr:nvSpPr>
        <xdr:cNvPr id="4" name="Textfeld 3">
          <a:extLst>
            <a:ext uri="{FF2B5EF4-FFF2-40B4-BE49-F238E27FC236}">
              <a16:creationId xmlns:a16="http://schemas.microsoft.com/office/drawing/2014/main" id="{00000000-0008-0000-0500-000004000000}"/>
            </a:ext>
          </a:extLst>
        </xdr:cNvPr>
        <xdr:cNvSpPr txBox="1"/>
      </xdr:nvSpPr>
      <xdr:spPr>
        <a:xfrm>
          <a:off x="5483679" y="81644"/>
          <a:ext cx="8654142" cy="240846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Water-borne navigation </a:t>
          </a:r>
          <a:endParaRPr lang="en-US" sz="1400" b="1" u="sng" baseline="0">
            <a:solidFill>
              <a:schemeClr val="dk1"/>
            </a:solidFill>
            <a:effectLst/>
            <a:latin typeface="+mn-lt"/>
            <a:ea typeface="+mn-ea"/>
            <a:cs typeface="+mn-cs"/>
          </a:endParaRPr>
        </a:p>
        <a:p>
          <a:pPr algn="ctr"/>
          <a:r>
            <a:rPr lang="en-US" sz="1400" b="1" u="sng">
              <a:solidFill>
                <a:schemeClr val="dk1"/>
              </a:solidFill>
              <a:effectLst/>
              <a:latin typeface="+mn-lt"/>
              <a:ea typeface="+mn-ea"/>
              <a:cs typeface="+mn-cs"/>
            </a:rPr>
            <a:t>Inland</a:t>
          </a:r>
          <a:r>
            <a:rPr lang="en-US" sz="1400" b="1" u="sng" baseline="0">
              <a:solidFill>
                <a:schemeClr val="dk1"/>
              </a:solidFill>
              <a:effectLst/>
              <a:latin typeface="+mn-lt"/>
              <a:ea typeface="+mn-ea"/>
              <a:cs typeface="+mn-cs"/>
            </a:rPr>
            <a:t> Shipping</a:t>
          </a:r>
          <a:r>
            <a:rPr lang="en-US" sz="1400" b="1" u="sng">
              <a:solidFill>
                <a:schemeClr val="dk1"/>
              </a:solidFill>
              <a:effectLst/>
              <a:latin typeface="+mn-lt"/>
              <a:ea typeface="+mn-ea"/>
              <a:cs typeface="+mn-cs"/>
            </a:rPr>
            <a:t>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inland waterway navigation are calculated in a </a:t>
          </a:r>
          <a:r>
            <a:rPr lang="en-US" sz="1400" b="1">
              <a:solidFill>
                <a:schemeClr val="dk1"/>
              </a:solidFill>
              <a:effectLst/>
              <a:latin typeface="+mn-lt"/>
              <a:ea typeface="+mn-ea"/>
              <a:cs typeface="+mn-cs"/>
            </a:rPr>
            <a:t>bottom-up approach</a:t>
          </a:r>
          <a:r>
            <a:rPr lang="en-US" sz="1400">
              <a:solidFill>
                <a:schemeClr val="dk1"/>
              </a:solidFill>
              <a:effectLst/>
              <a:latin typeface="+mn-lt"/>
              <a:ea typeface="+mn-ea"/>
              <a:cs typeface="+mn-cs"/>
            </a:rPr>
            <a: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a:t>
          </a:r>
          <a:r>
            <a:rPr lang="en-US" sz="1400" b="1">
              <a:solidFill>
                <a:schemeClr val="dk1"/>
              </a:solidFill>
              <a:effectLst/>
              <a:latin typeface="+mn-lt"/>
              <a:ea typeface="+mn-ea"/>
              <a:cs typeface="+mn-cs"/>
            </a:rPr>
            <a:t>number of ships x average operating hours x average engine power x load factor x engine specific fuel consumption.</a:t>
          </a:r>
          <a:r>
            <a:rPr lang="en-US" sz="1400">
              <a:solidFill>
                <a:schemeClr val="dk1"/>
              </a:solidFill>
              <a:effectLst/>
              <a:latin typeface="+mn-lt"/>
              <a:ea typeface="+mn-ea"/>
              <a:cs typeface="+mn-cs"/>
            </a:rPr>
            <a:t> Total fuel consumption is multiplied with default emission factor to calculate GHG emissions.</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data is differentiated by ship category and size class.</a:t>
          </a:r>
        </a:p>
      </xdr:txBody>
    </xdr:sp>
    <xdr:clientData/>
  </xdr:twoCellAnchor>
  <xdr:twoCellAnchor>
    <xdr:from>
      <xdr:col>17</xdr:col>
      <xdr:colOff>72572</xdr:colOff>
      <xdr:row>0</xdr:row>
      <xdr:rowOff>54430</xdr:rowOff>
    </xdr:from>
    <xdr:to>
      <xdr:col>21</xdr:col>
      <xdr:colOff>263072</xdr:colOff>
      <xdr:row>1</xdr:row>
      <xdr:rowOff>53976</xdr:rowOff>
    </xdr:to>
    <xdr:sp macro="" textlink="">
      <xdr:nvSpPr>
        <xdr:cNvPr id="3" name="Textfeld 2">
          <a:extLst>
            <a:ext uri="{FF2B5EF4-FFF2-40B4-BE49-F238E27FC236}">
              <a16:creationId xmlns:a16="http://schemas.microsoft.com/office/drawing/2014/main" id="{00000000-0008-0000-0500-000003000000}"/>
            </a:ext>
          </a:extLst>
        </xdr:cNvPr>
        <xdr:cNvSpPr txBox="1"/>
      </xdr:nvSpPr>
      <xdr:spPr>
        <a:xfrm>
          <a:off x="15330715" y="54430"/>
          <a:ext cx="3038928"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17</xdr:col>
      <xdr:colOff>99787</xdr:colOff>
      <xdr:row>1</xdr:row>
      <xdr:rowOff>18148</xdr:rowOff>
    </xdr:from>
    <xdr:to>
      <xdr:col>28</xdr:col>
      <xdr:colOff>730252</xdr:colOff>
      <xdr:row>5</xdr:row>
      <xdr:rowOff>1156</xdr:rowOff>
    </xdr:to>
    <xdr:pic>
      <xdr:nvPicPr>
        <xdr:cNvPr id="5" name="Grafik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15357930" y="371934"/>
          <a:ext cx="9352642" cy="24141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54429</xdr:colOff>
      <xdr:row>0</xdr:row>
      <xdr:rowOff>27214</xdr:rowOff>
    </xdr:from>
    <xdr:to>
      <xdr:col>6</xdr:col>
      <xdr:colOff>1143000</xdr:colOff>
      <xdr:row>4</xdr:row>
      <xdr:rowOff>176892</xdr:rowOff>
    </xdr:to>
    <xdr:sp macro="" textlink="">
      <xdr:nvSpPr>
        <xdr:cNvPr id="2" name="Textfeld 1">
          <a:extLst>
            <a:ext uri="{FF2B5EF4-FFF2-40B4-BE49-F238E27FC236}">
              <a16:creationId xmlns:a16="http://schemas.microsoft.com/office/drawing/2014/main" id="{00000000-0008-0000-0600-000002000000}"/>
            </a:ext>
          </a:extLst>
        </xdr:cNvPr>
        <xdr:cNvSpPr txBox="1"/>
      </xdr:nvSpPr>
      <xdr:spPr>
        <a:xfrm>
          <a:off x="54429" y="27214"/>
          <a:ext cx="8041821"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Summary table</a:t>
          </a:r>
          <a:r>
            <a:rPr lang="en-US" sz="1400" b="1" u="sng" baseline="0">
              <a:solidFill>
                <a:schemeClr val="dk1"/>
              </a:solidFill>
              <a:effectLst/>
              <a:latin typeface="+mn-lt"/>
              <a:ea typeface="+mn-ea"/>
              <a:cs typeface="+mn-cs"/>
            </a:rPr>
            <a:t>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contains a </a:t>
          </a:r>
          <a:r>
            <a:rPr lang="en-US" sz="1400" b="1" baseline="0">
              <a:solidFill>
                <a:schemeClr val="dk1"/>
              </a:solidFill>
              <a:effectLst/>
              <a:latin typeface="+mn-lt"/>
              <a:ea typeface="+mn-ea"/>
              <a:cs typeface="+mn-cs"/>
            </a:rPr>
            <a:t>summary of the total fuel consumption and GHG emissions of each subsector</a:t>
          </a:r>
          <a:r>
            <a:rPr lang="en-US" sz="1400" baseline="0">
              <a:solidFill>
                <a:schemeClr val="dk1"/>
              </a:solidFill>
              <a:effectLst/>
              <a:latin typeface="+mn-lt"/>
              <a:ea typeface="+mn-ea"/>
              <a:cs typeface="+mn-cs"/>
            </a:rPr>
            <a:t>. Additional data includes the transport performance.</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from the user </a:t>
          </a:r>
          <a:r>
            <a:rPr lang="en-US" sz="1400" b="0" baseline="0">
              <a:solidFill>
                <a:schemeClr val="dk1"/>
              </a:solidFill>
              <a:effectLst/>
              <a:latin typeface="+mn-lt"/>
              <a:ea typeface="+mn-ea"/>
              <a:cs typeface="+mn-cs"/>
            </a:rPr>
            <a:t>as all fields are calculated</a:t>
          </a:r>
          <a:endParaRPr lang="en-US" sz="1400" b="0">
            <a:solidFill>
              <a:schemeClr val="dk1"/>
            </a:solidFill>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69273</xdr:colOff>
      <xdr:row>0</xdr:row>
      <xdr:rowOff>34638</xdr:rowOff>
    </xdr:from>
    <xdr:to>
      <xdr:col>18</xdr:col>
      <xdr:colOff>0</xdr:colOff>
      <xdr:row>20</xdr:row>
      <xdr:rowOff>0</xdr:rowOff>
    </xdr:to>
    <xdr:sp macro="" textlink="">
      <xdr:nvSpPr>
        <xdr:cNvPr id="12" name="Textfeld 11">
          <a:extLst>
            <a:ext uri="{FF2B5EF4-FFF2-40B4-BE49-F238E27FC236}">
              <a16:creationId xmlns:a16="http://schemas.microsoft.com/office/drawing/2014/main" id="{00000000-0008-0000-0700-00000C000000}"/>
            </a:ext>
          </a:extLst>
        </xdr:cNvPr>
        <xdr:cNvSpPr txBox="1"/>
      </xdr:nvSpPr>
      <xdr:spPr>
        <a:xfrm>
          <a:off x="69273" y="34638"/>
          <a:ext cx="16000763" cy="39522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Validation</a:t>
          </a:r>
          <a:r>
            <a:rPr lang="en-US" sz="1400" b="1" u="sng" baseline="0">
              <a:solidFill>
                <a:schemeClr val="dk1"/>
              </a:solidFill>
              <a:effectLst/>
              <a:latin typeface="+mn-lt"/>
              <a:ea typeface="+mn-ea"/>
              <a:cs typeface="+mn-cs"/>
            </a:rPr>
            <a:t> total fuel consumption per fuel type</a:t>
          </a:r>
        </a:p>
        <a:p>
          <a:pPr>
            <a:lnSpc>
              <a:spcPct val="115000"/>
            </a:lnSpc>
            <a:spcAft>
              <a:spcPts val="1000"/>
            </a:spcAft>
          </a:pPr>
          <a:r>
            <a:rPr lang="en-US" sz="1400">
              <a:effectLst/>
              <a:latin typeface="+mn-lt"/>
              <a:ea typeface="Calibri"/>
              <a:cs typeface="Times New Roman"/>
            </a:rPr>
            <a:t>A well-known validation approach is the comparison of the calculated fuel consumption (summed by fuel type and transport category) obtained from the present tool (bottom-up approach) with the national energy balance (top-down approach). Differences within a range of +/- 10% are quite common and should not be considered as error but as uncertainty. It can be for example due to the fact that the energy balance does include fuels bought in neighboring countries and consumed within the country. The emission inventory report should try explaining gaps and analyze the possibility to minimize the related uncertainties.</a:t>
          </a:r>
        </a:p>
        <a:p>
          <a:pPr>
            <a:lnSpc>
              <a:spcPct val="115000"/>
            </a:lnSpc>
            <a:spcAft>
              <a:spcPts val="0"/>
            </a:spcAft>
          </a:pPr>
          <a:r>
            <a:rPr lang="en-US" sz="1400" b="1">
              <a:effectLst/>
              <a:latin typeface="+mn-lt"/>
              <a:ea typeface="Calibri"/>
              <a:cs typeface="Times New Roman"/>
            </a:rPr>
            <a:t>Energy balance data</a:t>
          </a:r>
          <a:r>
            <a:rPr lang="en-US" sz="1400">
              <a:effectLst/>
              <a:latin typeface="+mn-lt"/>
              <a:ea typeface="Calibri"/>
              <a:cs typeface="Times New Roman"/>
            </a:rPr>
            <a:t> are based on the total fuel sales within the country. According to the IPCC guidelines 2006, the final energy consumption for the GHG inventory should be calculated as follow: production + import – export - international bunkers - stock change.  The main uncertainties for energy balance data are: </a:t>
          </a:r>
        </a:p>
        <a:p>
          <a:pPr marL="342900" lvl="0" indent="-342900">
            <a:lnSpc>
              <a:spcPct val="115000"/>
            </a:lnSpc>
            <a:spcAft>
              <a:spcPts val="0"/>
            </a:spcAft>
            <a:buFont typeface="Symbol"/>
            <a:buChar char=""/>
          </a:pPr>
          <a:r>
            <a:rPr lang="en-US" sz="1400">
              <a:effectLst/>
              <a:latin typeface="+mn-lt"/>
              <a:ea typeface="Calibri"/>
              <a:cs typeface="Times New Roman"/>
            </a:rPr>
            <a:t>Allocation of fuels to the transport sector (e.g. fuel consumption from diesel generators should not be accounted for in transport) or transport subcategories (i.e. road transportation vs other transports, domestic use vs. international bunkers)</a:t>
          </a:r>
        </a:p>
        <a:p>
          <a:pPr marL="342900" lvl="0" indent="-342900">
            <a:lnSpc>
              <a:spcPct val="115000"/>
            </a:lnSpc>
            <a:spcAft>
              <a:spcPts val="0"/>
            </a:spcAft>
            <a:buFont typeface="Symbol"/>
            <a:buChar char=""/>
          </a:pPr>
          <a:r>
            <a:rPr lang="en-US" sz="1400">
              <a:effectLst/>
              <a:latin typeface="+mn-lt"/>
              <a:ea typeface="Calibri"/>
              <a:cs typeface="Times New Roman"/>
            </a:rPr>
            <a:t>Amount of grey imports (illegally sold fuels, tank-tourism in small or transit-countries)</a:t>
          </a:r>
        </a:p>
        <a:p>
          <a:pPr>
            <a:lnSpc>
              <a:spcPct val="115000"/>
            </a:lnSpc>
            <a:spcAft>
              <a:spcPts val="0"/>
            </a:spcAft>
          </a:pPr>
          <a:r>
            <a:rPr lang="en-US" sz="1400">
              <a:effectLst/>
              <a:latin typeface="+mn-lt"/>
              <a:ea typeface="Calibri"/>
              <a:cs typeface="Times New Roman"/>
            </a:rPr>
            <a:t>The main uncertainties for </a:t>
          </a:r>
          <a:r>
            <a:rPr lang="en-US" sz="1400" b="1">
              <a:effectLst/>
              <a:latin typeface="+mn-lt"/>
              <a:ea typeface="Calibri"/>
              <a:cs typeface="Times New Roman"/>
            </a:rPr>
            <a:t>bottom-up fuel consumption </a:t>
          </a:r>
          <a:r>
            <a:rPr lang="en-US" sz="1400">
              <a:effectLst/>
              <a:latin typeface="+mn-lt"/>
              <a:ea typeface="Calibri"/>
              <a:cs typeface="Times New Roman"/>
            </a:rPr>
            <a:t>data are: </a:t>
          </a:r>
        </a:p>
        <a:p>
          <a:pPr marL="342900" lvl="0" indent="-342900">
            <a:lnSpc>
              <a:spcPct val="115000"/>
            </a:lnSpc>
            <a:spcAft>
              <a:spcPts val="0"/>
            </a:spcAft>
            <a:buFont typeface="Symbol"/>
            <a:buChar char=""/>
          </a:pPr>
          <a:r>
            <a:rPr lang="en-US" sz="1400">
              <a:effectLst/>
              <a:latin typeface="+mn-lt"/>
              <a:ea typeface="Calibri"/>
              <a:cs typeface="Times New Roman"/>
            </a:rPr>
            <a:t>Activity data i.e. fleet composition, vehicle number or VKT, specific fuel consumption </a:t>
          </a:r>
        </a:p>
        <a:p>
          <a:pPr>
            <a:lnSpc>
              <a:spcPct val="115000"/>
            </a:lnSpc>
            <a:spcAft>
              <a:spcPts val="0"/>
            </a:spcAft>
          </a:pPr>
          <a:r>
            <a:rPr lang="en-US" sz="1400">
              <a:effectLst/>
              <a:latin typeface="+mn-lt"/>
              <a:ea typeface="Calibri"/>
              <a:cs typeface="Times New Roman"/>
            </a:rPr>
            <a:t>A comparison of different sources can help to identify the range of uncertainties. If identifying the parameter with the highest uncertainties is possible, it makes sense to try adjusting it. For example: the calculated total gasoline consumption for road transport is 30% higher than the value given in the energy balance. Motorcycles consume 50% of motor gasoline and the motorcycle population could not be provided by official statistics but only estimated. In order to minimize the gap for motor gasoline to e.g. 10%, the number of motorcycles could be diminished by 30%. Another common approach is to adjust average VKT in order to match the energy balance results.</a:t>
          </a:r>
        </a:p>
      </xdr:txBody>
    </xdr:sp>
    <xdr:clientData/>
  </xdr:twoCellAnchor>
  <xdr:twoCellAnchor>
    <xdr:from>
      <xdr:col>7</xdr:col>
      <xdr:colOff>46261</xdr:colOff>
      <xdr:row>34</xdr:row>
      <xdr:rowOff>65563</xdr:rowOff>
    </xdr:from>
    <xdr:to>
      <xdr:col>11</xdr:col>
      <xdr:colOff>827547</xdr:colOff>
      <xdr:row>51</xdr:row>
      <xdr:rowOff>39848</xdr:rowOff>
    </xdr:to>
    <xdr:graphicFrame macro="">
      <xdr:nvGraphicFramePr>
        <xdr:cNvPr id="17" name="Diagramm 16">
          <a:extLst>
            <a:ext uri="{FF2B5EF4-FFF2-40B4-BE49-F238E27FC236}">
              <a16:creationId xmlns:a16="http://schemas.microsoft.com/office/drawing/2014/main" id="{00000000-0008-0000-07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50226</xdr:colOff>
      <xdr:row>34</xdr:row>
      <xdr:rowOff>65563</xdr:rowOff>
    </xdr:from>
    <xdr:to>
      <xdr:col>17</xdr:col>
      <xdr:colOff>831512</xdr:colOff>
      <xdr:row>51</xdr:row>
      <xdr:rowOff>53455</xdr:rowOff>
    </xdr:to>
    <xdr:graphicFrame macro="">
      <xdr:nvGraphicFramePr>
        <xdr:cNvPr id="18" name="Diagramm 17">
          <a:extLst>
            <a:ext uri="{FF2B5EF4-FFF2-40B4-BE49-F238E27FC236}">
              <a16:creationId xmlns:a16="http://schemas.microsoft.com/office/drawing/2014/main" id="{00000000-0008-0000-07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68034</xdr:colOff>
      <xdr:row>34</xdr:row>
      <xdr:rowOff>65563</xdr:rowOff>
    </xdr:from>
    <xdr:to>
      <xdr:col>23</xdr:col>
      <xdr:colOff>849320</xdr:colOff>
      <xdr:row>51</xdr:row>
      <xdr:rowOff>67063</xdr:rowOff>
    </xdr:to>
    <xdr:graphicFrame macro="">
      <xdr:nvGraphicFramePr>
        <xdr:cNvPr id="19" name="Diagramm 18">
          <a:extLst>
            <a:ext uri="{FF2B5EF4-FFF2-40B4-BE49-F238E27FC236}">
              <a16:creationId xmlns:a16="http://schemas.microsoft.com/office/drawing/2014/main" id="{00000000-0008-0000-07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86875</xdr:colOff>
      <xdr:row>34</xdr:row>
      <xdr:rowOff>65563</xdr:rowOff>
    </xdr:from>
    <xdr:to>
      <xdr:col>29</xdr:col>
      <xdr:colOff>813732</xdr:colOff>
      <xdr:row>51</xdr:row>
      <xdr:rowOff>80670</xdr:rowOff>
    </xdr:to>
    <xdr:graphicFrame macro="">
      <xdr:nvGraphicFramePr>
        <xdr:cNvPr id="20" name="Diagramm 19">
          <a:extLst>
            <a:ext uri="{FF2B5EF4-FFF2-40B4-BE49-F238E27FC236}">
              <a16:creationId xmlns:a16="http://schemas.microsoft.com/office/drawing/2014/main" id="{00000000-0008-0000-07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86876</xdr:colOff>
      <xdr:row>34</xdr:row>
      <xdr:rowOff>65563</xdr:rowOff>
    </xdr:from>
    <xdr:to>
      <xdr:col>35</xdr:col>
      <xdr:colOff>813733</xdr:colOff>
      <xdr:row>51</xdr:row>
      <xdr:rowOff>80670</xdr:rowOff>
    </xdr:to>
    <xdr:graphicFrame macro="">
      <xdr:nvGraphicFramePr>
        <xdr:cNvPr id="22" name="Diagramm 21">
          <a:extLst>
            <a:ext uri="{FF2B5EF4-FFF2-40B4-BE49-F238E27FC236}">
              <a16:creationId xmlns:a16="http://schemas.microsoft.com/office/drawing/2014/main" id="{00000000-0008-0000-07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68036</xdr:colOff>
      <xdr:row>34</xdr:row>
      <xdr:rowOff>65563</xdr:rowOff>
    </xdr:from>
    <xdr:to>
      <xdr:col>5</xdr:col>
      <xdr:colOff>849322</xdr:colOff>
      <xdr:row>51</xdr:row>
      <xdr:rowOff>67063</xdr:rowOff>
    </xdr:to>
    <xdr:graphicFrame macro="">
      <xdr:nvGraphicFramePr>
        <xdr:cNvPr id="23" name="Diagramm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108857</xdr:colOff>
      <xdr:row>0</xdr:row>
      <xdr:rowOff>136073</xdr:rowOff>
    </xdr:from>
    <xdr:to>
      <xdr:col>7</xdr:col>
      <xdr:colOff>734786</xdr:colOff>
      <xdr:row>4</xdr:row>
      <xdr:rowOff>13609</xdr:rowOff>
    </xdr:to>
    <xdr:sp macro="" textlink="">
      <xdr:nvSpPr>
        <xdr:cNvPr id="3" name="Textfeld 2">
          <a:extLst>
            <a:ext uri="{FF2B5EF4-FFF2-40B4-BE49-F238E27FC236}">
              <a16:creationId xmlns:a16="http://schemas.microsoft.com/office/drawing/2014/main" id="{00000000-0008-0000-0800-000003000000}"/>
            </a:ext>
          </a:extLst>
        </xdr:cNvPr>
        <xdr:cNvSpPr txBox="1"/>
      </xdr:nvSpPr>
      <xdr:spPr>
        <a:xfrm>
          <a:off x="108857" y="136073"/>
          <a:ext cx="8477250"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GHG Inventory Sheet</a:t>
          </a: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shows the results of the calculated </a:t>
          </a:r>
          <a:r>
            <a:rPr lang="en-US" sz="1400" b="1" baseline="0">
              <a:solidFill>
                <a:schemeClr val="dk1"/>
              </a:solidFill>
              <a:effectLst/>
              <a:latin typeface="+mn-lt"/>
              <a:ea typeface="+mn-ea"/>
              <a:cs typeface="+mn-cs"/>
            </a:rPr>
            <a:t>GHG emissions in line with IPCC guidelines</a:t>
          </a:r>
          <a:r>
            <a:rPr lang="en-US" sz="1400" baseline="0">
              <a:solidFill>
                <a:schemeClr val="dk1"/>
              </a:solidFill>
              <a:effectLst/>
              <a:latin typeface="+mn-lt"/>
              <a:ea typeface="+mn-ea"/>
              <a:cs typeface="+mn-cs"/>
            </a:rPr>
            <a:t>. Therefore only domestic transports are included, international are bunkers excluded.</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a:t>
          </a:r>
          <a:r>
            <a:rPr lang="en-US" sz="1400" baseline="0">
              <a:solidFill>
                <a:schemeClr val="dk1"/>
              </a:solidFill>
              <a:effectLst/>
              <a:latin typeface="+mn-lt"/>
              <a:ea typeface="+mn-ea"/>
              <a:cs typeface="+mn-cs"/>
            </a:rPr>
            <a:t>from the user as all fields are calculated.</a:t>
          </a:r>
        </a:p>
      </xdr:txBody>
    </xdr:sp>
    <xdr:clientData/>
  </xdr:twoCellAnchor>
  <xdr:twoCellAnchor>
    <xdr:from>
      <xdr:col>0</xdr:col>
      <xdr:colOff>0</xdr:colOff>
      <xdr:row>16</xdr:row>
      <xdr:rowOff>35605</xdr:rowOff>
    </xdr:from>
    <xdr:to>
      <xdr:col>9</xdr:col>
      <xdr:colOff>530678</xdr:colOff>
      <xdr:row>45</xdr:row>
      <xdr:rowOff>140609</xdr:rowOff>
    </xdr:to>
    <xdr:graphicFrame macro="">
      <xdr:nvGraphicFramePr>
        <xdr:cNvPr id="4" name="Diagramm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0.50777</cdr:x>
      <cdr:y>0.00912</cdr:y>
    </cdr:from>
    <cdr:to>
      <cdr:x>0.85142</cdr:x>
      <cdr:y>0.0896</cdr:y>
    </cdr:to>
    <cdr:sp macro="" textlink="">
      <cdr:nvSpPr>
        <cdr:cNvPr id="2" name="Textfeld 1"/>
        <cdr:cNvSpPr txBox="1"/>
      </cdr:nvSpPr>
      <cdr:spPr>
        <a:xfrm xmlns:a="http://schemas.openxmlformats.org/drawingml/2006/main">
          <a:off x="4504850" y="51421"/>
          <a:ext cx="3048859" cy="4536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4400" b="1"/>
        </a:p>
      </cdr:txBody>
    </cdr:sp>
  </cdr:relSizeAnchor>
  <cdr:relSizeAnchor xmlns:cdr="http://schemas.openxmlformats.org/drawingml/2006/chartDrawing">
    <cdr:from>
      <cdr:x>0.32266</cdr:x>
      <cdr:y>0</cdr:y>
    </cdr:from>
    <cdr:to>
      <cdr:x>0.80626</cdr:x>
      <cdr:y>0.08048</cdr:y>
    </cdr:to>
    <cdr:sp macro="" textlink="">
      <cdr:nvSpPr>
        <cdr:cNvPr id="4" name="Textfeld 1"/>
        <cdr:cNvSpPr txBox="1"/>
      </cdr:nvSpPr>
      <cdr:spPr>
        <a:xfrm xmlns:a="http://schemas.openxmlformats.org/drawingml/2006/main">
          <a:off x="3567237" y="0"/>
          <a:ext cx="5346576" cy="43453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b="1" i="0" u="none" strike="noStrike">
              <a:solidFill>
                <a:srgbClr val="000000"/>
              </a:solidFill>
              <a:latin typeface="+mn-lt"/>
            </a:rPr>
            <a:t>Result: Distribute</a:t>
          </a:r>
          <a:r>
            <a:rPr lang="en-US" sz="2000" b="1" i="0" u="none" strike="noStrike" baseline="0">
              <a:solidFill>
                <a:srgbClr val="000000"/>
              </a:solidFill>
              <a:latin typeface="+mn-lt"/>
            </a:rPr>
            <a:t>d share of emissions in the transport sector </a:t>
          </a:r>
          <a:r>
            <a:rPr lang="en-US" sz="2000" b="1" i="0" u="none" strike="noStrike">
              <a:solidFill>
                <a:srgbClr val="000000"/>
              </a:solidFill>
              <a:latin typeface="+mn-lt"/>
            </a:rPr>
            <a:t>2015 Kenya</a:t>
          </a:r>
        </a:p>
        <a:p xmlns:a="http://schemas.openxmlformats.org/drawingml/2006/main">
          <a:endParaRPr lang="en-US" sz="2000" b="1"/>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40822</xdr:colOff>
      <xdr:row>67</xdr:row>
      <xdr:rowOff>40821</xdr:rowOff>
    </xdr:from>
    <xdr:to>
      <xdr:col>17</xdr:col>
      <xdr:colOff>789215</xdr:colOff>
      <xdr:row>85</xdr:row>
      <xdr:rowOff>0</xdr:rowOff>
    </xdr:to>
    <xdr:graphicFrame macro="">
      <xdr:nvGraphicFramePr>
        <xdr:cNvPr id="2" name="Diagramm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48987</xdr:colOff>
      <xdr:row>67</xdr:row>
      <xdr:rowOff>40821</xdr:rowOff>
    </xdr:from>
    <xdr:to>
      <xdr:col>8</xdr:col>
      <xdr:colOff>837987</xdr:colOff>
      <xdr:row>85</xdr:row>
      <xdr:rowOff>0</xdr:rowOff>
    </xdr:to>
    <xdr:graphicFrame macro="">
      <xdr:nvGraphicFramePr>
        <xdr:cNvPr id="3" name="Diagramm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54428</xdr:colOff>
      <xdr:row>0</xdr:row>
      <xdr:rowOff>95250</xdr:rowOff>
    </xdr:from>
    <xdr:to>
      <xdr:col>17</xdr:col>
      <xdr:colOff>1279072</xdr:colOff>
      <xdr:row>16</xdr:row>
      <xdr:rowOff>0</xdr:rowOff>
    </xdr:to>
    <xdr:sp macro="" textlink="">
      <xdr:nvSpPr>
        <xdr:cNvPr id="4" name="Textfeld 3">
          <a:extLst>
            <a:ext uri="{FF2B5EF4-FFF2-40B4-BE49-F238E27FC236}">
              <a16:creationId xmlns:a16="http://schemas.microsoft.com/office/drawing/2014/main" id="{00000000-0008-0000-0900-000004000000}"/>
            </a:ext>
          </a:extLst>
        </xdr:cNvPr>
        <xdr:cNvSpPr txBox="1"/>
      </xdr:nvSpPr>
      <xdr:spPr>
        <a:xfrm>
          <a:off x="197303" y="95250"/>
          <a:ext cx="21370019" cy="30480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baseline="0">
              <a:solidFill>
                <a:schemeClr val="dk1"/>
              </a:solidFill>
              <a:effectLst/>
              <a:latin typeface="+mn-lt"/>
              <a:ea typeface="+mn-ea"/>
              <a:cs typeface="+mn-cs"/>
            </a:rPr>
            <a:t>Transport performance and specific fuel consumption</a:t>
          </a:r>
        </a:p>
        <a:p>
          <a:pPr>
            <a:lnSpc>
              <a:spcPct val="115000"/>
            </a:lnSpc>
            <a:spcAft>
              <a:spcPts val="1000"/>
            </a:spcAft>
          </a:pPr>
          <a:r>
            <a:rPr lang="en-US" sz="1400">
              <a:effectLst/>
              <a:latin typeface="+mn-lt"/>
              <a:ea typeface="Calibri"/>
              <a:cs typeface="Times New Roman"/>
            </a:rPr>
            <a:t>Ton-Kilometers (TKM) and Passenger-Kilometers (PKM) describe transport demand for freight and passenger transport. The share of TKM and PMK for each transport mode is called the </a:t>
          </a:r>
          <a:r>
            <a:rPr lang="en-US" sz="1400" b="1">
              <a:effectLst/>
              <a:latin typeface="+mn-lt"/>
              <a:ea typeface="Calibri"/>
              <a:cs typeface="Times New Roman"/>
            </a:rPr>
            <a:t>modal split</a:t>
          </a:r>
          <a:r>
            <a:rPr lang="en-US" sz="1400">
              <a:effectLst/>
              <a:latin typeface="+mn-lt"/>
              <a:ea typeface="Calibri"/>
              <a:cs typeface="Times New Roman"/>
            </a:rPr>
            <a:t> (note: the unit must be given, since modal split can also be obtained from the number of trips or vehicle-kilometers).</a:t>
          </a:r>
        </a:p>
        <a:p>
          <a:pPr>
            <a:lnSpc>
              <a:spcPct val="115000"/>
            </a:lnSpc>
            <a:spcAft>
              <a:spcPts val="1000"/>
            </a:spcAft>
          </a:pPr>
          <a:r>
            <a:rPr lang="en-US" sz="1400">
              <a:effectLst/>
              <a:latin typeface="+mn-lt"/>
              <a:ea typeface="Calibri"/>
              <a:cs typeface="Times New Roman"/>
            </a:rPr>
            <a:t>Moreover </a:t>
          </a:r>
          <a:r>
            <a:rPr lang="en-US" sz="1400" b="1">
              <a:effectLst/>
              <a:latin typeface="+mn-lt"/>
              <a:ea typeface="Calibri"/>
              <a:cs typeface="Times New Roman"/>
            </a:rPr>
            <a:t>the specific fuel consumption</a:t>
          </a:r>
          <a:r>
            <a:rPr lang="en-US" sz="1400">
              <a:effectLst/>
              <a:latin typeface="+mn-lt"/>
              <a:ea typeface="Calibri"/>
              <a:cs typeface="Times New Roman"/>
            </a:rPr>
            <a:t> per TKM or PKM enables comparing the fuel efficiency of different modes. It can be compared with official statistics and data from the literature - if available in order to help identifying uncertainties (this sheet contains exemplary data for Germany). Discrepancies can occur due to different factors: vehicle efficiency (e.g. age of the fleet), passenger or freight capacity of vehicles (size) and load factor (occupancy and empty trip rates). High discrepancies i.e. in the magnitude of +/-50% which cannot be explained by the previous influencing factors might indicate errors in the calculation or input parameters.</a:t>
          </a:r>
        </a:p>
        <a:p>
          <a:pPr>
            <a:lnSpc>
              <a:spcPct val="115000"/>
            </a:lnSpc>
            <a:spcAft>
              <a:spcPts val="1000"/>
            </a:spcAft>
          </a:pPr>
          <a:r>
            <a:rPr lang="en-US" sz="1400">
              <a:effectLst/>
              <a:latin typeface="+mn-lt"/>
              <a:ea typeface="Calibri"/>
              <a:cs typeface="Times New Roman"/>
            </a:rPr>
            <a:t>Both numbers: modal split and specific fuel consumption give also a hint on energy reduction potentials thanks to </a:t>
          </a:r>
          <a:r>
            <a:rPr lang="en-US" sz="1400" b="1">
              <a:effectLst/>
              <a:latin typeface="+mn-lt"/>
              <a:ea typeface="Calibri"/>
              <a:cs typeface="Times New Roman"/>
            </a:rPr>
            <a:t>modal shift</a:t>
          </a:r>
          <a:r>
            <a:rPr lang="en-US" sz="1400">
              <a:effectLst/>
              <a:latin typeface="+mn-lt"/>
              <a:ea typeface="Calibri"/>
              <a:cs typeface="Times New Roman"/>
            </a:rPr>
            <a:t> i.e. measures enabling passengers to travel by bus instead of passenger cars, or by train instead of airplanes.</a:t>
          </a:r>
        </a:p>
        <a:p>
          <a:pPr>
            <a:lnSpc>
              <a:spcPct val="115000"/>
            </a:lnSpc>
            <a:spcAft>
              <a:spcPts val="1000"/>
            </a:spcAft>
          </a:pPr>
          <a:r>
            <a:rPr lang="en-US" sz="1400">
              <a:effectLst/>
              <a:latin typeface="+mn-lt"/>
              <a:ea typeface="Calibri"/>
              <a:cs typeface="Times New Roman"/>
            </a:rPr>
            <a:t>Some national statistics may include the </a:t>
          </a:r>
          <a:r>
            <a:rPr lang="en-US" sz="1400" b="1">
              <a:effectLst/>
              <a:latin typeface="+mn-lt"/>
              <a:ea typeface="Calibri"/>
              <a:cs typeface="Times New Roman"/>
            </a:rPr>
            <a:t>total transport performance</a:t>
          </a:r>
          <a:r>
            <a:rPr lang="en-US" sz="1400">
              <a:effectLst/>
              <a:latin typeface="+mn-lt"/>
              <a:ea typeface="Calibri"/>
              <a:cs typeface="Times New Roman"/>
            </a:rPr>
            <a:t> per transport category. Such data can be compared with the results of the present calculation tool, especially for transport categories using a bottom-up approach (e.g. road). Activity data can be adjusted to minimize the possible gap between statistical and calculated PKM and TKM, as described in the sheet “Top-Down Validation" (to adjust the bottom-up fuel consumption). Other parameters such as vehicle size, capacity and load factor can also be useful to calibrate total transport demand. Transport demand of electric trains or electric vehicles should be excluded because they are currently not a considered in this tool.</a:t>
          </a:r>
        </a:p>
        <a:p>
          <a:pPr algn="ctr"/>
          <a:endParaRPr lang="en-US" sz="1400" b="1" u="sng" baseline="0">
            <a:solidFill>
              <a:schemeClr val="dk1"/>
            </a:solidFill>
            <a:effectLst/>
            <a:latin typeface="+mn-lt"/>
            <a:ea typeface="+mn-ea"/>
            <a:cs typeface="+mn-cs"/>
          </a:endParaRPr>
        </a:p>
      </xdr:txBody>
    </xdr:sp>
    <xdr:clientData/>
  </xdr:twoCellAnchor>
  <xdr:twoCellAnchor>
    <xdr:from>
      <xdr:col>10</xdr:col>
      <xdr:colOff>40822</xdr:colOff>
      <xdr:row>46</xdr:row>
      <xdr:rowOff>176893</xdr:rowOff>
    </xdr:from>
    <xdr:to>
      <xdr:col>17</xdr:col>
      <xdr:colOff>789215</xdr:colOff>
      <xdr:row>66</xdr:row>
      <xdr:rowOff>168898</xdr:rowOff>
    </xdr:to>
    <xdr:graphicFrame macro="">
      <xdr:nvGraphicFramePr>
        <xdr:cNvPr id="5" name="Diagramm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48987</xdr:colOff>
      <xdr:row>46</xdr:row>
      <xdr:rowOff>176893</xdr:rowOff>
    </xdr:from>
    <xdr:to>
      <xdr:col>8</xdr:col>
      <xdr:colOff>837987</xdr:colOff>
      <xdr:row>66</xdr:row>
      <xdr:rowOff>168898</xdr:rowOff>
    </xdr:to>
    <xdr:graphicFrame macro="">
      <xdr:nvGraphicFramePr>
        <xdr:cNvPr id="6" name="Diagramm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40822</xdr:colOff>
      <xdr:row>28</xdr:row>
      <xdr:rowOff>108857</xdr:rowOff>
    </xdr:from>
    <xdr:to>
      <xdr:col>17</xdr:col>
      <xdr:colOff>802822</xdr:colOff>
      <xdr:row>46</xdr:row>
      <xdr:rowOff>114469</xdr:rowOff>
    </xdr:to>
    <xdr:graphicFrame macro="">
      <xdr:nvGraphicFramePr>
        <xdr:cNvPr id="7" name="Diagramm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48987</xdr:colOff>
      <xdr:row>28</xdr:row>
      <xdr:rowOff>108857</xdr:rowOff>
    </xdr:from>
    <xdr:to>
      <xdr:col>8</xdr:col>
      <xdr:colOff>837987</xdr:colOff>
      <xdr:row>46</xdr:row>
      <xdr:rowOff>114469</xdr:rowOff>
    </xdr:to>
    <xdr:graphicFrame macro="">
      <xdr:nvGraphicFramePr>
        <xdr:cNvPr id="9" name="Diagramm 8">
          <a:extLst>
            <a:ext uri="{FF2B5EF4-FFF2-40B4-BE49-F238E27FC236}">
              <a16:creationId xmlns:a16="http://schemas.microsoft.com/office/drawing/2014/main" id="{00000000-0008-0000-09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155863</xdr:colOff>
      <xdr:row>0</xdr:row>
      <xdr:rowOff>69272</xdr:rowOff>
    </xdr:from>
    <xdr:to>
      <xdr:col>13</xdr:col>
      <xdr:colOff>0</xdr:colOff>
      <xdr:row>3</xdr:row>
      <xdr:rowOff>89647</xdr:rowOff>
    </xdr:to>
    <xdr:sp macro="" textlink="">
      <xdr:nvSpPr>
        <xdr:cNvPr id="4" name="Textfeld 3">
          <a:extLst>
            <a:ext uri="{FF2B5EF4-FFF2-40B4-BE49-F238E27FC236}">
              <a16:creationId xmlns:a16="http://schemas.microsoft.com/office/drawing/2014/main" id="{00000000-0008-0000-0A00-000004000000}"/>
            </a:ext>
          </a:extLst>
        </xdr:cNvPr>
        <xdr:cNvSpPr txBox="1"/>
      </xdr:nvSpPr>
      <xdr:spPr>
        <a:xfrm>
          <a:off x="155863" y="69272"/>
          <a:ext cx="12506784" cy="161161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Default </a:t>
          </a:r>
          <a:r>
            <a:rPr lang="en-US" sz="1400" b="1" u="sng" baseline="0">
              <a:solidFill>
                <a:schemeClr val="dk1"/>
              </a:solidFill>
              <a:effectLst/>
              <a:latin typeface="+mn-lt"/>
              <a:ea typeface="+mn-ea"/>
              <a:cs typeface="+mn-cs"/>
            </a:rPr>
            <a:t>parameter </a:t>
          </a:r>
          <a:r>
            <a:rPr lang="en-US" sz="1400" b="1" u="sng">
              <a:solidFill>
                <a:schemeClr val="dk1"/>
              </a:solidFill>
              <a:effectLst/>
              <a:latin typeface="+mn-lt"/>
              <a:ea typeface="+mn-ea"/>
              <a:cs typeface="+mn-cs"/>
            </a:rPr>
            <a:t>sheet</a:t>
          </a: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parameters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lower heating values</a:t>
          </a:r>
          <a:r>
            <a:rPr lang="en-US" sz="1400" b="1" baseline="0">
              <a:solidFill>
                <a:schemeClr val="dk1"/>
              </a:solidFill>
              <a:effectLst/>
              <a:latin typeface="+mn-lt"/>
              <a:ea typeface="+mn-ea"/>
              <a:cs typeface="+mn-cs"/>
            </a:rPr>
            <a:t> and emission factors for CO2, CH4 and N2O </a:t>
          </a:r>
          <a:r>
            <a:rPr lang="en-US" sz="1400" baseline="0">
              <a:solidFill>
                <a:schemeClr val="dk1"/>
              </a:solidFill>
              <a:effectLst/>
              <a:latin typeface="+mn-lt"/>
              <a:ea typeface="+mn-ea"/>
              <a:cs typeface="+mn-cs"/>
            </a:rPr>
            <a:t>are used for all subsectors. They comply with a Tier 1 approach and are not country-specific. Especially for CH4 and N2O emission factors underlie high uncertainty depending on  country-specific traffic situations.</a:t>
          </a:r>
        </a:p>
        <a:p>
          <a:pPr algn="l"/>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 Any modification of the default factors falls under the responsibility of the user.</a:t>
          </a:r>
          <a:endParaRPr lang="en-US" sz="14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1</xdr:row>
      <xdr:rowOff>217715</xdr:rowOff>
    </xdr:to>
    <xdr:sp macro="" textlink="">
      <xdr:nvSpPr>
        <xdr:cNvPr id="2" name="Textfeld 1">
          <a:extLst>
            <a:ext uri="{FF2B5EF4-FFF2-40B4-BE49-F238E27FC236}">
              <a16:creationId xmlns:a16="http://schemas.microsoft.com/office/drawing/2014/main" id="{4662A86B-A2F6-4BE4-AF04-0A6CB73893BB}"/>
            </a:ext>
          </a:extLst>
        </xdr:cNvPr>
        <xdr:cNvSpPr txBox="1"/>
      </xdr:nvSpPr>
      <xdr:spPr>
        <a:xfrm>
          <a:off x="0" y="0"/>
          <a:ext cx="15830550" cy="118736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Input specific fuel</a:t>
          </a:r>
          <a:r>
            <a:rPr lang="en-US" sz="1400" b="1" u="sng" baseline="0">
              <a:solidFill>
                <a:schemeClr val="dk1"/>
              </a:solidFill>
              <a:effectLst/>
              <a:latin typeface="+mn-lt"/>
              <a:ea typeface="+mn-ea"/>
              <a:cs typeface="+mn-cs"/>
            </a:rPr>
            <a:t> consumption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fuel consumption factors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specific fuel</a:t>
          </a:r>
          <a:r>
            <a:rPr lang="en-US" sz="1400" b="1" baseline="0">
              <a:solidFill>
                <a:schemeClr val="dk1"/>
              </a:solidFill>
              <a:effectLst/>
              <a:latin typeface="+mn-lt"/>
              <a:ea typeface="+mn-ea"/>
              <a:cs typeface="+mn-cs"/>
            </a:rPr>
            <a:t> consumption </a:t>
          </a:r>
          <a:r>
            <a:rPr lang="en-US" sz="1400" b="0" baseline="0">
              <a:solidFill>
                <a:schemeClr val="dk1"/>
              </a:solidFill>
              <a:effectLst/>
              <a:latin typeface="+mn-lt"/>
              <a:ea typeface="+mn-ea"/>
              <a:cs typeface="+mn-cs"/>
            </a:rPr>
            <a:t>of road vehicles is used for the sheet 1A3b Road</a:t>
          </a:r>
          <a:r>
            <a:rPr lang="en-US" sz="1400" b="1" baseline="0">
              <a:solidFill>
                <a:schemeClr val="dk1"/>
              </a:solidFill>
              <a:effectLst/>
              <a:latin typeface="+mn-lt"/>
              <a:ea typeface="+mn-ea"/>
              <a:cs typeface="+mn-cs"/>
            </a:rPr>
            <a:t>. </a:t>
          </a:r>
          <a:r>
            <a:rPr lang="en-US" sz="1400" b="0" baseline="0">
              <a:solidFill>
                <a:schemeClr val="dk1"/>
              </a:solidFill>
              <a:effectLst/>
              <a:latin typeface="+mn-lt"/>
              <a:ea typeface="+mn-ea"/>
              <a:cs typeface="+mn-cs"/>
            </a:rPr>
            <a:t>The factors are based on European data (see source) which is allocated to the vehicle types used in this tool. They can represent only a simplified estimation for other countries. </a:t>
          </a:r>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The default factors should be changed only if better and reliable data are available and depict the reality of the country . </a:t>
          </a:r>
          <a:endParaRPr lang="en-US" sz="14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Inland%20waterway_calculation%20BOTTOM-UP_MASTER_29.11.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GHG%20Inventory%20tool_1.A.3d%20(ii)%20Inland%20Shipping%2008.03.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sheetData sheetId="1">
        <row r="3">
          <cell r="B3">
            <v>0</v>
          </cell>
        </row>
      </sheetData>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refreshError="1"/>
      <sheetData sheetId="1">
        <row r="1">
          <cell r="A1" t="str">
            <v>Greenhouse Gas Emission Inventory Tool
Subsector: Inland Waterway</v>
          </cell>
        </row>
      </sheetData>
      <sheetData sheetId="2" refreshError="1"/>
      <sheetData sheetId="3">
        <row r="25">
          <cell r="A25" t="str">
            <v>Freight inland vessel</v>
          </cell>
        </row>
      </sheetData>
      <sheetData sheetId="4">
        <row r="6">
          <cell r="A6" t="str">
            <v>Diesel Oil</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knbs.or.ke/download/economic-survey-2018/" TargetMode="External"/><Relationship Id="rId2" Type="http://schemas.openxmlformats.org/officeDocument/2006/relationships/hyperlink" Target="http://www.ipcc-nggip.iges.or.jp/public/gl/invs1.html" TargetMode="External"/><Relationship Id="rId1" Type="http://schemas.openxmlformats.org/officeDocument/2006/relationships/hyperlink" Target="http://www.ipcc-nggip.iges.or.jp/public/2006gl/pdf/2_Volume2/V2_3_Ch3_Mobile_Combustion.pdf" TargetMode="External"/><Relationship Id="rId5" Type="http://schemas.openxmlformats.org/officeDocument/2006/relationships/printerSettings" Target="../printerSettings/printerSettings13.bin"/><Relationship Id="rId4" Type="http://schemas.openxmlformats.org/officeDocument/2006/relationships/hyperlink" Target="https://www.icao.int/environmental-protection/Documents/FeasabilityStudy_Kenya_Report-Web.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autoPageBreaks="0"/>
  </sheetPr>
  <dimension ref="A1:AN67"/>
  <sheetViews>
    <sheetView zoomScale="70" zoomScaleNormal="70" zoomScalePageLayoutView="80" workbookViewId="0">
      <selection activeCell="Q49" sqref="Q49"/>
    </sheetView>
  </sheetViews>
  <sheetFormatPr defaultColWidth="12.5703125" defaultRowHeight="15"/>
  <cols>
    <col min="1" max="1" width="12.5703125" style="44"/>
    <col min="2" max="2" width="16" style="44" customWidth="1"/>
    <col min="3" max="16384" width="12.5703125" style="44"/>
  </cols>
  <sheetData>
    <row r="1" spans="1:40" ht="90" customHeight="1">
      <c r="A1" s="59"/>
      <c r="B1" s="60"/>
      <c r="C1" s="60"/>
      <c r="D1" s="60"/>
      <c r="E1" s="60"/>
      <c r="F1" s="60"/>
      <c r="G1" s="60"/>
      <c r="H1" s="60"/>
      <c r="I1" s="60"/>
      <c r="J1" s="60"/>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3"/>
    </row>
    <row r="3" spans="1:40" ht="18.75">
      <c r="H3" s="103" t="s">
        <v>316</v>
      </c>
      <c r="I3" s="48"/>
      <c r="J3" s="48"/>
      <c r="K3" s="103"/>
    </row>
    <row r="4" spans="1:40" ht="15.75">
      <c r="H4" s="102" t="s">
        <v>297</v>
      </c>
      <c r="I4" s="101" t="s">
        <v>296</v>
      </c>
      <c r="J4" s="48"/>
      <c r="K4" s="48"/>
    </row>
    <row r="5" spans="1:40" ht="15.75">
      <c r="H5" s="102" t="s">
        <v>298</v>
      </c>
      <c r="I5" s="101" t="s">
        <v>305</v>
      </c>
      <c r="J5" s="48"/>
      <c r="K5" s="48"/>
    </row>
    <row r="6" spans="1:40" ht="15.75">
      <c r="H6" s="102" t="s">
        <v>299</v>
      </c>
      <c r="I6" s="101" t="s">
        <v>306</v>
      </c>
      <c r="J6" s="48"/>
      <c r="K6" s="48"/>
    </row>
    <row r="7" spans="1:40" ht="15.75">
      <c r="B7" s="45"/>
      <c r="C7" s="46"/>
      <c r="D7" s="46"/>
      <c r="E7" s="46"/>
      <c r="F7" s="46"/>
      <c r="G7" s="46"/>
      <c r="H7" s="102" t="s">
        <v>300</v>
      </c>
      <c r="I7" s="101" t="s">
        <v>543</v>
      </c>
      <c r="J7" s="48"/>
      <c r="K7" s="48"/>
    </row>
    <row r="8" spans="1:40" ht="15.75">
      <c r="B8" s="46"/>
      <c r="C8" s="46"/>
      <c r="D8" s="46"/>
      <c r="E8" s="46"/>
      <c r="F8" s="46"/>
      <c r="G8" s="46"/>
      <c r="H8" s="102" t="s">
        <v>301</v>
      </c>
      <c r="I8" s="101" t="s">
        <v>544</v>
      </c>
      <c r="J8" s="48"/>
      <c r="K8" s="48"/>
    </row>
    <row r="9" spans="1:40" ht="15.75">
      <c r="B9" s="46"/>
      <c r="C9" s="46"/>
      <c r="D9" s="46"/>
      <c r="E9" s="46"/>
      <c r="F9" s="46"/>
      <c r="G9" s="46"/>
      <c r="H9" s="102" t="s">
        <v>302</v>
      </c>
      <c r="I9" s="101" t="s">
        <v>307</v>
      </c>
      <c r="J9" s="48"/>
      <c r="K9" s="48"/>
    </row>
    <row r="10" spans="1:40" ht="15" customHeight="1">
      <c r="B10" s="46"/>
      <c r="C10" s="46"/>
      <c r="D10" s="46"/>
      <c r="E10" s="46"/>
      <c r="F10" s="46"/>
      <c r="G10" s="46"/>
      <c r="H10" s="102" t="s">
        <v>303</v>
      </c>
      <c r="I10" s="101" t="s">
        <v>356</v>
      </c>
      <c r="J10" s="48"/>
      <c r="K10" s="48"/>
    </row>
    <row r="11" spans="1:40" ht="15.75">
      <c r="B11" s="47"/>
      <c r="C11" s="48"/>
      <c r="D11" s="48"/>
      <c r="E11" s="48"/>
      <c r="F11" s="48"/>
      <c r="G11" s="48"/>
      <c r="H11" s="102" t="s">
        <v>304</v>
      </c>
      <c r="I11" s="101" t="s">
        <v>308</v>
      </c>
      <c r="J11" s="48"/>
      <c r="K11" s="48"/>
    </row>
    <row r="12" spans="1:40" ht="15.75">
      <c r="B12" s="48"/>
      <c r="C12" s="48"/>
      <c r="D12" s="48"/>
      <c r="E12" s="48"/>
      <c r="F12" s="48"/>
      <c r="G12" s="48"/>
      <c r="H12" s="102" t="s">
        <v>309</v>
      </c>
      <c r="I12" s="101" t="s">
        <v>355</v>
      </c>
      <c r="J12" s="48"/>
      <c r="K12" s="48"/>
    </row>
    <row r="13" spans="1:40" ht="15.75">
      <c r="B13" s="48"/>
      <c r="C13" s="48"/>
      <c r="D13" s="48"/>
      <c r="E13" s="48"/>
      <c r="F13" s="48"/>
      <c r="G13" s="48"/>
      <c r="H13" s="102" t="s">
        <v>310</v>
      </c>
      <c r="I13" s="101" t="s">
        <v>313</v>
      </c>
      <c r="J13" s="48"/>
      <c r="K13" s="48"/>
    </row>
    <row r="14" spans="1:40" ht="15.75">
      <c r="B14" s="48"/>
      <c r="C14" s="48"/>
      <c r="D14" s="48"/>
      <c r="E14" s="48"/>
      <c r="F14" s="48"/>
      <c r="G14" s="48"/>
      <c r="H14" s="102" t="s">
        <v>311</v>
      </c>
      <c r="I14" s="101" t="s">
        <v>314</v>
      </c>
      <c r="J14" s="48"/>
      <c r="K14" s="48"/>
    </row>
    <row r="15" spans="1:40" ht="15" customHeight="1">
      <c r="B15" s="47"/>
      <c r="C15" s="48"/>
      <c r="D15" s="48"/>
      <c r="E15" s="48"/>
      <c r="F15" s="48"/>
      <c r="G15" s="48"/>
      <c r="H15" s="102" t="s">
        <v>312</v>
      </c>
      <c r="I15" s="101" t="s">
        <v>1</v>
      </c>
      <c r="J15" s="48"/>
      <c r="K15" s="48"/>
    </row>
    <row r="16" spans="1:40" ht="15.75">
      <c r="B16" s="48"/>
      <c r="C16" s="48"/>
      <c r="D16" s="48"/>
      <c r="E16" s="48"/>
      <c r="F16" s="48"/>
      <c r="G16" s="48"/>
      <c r="H16" s="102" t="s">
        <v>354</v>
      </c>
      <c r="I16" s="101" t="s">
        <v>315</v>
      </c>
    </row>
    <row r="17" spans="2:8" ht="17.25" customHeight="1">
      <c r="B17" s="48"/>
      <c r="C17" s="48"/>
      <c r="D17" s="48"/>
      <c r="E17" s="48"/>
      <c r="F17" s="48"/>
      <c r="G17" s="48"/>
      <c r="H17" s="48"/>
    </row>
    <row r="18" spans="2:8" ht="17.25" customHeight="1">
      <c r="B18" s="48"/>
      <c r="C18" s="48"/>
      <c r="D18" s="48"/>
      <c r="E18" s="48"/>
      <c r="F18" s="48"/>
      <c r="G18" s="48"/>
      <c r="H18" s="48"/>
    </row>
    <row r="19" spans="2:8">
      <c r="B19" s="48"/>
      <c r="C19" s="48"/>
      <c r="D19" s="48"/>
      <c r="E19" s="48"/>
      <c r="F19" s="48"/>
      <c r="G19" s="48"/>
      <c r="H19" s="48"/>
    </row>
    <row r="20" spans="2:8">
      <c r="B20" s="48"/>
      <c r="C20" s="48"/>
      <c r="D20" s="48"/>
      <c r="E20" s="48"/>
      <c r="F20" s="48"/>
      <c r="G20" s="48"/>
      <c r="H20" s="48"/>
    </row>
    <row r="21" spans="2:8">
      <c r="F21" s="48"/>
      <c r="G21" s="48"/>
      <c r="H21" s="48"/>
    </row>
    <row r="22" spans="2:8">
      <c r="F22" s="48"/>
      <c r="G22" s="48"/>
      <c r="H22" s="48"/>
    </row>
    <row r="23" spans="2:8">
      <c r="F23" s="48"/>
      <c r="G23" s="48"/>
      <c r="H23" s="48"/>
    </row>
    <row r="24" spans="2:8">
      <c r="F24" s="48"/>
      <c r="G24" s="48"/>
      <c r="H24" s="48"/>
    </row>
    <row r="25" spans="2:8">
      <c r="F25" s="48"/>
      <c r="G25" s="48"/>
      <c r="H25" s="48"/>
    </row>
    <row r="26" spans="2:8">
      <c r="F26" s="48"/>
      <c r="G26" s="48"/>
      <c r="H26" s="48"/>
    </row>
    <row r="27" spans="2:8">
      <c r="F27" s="48"/>
      <c r="G27" s="48"/>
      <c r="H27" s="48"/>
    </row>
    <row r="28" spans="2:8">
      <c r="F28" s="48"/>
      <c r="G28" s="48"/>
      <c r="H28" s="48"/>
    </row>
    <row r="29" spans="2:8">
      <c r="F29" s="48"/>
      <c r="G29" s="48"/>
      <c r="H29" s="48"/>
    </row>
    <row r="30" spans="2:8">
      <c r="F30" s="48"/>
      <c r="G30" s="48"/>
      <c r="H30" s="48"/>
    </row>
    <row r="31" spans="2:8">
      <c r="F31" s="48"/>
      <c r="G31" s="48"/>
      <c r="H31" s="48"/>
    </row>
    <row r="32" spans="2:8">
      <c r="F32" s="48"/>
      <c r="G32" s="48"/>
      <c r="H32" s="48"/>
    </row>
    <row r="33" spans="2:8">
      <c r="F33" s="48"/>
      <c r="G33" s="48"/>
      <c r="H33" s="48"/>
    </row>
    <row r="34" spans="2:8">
      <c r="B34" s="48"/>
      <c r="C34" s="48"/>
      <c r="D34" s="48"/>
      <c r="E34" s="48"/>
      <c r="F34" s="48"/>
      <c r="G34" s="48"/>
      <c r="H34" s="48"/>
    </row>
    <row r="35" spans="2:8">
      <c r="B35" s="48"/>
      <c r="C35" s="48"/>
      <c r="D35" s="48"/>
      <c r="E35" s="48"/>
      <c r="F35" s="48"/>
      <c r="G35" s="48"/>
      <c r="H35" s="48"/>
    </row>
    <row r="36" spans="2:8">
      <c r="B36" s="48"/>
      <c r="C36" s="48"/>
      <c r="D36" s="48"/>
      <c r="E36" s="48"/>
      <c r="F36" s="48"/>
      <c r="G36" s="48"/>
      <c r="H36" s="48"/>
    </row>
    <row r="37" spans="2:8">
      <c r="B37" s="48"/>
      <c r="C37" s="48"/>
      <c r="D37" s="48"/>
      <c r="E37" s="48"/>
      <c r="F37" s="48"/>
      <c r="G37" s="48"/>
      <c r="H37" s="48"/>
    </row>
    <row r="38" spans="2:8">
      <c r="B38" s="48"/>
      <c r="C38" s="48"/>
      <c r="D38" s="48"/>
      <c r="E38" s="48"/>
      <c r="F38" s="48"/>
      <c r="G38" s="48"/>
      <c r="H38" s="48"/>
    </row>
    <row r="39" spans="2:8">
      <c r="B39" s="48"/>
      <c r="C39" s="48"/>
      <c r="D39" s="48"/>
      <c r="E39" s="48"/>
      <c r="F39" s="48"/>
      <c r="G39" s="48"/>
      <c r="H39" s="48"/>
    </row>
    <row r="40" spans="2:8">
      <c r="B40" s="48"/>
      <c r="C40" s="48"/>
      <c r="D40" s="48"/>
      <c r="E40" s="48"/>
      <c r="F40" s="48"/>
      <c r="G40" s="48"/>
      <c r="H40" s="48"/>
    </row>
    <row r="41" spans="2:8">
      <c r="B41" s="48"/>
      <c r="C41" s="48"/>
      <c r="D41" s="48"/>
      <c r="E41" s="48"/>
      <c r="F41" s="48"/>
      <c r="G41" s="48"/>
      <c r="H41" s="48"/>
    </row>
    <row r="42" spans="2:8">
      <c r="B42" s="48"/>
      <c r="C42" s="48"/>
      <c r="D42" s="48"/>
      <c r="E42" s="48"/>
      <c r="F42" s="48"/>
      <c r="G42" s="48"/>
      <c r="H42" s="48"/>
    </row>
    <row r="43" spans="2:8">
      <c r="B43" s="48"/>
      <c r="C43" s="48"/>
      <c r="D43" s="48"/>
      <c r="E43" s="48"/>
      <c r="F43" s="48"/>
      <c r="G43" s="48"/>
      <c r="H43" s="48"/>
    </row>
    <row r="44" spans="2:8">
      <c r="B44" s="48"/>
      <c r="C44" s="48"/>
      <c r="D44" s="48"/>
      <c r="E44" s="48"/>
      <c r="F44" s="48"/>
      <c r="G44" s="48"/>
      <c r="H44" s="48"/>
    </row>
    <row r="45" spans="2:8">
      <c r="B45" s="48"/>
      <c r="C45" s="48"/>
      <c r="D45" s="48"/>
      <c r="E45" s="48"/>
      <c r="F45" s="48"/>
      <c r="G45" s="48"/>
      <c r="H45" s="48"/>
    </row>
    <row r="46" spans="2:8">
      <c r="B46" s="48"/>
      <c r="C46" s="48"/>
      <c r="D46" s="48"/>
      <c r="E46" s="48"/>
      <c r="F46" s="48"/>
      <c r="G46" s="48"/>
      <c r="H46" s="48"/>
    </row>
    <row r="47" spans="2:8">
      <c r="B47" s="48"/>
      <c r="C47" s="48"/>
      <c r="D47" s="48"/>
      <c r="E47" s="48"/>
      <c r="F47" s="48"/>
      <c r="G47" s="48"/>
      <c r="H47" s="48"/>
    </row>
    <row r="48" spans="2:8">
      <c r="B48" s="48"/>
      <c r="C48" s="48"/>
      <c r="D48" s="48"/>
      <c r="E48" s="48"/>
      <c r="F48" s="48"/>
      <c r="G48" s="48"/>
      <c r="H48" s="48"/>
    </row>
    <row r="49" spans="2:8">
      <c r="B49" s="48"/>
      <c r="C49" s="48"/>
      <c r="D49" s="48"/>
      <c r="E49" s="48"/>
      <c r="F49" s="48"/>
      <c r="G49" s="48"/>
      <c r="H49" s="48"/>
    </row>
    <row r="50" spans="2:8">
      <c r="B50" s="48"/>
      <c r="C50" s="48"/>
      <c r="D50" s="48"/>
      <c r="E50" s="48"/>
      <c r="F50" s="48"/>
      <c r="G50" s="48"/>
      <c r="H50" s="48"/>
    </row>
    <row r="51" spans="2:8">
      <c r="B51" s="48"/>
      <c r="C51" s="48"/>
      <c r="D51" s="48"/>
      <c r="E51" s="48"/>
      <c r="F51" s="48"/>
      <c r="G51" s="48"/>
      <c r="H51" s="48"/>
    </row>
    <row r="52" spans="2:8">
      <c r="B52" s="48"/>
      <c r="C52" s="48"/>
      <c r="D52" s="48"/>
      <c r="E52" s="48"/>
      <c r="F52" s="48"/>
      <c r="G52" s="48"/>
      <c r="H52" s="48"/>
    </row>
    <row r="53" spans="2:8">
      <c r="B53" s="48"/>
      <c r="C53" s="48"/>
      <c r="D53" s="48"/>
      <c r="E53" s="48"/>
      <c r="F53" s="48"/>
      <c r="G53" s="48"/>
      <c r="H53" s="48"/>
    </row>
    <row r="54" spans="2:8">
      <c r="B54" s="49"/>
      <c r="C54" s="49"/>
      <c r="D54" s="49"/>
      <c r="E54" s="48"/>
      <c r="F54" s="48"/>
      <c r="G54" s="48"/>
      <c r="H54" s="48"/>
    </row>
    <row r="55" spans="2:8">
      <c r="B55" s="49"/>
      <c r="C55" s="49"/>
      <c r="D55" s="49"/>
      <c r="E55" s="48"/>
      <c r="F55" s="48"/>
      <c r="G55" s="48"/>
      <c r="H55" s="48"/>
    </row>
    <row r="56" spans="2:8">
      <c r="B56" s="49"/>
      <c r="C56" s="49"/>
      <c r="D56" s="49"/>
      <c r="E56" s="50"/>
      <c r="F56" s="50"/>
      <c r="G56" s="50"/>
      <c r="H56" s="50"/>
    </row>
    <row r="57" spans="2:8">
      <c r="B57" s="49"/>
      <c r="C57" s="49"/>
      <c r="D57" s="49"/>
      <c r="E57" s="49"/>
      <c r="F57" s="49"/>
      <c r="G57" s="49"/>
      <c r="H57" s="49"/>
    </row>
    <row r="58" spans="2:8" ht="15.75">
      <c r="B58" s="49"/>
      <c r="C58" s="49"/>
      <c r="D58" s="49"/>
      <c r="E58" s="51"/>
      <c r="F58" s="51"/>
      <c r="G58" s="51"/>
      <c r="H58" s="51"/>
    </row>
    <row r="59" spans="2:8" ht="15.75">
      <c r="B59" s="49"/>
      <c r="C59" s="49"/>
      <c r="D59" s="49"/>
      <c r="E59" s="51"/>
      <c r="F59" s="51"/>
      <c r="G59" s="51"/>
      <c r="H59" s="51"/>
    </row>
    <row r="60" spans="2:8" ht="15.75">
      <c r="B60" s="49"/>
      <c r="C60" s="49"/>
      <c r="D60" s="49"/>
      <c r="E60" s="51"/>
      <c r="F60" s="51"/>
      <c r="G60" s="51"/>
      <c r="H60" s="51"/>
    </row>
    <row r="61" spans="2:8">
      <c r="B61" s="49"/>
      <c r="C61" s="49"/>
      <c r="D61" s="49"/>
    </row>
    <row r="62" spans="2:8">
      <c r="B62" s="49"/>
      <c r="C62" s="49"/>
      <c r="D62" s="49"/>
    </row>
    <row r="63" spans="2:8">
      <c r="B63" s="49"/>
      <c r="C63" s="49"/>
      <c r="D63" s="49"/>
    </row>
    <row r="64" spans="2:8">
      <c r="B64" s="49"/>
      <c r="C64" s="49"/>
      <c r="D64" s="49"/>
    </row>
    <row r="65" spans="2:4">
      <c r="B65" s="49"/>
      <c r="C65" s="49"/>
      <c r="D65" s="49"/>
    </row>
    <row r="66" spans="2:4">
      <c r="B66" s="49"/>
      <c r="C66" s="49"/>
      <c r="D66" s="49"/>
    </row>
    <row r="67" spans="2:4">
      <c r="B67" s="49"/>
      <c r="C67" s="49"/>
      <c r="D67" s="49"/>
    </row>
  </sheetData>
  <sheetProtection selectLockedCells="1" selectUnlockedCells="1"/>
  <phoneticPr fontId="108" type="noConversion"/>
  <hyperlinks>
    <hyperlink ref="I4" location="'1A3a Aviation'!A1" display="1A3a Aviation" xr:uid="{00000000-0004-0000-0100-000000000000}"/>
    <hyperlink ref="I5" location="'1A3b Road'!A1" display="1A3b Road" xr:uid="{00000000-0004-0000-0100-000001000000}"/>
    <hyperlink ref="I6" location="'1A3c Rail'!A1" display="1A3c Rail" xr:uid="{00000000-0004-0000-0100-000002000000}"/>
    <hyperlink ref="I11" location="'GHG Inventory'!A1" display="GHG Inventory" xr:uid="{00000000-0004-0000-0100-000006000000}"/>
    <hyperlink ref="I10" location="'Top-Down Validation'!A1" display="Top-Down Validation" xr:uid="{00000000-0004-0000-0100-000007000000}"/>
    <hyperlink ref="I13" location="'Default Emission factor'!A1" display="Default Emission factor" xr:uid="{00000000-0004-0000-0100-000008000000}"/>
    <hyperlink ref="I14" location="'Input specFC'!A1" display="Input speFC" xr:uid="{00000000-0004-0000-0100-000009000000}"/>
    <hyperlink ref="I15" location="Sources!A1" display="Sources" xr:uid="{00000000-0004-0000-0100-00000A000000}"/>
    <hyperlink ref="I16" location="'Info NFR Codes'!A1" display="Info NFR Codes" xr:uid="{00000000-0004-0000-0100-00000B000000}"/>
    <hyperlink ref="I12" location="'Modal split'!A1" display="'Modal split'!A1" xr:uid="{00000000-0004-0000-0100-00000C000000}"/>
    <hyperlink ref="I7" location="Info!A1" display="Small Cargo (Bottom-up 1)" xr:uid="{00000000-0004-0000-0100-000003000000}"/>
    <hyperlink ref="I8" location="Info!A1" display="KPA Port Call (Bottom-up 2)" xr:uid="{00000000-0004-0000-0100-000004000000}"/>
    <hyperlink ref="I9" location="'1A3di Maritime'!A1" display="1A3di Maritime" xr:uid="{00000000-0004-0000-0100-000005000000}"/>
  </hyperlinks>
  <pageMargins left="0.7" right="0.7" top="0.78740157499999996" bottom="0.78740157499999996" header="0.3" footer="0.3"/>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A1:EQ153"/>
  <sheetViews>
    <sheetView showGridLines="0" showWhiteSpace="0" topLeftCell="C1" zoomScale="70" zoomScaleNormal="70" zoomScalePageLayoutView="70" workbookViewId="0">
      <selection activeCell="B41" sqref="B41"/>
    </sheetView>
  </sheetViews>
  <sheetFormatPr defaultColWidth="9.140625" defaultRowHeight="15"/>
  <cols>
    <col min="1" max="1" width="28.42578125" style="375" customWidth="1"/>
    <col min="2" max="2" width="29.42578125" style="375" customWidth="1"/>
    <col min="3" max="3" width="18.28515625" style="375" bestFit="1" customWidth="1"/>
    <col min="4" max="4" width="3" style="375" customWidth="1"/>
    <col min="5" max="5" width="12" style="375" bestFit="1" customWidth="1"/>
    <col min="6" max="6" width="11.140625" style="376" bestFit="1" customWidth="1"/>
    <col min="7" max="7" width="2.42578125" style="375" customWidth="1"/>
    <col min="8" max="8" width="13.85546875" style="375" customWidth="1"/>
    <col min="9" max="9" width="11" style="376" bestFit="1" customWidth="1"/>
    <col min="10" max="10" width="2.5703125" style="375" customWidth="1"/>
    <col min="11" max="11" width="18.42578125" style="375" customWidth="1"/>
    <col min="12" max="12" width="9.140625" style="375" customWidth="1"/>
    <col min="13" max="13" width="17.140625" style="375" customWidth="1"/>
    <col min="14" max="14" width="9.140625" style="375" customWidth="1"/>
    <col min="15" max="15" width="16.85546875" style="375" customWidth="1"/>
    <col min="16" max="16" width="11" style="376" bestFit="1" customWidth="1"/>
    <col min="17" max="17" width="2" style="375" customWidth="1"/>
    <col min="18" max="18" width="13.85546875" style="375" bestFit="1" customWidth="1"/>
    <col min="19" max="19" width="14.42578125" style="375" customWidth="1"/>
    <col min="20" max="20" width="13.85546875" style="375" bestFit="1" customWidth="1"/>
    <col min="21" max="21" width="11.5703125" style="375" bestFit="1" customWidth="1"/>
    <col min="22" max="22" width="13.85546875" style="375" bestFit="1" customWidth="1"/>
    <col min="23" max="23" width="11.5703125" style="375" bestFit="1" customWidth="1"/>
    <col min="24" max="24" width="2.140625" style="375" customWidth="1"/>
    <col min="25" max="26" width="14" style="375" customWidth="1"/>
    <col min="27" max="29" width="9.140625" style="375"/>
    <col min="30" max="30" width="16.28515625" style="375" customWidth="1"/>
    <col min="31" max="16384" width="9.140625" style="375"/>
  </cols>
  <sheetData>
    <row r="1" spans="1:147" ht="27.75" customHeight="1" thickBot="1">
      <c r="A1" s="67" t="s">
        <v>160</v>
      </c>
      <c r="B1" s="68" t="s">
        <v>215</v>
      </c>
    </row>
    <row r="2" spans="1:147" ht="27.75" customHeight="1" thickBot="1">
      <c r="A2" s="69" t="s">
        <v>2</v>
      </c>
      <c r="B2" s="71" t="s">
        <v>397</v>
      </c>
      <c r="F2" s="375"/>
      <c r="I2" s="375"/>
      <c r="P2" s="375"/>
    </row>
    <row r="3" spans="1:147" s="25" customFormat="1" ht="27.75" customHeight="1" thickBot="1">
      <c r="A3" s="70" t="s">
        <v>217</v>
      </c>
      <c r="B3" s="71">
        <v>2015</v>
      </c>
      <c r="F3" s="376"/>
      <c r="I3" s="376"/>
      <c r="P3" s="376"/>
    </row>
    <row r="4" spans="1:147" s="25" customFormat="1" ht="36" customHeight="1" thickBot="1">
      <c r="A4" s="633" t="s">
        <v>350</v>
      </c>
      <c r="B4" s="634"/>
      <c r="F4" s="376"/>
      <c r="I4" s="376"/>
      <c r="P4" s="376"/>
    </row>
    <row r="5" spans="1:147" s="25" customFormat="1" ht="26.1" customHeight="1">
      <c r="A5" s="377"/>
      <c r="B5" s="375"/>
      <c r="F5" s="376"/>
      <c r="I5" s="376"/>
      <c r="P5" s="376"/>
    </row>
    <row r="6" spans="1:147" s="25" customFormat="1" ht="16.5" thickBot="1">
      <c r="A6" s="26"/>
      <c r="B6" s="375"/>
      <c r="F6" s="376"/>
      <c r="I6" s="376"/>
      <c r="P6" s="376"/>
    </row>
    <row r="7" spans="1:147" s="25" customFormat="1" ht="20.25" thickBot="1">
      <c r="A7" s="625" t="s">
        <v>218</v>
      </c>
      <c r="B7" s="626"/>
      <c r="C7" s="627"/>
      <c r="D7" s="378"/>
      <c r="E7" s="625" t="s">
        <v>219</v>
      </c>
      <c r="F7" s="627"/>
      <c r="G7" s="378"/>
      <c r="H7" s="625" t="s">
        <v>5</v>
      </c>
      <c r="I7" s="627"/>
      <c r="J7" s="378"/>
      <c r="K7" s="625" t="s">
        <v>220</v>
      </c>
      <c r="L7" s="626"/>
      <c r="M7" s="626"/>
      <c r="N7" s="626"/>
      <c r="O7" s="626"/>
      <c r="P7" s="627"/>
      <c r="Q7" s="378"/>
      <c r="R7" s="625" t="s">
        <v>284</v>
      </c>
      <c r="S7" s="626"/>
      <c r="T7" s="626"/>
      <c r="U7" s="626"/>
      <c r="V7" s="626"/>
      <c r="W7" s="627"/>
      <c r="Y7" s="625" t="s">
        <v>8</v>
      </c>
      <c r="Z7" s="626"/>
      <c r="AA7" s="627"/>
    </row>
    <row r="8" spans="1:147" s="29" customFormat="1" ht="36.75" customHeight="1">
      <c r="A8" s="635" t="s">
        <v>376</v>
      </c>
      <c r="B8" s="628" t="s">
        <v>200</v>
      </c>
      <c r="C8" s="637" t="s">
        <v>196</v>
      </c>
      <c r="D8" s="112"/>
      <c r="E8" s="630" t="s">
        <v>24</v>
      </c>
      <c r="F8" s="631"/>
      <c r="G8" s="112"/>
      <c r="H8" s="630" t="s">
        <v>19</v>
      </c>
      <c r="I8" s="631"/>
      <c r="J8" s="112"/>
      <c r="K8" s="630" t="s">
        <v>21</v>
      </c>
      <c r="L8" s="632"/>
      <c r="M8" s="630" t="s">
        <v>22</v>
      </c>
      <c r="N8" s="632"/>
      <c r="O8" s="630" t="s">
        <v>23</v>
      </c>
      <c r="P8" s="631"/>
      <c r="Q8" s="112"/>
      <c r="R8" s="630" t="s">
        <v>25</v>
      </c>
      <c r="S8" s="632"/>
      <c r="T8" s="630" t="s">
        <v>26</v>
      </c>
      <c r="U8" s="632"/>
      <c r="V8" s="630" t="s">
        <v>27</v>
      </c>
      <c r="W8" s="631"/>
      <c r="X8" s="28"/>
      <c r="Y8" s="412" t="s">
        <v>357</v>
      </c>
      <c r="Z8" s="413" t="s">
        <v>358</v>
      </c>
      <c r="AA8" s="623" t="s">
        <v>30</v>
      </c>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row>
    <row r="9" spans="1:147" s="31" customFormat="1" ht="32.25" thickBot="1">
      <c r="A9" s="636"/>
      <c r="B9" s="629"/>
      <c r="C9" s="638"/>
      <c r="D9" s="113"/>
      <c r="E9" s="114" t="s">
        <v>38</v>
      </c>
      <c r="F9" s="115" t="s">
        <v>30</v>
      </c>
      <c r="G9" s="113"/>
      <c r="H9" s="114" t="s">
        <v>34</v>
      </c>
      <c r="I9" s="115" t="s">
        <v>30</v>
      </c>
      <c r="J9" s="113"/>
      <c r="K9" s="114" t="s">
        <v>36</v>
      </c>
      <c r="L9" s="116" t="s">
        <v>30</v>
      </c>
      <c r="M9" s="114" t="s">
        <v>36</v>
      </c>
      <c r="N9" s="116" t="s">
        <v>30</v>
      </c>
      <c r="O9" s="114" t="s">
        <v>36</v>
      </c>
      <c r="P9" s="115" t="s">
        <v>30</v>
      </c>
      <c r="Q9" s="113"/>
      <c r="R9" s="114" t="s">
        <v>374</v>
      </c>
      <c r="S9" s="116" t="s">
        <v>30</v>
      </c>
      <c r="T9" s="114" t="s">
        <v>38</v>
      </c>
      <c r="U9" s="116" t="s">
        <v>30</v>
      </c>
      <c r="V9" s="114" t="s">
        <v>38</v>
      </c>
      <c r="W9" s="115" t="s">
        <v>30</v>
      </c>
      <c r="X9" s="30"/>
      <c r="Y9" s="407" t="s">
        <v>244</v>
      </c>
      <c r="Z9" s="406" t="s">
        <v>243</v>
      </c>
      <c r="AA9" s="624"/>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row>
    <row r="10" spans="1:147" s="32" customFormat="1" ht="15" customHeight="1">
      <c r="A10" s="117" t="s">
        <v>221</v>
      </c>
      <c r="B10" s="432" t="s">
        <v>213</v>
      </c>
      <c r="C10" s="118" t="s">
        <v>203</v>
      </c>
      <c r="D10" s="119"/>
      <c r="E10" s="72">
        <v>635.29999999999995</v>
      </c>
      <c r="F10" s="72" t="s">
        <v>396</v>
      </c>
      <c r="G10" s="119"/>
      <c r="H10" s="73">
        <f>+VLOOKUP($B$1&amp;" - "&amp;$C10,'Default Parameter'!$A$8:$M$25,3,FALSE)</f>
        <v>44.1</v>
      </c>
      <c r="I10" s="74" t="s">
        <v>52</v>
      </c>
      <c r="J10" s="119"/>
      <c r="K10" s="73">
        <f>+VLOOKUP($B$1&amp;" - "&amp;$C10,'Default Parameter'!$A$8:$M$25,5,FALSE)</f>
        <v>71500</v>
      </c>
      <c r="L10" s="34" t="s">
        <v>52</v>
      </c>
      <c r="M10" s="33">
        <f>+VLOOKUP($B$1&amp;" - "&amp;$C10,'Default Parameter'!$A$8:$M$25,8,FALSE)</f>
        <v>0.5</v>
      </c>
      <c r="N10" s="34" t="s">
        <v>52</v>
      </c>
      <c r="O10" s="33">
        <f>+VLOOKUP($B$1&amp;" - "&amp;$C10,'Default Parameter'!$A$8:$M$25,11,FALSE)</f>
        <v>2</v>
      </c>
      <c r="P10" s="74" t="s">
        <v>52</v>
      </c>
      <c r="Q10" s="119"/>
      <c r="R10" s="120">
        <f>+$E10*$H10*K10/10^6</f>
        <v>2003.196195</v>
      </c>
      <c r="S10" s="121" t="s">
        <v>204</v>
      </c>
      <c r="T10" s="122">
        <f>+$E10*$H10*M10/10^6</f>
        <v>1.4008365E-2</v>
      </c>
      <c r="U10" s="121" t="s">
        <v>204</v>
      </c>
      <c r="V10" s="122">
        <f>+$E10*$H10*O10/10^6</f>
        <v>5.603346E-2</v>
      </c>
      <c r="W10" s="123" t="s">
        <v>204</v>
      </c>
      <c r="Y10" s="416"/>
      <c r="Z10" s="367"/>
      <c r="AA10" s="417"/>
    </row>
    <row r="11" spans="1:147" ht="15" customHeight="1">
      <c r="A11" s="117" t="s">
        <v>202</v>
      </c>
      <c r="B11" s="432" t="s">
        <v>213</v>
      </c>
      <c r="C11" s="118" t="s">
        <v>203</v>
      </c>
      <c r="D11" s="124"/>
      <c r="E11" s="72">
        <f>7%*E10</f>
        <v>44.471000000000004</v>
      </c>
      <c r="F11" s="72" t="s">
        <v>432</v>
      </c>
      <c r="G11" s="124"/>
      <c r="H11" s="73">
        <f>+VLOOKUP($B$1&amp;" - "&amp;$C11,'Default Parameter'!$A$8:$M$25,3,FALSE)</f>
        <v>44.1</v>
      </c>
      <c r="I11" s="74" t="s">
        <v>52</v>
      </c>
      <c r="J11" s="124"/>
      <c r="K11" s="73">
        <f>+VLOOKUP($B$1&amp;" - "&amp;$C11,'Default Parameter'!$A$8:$M$25,5,FALSE)</f>
        <v>71500</v>
      </c>
      <c r="L11" s="34" t="s">
        <v>52</v>
      </c>
      <c r="M11" s="34">
        <f>+VLOOKUP($B$1&amp;" - "&amp;$C11,'Default Parameter'!$A$8:$M$25,8,FALSE)</f>
        <v>0.5</v>
      </c>
      <c r="N11" s="34" t="s">
        <v>52</v>
      </c>
      <c r="O11" s="34">
        <f>+VLOOKUP($B$1&amp;" - "&amp;$C11,'Default Parameter'!$A$8:$M$25,11,FALSE)</f>
        <v>2</v>
      </c>
      <c r="P11" s="74" t="s">
        <v>52</v>
      </c>
      <c r="Q11" s="124"/>
      <c r="R11" s="120">
        <f t="shared" ref="R11:V13" si="0">+$E11*$H11*K11/10^6</f>
        <v>140.22373365000001</v>
      </c>
      <c r="S11" s="121" t="s">
        <v>204</v>
      </c>
      <c r="T11" s="122">
        <f t="shared" si="0"/>
        <v>9.8058555000000015E-4</v>
      </c>
      <c r="U11" s="121" t="s">
        <v>204</v>
      </c>
      <c r="V11" s="122">
        <f t="shared" si="0"/>
        <v>3.9223422000000006E-3</v>
      </c>
      <c r="W11" s="123" t="s">
        <v>204</v>
      </c>
      <c r="Y11" s="416"/>
      <c r="Z11" s="367"/>
      <c r="AA11" s="417"/>
    </row>
    <row r="12" spans="1:147" ht="15.75">
      <c r="A12" s="117" t="s">
        <v>335</v>
      </c>
      <c r="B12" s="432" t="s">
        <v>213</v>
      </c>
      <c r="C12" s="118" t="s">
        <v>203</v>
      </c>
      <c r="D12" s="124"/>
      <c r="E12" s="72">
        <f>93%*E10</f>
        <v>590.82899999999995</v>
      </c>
      <c r="F12" s="72" t="s">
        <v>432</v>
      </c>
      <c r="G12" s="124"/>
      <c r="H12" s="73">
        <f>+VLOOKUP($B$1&amp;" - "&amp;$C12,'Default Parameter'!$A$8:$M$25,3,FALSE)</f>
        <v>44.1</v>
      </c>
      <c r="I12" s="74" t="s">
        <v>52</v>
      </c>
      <c r="J12" s="124"/>
      <c r="K12" s="73">
        <f>+VLOOKUP($B$1&amp;" - "&amp;$C12,'Default Parameter'!$A$8:$M$25,5,FALSE)</f>
        <v>71500</v>
      </c>
      <c r="L12" s="34" t="s">
        <v>52</v>
      </c>
      <c r="M12" s="34">
        <f>+VLOOKUP($B$1&amp;" - "&amp;$C12,'Default Parameter'!$A$8:$M$25,8,FALSE)</f>
        <v>0.5</v>
      </c>
      <c r="N12" s="34" t="s">
        <v>52</v>
      </c>
      <c r="O12" s="34">
        <f>+VLOOKUP($B$1&amp;" - "&amp;$C12,'Default Parameter'!$A$8:$M$25,11,FALSE)</f>
        <v>2</v>
      </c>
      <c r="P12" s="74" t="s">
        <v>52</v>
      </c>
      <c r="Q12" s="124"/>
      <c r="R12" s="120">
        <f t="shared" si="0"/>
        <v>1862.97246135</v>
      </c>
      <c r="S12" s="121" t="s">
        <v>204</v>
      </c>
      <c r="T12" s="122">
        <f t="shared" si="0"/>
        <v>1.3027779450000001E-2</v>
      </c>
      <c r="U12" s="121" t="s">
        <v>204</v>
      </c>
      <c r="V12" s="122">
        <f t="shared" si="0"/>
        <v>5.2111117800000002E-2</v>
      </c>
      <c r="W12" s="123" t="s">
        <v>204</v>
      </c>
      <c r="Y12" s="416"/>
      <c r="Z12" s="367"/>
      <c r="AA12" s="417"/>
    </row>
    <row r="13" spans="1:147" ht="15" customHeight="1" thickBot="1">
      <c r="A13" s="125" t="s">
        <v>202</v>
      </c>
      <c r="B13" s="433" t="s">
        <v>213</v>
      </c>
      <c r="C13" s="126" t="s">
        <v>205</v>
      </c>
      <c r="D13" s="124"/>
      <c r="E13" s="498">
        <v>18.7</v>
      </c>
      <c r="F13" s="498" t="s">
        <v>396</v>
      </c>
      <c r="G13" s="124"/>
      <c r="H13" s="75">
        <f>+VLOOKUP($B$1&amp;" - "&amp;$C13,'Default Parameter'!$A$8:$M$25,3,FALSE)</f>
        <v>44.3</v>
      </c>
      <c r="I13" s="76" t="s">
        <v>52</v>
      </c>
      <c r="J13" s="124"/>
      <c r="K13" s="75">
        <f>+VLOOKUP($B$1&amp;" - "&amp;$C13,'Default Parameter'!$A$8:$M$25,5,FALSE)</f>
        <v>70000</v>
      </c>
      <c r="L13" s="77" t="s">
        <v>52</v>
      </c>
      <c r="M13" s="77">
        <f>+VLOOKUP($B$1&amp;" - "&amp;$C13,'Default Parameter'!$A$8:$M$25,8,FALSE)</f>
        <v>0.5</v>
      </c>
      <c r="N13" s="77" t="s">
        <v>52</v>
      </c>
      <c r="O13" s="77">
        <f>+VLOOKUP($B$1&amp;" - "&amp;$C13,'Default Parameter'!$A$8:$M$25,11,FALSE)</f>
        <v>2</v>
      </c>
      <c r="P13" s="76" t="s">
        <v>52</v>
      </c>
      <c r="Q13" s="124"/>
      <c r="R13" s="127">
        <f t="shared" si="0"/>
        <v>57.988700000000001</v>
      </c>
      <c r="S13" s="128" t="s">
        <v>204</v>
      </c>
      <c r="T13" s="129">
        <f t="shared" si="0"/>
        <v>4.1420500000000001E-4</v>
      </c>
      <c r="U13" s="128" t="s">
        <v>204</v>
      </c>
      <c r="V13" s="129">
        <f t="shared" si="0"/>
        <v>1.65682E-3</v>
      </c>
      <c r="W13" s="130" t="s">
        <v>204</v>
      </c>
      <c r="Y13" s="418"/>
      <c r="Z13" s="419"/>
      <c r="AA13" s="421"/>
    </row>
    <row r="14" spans="1:147" ht="15.75">
      <c r="A14" s="379"/>
      <c r="B14" s="379"/>
      <c r="C14" s="379"/>
      <c r="D14" s="36"/>
      <c r="E14" s="380"/>
      <c r="F14" s="35"/>
      <c r="G14" s="37"/>
      <c r="H14" s="37"/>
      <c r="I14" s="35"/>
      <c r="J14" s="37"/>
      <c r="P14" s="35"/>
      <c r="S14" s="381"/>
      <c r="T14" s="381"/>
      <c r="U14" s="381"/>
      <c r="V14" s="381"/>
      <c r="AB14" s="381"/>
      <c r="AC14" s="381"/>
      <c r="AD14" s="381"/>
      <c r="AE14" s="381"/>
      <c r="AF14" s="381"/>
    </row>
    <row r="15" spans="1:147" ht="16.5" customHeight="1">
      <c r="A15" s="381"/>
      <c r="B15" s="36"/>
      <c r="C15" s="36"/>
      <c r="D15" s="380"/>
      <c r="E15" s="380"/>
      <c r="F15" s="35"/>
      <c r="G15" s="37"/>
      <c r="H15" s="37"/>
      <c r="I15" s="35"/>
      <c r="P15" s="35"/>
    </row>
    <row r="16" spans="1:147">
      <c r="F16" s="375"/>
      <c r="I16" s="375"/>
      <c r="J16" s="379"/>
      <c r="K16" s="379"/>
      <c r="L16" s="379"/>
      <c r="M16" s="379"/>
      <c r="N16" s="379"/>
      <c r="O16" s="379"/>
      <c r="P16" s="375"/>
      <c r="Q16" s="382"/>
    </row>
    <row r="17" spans="6:16">
      <c r="F17" s="375"/>
      <c r="I17" s="375"/>
      <c r="P17" s="375"/>
    </row>
    <row r="18" spans="6:16">
      <c r="F18" s="375"/>
      <c r="I18" s="375"/>
      <c r="P18" s="375"/>
    </row>
    <row r="19" spans="6:16">
      <c r="F19" s="375"/>
      <c r="I19" s="375"/>
      <c r="P19" s="375"/>
    </row>
    <row r="20" spans="6:16" ht="15" customHeight="1">
      <c r="F20" s="375"/>
      <c r="I20" s="375"/>
      <c r="P20" s="375"/>
    </row>
    <row r="21" spans="6:16">
      <c r="F21" s="375"/>
      <c r="I21" s="375"/>
      <c r="P21" s="375"/>
    </row>
    <row r="22" spans="6:16">
      <c r="F22" s="375"/>
      <c r="I22" s="375"/>
      <c r="P22" s="375"/>
    </row>
    <row r="23" spans="6:16">
      <c r="F23" s="375"/>
      <c r="I23" s="375"/>
      <c r="P23" s="375"/>
    </row>
    <row r="24" spans="6:16">
      <c r="F24" s="375"/>
      <c r="I24" s="375"/>
      <c r="P24" s="375"/>
    </row>
    <row r="25" spans="6:16" ht="15" customHeight="1">
      <c r="F25" s="375"/>
      <c r="I25" s="375"/>
      <c r="P25" s="375"/>
    </row>
    <row r="26" spans="6:16">
      <c r="F26" s="375"/>
      <c r="I26" s="375"/>
      <c r="P26" s="375"/>
    </row>
    <row r="27" spans="6:16">
      <c r="F27" s="375"/>
      <c r="I27" s="375"/>
      <c r="P27" s="375"/>
    </row>
    <row r="28" spans="6:16">
      <c r="F28" s="375"/>
      <c r="I28" s="375"/>
      <c r="P28" s="375"/>
    </row>
    <row r="29" spans="6:16">
      <c r="F29" s="375"/>
      <c r="I29" s="375"/>
      <c r="P29" s="375"/>
    </row>
    <row r="30" spans="6:16">
      <c r="F30" s="375"/>
      <c r="I30" s="375"/>
      <c r="P30" s="375"/>
    </row>
    <row r="31" spans="6:16">
      <c r="F31" s="375"/>
      <c r="I31" s="375"/>
      <c r="P31" s="375"/>
    </row>
    <row r="32" spans="6:16">
      <c r="F32" s="375"/>
      <c r="I32" s="375"/>
      <c r="P32" s="375"/>
    </row>
    <row r="33" spans="6:16">
      <c r="F33" s="375"/>
      <c r="I33" s="375"/>
      <c r="P33" s="375"/>
    </row>
    <row r="34" spans="6:16">
      <c r="F34" s="375"/>
      <c r="I34" s="375"/>
      <c r="P34" s="375"/>
    </row>
    <row r="35" spans="6:16">
      <c r="F35" s="375"/>
      <c r="I35" s="375"/>
      <c r="P35" s="375"/>
    </row>
    <row r="36" spans="6:16">
      <c r="F36" s="375"/>
      <c r="I36" s="375"/>
      <c r="P36" s="375"/>
    </row>
    <row r="37" spans="6:16">
      <c r="F37" s="375"/>
      <c r="I37" s="375"/>
      <c r="P37" s="375"/>
    </row>
    <row r="38" spans="6:16">
      <c r="F38" s="375"/>
      <c r="I38" s="375"/>
      <c r="P38" s="375"/>
    </row>
    <row r="39" spans="6:16">
      <c r="F39" s="375"/>
      <c r="I39" s="375"/>
      <c r="P39" s="375"/>
    </row>
    <row r="40" spans="6:16">
      <c r="F40" s="375"/>
      <c r="I40" s="375"/>
      <c r="P40" s="375"/>
    </row>
    <row r="41" spans="6:16">
      <c r="F41" s="375"/>
      <c r="I41" s="375"/>
      <c r="P41" s="375"/>
    </row>
    <row r="42" spans="6:16">
      <c r="F42" s="375"/>
      <c r="I42" s="375"/>
      <c r="P42" s="375"/>
    </row>
    <row r="43" spans="6:16">
      <c r="F43" s="375"/>
      <c r="I43" s="375"/>
      <c r="P43" s="375"/>
    </row>
    <row r="44" spans="6:16">
      <c r="F44" s="375"/>
      <c r="I44" s="375"/>
      <c r="P44" s="375"/>
    </row>
    <row r="45" spans="6:16">
      <c r="F45" s="375"/>
      <c r="I45" s="375"/>
      <c r="P45" s="375"/>
    </row>
    <row r="46" spans="6:16">
      <c r="F46" s="375"/>
      <c r="I46" s="375"/>
      <c r="P46" s="375"/>
    </row>
    <row r="47" spans="6:16">
      <c r="F47" s="375"/>
      <c r="I47" s="375"/>
      <c r="P47" s="375"/>
    </row>
    <row r="48" spans="6:16">
      <c r="F48" s="375"/>
      <c r="I48" s="375"/>
      <c r="P48" s="375"/>
    </row>
    <row r="49" spans="6:16">
      <c r="F49" s="375"/>
      <c r="I49" s="375"/>
      <c r="P49" s="375"/>
    </row>
    <row r="50" spans="6:16">
      <c r="F50" s="375"/>
      <c r="I50" s="375"/>
      <c r="P50" s="375"/>
    </row>
    <row r="51" spans="6:16">
      <c r="F51" s="375"/>
      <c r="I51" s="375"/>
      <c r="P51" s="375"/>
    </row>
    <row r="52" spans="6:16">
      <c r="F52" s="375"/>
      <c r="I52" s="375"/>
      <c r="P52" s="375"/>
    </row>
    <row r="53" spans="6:16">
      <c r="F53" s="375"/>
      <c r="I53" s="375"/>
      <c r="P53" s="375"/>
    </row>
    <row r="54" spans="6:16">
      <c r="F54" s="375"/>
      <c r="I54" s="375"/>
      <c r="P54" s="375"/>
    </row>
    <row r="55" spans="6:16">
      <c r="F55" s="375"/>
      <c r="I55" s="375"/>
      <c r="P55" s="375"/>
    </row>
    <row r="56" spans="6:16">
      <c r="F56" s="375"/>
      <c r="I56" s="375"/>
      <c r="P56" s="375"/>
    </row>
    <row r="57" spans="6:16">
      <c r="F57" s="375"/>
      <c r="I57" s="375"/>
      <c r="P57" s="375"/>
    </row>
    <row r="58" spans="6:16">
      <c r="F58" s="375"/>
      <c r="I58" s="375"/>
      <c r="P58" s="375"/>
    </row>
    <row r="59" spans="6:16">
      <c r="F59" s="375"/>
      <c r="I59" s="375"/>
      <c r="P59" s="375"/>
    </row>
    <row r="60" spans="6:16">
      <c r="F60" s="375"/>
      <c r="I60" s="375"/>
      <c r="P60" s="375"/>
    </row>
    <row r="61" spans="6:16">
      <c r="F61" s="375"/>
      <c r="I61" s="375"/>
      <c r="P61" s="375"/>
    </row>
    <row r="62" spans="6:16">
      <c r="F62" s="375"/>
      <c r="I62" s="375"/>
      <c r="P62" s="375"/>
    </row>
    <row r="63" spans="6:16">
      <c r="F63" s="375"/>
      <c r="I63" s="375"/>
      <c r="P63" s="375"/>
    </row>
    <row r="64" spans="6:16">
      <c r="F64" s="375"/>
      <c r="I64" s="375"/>
      <c r="P64" s="375"/>
    </row>
    <row r="65" spans="6:16">
      <c r="F65" s="375"/>
      <c r="I65" s="375"/>
      <c r="P65" s="375"/>
    </row>
    <row r="66" spans="6:16">
      <c r="F66" s="375"/>
      <c r="I66" s="375"/>
      <c r="P66" s="375"/>
    </row>
    <row r="67" spans="6:16">
      <c r="F67" s="375"/>
      <c r="I67" s="375"/>
      <c r="P67" s="375"/>
    </row>
    <row r="68" spans="6:16">
      <c r="F68" s="375"/>
      <c r="I68" s="375"/>
      <c r="P68" s="375"/>
    </row>
    <row r="69" spans="6:16">
      <c r="F69" s="375"/>
      <c r="I69" s="375"/>
      <c r="P69" s="375"/>
    </row>
    <row r="70" spans="6:16">
      <c r="F70" s="375"/>
      <c r="I70" s="375"/>
      <c r="P70" s="375"/>
    </row>
    <row r="71" spans="6:16">
      <c r="F71" s="375"/>
      <c r="I71" s="375"/>
      <c r="P71" s="375"/>
    </row>
    <row r="72" spans="6:16">
      <c r="F72" s="375"/>
      <c r="I72" s="375"/>
      <c r="P72" s="375"/>
    </row>
    <row r="73" spans="6:16">
      <c r="F73" s="375"/>
      <c r="I73" s="375"/>
      <c r="P73" s="375"/>
    </row>
    <row r="74" spans="6:16">
      <c r="F74" s="375"/>
      <c r="I74" s="375"/>
      <c r="P74" s="375"/>
    </row>
    <row r="75" spans="6:16">
      <c r="F75" s="375"/>
      <c r="I75" s="375"/>
      <c r="P75" s="375"/>
    </row>
    <row r="76" spans="6:16">
      <c r="F76" s="375"/>
      <c r="I76" s="375"/>
      <c r="P76" s="375"/>
    </row>
    <row r="77" spans="6:16">
      <c r="F77" s="375"/>
      <c r="I77" s="375"/>
      <c r="P77" s="375"/>
    </row>
    <row r="78" spans="6:16">
      <c r="F78" s="375"/>
      <c r="I78" s="375"/>
      <c r="P78" s="375"/>
    </row>
    <row r="79" spans="6:16">
      <c r="F79" s="375"/>
      <c r="I79" s="375"/>
      <c r="P79" s="375"/>
    </row>
    <row r="80" spans="6:16">
      <c r="F80" s="375"/>
      <c r="I80" s="375"/>
      <c r="P80" s="375"/>
    </row>
    <row r="81" spans="6:16">
      <c r="F81" s="375"/>
      <c r="I81" s="375"/>
      <c r="P81" s="375"/>
    </row>
    <row r="82" spans="6:16">
      <c r="F82" s="375"/>
      <c r="I82" s="375"/>
      <c r="P82" s="375"/>
    </row>
    <row r="83" spans="6:16">
      <c r="F83" s="375"/>
      <c r="I83" s="375"/>
      <c r="P83" s="375"/>
    </row>
    <row r="84" spans="6:16">
      <c r="F84" s="375"/>
      <c r="I84" s="375"/>
      <c r="P84" s="375"/>
    </row>
    <row r="85" spans="6:16">
      <c r="F85" s="375"/>
      <c r="I85" s="375"/>
      <c r="P85" s="375"/>
    </row>
    <row r="86" spans="6:16">
      <c r="F86" s="375"/>
      <c r="I86" s="375"/>
      <c r="P86" s="375"/>
    </row>
    <row r="87" spans="6:16">
      <c r="F87" s="375"/>
      <c r="I87" s="375"/>
      <c r="P87" s="375"/>
    </row>
    <row r="88" spans="6:16">
      <c r="F88" s="375"/>
      <c r="I88" s="375"/>
      <c r="P88" s="375"/>
    </row>
    <row r="89" spans="6:16">
      <c r="F89" s="375"/>
      <c r="I89" s="375"/>
      <c r="P89" s="375"/>
    </row>
    <row r="90" spans="6:16">
      <c r="F90" s="375"/>
      <c r="I90" s="375"/>
      <c r="P90" s="375"/>
    </row>
    <row r="91" spans="6:16">
      <c r="F91" s="375"/>
      <c r="I91" s="375"/>
      <c r="P91" s="375"/>
    </row>
    <row r="92" spans="6:16">
      <c r="F92" s="375"/>
      <c r="I92" s="375"/>
      <c r="P92" s="375"/>
    </row>
    <row r="93" spans="6:16">
      <c r="F93" s="375"/>
      <c r="I93" s="375"/>
      <c r="P93" s="375"/>
    </row>
    <row r="94" spans="6:16">
      <c r="F94" s="375"/>
      <c r="I94" s="375"/>
      <c r="P94" s="375"/>
    </row>
    <row r="95" spans="6:16">
      <c r="F95" s="375"/>
      <c r="I95" s="375"/>
      <c r="P95" s="375"/>
    </row>
    <row r="96" spans="6:16">
      <c r="F96" s="375"/>
      <c r="I96" s="375"/>
      <c r="P96" s="375"/>
    </row>
    <row r="97" spans="6:16">
      <c r="F97" s="375"/>
      <c r="I97" s="375"/>
      <c r="P97" s="375"/>
    </row>
    <row r="98" spans="6:16">
      <c r="F98" s="375"/>
      <c r="I98" s="375"/>
      <c r="P98" s="375"/>
    </row>
    <row r="99" spans="6:16">
      <c r="F99" s="375"/>
      <c r="I99" s="375"/>
      <c r="P99" s="375"/>
    </row>
    <row r="100" spans="6:16">
      <c r="F100" s="375"/>
      <c r="I100" s="375"/>
      <c r="P100" s="375"/>
    </row>
    <row r="101" spans="6:16">
      <c r="F101" s="375"/>
      <c r="I101" s="375"/>
      <c r="P101" s="375"/>
    </row>
    <row r="102" spans="6:16">
      <c r="F102" s="375"/>
      <c r="I102" s="375"/>
      <c r="P102" s="375"/>
    </row>
    <row r="103" spans="6:16">
      <c r="F103" s="375"/>
      <c r="I103" s="375"/>
      <c r="P103" s="375"/>
    </row>
    <row r="104" spans="6:16">
      <c r="F104" s="375"/>
      <c r="I104" s="375"/>
      <c r="P104" s="375"/>
    </row>
    <row r="105" spans="6:16">
      <c r="F105" s="375"/>
      <c r="I105" s="375"/>
      <c r="P105" s="375"/>
    </row>
    <row r="106" spans="6:16">
      <c r="F106" s="375"/>
      <c r="I106" s="375"/>
      <c r="P106" s="375"/>
    </row>
    <row r="107" spans="6:16">
      <c r="F107" s="375"/>
      <c r="I107" s="375"/>
      <c r="P107" s="375"/>
    </row>
    <row r="108" spans="6:16">
      <c r="F108" s="375"/>
      <c r="I108" s="375"/>
      <c r="P108" s="375"/>
    </row>
    <row r="109" spans="6:16">
      <c r="F109" s="375"/>
      <c r="I109" s="375"/>
      <c r="P109" s="375"/>
    </row>
    <row r="110" spans="6:16">
      <c r="F110" s="375"/>
      <c r="I110" s="375"/>
      <c r="P110" s="375"/>
    </row>
    <row r="111" spans="6:16">
      <c r="F111" s="375"/>
      <c r="I111" s="375"/>
      <c r="P111" s="375"/>
    </row>
    <row r="112" spans="6:16">
      <c r="F112" s="375"/>
      <c r="I112" s="375"/>
      <c r="P112" s="375"/>
    </row>
    <row r="113" spans="6:16">
      <c r="F113" s="375"/>
      <c r="I113" s="375"/>
      <c r="P113" s="375"/>
    </row>
    <row r="114" spans="6:16">
      <c r="F114" s="375"/>
      <c r="I114" s="375"/>
      <c r="P114" s="375"/>
    </row>
    <row r="115" spans="6:16">
      <c r="F115" s="375"/>
      <c r="I115" s="375"/>
      <c r="P115" s="375"/>
    </row>
    <row r="116" spans="6:16">
      <c r="F116" s="375"/>
      <c r="I116" s="375"/>
      <c r="P116" s="375"/>
    </row>
    <row r="117" spans="6:16">
      <c r="F117" s="375"/>
      <c r="I117" s="375"/>
      <c r="P117" s="375"/>
    </row>
    <row r="118" spans="6:16">
      <c r="F118" s="375"/>
      <c r="I118" s="375"/>
      <c r="P118" s="375"/>
    </row>
    <row r="119" spans="6:16">
      <c r="F119" s="375"/>
      <c r="I119" s="375"/>
      <c r="P119" s="375"/>
    </row>
    <row r="120" spans="6:16">
      <c r="F120" s="375"/>
      <c r="I120" s="375"/>
      <c r="P120" s="375"/>
    </row>
    <row r="121" spans="6:16">
      <c r="F121" s="375"/>
      <c r="I121" s="375"/>
      <c r="P121" s="375"/>
    </row>
    <row r="122" spans="6:16">
      <c r="F122" s="375"/>
      <c r="I122" s="375"/>
      <c r="P122" s="375"/>
    </row>
    <row r="123" spans="6:16">
      <c r="F123" s="375"/>
      <c r="I123" s="375"/>
      <c r="P123" s="375"/>
    </row>
    <row r="124" spans="6:16">
      <c r="F124" s="375"/>
      <c r="I124" s="375"/>
      <c r="P124" s="375"/>
    </row>
    <row r="125" spans="6:16">
      <c r="F125" s="375"/>
      <c r="I125" s="375"/>
      <c r="P125" s="375"/>
    </row>
    <row r="126" spans="6:16">
      <c r="F126" s="375"/>
      <c r="I126" s="375"/>
      <c r="P126" s="375"/>
    </row>
    <row r="127" spans="6:16">
      <c r="F127" s="375"/>
      <c r="I127" s="375"/>
      <c r="P127" s="375"/>
    </row>
    <row r="128" spans="6:16">
      <c r="F128" s="375"/>
      <c r="I128" s="375"/>
      <c r="P128" s="375"/>
    </row>
    <row r="129" spans="6:16">
      <c r="F129" s="375"/>
      <c r="I129" s="375"/>
      <c r="P129" s="375"/>
    </row>
    <row r="130" spans="6:16">
      <c r="F130" s="375"/>
      <c r="I130" s="375"/>
      <c r="P130" s="375"/>
    </row>
    <row r="131" spans="6:16">
      <c r="F131" s="375"/>
      <c r="I131" s="375"/>
      <c r="P131" s="375"/>
    </row>
    <row r="132" spans="6:16">
      <c r="F132" s="35"/>
      <c r="I132" s="35"/>
      <c r="P132" s="35"/>
    </row>
    <row r="133" spans="6:16">
      <c r="F133" s="35"/>
      <c r="I133" s="35"/>
      <c r="P133" s="35"/>
    </row>
    <row r="134" spans="6:16">
      <c r="F134" s="35"/>
      <c r="I134" s="35"/>
      <c r="P134" s="35"/>
    </row>
    <row r="135" spans="6:16">
      <c r="F135" s="35"/>
      <c r="I135" s="35"/>
      <c r="P135" s="35"/>
    </row>
    <row r="136" spans="6:16">
      <c r="F136" s="35"/>
      <c r="I136" s="35"/>
      <c r="P136" s="35"/>
    </row>
    <row r="137" spans="6:16">
      <c r="F137" s="35"/>
      <c r="I137" s="35"/>
      <c r="P137" s="35"/>
    </row>
    <row r="138" spans="6:16">
      <c r="F138" s="35"/>
      <c r="I138" s="35"/>
      <c r="P138" s="35"/>
    </row>
    <row r="139" spans="6:16">
      <c r="F139" s="35"/>
      <c r="I139" s="35"/>
      <c r="P139" s="35"/>
    </row>
    <row r="140" spans="6:16">
      <c r="F140" s="35"/>
      <c r="I140" s="35"/>
      <c r="P140" s="35"/>
    </row>
    <row r="141" spans="6:16">
      <c r="F141" s="35"/>
      <c r="I141" s="35"/>
      <c r="P141" s="35"/>
    </row>
    <row r="142" spans="6:16">
      <c r="F142" s="35"/>
      <c r="I142" s="35"/>
      <c r="P142" s="35"/>
    </row>
    <row r="143" spans="6:16">
      <c r="F143" s="35"/>
      <c r="I143" s="35"/>
      <c r="P143" s="35"/>
    </row>
    <row r="144" spans="6:16">
      <c r="F144" s="35"/>
      <c r="I144" s="35"/>
      <c r="P144" s="35"/>
    </row>
    <row r="145" spans="6:16">
      <c r="F145" s="35"/>
      <c r="I145" s="35"/>
      <c r="P145" s="35"/>
    </row>
    <row r="146" spans="6:16">
      <c r="F146" s="35"/>
      <c r="I146" s="35"/>
      <c r="P146" s="35"/>
    </row>
    <row r="147" spans="6:16">
      <c r="F147" s="35"/>
      <c r="I147" s="35"/>
      <c r="P147" s="35"/>
    </row>
    <row r="148" spans="6:16">
      <c r="F148" s="38"/>
      <c r="I148" s="38"/>
      <c r="P148" s="38"/>
    </row>
    <row r="149" spans="6:16">
      <c r="F149" s="38"/>
      <c r="I149" s="38"/>
      <c r="P149" s="38"/>
    </row>
    <row r="150" spans="6:16">
      <c r="F150" s="35"/>
      <c r="I150" s="35"/>
      <c r="P150" s="35"/>
    </row>
    <row r="151" spans="6:16">
      <c r="F151" s="35"/>
      <c r="I151" s="35"/>
      <c r="P151" s="35"/>
    </row>
    <row r="152" spans="6:16">
      <c r="F152" s="35"/>
      <c r="I152" s="35"/>
      <c r="P152" s="35"/>
    </row>
    <row r="153" spans="6:16">
      <c r="F153" s="38"/>
      <c r="I153" s="38"/>
      <c r="P153" s="38"/>
    </row>
  </sheetData>
  <mergeCells count="19">
    <mergeCell ref="A4:B4"/>
    <mergeCell ref="K7:P7"/>
    <mergeCell ref="A8:A9"/>
    <mergeCell ref="C8:C9"/>
    <mergeCell ref="AA8:AA9"/>
    <mergeCell ref="Y7:AA7"/>
    <mergeCell ref="B8:B9"/>
    <mergeCell ref="A7:C7"/>
    <mergeCell ref="V8:W8"/>
    <mergeCell ref="E7:F7"/>
    <mergeCell ref="R7:W7"/>
    <mergeCell ref="E8:F8"/>
    <mergeCell ref="H8:I8"/>
    <mergeCell ref="K8:L8"/>
    <mergeCell ref="M8:N8"/>
    <mergeCell ref="O8:P8"/>
    <mergeCell ref="R8:S8"/>
    <mergeCell ref="T8:U8"/>
    <mergeCell ref="H7:I7"/>
  </mergeCells>
  <hyperlinks>
    <hyperlink ref="A4" location="'Top-Down Validation'!H9" display="→Go to: Top-Down Validation" xr:uid="{00000000-0004-0000-0000-000000000000}"/>
  </hyperlinks>
  <pageMargins left="0.7" right="0.7" top="0.75" bottom="0.75" header="0.3" footer="0.3"/>
  <pageSetup paperSize="9"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AN73"/>
  <sheetViews>
    <sheetView showGridLines="0" tabSelected="1" zoomScale="80" zoomScaleNormal="80" workbookViewId="0">
      <pane xSplit="7" ySplit="9" topLeftCell="H10" activePane="bottomRight" state="frozen"/>
      <selection activeCell="I5" sqref="I5"/>
      <selection pane="topRight" activeCell="I5" sqref="I5"/>
      <selection pane="bottomLeft" activeCell="I5" sqref="I5"/>
      <selection pane="bottomRight" activeCell="A6" sqref="A6:F6"/>
    </sheetView>
  </sheetViews>
  <sheetFormatPr defaultColWidth="11.5703125" defaultRowHeight="15.75" outlineLevelRow="1"/>
  <cols>
    <col min="1" max="1" width="21.5703125" style="1" customWidth="1"/>
    <col min="2" max="2" width="42.42578125" style="13" customWidth="1"/>
    <col min="3" max="3" width="30.42578125" style="13" customWidth="1"/>
    <col min="4" max="4" width="15.140625" style="1" bestFit="1" customWidth="1"/>
    <col min="5" max="5" width="13.42578125" style="1" customWidth="1"/>
    <col min="6" max="6" width="11.42578125" style="1" customWidth="1"/>
    <col min="7" max="7" width="1.42578125" style="3" customWidth="1"/>
    <col min="8" max="8" width="21.28515625" style="1" customWidth="1"/>
    <col min="9" max="9" width="18.42578125" style="4" customWidth="1"/>
    <col min="10" max="10" width="16.42578125" style="5" customWidth="1"/>
    <col min="11" max="11" width="16.85546875" style="1" customWidth="1"/>
    <col min="12" max="12" width="15.7109375" style="1" customWidth="1"/>
    <col min="13" max="13" width="15.7109375" style="1" hidden="1" customWidth="1"/>
    <col min="14" max="14" width="1.85546875" style="3" customWidth="1"/>
    <col min="15" max="15" width="10.7109375" style="1" hidden="1" customWidth="1"/>
    <col min="16" max="17" width="10.7109375" style="1" customWidth="1"/>
    <col min="18" max="18" width="12.42578125" style="1" customWidth="1"/>
    <col min="19" max="19" width="1.42578125" style="3" customWidth="1"/>
    <col min="20" max="20" width="10.140625" style="1" customWidth="1"/>
    <col min="21" max="21" width="16.42578125" style="6" customWidth="1"/>
    <col min="22" max="22" width="11.7109375" style="1" customWidth="1"/>
    <col min="23" max="23" width="13" style="1" customWidth="1"/>
    <col min="24" max="24" width="11.28515625" style="1" customWidth="1"/>
    <col min="25" max="25" width="11.42578125" style="1" customWidth="1"/>
    <col min="26" max="26" width="7" style="1" customWidth="1"/>
    <col min="27" max="27" width="27.5703125" style="1" customWidth="1"/>
    <col min="28" max="28" width="1.5703125" style="1" customWidth="1"/>
    <col min="29" max="29" width="11.5703125" style="1" customWidth="1"/>
    <col min="30" max="30" width="10.7109375" style="1" customWidth="1"/>
    <col min="31" max="31" width="13.140625" style="1" customWidth="1"/>
    <col min="32" max="32" width="15.140625" style="7" customWidth="1"/>
    <col min="33" max="34" width="12.42578125" style="7" customWidth="1"/>
    <col min="35" max="35" width="1.7109375" style="3" customWidth="1"/>
    <col min="36" max="36" width="13.140625" style="6" customWidth="1"/>
    <col min="37" max="37" width="11" style="6" customWidth="1"/>
    <col min="38" max="38" width="17.28515625" style="6" customWidth="1"/>
    <col min="39" max="39" width="13.7109375" style="6" customWidth="1"/>
    <col min="40" max="40" width="11.28515625" style="6" customWidth="1"/>
    <col min="41" max="16384" width="11.5703125" style="1"/>
  </cols>
  <sheetData>
    <row r="1" spans="1:40" ht="27.75" customHeight="1" thickBot="1">
      <c r="A1" s="67" t="s">
        <v>160</v>
      </c>
      <c r="B1" s="68" t="s">
        <v>0</v>
      </c>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1"/>
      <c r="AM1" s="1"/>
      <c r="AN1" s="1"/>
    </row>
    <row r="2" spans="1:40" ht="27.75" customHeight="1" thickBot="1">
      <c r="A2" s="69" t="s">
        <v>289</v>
      </c>
      <c r="B2" s="71" t="s">
        <v>397</v>
      </c>
      <c r="C2" s="1"/>
    </row>
    <row r="3" spans="1:40" ht="27.75" customHeight="1" thickBot="1">
      <c r="A3" s="70" t="s">
        <v>3</v>
      </c>
      <c r="B3" s="71">
        <v>2015</v>
      </c>
      <c r="C3" s="1"/>
    </row>
    <row r="4" spans="1:40" ht="27.75" customHeight="1" thickBot="1">
      <c r="A4" s="633" t="s">
        <v>350</v>
      </c>
      <c r="B4" s="634"/>
      <c r="C4" s="1"/>
    </row>
    <row r="5" spans="1:40" s="54" customFormat="1" ht="102" customHeight="1" thickBot="1">
      <c r="C5" s="1"/>
      <c r="G5" s="3"/>
      <c r="I5" s="55"/>
      <c r="J5" s="56"/>
      <c r="N5" s="3"/>
      <c r="S5" s="3"/>
      <c r="U5" s="57"/>
      <c r="AF5" s="58"/>
      <c r="AG5" s="58"/>
      <c r="AH5" s="58"/>
      <c r="AI5" s="3"/>
      <c r="AJ5" s="57"/>
      <c r="AK5" s="57"/>
      <c r="AL5" s="57"/>
      <c r="AM5" s="57"/>
      <c r="AN5" s="57"/>
    </row>
    <row r="6" spans="1:40" ht="28.5" customHeight="1" thickBot="1">
      <c r="A6" s="625" t="s">
        <v>218</v>
      </c>
      <c r="B6" s="626"/>
      <c r="C6" s="626"/>
      <c r="D6" s="626"/>
      <c r="E6" s="626"/>
      <c r="F6" s="627"/>
      <c r="H6" s="625" t="s">
        <v>4</v>
      </c>
      <c r="I6" s="626"/>
      <c r="J6" s="626"/>
      <c r="K6" s="626"/>
      <c r="L6" s="627"/>
      <c r="M6" s="52"/>
      <c r="O6" s="53"/>
      <c r="P6" s="625" t="s">
        <v>5</v>
      </c>
      <c r="Q6" s="626"/>
      <c r="R6" s="627"/>
      <c r="T6" s="625" t="s">
        <v>321</v>
      </c>
      <c r="U6" s="626"/>
      <c r="V6" s="626"/>
      <c r="W6" s="626"/>
      <c r="X6" s="626"/>
      <c r="Y6" s="626"/>
      <c r="Z6" s="626"/>
      <c r="AA6" s="627"/>
      <c r="AC6" s="625" t="s">
        <v>7</v>
      </c>
      <c r="AD6" s="626"/>
      <c r="AE6" s="626"/>
      <c r="AF6" s="626"/>
      <c r="AG6" s="626"/>
      <c r="AH6" s="627"/>
      <c r="AJ6" s="625" t="s">
        <v>8</v>
      </c>
      <c r="AK6" s="626"/>
      <c r="AL6" s="626"/>
      <c r="AM6" s="626"/>
      <c r="AN6" s="627"/>
    </row>
    <row r="7" spans="1:40" s="9" customFormat="1" ht="31.5">
      <c r="A7" s="646" t="s">
        <v>9</v>
      </c>
      <c r="B7" s="644" t="s">
        <v>200</v>
      </c>
      <c r="C7" s="644" t="s">
        <v>10</v>
      </c>
      <c r="D7" s="644" t="s">
        <v>11</v>
      </c>
      <c r="E7" s="648" t="s">
        <v>13</v>
      </c>
      <c r="F7" s="631" t="s">
        <v>14</v>
      </c>
      <c r="G7" s="131"/>
      <c r="H7" s="630" t="s">
        <v>15</v>
      </c>
      <c r="I7" s="632"/>
      <c r="J7" s="651" t="s">
        <v>16</v>
      </c>
      <c r="K7" s="632"/>
      <c r="L7" s="651" t="s">
        <v>17</v>
      </c>
      <c r="M7" s="643"/>
      <c r="N7" s="131"/>
      <c r="O7" s="132"/>
      <c r="P7" s="450" t="s">
        <v>18</v>
      </c>
      <c r="Q7" s="652" t="s">
        <v>19</v>
      </c>
      <c r="R7" s="631"/>
      <c r="S7" s="131"/>
      <c r="T7" s="639" t="s">
        <v>20</v>
      </c>
      <c r="U7" s="641"/>
      <c r="V7" s="642" t="s">
        <v>21</v>
      </c>
      <c r="W7" s="640"/>
      <c r="X7" s="642" t="s">
        <v>22</v>
      </c>
      <c r="Y7" s="641"/>
      <c r="Z7" s="642" t="s">
        <v>23</v>
      </c>
      <c r="AA7" s="643"/>
      <c r="AB7" s="133"/>
      <c r="AC7" s="639" t="s">
        <v>24</v>
      </c>
      <c r="AD7" s="640"/>
      <c r="AE7" s="641"/>
      <c r="AF7" s="134" t="s">
        <v>25</v>
      </c>
      <c r="AG7" s="134" t="s">
        <v>26</v>
      </c>
      <c r="AH7" s="135" t="s">
        <v>27</v>
      </c>
      <c r="AI7" s="131"/>
      <c r="AJ7" s="639" t="s">
        <v>28</v>
      </c>
      <c r="AK7" s="640"/>
      <c r="AL7" s="640"/>
      <c r="AM7" s="640" t="s">
        <v>8</v>
      </c>
      <c r="AN7" s="643"/>
    </row>
    <row r="8" spans="1:40" s="10" customFormat="1" ht="48" thickBot="1">
      <c r="A8" s="647"/>
      <c r="B8" s="645"/>
      <c r="C8" s="645"/>
      <c r="D8" s="645"/>
      <c r="E8" s="649"/>
      <c r="F8" s="650"/>
      <c r="G8" s="136"/>
      <c r="H8" s="114" t="s">
        <v>29</v>
      </c>
      <c r="I8" s="116" t="s">
        <v>30</v>
      </c>
      <c r="J8" s="137" t="s">
        <v>31</v>
      </c>
      <c r="K8" s="138" t="s">
        <v>30</v>
      </c>
      <c r="L8" s="116" t="s">
        <v>32</v>
      </c>
      <c r="M8" s="115" t="s">
        <v>30</v>
      </c>
      <c r="N8" s="136"/>
      <c r="O8" s="139" t="s">
        <v>30</v>
      </c>
      <c r="P8" s="140" t="s">
        <v>33</v>
      </c>
      <c r="Q8" s="141" t="s">
        <v>34</v>
      </c>
      <c r="R8" s="142" t="s">
        <v>30</v>
      </c>
      <c r="S8" s="136"/>
      <c r="T8" s="140" t="s">
        <v>35</v>
      </c>
      <c r="U8" s="140" t="s">
        <v>30</v>
      </c>
      <c r="V8" s="141" t="s">
        <v>36</v>
      </c>
      <c r="W8" s="141" t="s">
        <v>30</v>
      </c>
      <c r="X8" s="141" t="s">
        <v>36</v>
      </c>
      <c r="Y8" s="141" t="s">
        <v>30</v>
      </c>
      <c r="Z8" s="141" t="s">
        <v>36</v>
      </c>
      <c r="AA8" s="142" t="s">
        <v>30</v>
      </c>
      <c r="AB8" s="143"/>
      <c r="AC8" s="308" t="s">
        <v>37</v>
      </c>
      <c r="AD8" s="309" t="s">
        <v>38</v>
      </c>
      <c r="AE8" s="309" t="s">
        <v>39</v>
      </c>
      <c r="AF8" s="310" t="s">
        <v>40</v>
      </c>
      <c r="AG8" s="310" t="s">
        <v>40</v>
      </c>
      <c r="AH8" s="311" t="s">
        <v>40</v>
      </c>
      <c r="AI8" s="136"/>
      <c r="AJ8" s="320" t="s">
        <v>41</v>
      </c>
      <c r="AK8" s="144" t="s">
        <v>42</v>
      </c>
      <c r="AL8" s="144" t="s">
        <v>30</v>
      </c>
      <c r="AM8" s="144" t="s">
        <v>43</v>
      </c>
      <c r="AN8" s="312" t="s">
        <v>44</v>
      </c>
    </row>
    <row r="9" spans="1:40" s="11" customFormat="1">
      <c r="A9" s="313" t="s">
        <v>45</v>
      </c>
      <c r="B9" s="145" t="s">
        <v>363</v>
      </c>
      <c r="C9" s="145" t="s">
        <v>46</v>
      </c>
      <c r="D9" s="145" t="s">
        <v>46</v>
      </c>
      <c r="E9" s="314" t="s">
        <v>46</v>
      </c>
      <c r="F9" s="457" t="s">
        <v>46</v>
      </c>
      <c r="G9" s="146"/>
      <c r="H9" s="147">
        <f>+SUM(H10:H15)</f>
        <v>532406.00060870918</v>
      </c>
      <c r="I9" s="148"/>
      <c r="J9" s="297">
        <f>+L9/H9*10^6</f>
        <v>22222.918812116888</v>
      </c>
      <c r="K9" s="148"/>
      <c r="L9" s="149">
        <f>+SUM(L10:L15)</f>
        <v>11831.6153266112</v>
      </c>
      <c r="M9" s="150" t="s">
        <v>47</v>
      </c>
      <c r="N9" s="146"/>
      <c r="O9" s="151" t="s">
        <v>47</v>
      </c>
      <c r="P9" s="455"/>
      <c r="Q9" s="152"/>
      <c r="R9" s="153"/>
      <c r="S9" s="154"/>
      <c r="T9" s="318"/>
      <c r="U9" s="306"/>
      <c r="V9" s="306"/>
      <c r="W9" s="306"/>
      <c r="X9" s="306"/>
      <c r="Y9" s="306"/>
      <c r="Z9" s="306"/>
      <c r="AA9" s="319"/>
      <c r="AB9" s="155"/>
      <c r="AC9" s="315"/>
      <c r="AD9" s="307"/>
      <c r="AE9" s="307"/>
      <c r="AF9" s="307"/>
      <c r="AG9" s="307"/>
      <c r="AH9" s="316"/>
      <c r="AI9" s="146"/>
      <c r="AJ9" s="321"/>
      <c r="AK9" s="145"/>
      <c r="AL9" s="145"/>
      <c r="AM9" s="145"/>
      <c r="AN9" s="314"/>
    </row>
    <row r="10" spans="1:40" s="12" customFormat="1" ht="15.75" customHeight="1" outlineLevel="1">
      <c r="A10" s="169" t="s">
        <v>323</v>
      </c>
      <c r="B10" s="156" t="s">
        <v>363</v>
      </c>
      <c r="C10" s="156" t="s">
        <v>48</v>
      </c>
      <c r="D10" s="157" t="s">
        <v>49</v>
      </c>
      <c r="E10" s="458" t="s">
        <v>54</v>
      </c>
      <c r="F10" s="170" t="s">
        <v>55</v>
      </c>
      <c r="G10" s="146"/>
      <c r="H10" s="293">
        <v>395252.056925721</v>
      </c>
      <c r="I10" s="158" t="s">
        <v>398</v>
      </c>
      <c r="J10" s="298">
        <v>23023</v>
      </c>
      <c r="K10" s="158" t="s">
        <v>398</v>
      </c>
      <c r="L10" s="160">
        <f t="shared" ref="L10:L15" si="0">H10*J10/10^6</f>
        <v>9099.8881066008744</v>
      </c>
      <c r="M10" s="161" t="s">
        <v>47</v>
      </c>
      <c r="N10" s="146"/>
      <c r="O10" s="162" t="s">
        <v>47</v>
      </c>
      <c r="P10" s="163">
        <f>+VLOOKUP($B$1&amp;" - "&amp;$D10,'Default Parameter'!$A$8:$M$25,4,FALSE)</f>
        <v>0.7407407407407407</v>
      </c>
      <c r="Q10" s="171">
        <f>+VLOOKUP($B$1&amp;" - "&amp;$D10,'Default Parameter'!$A$8:$M$25,3,FALSE)</f>
        <v>44.3</v>
      </c>
      <c r="R10" s="164" t="s">
        <v>52</v>
      </c>
      <c r="S10" s="146"/>
      <c r="T10" s="163">
        <f>+VLOOKUP($F10,'(Edited)Spec. Fuel Consumption '!$A$4:$J$163,9,FALSE)</f>
        <v>7.7879221386633333</v>
      </c>
      <c r="U10" s="163" t="str">
        <f>+VLOOKUP($F10,'(Edited)Spec. Fuel Consumption '!$A$4:$J$163,10,FALSE)</f>
        <v>Infras,2018</v>
      </c>
      <c r="V10" s="452">
        <f>+VLOOKUP($B$1&amp;" - "&amp;$D10,'Default Parameter'!$A$8:$M$25,5,FALSE)</f>
        <v>69300</v>
      </c>
      <c r="W10" s="168" t="s">
        <v>52</v>
      </c>
      <c r="X10" s="171">
        <f>+VLOOKUP($B$1&amp;" - "&amp;$D10,'Default Parameter'!$A$8:$M$25,8,FALSE)</f>
        <v>33</v>
      </c>
      <c r="Y10" s="304" t="str">
        <f>+"IPCC 2006 - "&amp;+VLOOKUP($B$1&amp;" - "&amp;$D10,'Default Parameter'!$A$8:$M$25,2,FALSE)</f>
        <v>IPCC 2006 - Motor Gasoline- uncontrolled</v>
      </c>
      <c r="Z10" s="168">
        <f>+VLOOKUP($B$1&amp;" - "&amp;$D10,'Default Parameter'!$A$8:$M$25,11,FALSE)</f>
        <v>3.2</v>
      </c>
      <c r="AA10" s="164" t="str">
        <f>+"IPCC 2006 - "&amp;+VLOOKUP($B$1&amp;" - "&amp;$D10,'Default Parameter'!$A$8:$M$25,2,FALSE)</f>
        <v>IPCC 2006 - Motor Gasoline- uncontrolled</v>
      </c>
      <c r="AB10" s="165"/>
      <c r="AC10" s="166">
        <f t="shared" ref="AC10:AC15" si="1">IFERROR(L10*T10/10^2,0)</f>
        <v>708.69220044756116</v>
      </c>
      <c r="AD10" s="167">
        <f t="shared" ref="AD10:AD15" si="2">+AC10*P10</f>
        <v>524.95718551671189</v>
      </c>
      <c r="AE10" s="167">
        <f t="shared" ref="AE10:AE15" si="3">+AC10*Q10</f>
        <v>31395.064479826957</v>
      </c>
      <c r="AF10" s="299">
        <f t="shared" ref="AF10:AF15" si="4">+$AD10*$Q10*V10/10^6</f>
        <v>1611.6133099644501</v>
      </c>
      <c r="AG10" s="299">
        <f t="shared" ref="AG10:AG15" si="5">+$AD10*$Q10*X10/10^6</f>
        <v>0.76743490950688098</v>
      </c>
      <c r="AH10" s="300">
        <f t="shared" ref="AH10:AH15" si="6">+$AD10*$Q10*Z10/10^6</f>
        <v>7.4417930618849076E-2</v>
      </c>
      <c r="AI10" s="146"/>
      <c r="AJ10" s="303"/>
      <c r="AK10" s="179"/>
      <c r="AL10" s="168"/>
      <c r="AM10" s="302">
        <f t="shared" ref="AM10:AM15" si="7">+$L10*AJ10</f>
        <v>0</v>
      </c>
      <c r="AN10" s="160">
        <f t="shared" ref="AN10:AN15" si="8">+$L10*AK10</f>
        <v>0</v>
      </c>
    </row>
    <row r="11" spans="1:40" s="12" customFormat="1" ht="13.5" customHeight="1" outlineLevel="1">
      <c r="A11" s="169" t="s">
        <v>323</v>
      </c>
      <c r="B11" s="156" t="s">
        <v>363</v>
      </c>
      <c r="C11" s="156" t="s">
        <v>48</v>
      </c>
      <c r="D11" s="157" t="s">
        <v>53</v>
      </c>
      <c r="E11" s="458" t="s">
        <v>54</v>
      </c>
      <c r="F11" s="170" t="s">
        <v>56</v>
      </c>
      <c r="G11" s="146"/>
      <c r="H11" s="293">
        <v>14285.327159856501</v>
      </c>
      <c r="I11" s="158" t="s">
        <v>398</v>
      </c>
      <c r="J11" s="298">
        <v>15448</v>
      </c>
      <c r="K11" s="158" t="s">
        <v>398</v>
      </c>
      <c r="L11" s="160">
        <f t="shared" si="0"/>
        <v>220.67973396546321</v>
      </c>
      <c r="M11" s="161" t="s">
        <v>47</v>
      </c>
      <c r="N11" s="146"/>
      <c r="O11" s="162" t="s">
        <v>47</v>
      </c>
      <c r="P11" s="163">
        <f>+VLOOKUP($B$1&amp;" - "&amp;$D11,'Default Parameter'!$A$8:$M$25,4,FALSE)</f>
        <v>0.84388185654008396</v>
      </c>
      <c r="Q11" s="171">
        <f>+VLOOKUP($B$1&amp;" - "&amp;$D11,'Default Parameter'!$A$8:$M$25,3,FALSE)</f>
        <v>43</v>
      </c>
      <c r="R11" s="164" t="s">
        <v>52</v>
      </c>
      <c r="S11" s="146"/>
      <c r="T11" s="163">
        <f>+VLOOKUP($F11,'(Edited)Spec. Fuel Consumption '!$A$4:$J$163,9,FALSE)</f>
        <v>5.3056031165560169</v>
      </c>
      <c r="U11" s="163" t="str">
        <f>+VLOOKUP($F11,'(Edited)Spec. Fuel Consumption '!$A$4:$J$163,10,FALSE)</f>
        <v>Infras,2018</v>
      </c>
      <c r="V11" s="453">
        <f>+VLOOKUP($B$1&amp;" - "&amp;$D11,'Default Parameter'!$A$8:$M$25,5,FALSE)</f>
        <v>74100</v>
      </c>
      <c r="W11" s="168" t="s">
        <v>52</v>
      </c>
      <c r="X11" s="171">
        <f>+VLOOKUP($B$1&amp;" - "&amp;$D11,'Default Parameter'!$A$8:$M$25,8,FALSE)</f>
        <v>3.9</v>
      </c>
      <c r="Y11" s="304" t="str">
        <f>+"IPCC 2006 - "&amp;+VLOOKUP($B$1&amp;" - "&amp;$D11,'Default Parameter'!$A$8:$M$25,2,FALSE)</f>
        <v>IPCC 2006 - Gas/ Diesel Oil</v>
      </c>
      <c r="Z11" s="168">
        <f>+VLOOKUP($B$1&amp;" - "&amp;$D11,'Default Parameter'!$A$8:$M$25,11,FALSE)</f>
        <v>3.9</v>
      </c>
      <c r="AA11" s="164" t="str">
        <f>+"IPCC 2006 - "&amp;+VLOOKUP($B$1&amp;" - "&amp;$D11,'Default Parameter'!$A$8:$M$25,2,FALSE)</f>
        <v>IPCC 2006 - Gas/ Diesel Oil</v>
      </c>
      <c r="AB11" s="165"/>
      <c r="AC11" s="166">
        <f t="shared" si="1"/>
        <v>11.708390842879144</v>
      </c>
      <c r="AD11" s="167">
        <f t="shared" si="2"/>
        <v>9.8804986015857708</v>
      </c>
      <c r="AE11" s="167">
        <f t="shared" si="3"/>
        <v>503.46080624380318</v>
      </c>
      <c r="AF11" s="299">
        <f t="shared" si="4"/>
        <v>31.482232694232739</v>
      </c>
      <c r="AG11" s="299">
        <f t="shared" si="5"/>
        <v>1.6569596154859337E-3</v>
      </c>
      <c r="AH11" s="300">
        <f t="shared" si="6"/>
        <v>1.6569596154859337E-3</v>
      </c>
      <c r="AI11" s="146"/>
      <c r="AJ11" s="303"/>
      <c r="AK11" s="179"/>
      <c r="AL11" s="168"/>
      <c r="AM11" s="302">
        <f t="shared" si="7"/>
        <v>0</v>
      </c>
      <c r="AN11" s="160">
        <f t="shared" si="8"/>
        <v>0</v>
      </c>
    </row>
    <row r="12" spans="1:40" s="12" customFormat="1" outlineLevel="1">
      <c r="A12" s="169" t="s">
        <v>323</v>
      </c>
      <c r="B12" s="156" t="s">
        <v>363</v>
      </c>
      <c r="C12" s="156" t="s">
        <v>64</v>
      </c>
      <c r="D12" s="157" t="s">
        <v>49</v>
      </c>
      <c r="E12" s="458" t="s">
        <v>54</v>
      </c>
      <c r="F12" s="170" t="s">
        <v>65</v>
      </c>
      <c r="G12" s="146"/>
      <c r="H12" s="293">
        <v>95260.186315699699</v>
      </c>
      <c r="I12" s="158" t="s">
        <v>398</v>
      </c>
      <c r="J12" s="298">
        <v>19014</v>
      </c>
      <c r="K12" s="158" t="s">
        <v>398</v>
      </c>
      <c r="L12" s="160">
        <f t="shared" si="0"/>
        <v>1811.277182606714</v>
      </c>
      <c r="M12" s="167" t="s">
        <v>47</v>
      </c>
      <c r="N12" s="146"/>
      <c r="O12" s="162" t="s">
        <v>47</v>
      </c>
      <c r="P12" s="163">
        <f>+VLOOKUP($B$1&amp;" - "&amp;$D12,'Default Parameter'!$A$8:$M$25,4,FALSE)</f>
        <v>0.7407407407407407</v>
      </c>
      <c r="Q12" s="171">
        <f>+VLOOKUP($B$1&amp;" - "&amp;$D12,'Default Parameter'!$A$8:$M$25,3,FALSE)</f>
        <v>44.3</v>
      </c>
      <c r="R12" s="164" t="s">
        <v>52</v>
      </c>
      <c r="S12" s="146"/>
      <c r="T12" s="163">
        <f>+VLOOKUP($F12,'(Edited)Spec. Fuel Consumption '!$A$4:$J$163,9,FALSE)</f>
        <v>9.2721511262458929</v>
      </c>
      <c r="U12" s="163" t="str">
        <f>+VLOOKUP($F12,'(Edited)Spec. Fuel Consumption '!$A$4:$J$163,10,FALSE)</f>
        <v>Infras,2018</v>
      </c>
      <c r="V12" s="453">
        <f>+VLOOKUP($B$1&amp;" - "&amp;$D12,'Default Parameter'!$A$8:$M$25,5,FALSE)</f>
        <v>69300</v>
      </c>
      <c r="W12" s="168" t="s">
        <v>52</v>
      </c>
      <c r="X12" s="171">
        <f>+VLOOKUP($B$1&amp;" - "&amp;$D12,'Default Parameter'!$A$8:$M$25,8,FALSE)</f>
        <v>33</v>
      </c>
      <c r="Y12" s="304" t="str">
        <f>+"IPCC 2006 - "&amp;+VLOOKUP($B$1&amp;" - "&amp;$D12,'Default Parameter'!$A$8:$M$25,2,FALSE)</f>
        <v>IPCC 2006 - Motor Gasoline- uncontrolled</v>
      </c>
      <c r="Z12" s="168">
        <f>+VLOOKUP($B$1&amp;" - "&amp;$D12,'Default Parameter'!$A$8:$M$25,11,FALSE)</f>
        <v>3.2</v>
      </c>
      <c r="AA12" s="164" t="str">
        <f>+"IPCC 2006 - "&amp;+VLOOKUP($B$1&amp;" - "&amp;$D12,'Default Parameter'!$A$8:$M$25,2,FALSE)</f>
        <v>IPCC 2006 - Motor Gasoline- uncontrolled</v>
      </c>
      <c r="AB12" s="165"/>
      <c r="AC12" s="166">
        <f t="shared" si="1"/>
        <v>167.94435768650331</v>
      </c>
      <c r="AD12" s="167">
        <f t="shared" si="2"/>
        <v>124.40322791592837</v>
      </c>
      <c r="AE12" s="167">
        <f t="shared" si="3"/>
        <v>7439.9350455120957</v>
      </c>
      <c r="AF12" s="299">
        <f t="shared" si="4"/>
        <v>381.9166656696209</v>
      </c>
      <c r="AG12" s="299">
        <f t="shared" si="5"/>
        <v>0.18186507889029568</v>
      </c>
      <c r="AH12" s="300">
        <f t="shared" si="6"/>
        <v>1.7635401589362006E-2</v>
      </c>
      <c r="AI12" s="146"/>
      <c r="AJ12" s="303"/>
      <c r="AK12" s="179"/>
      <c r="AL12" s="168"/>
      <c r="AM12" s="302">
        <f t="shared" si="7"/>
        <v>0</v>
      </c>
      <c r="AN12" s="160">
        <f t="shared" si="8"/>
        <v>0</v>
      </c>
    </row>
    <row r="13" spans="1:40" s="12" customFormat="1" outlineLevel="1">
      <c r="A13" s="169" t="s">
        <v>323</v>
      </c>
      <c r="B13" s="156" t="s">
        <v>363</v>
      </c>
      <c r="C13" s="156" t="s">
        <v>64</v>
      </c>
      <c r="D13" s="157" t="s">
        <v>53</v>
      </c>
      <c r="E13" s="458" t="s">
        <v>54</v>
      </c>
      <c r="F13" s="170" t="s">
        <v>66</v>
      </c>
      <c r="G13" s="146"/>
      <c r="H13" s="293">
        <v>11842.7583648328</v>
      </c>
      <c r="I13" s="158" t="s">
        <v>398</v>
      </c>
      <c r="J13" s="298">
        <v>13108</v>
      </c>
      <c r="K13" s="158" t="s">
        <v>398</v>
      </c>
      <c r="L13" s="160">
        <f t="shared" si="0"/>
        <v>155.23487664622834</v>
      </c>
      <c r="M13" s="167" t="s">
        <v>47</v>
      </c>
      <c r="N13" s="146"/>
      <c r="O13" s="162" t="s">
        <v>47</v>
      </c>
      <c r="P13" s="163">
        <f>+VLOOKUP($B$1&amp;" - "&amp;$D13,'Default Parameter'!$A$8:$M$25,4,FALSE)</f>
        <v>0.84388185654008396</v>
      </c>
      <c r="Q13" s="171">
        <f>+VLOOKUP($B$1&amp;" - "&amp;$D13,'Default Parameter'!$A$8:$M$25,3,FALSE)</f>
        <v>43</v>
      </c>
      <c r="R13" s="164" t="s">
        <v>52</v>
      </c>
      <c r="S13" s="146"/>
      <c r="T13" s="163">
        <f>+VLOOKUP($F13,'(Edited)Spec. Fuel Consumption '!$A$4:$J$163,9,FALSE)</f>
        <v>6.8345467207097306</v>
      </c>
      <c r="U13" s="163" t="str">
        <f>+VLOOKUP($F13,'(Edited)Spec. Fuel Consumption '!$A$4:$J$163,10,FALSE)</f>
        <v>Infras,2018</v>
      </c>
      <c r="V13" s="453">
        <f>+VLOOKUP($B$1&amp;" - "&amp;$D13,'Default Parameter'!$A$8:$M$25,5,FALSE)</f>
        <v>74100</v>
      </c>
      <c r="W13" s="168" t="s">
        <v>52</v>
      </c>
      <c r="X13" s="171">
        <f>+VLOOKUP($B$1&amp;" - "&amp;$D13,'Default Parameter'!$A$8:$M$25,8,FALSE)</f>
        <v>3.9</v>
      </c>
      <c r="Y13" s="304" t="str">
        <f>+"IPCC 2006 - "&amp;+VLOOKUP($B$1&amp;" - "&amp;$D13,'Default Parameter'!$A$8:$M$25,2,FALSE)</f>
        <v>IPCC 2006 - Gas/ Diesel Oil</v>
      </c>
      <c r="Z13" s="168">
        <f>+VLOOKUP($B$1&amp;" - "&amp;$D13,'Default Parameter'!$A$8:$M$25,11,FALSE)</f>
        <v>3.9</v>
      </c>
      <c r="AA13" s="164" t="str">
        <f>+"IPCC 2006 - "&amp;+VLOOKUP($B$1&amp;" - "&amp;$D13,'Default Parameter'!$A$8:$M$25,2,FALSE)</f>
        <v>IPCC 2006 - Gas/ Diesel Oil</v>
      </c>
      <c r="AB13" s="165"/>
      <c r="AC13" s="166">
        <f t="shared" si="1"/>
        <v>10.609600171222594</v>
      </c>
      <c r="AD13" s="167">
        <f t="shared" si="2"/>
        <v>8.953249089639316</v>
      </c>
      <c r="AE13" s="167">
        <f t="shared" si="3"/>
        <v>456.21280736257154</v>
      </c>
      <c r="AF13" s="299">
        <f t="shared" si="4"/>
        <v>28.527737574317751</v>
      </c>
      <c r="AG13" s="299">
        <f t="shared" si="5"/>
        <v>1.5014598723325132E-3</v>
      </c>
      <c r="AH13" s="300">
        <f t="shared" si="6"/>
        <v>1.5014598723325132E-3</v>
      </c>
      <c r="AI13" s="146"/>
      <c r="AJ13" s="303"/>
      <c r="AK13" s="179"/>
      <c r="AL13" s="168"/>
      <c r="AM13" s="302">
        <f t="shared" si="7"/>
        <v>0</v>
      </c>
      <c r="AN13" s="160">
        <f t="shared" si="8"/>
        <v>0</v>
      </c>
    </row>
    <row r="14" spans="1:40" s="12" customFormat="1" outlineLevel="1">
      <c r="A14" s="169" t="s">
        <v>323</v>
      </c>
      <c r="B14" s="156" t="s">
        <v>363</v>
      </c>
      <c r="C14" s="156" t="s">
        <v>67</v>
      </c>
      <c r="D14" s="156" t="s">
        <v>49</v>
      </c>
      <c r="E14" s="458" t="s">
        <v>54</v>
      </c>
      <c r="F14" s="170" t="s">
        <v>68</v>
      </c>
      <c r="G14" s="146"/>
      <c r="H14" s="293">
        <v>8067.8789194819101</v>
      </c>
      <c r="I14" s="158" t="s">
        <v>398</v>
      </c>
      <c r="J14" s="298">
        <v>25213</v>
      </c>
      <c r="K14" s="158" t="s">
        <v>398</v>
      </c>
      <c r="L14" s="160">
        <f t="shared" si="0"/>
        <v>203.4154311968974</v>
      </c>
      <c r="M14" s="167" t="s">
        <v>47</v>
      </c>
      <c r="N14" s="146"/>
      <c r="O14" s="162" t="s">
        <v>47</v>
      </c>
      <c r="P14" s="163">
        <f>+VLOOKUP($B$1&amp;" - "&amp;$D14,'Default Parameter'!$A$8:$M$25,4,FALSE)</f>
        <v>0.7407407407407407</v>
      </c>
      <c r="Q14" s="171">
        <f>+VLOOKUP($B$1&amp;" - "&amp;$D14,'Default Parameter'!$A$8:$M$25,3,FALSE)</f>
        <v>44.3</v>
      </c>
      <c r="R14" s="164" t="s">
        <v>52</v>
      </c>
      <c r="S14" s="146"/>
      <c r="T14" s="163">
        <f>+VLOOKUP($F14,'(Edited)Spec. Fuel Consumption '!$A$4:$J$163,9,FALSE)</f>
        <v>11.942744908518209</v>
      </c>
      <c r="U14" s="163" t="str">
        <f>+VLOOKUP($F14,'(Edited)Spec. Fuel Consumption '!$A$4:$J$163,10,FALSE)</f>
        <v>Infras,2018</v>
      </c>
      <c r="V14" s="453">
        <f>+VLOOKUP($B$1&amp;" - "&amp;$D14,'Default Parameter'!$A$8:$M$25,5,FALSE)</f>
        <v>69300</v>
      </c>
      <c r="W14" s="168" t="s">
        <v>52</v>
      </c>
      <c r="X14" s="171">
        <f>+VLOOKUP($B$1&amp;" - "&amp;$D14,'Default Parameter'!$A$8:$M$25,8,FALSE)</f>
        <v>33</v>
      </c>
      <c r="Y14" s="304" t="str">
        <f>+"IPCC 2006 - "&amp;+VLOOKUP($B$1&amp;" - "&amp;$D14,'Default Parameter'!$A$8:$M$25,2,FALSE)</f>
        <v>IPCC 2006 - Motor Gasoline- uncontrolled</v>
      </c>
      <c r="Z14" s="168">
        <f>+VLOOKUP($B$1&amp;" - "&amp;$D14,'Default Parameter'!$A$8:$M$25,11,FALSE)</f>
        <v>3.2</v>
      </c>
      <c r="AA14" s="164" t="str">
        <f>+"IPCC 2006 - "&amp;+VLOOKUP($B$1&amp;" - "&amp;$D14,'Default Parameter'!$A$8:$M$25,2,FALSE)</f>
        <v>IPCC 2006 - Motor Gasoline- uncontrolled</v>
      </c>
      <c r="AB14" s="165"/>
      <c r="AC14" s="166">
        <f t="shared" si="1"/>
        <v>24.293386052407826</v>
      </c>
      <c r="AD14" s="167">
        <f t="shared" si="2"/>
        <v>17.995100779561351</v>
      </c>
      <c r="AE14" s="167">
        <f t="shared" si="3"/>
        <v>1076.1970021216666</v>
      </c>
      <c r="AF14" s="299">
        <f t="shared" si="4"/>
        <v>55.244779442245544</v>
      </c>
      <c r="AG14" s="299">
        <f t="shared" si="5"/>
        <v>2.6307037829640736E-2</v>
      </c>
      <c r="AH14" s="300">
        <f t="shared" si="6"/>
        <v>2.5509854865106174E-3</v>
      </c>
      <c r="AI14" s="146"/>
      <c r="AJ14" s="303"/>
      <c r="AK14" s="179"/>
      <c r="AL14" s="168"/>
      <c r="AM14" s="302">
        <f t="shared" si="7"/>
        <v>0</v>
      </c>
      <c r="AN14" s="160">
        <f t="shared" si="8"/>
        <v>0</v>
      </c>
    </row>
    <row r="15" spans="1:40" s="12" customFormat="1" ht="16.5" outlineLevel="1" thickBot="1">
      <c r="A15" s="169" t="s">
        <v>323</v>
      </c>
      <c r="B15" s="156" t="s">
        <v>363</v>
      </c>
      <c r="C15" s="156" t="s">
        <v>67</v>
      </c>
      <c r="D15" s="156" t="s">
        <v>53</v>
      </c>
      <c r="E15" s="458" t="s">
        <v>54</v>
      </c>
      <c r="F15" s="170" t="s">
        <v>69</v>
      </c>
      <c r="G15" s="146"/>
      <c r="H15" s="293">
        <v>7697.7929231172902</v>
      </c>
      <c r="I15" s="158" t="s">
        <v>398</v>
      </c>
      <c r="J15" s="298">
        <v>44314</v>
      </c>
      <c r="K15" s="158" t="s">
        <v>398</v>
      </c>
      <c r="L15" s="160">
        <f t="shared" si="0"/>
        <v>341.11999559501959</v>
      </c>
      <c r="M15" s="167" t="s">
        <v>47</v>
      </c>
      <c r="N15" s="146"/>
      <c r="O15" s="162" t="s">
        <v>47</v>
      </c>
      <c r="P15" s="163">
        <f>+VLOOKUP($B$1&amp;" - "&amp;$D15,'Default Parameter'!$A$8:$M$25,4,FALSE)</f>
        <v>0.84388185654008396</v>
      </c>
      <c r="Q15" s="171">
        <f>+VLOOKUP($B$1&amp;" - "&amp;$D15,'Default Parameter'!$A$8:$M$25,3,FALSE)</f>
        <v>43</v>
      </c>
      <c r="R15" s="164" t="s">
        <v>52</v>
      </c>
      <c r="S15" s="146"/>
      <c r="T15" s="163">
        <f>+VLOOKUP($F15,'(Edited)Spec. Fuel Consumption '!$A$4:$J$163,9,FALSE)</f>
        <v>8.9835525082489092</v>
      </c>
      <c r="U15" s="163" t="str">
        <f>+VLOOKUP($F15,'(Edited)Spec. Fuel Consumption '!$A$4:$J$163,10,FALSE)</f>
        <v>Infras,2018</v>
      </c>
      <c r="V15" s="453">
        <f>+VLOOKUP($B$1&amp;" - "&amp;$D15,'Default Parameter'!$A$8:$M$25,5,FALSE)</f>
        <v>74100</v>
      </c>
      <c r="W15" s="168" t="s">
        <v>52</v>
      </c>
      <c r="X15" s="171">
        <f>+VLOOKUP($B$1&amp;" - "&amp;$D15,'Default Parameter'!$A$8:$M$25,8,FALSE)</f>
        <v>3.9</v>
      </c>
      <c r="Y15" s="304" t="str">
        <f>+"IPCC 2006 - "&amp;+VLOOKUP($B$1&amp;" - "&amp;$D15,'Default Parameter'!$A$8:$M$25,2,FALSE)</f>
        <v>IPCC 2006 - Gas/ Diesel Oil</v>
      </c>
      <c r="Z15" s="168">
        <f>+VLOOKUP($B$1&amp;" - "&amp;$D15,'Default Parameter'!$A$8:$M$25,11,FALSE)</f>
        <v>3.9</v>
      </c>
      <c r="AA15" s="164" t="str">
        <f>+"IPCC 2006 - "&amp;+VLOOKUP($B$1&amp;" - "&amp;$D15,'Default Parameter'!$A$8:$M$25,2,FALSE)</f>
        <v>IPCC 2006 - Gas/ Diesel Oil</v>
      </c>
      <c r="AB15" s="165"/>
      <c r="AC15" s="166">
        <f t="shared" si="1"/>
        <v>30.644693920414952</v>
      </c>
      <c r="AD15" s="167">
        <f t="shared" si="2"/>
        <v>25.860501198662394</v>
      </c>
      <c r="AE15" s="167">
        <f t="shared" si="3"/>
        <v>1317.7218385778428</v>
      </c>
      <c r="AF15" s="299">
        <f t="shared" si="4"/>
        <v>82.39931496929799</v>
      </c>
      <c r="AG15" s="299">
        <f t="shared" si="5"/>
        <v>4.3368060510156842E-3</v>
      </c>
      <c r="AH15" s="300">
        <f t="shared" si="6"/>
        <v>4.3368060510156842E-3</v>
      </c>
      <c r="AI15" s="146"/>
      <c r="AJ15" s="303"/>
      <c r="AK15" s="179"/>
      <c r="AL15" s="168"/>
      <c r="AM15" s="302">
        <f t="shared" si="7"/>
        <v>0</v>
      </c>
      <c r="AN15" s="160">
        <f t="shared" si="8"/>
        <v>0</v>
      </c>
    </row>
    <row r="16" spans="1:40" s="11" customFormat="1">
      <c r="A16" s="313" t="s">
        <v>402</v>
      </c>
      <c r="B16" s="145" t="s">
        <v>363</v>
      </c>
      <c r="C16" s="145" t="s">
        <v>46</v>
      </c>
      <c r="D16" s="145" t="s">
        <v>46</v>
      </c>
      <c r="E16" s="314" t="s">
        <v>46</v>
      </c>
      <c r="F16" s="457" t="s">
        <v>46</v>
      </c>
      <c r="G16" s="146"/>
      <c r="H16" s="147">
        <f>+SUM(H17:H22)</f>
        <v>119230</v>
      </c>
      <c r="I16" s="148"/>
      <c r="J16" s="297">
        <f>+L16/H16*10^6</f>
        <v>29862.229765998487</v>
      </c>
      <c r="K16" s="148"/>
      <c r="L16" s="149">
        <f>+SUM(L17:L22)</f>
        <v>3560.4736549999998</v>
      </c>
      <c r="M16" s="150" t="s">
        <v>47</v>
      </c>
      <c r="N16" s="146"/>
      <c r="O16" s="151" t="s">
        <v>47</v>
      </c>
      <c r="P16" s="455"/>
      <c r="Q16" s="152"/>
      <c r="R16" s="153"/>
      <c r="S16" s="154"/>
      <c r="T16" s="318"/>
      <c r="U16" s="306"/>
      <c r="V16" s="306"/>
      <c r="W16" s="306"/>
      <c r="X16" s="306"/>
      <c r="Y16" s="306"/>
      <c r="Z16" s="306"/>
      <c r="AA16" s="319"/>
      <c r="AB16" s="155"/>
      <c r="AC16" s="315"/>
      <c r="AD16" s="307"/>
      <c r="AE16" s="307"/>
      <c r="AF16" s="307"/>
      <c r="AG16" s="307"/>
      <c r="AH16" s="316"/>
      <c r="AI16" s="146"/>
      <c r="AJ16" s="321"/>
      <c r="AK16" s="145"/>
      <c r="AL16" s="145"/>
      <c r="AM16" s="145"/>
      <c r="AN16" s="314"/>
    </row>
    <row r="17" spans="1:40" s="12" customFormat="1" ht="15.75" customHeight="1" outlineLevel="1">
      <c r="A17" s="169" t="s">
        <v>327</v>
      </c>
      <c r="B17" s="156" t="s">
        <v>363</v>
      </c>
      <c r="C17" s="156" t="s">
        <v>399</v>
      </c>
      <c r="D17" s="157" t="s">
        <v>49</v>
      </c>
      <c r="E17" s="458" t="s">
        <v>54</v>
      </c>
      <c r="F17" s="284" t="s">
        <v>457</v>
      </c>
      <c r="G17" s="146"/>
      <c r="H17" s="293">
        <v>8709</v>
      </c>
      <c r="I17" s="158" t="s">
        <v>398</v>
      </c>
      <c r="J17" s="298">
        <v>19536</v>
      </c>
      <c r="K17" s="158" t="s">
        <v>398</v>
      </c>
      <c r="L17" s="160">
        <f t="shared" ref="L17:L22" si="9">H17*J17/10^6</f>
        <v>170.13902400000001</v>
      </c>
      <c r="M17" s="161" t="s">
        <v>47</v>
      </c>
      <c r="N17" s="146"/>
      <c r="O17" s="162" t="s">
        <v>47</v>
      </c>
      <c r="P17" s="163">
        <f>+VLOOKUP($B$1&amp;" - "&amp;$D17,'Default Parameter'!$A$8:$M$25,4,FALSE)</f>
        <v>0.7407407407407407</v>
      </c>
      <c r="Q17" s="171">
        <f>+VLOOKUP($B$1&amp;" - "&amp;$D17,'Default Parameter'!$A$8:$M$25,3,FALSE)</f>
        <v>44.3</v>
      </c>
      <c r="R17" s="164" t="s">
        <v>52</v>
      </c>
      <c r="S17" s="146"/>
      <c r="T17" s="163">
        <f>+VLOOKUP($F17,'(Edited)Spec. Fuel Consumption '!$A$4:$J$163,9,FALSE)</f>
        <v>7.2073643097127267</v>
      </c>
      <c r="U17" s="163" t="str">
        <f>+VLOOKUP($F17,'(Edited)Spec. Fuel Consumption '!$A$4:$J$163,10,FALSE)</f>
        <v>Infras,2018</v>
      </c>
      <c r="V17" s="452">
        <f>+VLOOKUP($B$1&amp;" - "&amp;$D17,'Default Parameter'!$A$8:$M$25,5,FALSE)</f>
        <v>69300</v>
      </c>
      <c r="W17" s="168" t="s">
        <v>52</v>
      </c>
      <c r="X17" s="171">
        <f>+VLOOKUP($B$1&amp;" - "&amp;$D17,'Default Parameter'!$A$8:$M$25,8,FALSE)</f>
        <v>33</v>
      </c>
      <c r="Y17" s="304" t="str">
        <f>+"IPCC 2006 - "&amp;+VLOOKUP($B$1&amp;" - "&amp;$D17,'Default Parameter'!$A$8:$M$25,2,FALSE)</f>
        <v>IPCC 2006 - Motor Gasoline- uncontrolled</v>
      </c>
      <c r="Z17" s="168">
        <f>+VLOOKUP($B$1&amp;" - "&amp;$D17,'Default Parameter'!$A$8:$M$25,11,FALSE)</f>
        <v>3.2</v>
      </c>
      <c r="AA17" s="164" t="str">
        <f>+"IPCC 2006 - "&amp;+VLOOKUP($B$1&amp;" - "&amp;$D17,'Default Parameter'!$A$8:$M$25,2,FALSE)</f>
        <v>IPCC 2006 - Motor Gasoline- uncontrolled</v>
      </c>
      <c r="AB17" s="165"/>
      <c r="AC17" s="166">
        <f t="shared" ref="AC17:AC22" si="10">IFERROR(L17*T17/10^2,0)</f>
        <v>12.262539292669571</v>
      </c>
      <c r="AD17" s="167">
        <f t="shared" ref="AD17:AD22" si="11">+AC17*P17</f>
        <v>9.0833624390144969</v>
      </c>
      <c r="AE17" s="167">
        <f t="shared" ref="AE17:AE22" si="12">+AC17*Q17</f>
        <v>543.23049066526198</v>
      </c>
      <c r="AF17" s="299">
        <f t="shared" ref="AF17:AF22" si="13">+$AD17*$Q17*V17/10^6</f>
        <v>27.885831854150112</v>
      </c>
      <c r="AG17" s="299">
        <f t="shared" ref="AG17:AG22" si="14">+$AD17*$Q17*X17/10^6</f>
        <v>1.3278967549595292E-2</v>
      </c>
      <c r="AH17" s="300">
        <f t="shared" ref="AH17:AH22" si="15">+$AD17*$Q17*Z17/10^6</f>
        <v>1.2876574593546949E-3</v>
      </c>
      <c r="AI17" s="146"/>
      <c r="AJ17" s="303"/>
      <c r="AK17" s="179"/>
      <c r="AL17" s="168"/>
      <c r="AM17" s="302">
        <f t="shared" ref="AM17:AM22" si="16">+$L17*AJ17</f>
        <v>0</v>
      </c>
      <c r="AN17" s="160">
        <f t="shared" ref="AN17:AN22" si="17">+$L17*AK17</f>
        <v>0</v>
      </c>
    </row>
    <row r="18" spans="1:40" s="12" customFormat="1" ht="13.5" customHeight="1" outlineLevel="1">
      <c r="A18" s="169" t="s">
        <v>327</v>
      </c>
      <c r="B18" s="156" t="s">
        <v>363</v>
      </c>
      <c r="C18" s="156" t="s">
        <v>399</v>
      </c>
      <c r="D18" s="157" t="s">
        <v>53</v>
      </c>
      <c r="E18" s="458" t="s">
        <v>54</v>
      </c>
      <c r="F18" s="284" t="s">
        <v>458</v>
      </c>
      <c r="G18" s="146"/>
      <c r="H18" s="293">
        <v>3350</v>
      </c>
      <c r="I18" s="158" t="s">
        <v>398</v>
      </c>
      <c r="J18" s="298">
        <v>45713</v>
      </c>
      <c r="K18" s="158" t="s">
        <v>398</v>
      </c>
      <c r="L18" s="160">
        <f t="shared" si="9"/>
        <v>153.13855000000001</v>
      </c>
      <c r="M18" s="161" t="s">
        <v>47</v>
      </c>
      <c r="N18" s="146"/>
      <c r="O18" s="162" t="s">
        <v>47</v>
      </c>
      <c r="P18" s="163">
        <f>+VLOOKUP($B$1&amp;" - "&amp;$D18,'Default Parameter'!$A$8:$M$25,4,FALSE)</f>
        <v>0.84388185654008396</v>
      </c>
      <c r="Q18" s="171">
        <f>+VLOOKUP($B$1&amp;" - "&amp;$D18,'Default Parameter'!$A$8:$M$25,3,FALSE)</f>
        <v>43</v>
      </c>
      <c r="R18" s="164" t="s">
        <v>52</v>
      </c>
      <c r="S18" s="146"/>
      <c r="T18" s="163">
        <f>+VLOOKUP($F18,'(Edited)Spec. Fuel Consumption '!$A$4:$J$163,9,FALSE)</f>
        <v>8.993047180359568</v>
      </c>
      <c r="U18" s="163" t="str">
        <f>+VLOOKUP($F18,'(Edited)Spec. Fuel Consumption '!$A$4:$J$163,10,FALSE)</f>
        <v>Infras,2018</v>
      </c>
      <c r="V18" s="453">
        <f>+VLOOKUP($B$1&amp;" - "&amp;$D18,'Default Parameter'!$A$8:$M$25,5,FALSE)</f>
        <v>74100</v>
      </c>
      <c r="W18" s="168" t="s">
        <v>52</v>
      </c>
      <c r="X18" s="171">
        <f>+VLOOKUP($B$1&amp;" - "&amp;$D18,'Default Parameter'!$A$8:$M$25,8,FALSE)</f>
        <v>3.9</v>
      </c>
      <c r="Y18" s="304" t="str">
        <f>+"IPCC 2006 - "&amp;+VLOOKUP($B$1&amp;" - "&amp;$D18,'Default Parameter'!$A$8:$M$25,2,FALSE)</f>
        <v>IPCC 2006 - Gas/ Diesel Oil</v>
      </c>
      <c r="Z18" s="168">
        <f>+VLOOKUP($B$1&amp;" - "&amp;$D18,'Default Parameter'!$A$8:$M$25,11,FALSE)</f>
        <v>3.9</v>
      </c>
      <c r="AA18" s="164" t="str">
        <f>+"IPCC 2006 - "&amp;+VLOOKUP($B$1&amp;" - "&amp;$D18,'Default Parameter'!$A$8:$M$25,2,FALSE)</f>
        <v>IPCC 2006 - Gas/ Diesel Oil</v>
      </c>
      <c r="AB18" s="165"/>
      <c r="AC18" s="166">
        <f t="shared" si="10"/>
        <v>13.771822052818527</v>
      </c>
      <c r="AD18" s="167">
        <f t="shared" si="11"/>
        <v>11.621790761872168</v>
      </c>
      <c r="AE18" s="167">
        <f t="shared" si="12"/>
        <v>592.18834827119667</v>
      </c>
      <c r="AF18" s="299">
        <f t="shared" si="13"/>
        <v>37.030511904553286</v>
      </c>
      <c r="AG18" s="299">
        <f t="shared" si="14"/>
        <v>1.9489743107659627E-3</v>
      </c>
      <c r="AH18" s="300">
        <f t="shared" si="15"/>
        <v>1.9489743107659627E-3</v>
      </c>
      <c r="AI18" s="146"/>
      <c r="AJ18" s="303"/>
      <c r="AK18" s="179"/>
      <c r="AL18" s="168"/>
      <c r="AM18" s="302">
        <f t="shared" si="16"/>
        <v>0</v>
      </c>
      <c r="AN18" s="160">
        <f t="shared" si="17"/>
        <v>0</v>
      </c>
    </row>
    <row r="19" spans="1:40" s="12" customFormat="1" outlineLevel="1">
      <c r="A19" s="169" t="s">
        <v>327</v>
      </c>
      <c r="B19" s="156" t="s">
        <v>363</v>
      </c>
      <c r="C19" s="156" t="s">
        <v>400</v>
      </c>
      <c r="D19" s="157" t="s">
        <v>49</v>
      </c>
      <c r="E19" s="458" t="s">
        <v>54</v>
      </c>
      <c r="F19" s="284" t="s">
        <v>459</v>
      </c>
      <c r="G19" s="146"/>
      <c r="H19" s="293">
        <v>7537</v>
      </c>
      <c r="I19" s="158" t="s">
        <v>398</v>
      </c>
      <c r="J19" s="298">
        <v>17543</v>
      </c>
      <c r="K19" s="158" t="s">
        <v>398</v>
      </c>
      <c r="L19" s="160">
        <f t="shared" si="9"/>
        <v>132.22159099999999</v>
      </c>
      <c r="M19" s="167" t="s">
        <v>47</v>
      </c>
      <c r="N19" s="146"/>
      <c r="O19" s="162" t="s">
        <v>47</v>
      </c>
      <c r="P19" s="163">
        <f>+VLOOKUP($B$1&amp;" - "&amp;$D19,'Default Parameter'!$A$8:$M$25,4,FALSE)</f>
        <v>0.7407407407407407</v>
      </c>
      <c r="Q19" s="171">
        <f>+VLOOKUP($B$1&amp;" - "&amp;$D19,'Default Parameter'!$A$8:$M$25,3,FALSE)</f>
        <v>44.3</v>
      </c>
      <c r="R19" s="164" t="s">
        <v>52</v>
      </c>
      <c r="S19" s="146"/>
      <c r="T19" s="163">
        <f>+VLOOKUP($F19,'(Edited)Spec. Fuel Consumption '!$A$4:$J$163,9,FALSE)</f>
        <v>12.14462025583671</v>
      </c>
      <c r="U19" s="163" t="str">
        <f>+VLOOKUP($F19,'(Edited)Spec. Fuel Consumption '!$A$4:$J$163,10,FALSE)</f>
        <v>Infras,2018</v>
      </c>
      <c r="V19" s="453">
        <f>+VLOOKUP($B$1&amp;" - "&amp;$D19,'Default Parameter'!$A$8:$M$25,5,FALSE)</f>
        <v>69300</v>
      </c>
      <c r="W19" s="168" t="s">
        <v>52</v>
      </c>
      <c r="X19" s="171">
        <f>+VLOOKUP($B$1&amp;" - "&amp;$D19,'Default Parameter'!$A$8:$M$25,8,FALSE)</f>
        <v>33</v>
      </c>
      <c r="Y19" s="304" t="str">
        <f>+"IPCC 2006 - "&amp;+VLOOKUP($B$1&amp;" - "&amp;$D19,'Default Parameter'!$A$8:$M$25,2,FALSE)</f>
        <v>IPCC 2006 - Motor Gasoline- uncontrolled</v>
      </c>
      <c r="Z19" s="168">
        <f>+VLOOKUP($B$1&amp;" - "&amp;$D19,'Default Parameter'!$A$8:$M$25,11,FALSE)</f>
        <v>3.2</v>
      </c>
      <c r="AA19" s="164" t="str">
        <f>+"IPCC 2006 - "&amp;+VLOOKUP($B$1&amp;" - "&amp;$D19,'Default Parameter'!$A$8:$M$25,2,FALSE)</f>
        <v>IPCC 2006 - Motor Gasoline- uncontrolled</v>
      </c>
      <c r="AB19" s="165"/>
      <c r="AC19" s="166">
        <f t="shared" si="10"/>
        <v>16.057810123175567</v>
      </c>
      <c r="AD19" s="167">
        <f t="shared" si="11"/>
        <v>11.894674165315234</v>
      </c>
      <c r="AE19" s="167">
        <f t="shared" si="12"/>
        <v>711.36098845667755</v>
      </c>
      <c r="AF19" s="299">
        <f t="shared" si="13"/>
        <v>36.516530740776112</v>
      </c>
      <c r="AG19" s="299">
        <f t="shared" si="14"/>
        <v>1.738882416227434E-2</v>
      </c>
      <c r="AH19" s="300">
        <f t="shared" si="15"/>
        <v>1.6861890096750876E-3</v>
      </c>
      <c r="AI19" s="146"/>
      <c r="AJ19" s="303"/>
      <c r="AK19" s="179"/>
      <c r="AL19" s="168"/>
      <c r="AM19" s="302">
        <f t="shared" si="16"/>
        <v>0</v>
      </c>
      <c r="AN19" s="160">
        <f t="shared" si="17"/>
        <v>0</v>
      </c>
    </row>
    <row r="20" spans="1:40" s="12" customFormat="1" outlineLevel="1">
      <c r="A20" s="169" t="s">
        <v>327</v>
      </c>
      <c r="B20" s="156" t="s">
        <v>363</v>
      </c>
      <c r="C20" s="156" t="s">
        <v>400</v>
      </c>
      <c r="D20" s="157" t="s">
        <v>53</v>
      </c>
      <c r="E20" s="458" t="s">
        <v>54</v>
      </c>
      <c r="F20" s="284" t="s">
        <v>83</v>
      </c>
      <c r="G20" s="146"/>
      <c r="H20" s="293">
        <v>46394</v>
      </c>
      <c r="I20" s="158" t="s">
        <v>398</v>
      </c>
      <c r="J20" s="298">
        <v>33731</v>
      </c>
      <c r="K20" s="158" t="s">
        <v>398</v>
      </c>
      <c r="L20" s="160">
        <f t="shared" si="9"/>
        <v>1564.9160139999999</v>
      </c>
      <c r="M20" s="167" t="s">
        <v>47</v>
      </c>
      <c r="N20" s="146"/>
      <c r="O20" s="162" t="s">
        <v>47</v>
      </c>
      <c r="P20" s="163">
        <f>+VLOOKUP($B$1&amp;" - "&amp;$D20,'Default Parameter'!$A$8:$M$25,4,FALSE)</f>
        <v>0.84388185654008396</v>
      </c>
      <c r="Q20" s="171">
        <f>+VLOOKUP($B$1&amp;" - "&amp;$D20,'Default Parameter'!$A$8:$M$25,3,FALSE)</f>
        <v>43</v>
      </c>
      <c r="R20" s="164" t="s">
        <v>52</v>
      </c>
      <c r="S20" s="146"/>
      <c r="T20" s="163">
        <f>+VLOOKUP($F20,'(Edited)Spec. Fuel Consumption '!$A$4:$J$163,9,FALSE)</f>
        <v>5.5139266792812744</v>
      </c>
      <c r="U20" s="163" t="str">
        <f>+VLOOKUP($F20,'(Edited)Spec. Fuel Consumption '!$A$4:$J$163,10,FALSE)</f>
        <v>Infras,2018</v>
      </c>
      <c r="V20" s="453">
        <f>+VLOOKUP($B$1&amp;" - "&amp;$D20,'Default Parameter'!$A$8:$M$25,5,FALSE)</f>
        <v>74100</v>
      </c>
      <c r="W20" s="168" t="s">
        <v>52</v>
      </c>
      <c r="X20" s="171">
        <f>+VLOOKUP($B$1&amp;" - "&amp;$D20,'Default Parameter'!$A$8:$M$25,8,FALSE)</f>
        <v>3.9</v>
      </c>
      <c r="Y20" s="304" t="str">
        <f>+"IPCC 2006 - "&amp;+VLOOKUP($B$1&amp;" - "&amp;$D20,'Default Parameter'!$A$8:$M$25,2,FALSE)</f>
        <v>IPCC 2006 - Gas/ Diesel Oil</v>
      </c>
      <c r="Z20" s="168">
        <f>+VLOOKUP($B$1&amp;" - "&amp;$D20,'Default Parameter'!$A$8:$M$25,11,FALSE)</f>
        <v>3.9</v>
      </c>
      <c r="AA20" s="164" t="str">
        <f>+"IPCC 2006 - "&amp;+VLOOKUP($B$1&amp;" - "&amp;$D20,'Default Parameter'!$A$8:$M$25,2,FALSE)</f>
        <v>IPCC 2006 - Gas/ Diesel Oil</v>
      </c>
      <c r="AB20" s="165"/>
      <c r="AC20" s="166">
        <f t="shared" si="10"/>
        <v>86.288321604291085</v>
      </c>
      <c r="AD20" s="167">
        <f t="shared" si="11"/>
        <v>72.817149033156994</v>
      </c>
      <c r="AE20" s="167">
        <f t="shared" si="12"/>
        <v>3710.3978289845168</v>
      </c>
      <c r="AF20" s="299">
        <f t="shared" si="13"/>
        <v>232.01728196434814</v>
      </c>
      <c r="AG20" s="299">
        <f t="shared" si="14"/>
        <v>1.2211435892860429E-2</v>
      </c>
      <c r="AH20" s="300">
        <f t="shared" si="15"/>
        <v>1.2211435892860429E-2</v>
      </c>
      <c r="AI20" s="146"/>
      <c r="AJ20" s="303"/>
      <c r="AK20" s="179"/>
      <c r="AL20" s="168"/>
      <c r="AM20" s="302">
        <f t="shared" si="16"/>
        <v>0</v>
      </c>
      <c r="AN20" s="160">
        <f t="shared" si="17"/>
        <v>0</v>
      </c>
    </row>
    <row r="21" spans="1:40" s="12" customFormat="1" outlineLevel="1">
      <c r="A21" s="169" t="s">
        <v>327</v>
      </c>
      <c r="B21" s="156" t="s">
        <v>363</v>
      </c>
      <c r="C21" s="156" t="s">
        <v>401</v>
      </c>
      <c r="D21" s="156" t="s">
        <v>49</v>
      </c>
      <c r="E21" s="458" t="s">
        <v>54</v>
      </c>
      <c r="F21" s="284" t="s">
        <v>86</v>
      </c>
      <c r="G21" s="146"/>
      <c r="H21" s="293">
        <v>3212</v>
      </c>
      <c r="I21" s="158" t="s">
        <v>398</v>
      </c>
      <c r="J21" s="298">
        <v>20792</v>
      </c>
      <c r="K21" s="158" t="s">
        <v>398</v>
      </c>
      <c r="L21" s="160">
        <f t="shared" si="9"/>
        <v>66.783904000000007</v>
      </c>
      <c r="M21" s="167" t="s">
        <v>47</v>
      </c>
      <c r="N21" s="146"/>
      <c r="O21" s="162" t="s">
        <v>47</v>
      </c>
      <c r="P21" s="163">
        <f>+VLOOKUP($B$1&amp;" - "&amp;$D21,'Default Parameter'!$A$8:$M$25,4,FALSE)</f>
        <v>0.7407407407407407</v>
      </c>
      <c r="Q21" s="171">
        <f>+VLOOKUP($B$1&amp;" - "&amp;$D21,'Default Parameter'!$A$8:$M$25,3,FALSE)</f>
        <v>44.3</v>
      </c>
      <c r="R21" s="164" t="s">
        <v>52</v>
      </c>
      <c r="S21" s="146"/>
      <c r="T21" s="163">
        <f>+VLOOKUP($F21,'(Edited)Spec. Fuel Consumption '!$A$4:$J$163,9,FALSE)</f>
        <v>7.2524898318561428</v>
      </c>
      <c r="U21" s="163" t="str">
        <f>+VLOOKUP($F21,'(Edited)Spec. Fuel Consumption '!$A$4:$J$163,10,FALSE)</f>
        <v>Infras,2018</v>
      </c>
      <c r="V21" s="453">
        <f>+VLOOKUP($B$1&amp;" - "&amp;$D21,'Default Parameter'!$A$8:$M$25,5,FALSE)</f>
        <v>69300</v>
      </c>
      <c r="W21" s="168" t="s">
        <v>52</v>
      </c>
      <c r="X21" s="171">
        <f>+VLOOKUP($B$1&amp;" - "&amp;$D21,'Default Parameter'!$A$8:$M$25,8,FALSE)</f>
        <v>33</v>
      </c>
      <c r="Y21" s="304" t="str">
        <f>+"IPCC 2006 - "&amp;+VLOOKUP($B$1&amp;" - "&amp;$D21,'Default Parameter'!$A$8:$M$25,2,FALSE)</f>
        <v>IPCC 2006 - Motor Gasoline- uncontrolled</v>
      </c>
      <c r="Z21" s="168">
        <f>+VLOOKUP($B$1&amp;" - "&amp;$D21,'Default Parameter'!$A$8:$M$25,11,FALSE)</f>
        <v>3.2</v>
      </c>
      <c r="AA21" s="164" t="str">
        <f>+"IPCC 2006 - "&amp;+VLOOKUP($B$1&amp;" - "&amp;$D21,'Default Parameter'!$A$8:$M$25,2,FALSE)</f>
        <v>IPCC 2006 - Motor Gasoline- uncontrolled</v>
      </c>
      <c r="AB21" s="165"/>
      <c r="AC21" s="166">
        <f t="shared" si="10"/>
        <v>4.8434958469165688</v>
      </c>
      <c r="AD21" s="167">
        <f t="shared" si="11"/>
        <v>3.5877747014196806</v>
      </c>
      <c r="AE21" s="167">
        <f t="shared" si="12"/>
        <v>214.56686601840397</v>
      </c>
      <c r="AF21" s="299">
        <f t="shared" si="13"/>
        <v>11.014432455611406</v>
      </c>
      <c r="AG21" s="299">
        <f t="shared" si="14"/>
        <v>5.2449678360054312E-3</v>
      </c>
      <c r="AH21" s="300">
        <f t="shared" si="15"/>
        <v>5.0860294167325395E-4</v>
      </c>
      <c r="AI21" s="146"/>
      <c r="AJ21" s="303"/>
      <c r="AK21" s="179"/>
      <c r="AL21" s="168"/>
      <c r="AM21" s="302">
        <f t="shared" si="16"/>
        <v>0</v>
      </c>
      <c r="AN21" s="160">
        <f t="shared" si="17"/>
        <v>0</v>
      </c>
    </row>
    <row r="22" spans="1:40" s="12" customFormat="1" outlineLevel="1">
      <c r="A22" s="169" t="s">
        <v>327</v>
      </c>
      <c r="B22" s="156" t="s">
        <v>363</v>
      </c>
      <c r="C22" s="156" t="s">
        <v>401</v>
      </c>
      <c r="D22" s="156" t="s">
        <v>53</v>
      </c>
      <c r="E22" s="458" t="s">
        <v>54</v>
      </c>
      <c r="F22" s="284" t="s">
        <v>87</v>
      </c>
      <c r="G22" s="146"/>
      <c r="H22" s="293">
        <v>50028</v>
      </c>
      <c r="I22" s="158" t="s">
        <v>398</v>
      </c>
      <c r="J22" s="298">
        <v>29449</v>
      </c>
      <c r="K22" s="158" t="s">
        <v>398</v>
      </c>
      <c r="L22" s="160">
        <f t="shared" si="9"/>
        <v>1473.274572</v>
      </c>
      <c r="M22" s="167" t="s">
        <v>47</v>
      </c>
      <c r="N22" s="146"/>
      <c r="O22" s="162" t="s">
        <v>47</v>
      </c>
      <c r="P22" s="163">
        <f>+VLOOKUP($B$1&amp;" - "&amp;$D22,'Default Parameter'!$A$8:$M$25,4,FALSE)</f>
        <v>0.84388185654008396</v>
      </c>
      <c r="Q22" s="171">
        <f>+VLOOKUP($B$1&amp;" - "&amp;$D22,'Default Parameter'!$A$8:$M$25,3,FALSE)</f>
        <v>43</v>
      </c>
      <c r="R22" s="164" t="s">
        <v>52</v>
      </c>
      <c r="S22" s="146"/>
      <c r="T22" s="163">
        <f>+VLOOKUP($F22,'(Edited)Spec. Fuel Consumption '!$A$4:$J$163,9,FALSE)</f>
        <v>9.3282933477082004</v>
      </c>
      <c r="U22" s="163" t="str">
        <f>+VLOOKUP($F22,'(Edited)Spec. Fuel Consumption '!$A$4:$J$163,10,FALSE)</f>
        <v>Infras,2018</v>
      </c>
      <c r="V22" s="453">
        <f>+VLOOKUP($B$1&amp;" - "&amp;$D22,'Default Parameter'!$A$8:$M$25,5,FALSE)</f>
        <v>74100</v>
      </c>
      <c r="W22" s="168" t="s">
        <v>52</v>
      </c>
      <c r="X22" s="171">
        <f>+VLOOKUP($B$1&amp;" - "&amp;$D22,'Default Parameter'!$A$8:$M$25,8,FALSE)</f>
        <v>3.9</v>
      </c>
      <c r="Y22" s="304" t="str">
        <f>+"IPCC 2006 - "&amp;+VLOOKUP($B$1&amp;" - "&amp;$D22,'Default Parameter'!$A$8:$M$25,2,FALSE)</f>
        <v>IPCC 2006 - Gas/ Diesel Oil</v>
      </c>
      <c r="Z22" s="168">
        <f>+VLOOKUP($B$1&amp;" - "&amp;$D22,'Default Parameter'!$A$8:$M$25,11,FALSE)</f>
        <v>3.9</v>
      </c>
      <c r="AA22" s="164" t="str">
        <f>+"IPCC 2006 - "&amp;+VLOOKUP($B$1&amp;" - "&amp;$D22,'Default Parameter'!$A$8:$M$25,2,FALSE)</f>
        <v>IPCC 2006 - Gas/ Diesel Oil</v>
      </c>
      <c r="AB22" s="165"/>
      <c r="AC22" s="166">
        <f t="shared" si="10"/>
        <v>137.43137389335246</v>
      </c>
      <c r="AD22" s="167">
        <f t="shared" si="11"/>
        <v>115.9758429479767</v>
      </c>
      <c r="AE22" s="167">
        <f t="shared" si="12"/>
        <v>5909.5490774141554</v>
      </c>
      <c r="AF22" s="299">
        <f t="shared" si="13"/>
        <v>369.53382838513824</v>
      </c>
      <c r="AG22" s="299">
        <f t="shared" si="14"/>
        <v>1.9449148862375695E-2</v>
      </c>
      <c r="AH22" s="300">
        <f t="shared" si="15"/>
        <v>1.9449148862375695E-2</v>
      </c>
      <c r="AI22" s="146"/>
      <c r="AJ22" s="303"/>
      <c r="AK22" s="179"/>
      <c r="AL22" s="168"/>
      <c r="AM22" s="302">
        <f t="shared" si="16"/>
        <v>0</v>
      </c>
      <c r="AN22" s="160">
        <f t="shared" si="17"/>
        <v>0</v>
      </c>
    </row>
    <row r="23" spans="1:40" s="11" customFormat="1" ht="16.5" customHeight="1">
      <c r="A23" s="313" t="s">
        <v>82</v>
      </c>
      <c r="B23" s="145" t="s">
        <v>46</v>
      </c>
      <c r="C23" s="145" t="s">
        <v>46</v>
      </c>
      <c r="D23" s="145" t="s">
        <v>46</v>
      </c>
      <c r="E23" s="314" t="s">
        <v>46</v>
      </c>
      <c r="F23" s="457" t="s">
        <v>46</v>
      </c>
      <c r="G23" s="172"/>
      <c r="H23" s="294">
        <f>+SUM(H24:H24)</f>
        <v>10040.9999982394</v>
      </c>
      <c r="I23" s="173"/>
      <c r="J23" s="483">
        <v>33731</v>
      </c>
      <c r="K23" s="174"/>
      <c r="L23" s="175">
        <f>+SUM(L24:L24)</f>
        <v>439.94641492285933</v>
      </c>
      <c r="M23" s="176" t="s">
        <v>47</v>
      </c>
      <c r="N23" s="172"/>
      <c r="O23" s="177" t="s">
        <v>47</v>
      </c>
      <c r="P23" s="313"/>
      <c r="Q23" s="145"/>
      <c r="R23" s="314"/>
      <c r="S23" s="172"/>
      <c r="T23" s="313"/>
      <c r="U23" s="145"/>
      <c r="V23" s="454"/>
      <c r="W23" s="145"/>
      <c r="X23" s="145"/>
      <c r="Y23" s="305"/>
      <c r="Z23" s="145"/>
      <c r="AA23" s="314"/>
      <c r="AB23" s="155"/>
      <c r="AC23" s="313"/>
      <c r="AD23" s="145"/>
      <c r="AE23" s="145"/>
      <c r="AF23" s="301"/>
      <c r="AG23" s="301"/>
      <c r="AH23" s="317"/>
      <c r="AI23" s="172"/>
      <c r="AJ23" s="321"/>
      <c r="AK23" s="145"/>
      <c r="AL23" s="145"/>
      <c r="AM23" s="301"/>
      <c r="AN23" s="314"/>
    </row>
    <row r="24" spans="1:40" s="12" customFormat="1" outlineLevel="1">
      <c r="A24" s="169" t="s">
        <v>82</v>
      </c>
      <c r="B24" s="156" t="s">
        <v>363</v>
      </c>
      <c r="C24" s="156" t="s">
        <v>403</v>
      </c>
      <c r="D24" s="178" t="s">
        <v>53</v>
      </c>
      <c r="E24" s="458" t="s">
        <v>54</v>
      </c>
      <c r="F24" s="170" t="s">
        <v>84</v>
      </c>
      <c r="G24" s="146"/>
      <c r="H24" s="293">
        <v>10040.9999982394</v>
      </c>
      <c r="I24" s="158" t="s">
        <v>398</v>
      </c>
      <c r="J24" s="298">
        <v>43815</v>
      </c>
      <c r="K24" s="159" t="s">
        <v>398</v>
      </c>
      <c r="L24" s="160">
        <f>H24*J24/10^6</f>
        <v>439.94641492285933</v>
      </c>
      <c r="M24" s="167" t="s">
        <v>47</v>
      </c>
      <c r="N24" s="146"/>
      <c r="O24" s="162" t="s">
        <v>47</v>
      </c>
      <c r="P24" s="163">
        <f>+VLOOKUP($B$1&amp;" - "&amp;$D24,'Default Parameter'!$A$8:$M$25,4,FALSE)</f>
        <v>0.84388185654008396</v>
      </c>
      <c r="Q24" s="171">
        <f>+VLOOKUP($B$1&amp;" - "&amp;$D24,'Default Parameter'!$A$8:$M$25,3,FALSE)</f>
        <v>43</v>
      </c>
      <c r="R24" s="164" t="s">
        <v>52</v>
      </c>
      <c r="S24" s="146"/>
      <c r="T24" s="163">
        <f>+VLOOKUP($F24,'(Edited)Spec. Fuel Consumption '!$A$4:$J$163,9,FALSE)</f>
        <v>31.472793042125403</v>
      </c>
      <c r="U24" s="163" t="str">
        <f>+VLOOKUP($F24,'(Edited)Spec. Fuel Consumption '!$A$4:$J$163,10,FALSE)</f>
        <v>Infras,2018</v>
      </c>
      <c r="V24" s="453">
        <f>+VLOOKUP($B$1&amp;" - "&amp;$D24,'Default Parameter'!$A$8:$M$25,5,FALSE)</f>
        <v>74100</v>
      </c>
      <c r="W24" s="168" t="s">
        <v>52</v>
      </c>
      <c r="X24" s="171">
        <f>+VLOOKUP($B$1&amp;" - "&amp;$D24,'Default Parameter'!$A$8:$M$25,8,FALSE)</f>
        <v>3.9</v>
      </c>
      <c r="Y24" s="304" t="str">
        <f>+"IPCC 2006 - "&amp;+VLOOKUP($B$1&amp;" - "&amp;$D24,'Default Parameter'!$A$8:$M$25,2,FALSE)</f>
        <v>IPCC 2006 - Gas/ Diesel Oil</v>
      </c>
      <c r="Z24" s="168">
        <f>+VLOOKUP($B$1&amp;" - "&amp;$D24,'Default Parameter'!$A$8:$M$25,11,FALSE)</f>
        <v>3.9</v>
      </c>
      <c r="AA24" s="164" t="str">
        <f>+"IPCC 2006 - "&amp;+VLOOKUP($B$1&amp;" - "&amp;$D24,'Default Parameter'!$A$8:$M$25,2,FALSE)</f>
        <v>IPCC 2006 - Gas/ Diesel Oil</v>
      </c>
      <c r="AB24" s="165"/>
      <c r="AC24" s="166">
        <f>IFERROR(L24*T24/10^2,0)</f>
        <v>138.46342466492183</v>
      </c>
      <c r="AD24" s="167">
        <f>+AC24*P24</f>
        <v>116.84677186913228</v>
      </c>
      <c r="AE24" s="167">
        <f>+AC24*Q24</f>
        <v>5953.9272605916385</v>
      </c>
      <c r="AF24" s="299">
        <f>+$AD24*$Q24*V24/10^6</f>
        <v>372.30886920661618</v>
      </c>
      <c r="AG24" s="299">
        <f>+$AD24*$Q24*X24/10^6</f>
        <v>1.9595203642453481E-2</v>
      </c>
      <c r="AH24" s="300">
        <f>+$AD24*$Q24*Z24/10^6</f>
        <v>1.9595203642453481E-2</v>
      </c>
      <c r="AI24" s="146"/>
      <c r="AJ24" s="303"/>
      <c r="AK24" s="179"/>
      <c r="AL24" s="168"/>
      <c r="AM24" s="302">
        <f>+$L24*AJ24</f>
        <v>0</v>
      </c>
      <c r="AN24" s="160">
        <f>+$L24*AK24</f>
        <v>0</v>
      </c>
    </row>
    <row r="25" spans="1:40" s="11" customFormat="1" ht="16.5" customHeight="1">
      <c r="A25" s="313" t="s">
        <v>85</v>
      </c>
      <c r="B25" s="145" t="s">
        <v>46</v>
      </c>
      <c r="C25" s="145" t="s">
        <v>46</v>
      </c>
      <c r="D25" s="145" t="s">
        <v>46</v>
      </c>
      <c r="E25" s="314" t="s">
        <v>46</v>
      </c>
      <c r="F25" s="457" t="s">
        <v>46</v>
      </c>
      <c r="G25" s="172"/>
      <c r="H25" s="294">
        <f>+SUM(H26:H33)</f>
        <v>73276.346164327508</v>
      </c>
      <c r="I25" s="173"/>
      <c r="J25" s="483">
        <f>+L25/H25*10^6</f>
        <v>49849.206774592923</v>
      </c>
      <c r="K25" s="180"/>
      <c r="L25" s="175">
        <f>+SUM(L26:L33)</f>
        <v>3652.7677316322111</v>
      </c>
      <c r="M25" s="176" t="s">
        <v>47</v>
      </c>
      <c r="N25" s="172"/>
      <c r="O25" s="177" t="s">
        <v>47</v>
      </c>
      <c r="P25" s="313"/>
      <c r="Q25" s="145"/>
      <c r="R25" s="314"/>
      <c r="S25" s="172"/>
      <c r="T25" s="313"/>
      <c r="U25" s="145"/>
      <c r="V25" s="454"/>
      <c r="W25" s="145"/>
      <c r="X25" s="145"/>
      <c r="Y25" s="305"/>
      <c r="Z25" s="145"/>
      <c r="AA25" s="314"/>
      <c r="AB25" s="155"/>
      <c r="AC25" s="313"/>
      <c r="AD25" s="145"/>
      <c r="AE25" s="145"/>
      <c r="AF25" s="301"/>
      <c r="AG25" s="301"/>
      <c r="AH25" s="317"/>
      <c r="AI25" s="172"/>
      <c r="AJ25" s="321"/>
      <c r="AK25" s="145"/>
      <c r="AL25" s="145"/>
      <c r="AM25" s="301"/>
      <c r="AN25" s="314"/>
    </row>
    <row r="26" spans="1:40" s="12" customFormat="1" outlineLevel="1">
      <c r="A26" s="169" t="s">
        <v>328</v>
      </c>
      <c r="B26" s="156" t="s">
        <v>207</v>
      </c>
      <c r="C26" s="156" t="s">
        <v>404</v>
      </c>
      <c r="D26" s="178" t="s">
        <v>53</v>
      </c>
      <c r="E26" s="458" t="s">
        <v>54</v>
      </c>
      <c r="F26" s="170" t="s">
        <v>88</v>
      </c>
      <c r="G26" s="146"/>
      <c r="H26" s="293">
        <v>12448.3967494482</v>
      </c>
      <c r="I26" s="158" t="s">
        <v>398</v>
      </c>
      <c r="J26" s="298">
        <v>48383</v>
      </c>
      <c r="K26" s="158" t="s">
        <v>398</v>
      </c>
      <c r="L26" s="160">
        <f t="shared" ref="L26:L33" si="18">H26*J26/1000000</f>
        <v>602.2907799285523</v>
      </c>
      <c r="M26" s="167" t="s">
        <v>47</v>
      </c>
      <c r="N26" s="146"/>
      <c r="O26" s="162" t="s">
        <v>47</v>
      </c>
      <c r="P26" s="163">
        <f>+VLOOKUP($B$1&amp;" - "&amp;$D26,'Default Parameter'!$A$8:$M$25,4,FALSE)</f>
        <v>0.84388185654008396</v>
      </c>
      <c r="Q26" s="171">
        <f>+VLOOKUP($B$1&amp;" - "&amp;$D26,'Default Parameter'!$A$8:$M$25,3,FALSE)</f>
        <v>43</v>
      </c>
      <c r="R26" s="164" t="s">
        <v>52</v>
      </c>
      <c r="S26" s="146"/>
      <c r="T26" s="163">
        <f>+VLOOKUP($F26,'(Edited)Spec. Fuel Consumption '!$A$4:$J$163,9,FALSE)</f>
        <v>13.147411562137476</v>
      </c>
      <c r="U26" s="163" t="str">
        <f>+VLOOKUP($F26,'(Edited)Spec. Fuel Consumption '!$A$4:$J$163,10,FALSE)</f>
        <v>Infras,2018</v>
      </c>
      <c r="V26" s="453">
        <f>+VLOOKUP($B$1&amp;" - "&amp;$D26,'Default Parameter'!$A$8:$M$25,5,FALSE)</f>
        <v>74100</v>
      </c>
      <c r="W26" s="168" t="s">
        <v>52</v>
      </c>
      <c r="X26" s="171">
        <f>+VLOOKUP($B$1&amp;" - "&amp;$D26,'Default Parameter'!$A$8:$M$25,8,FALSE)</f>
        <v>3.9</v>
      </c>
      <c r="Y26" s="304" t="str">
        <f>+"IPCC 2006 - "&amp;+VLOOKUP($B$1&amp;" - "&amp;$D26,'Default Parameter'!$A$8:$M$25,2,FALSE)</f>
        <v>IPCC 2006 - Gas/ Diesel Oil</v>
      </c>
      <c r="Z26" s="168">
        <f>+VLOOKUP($B$1&amp;" - "&amp;$D26,'Default Parameter'!$A$8:$M$25,11,FALSE)</f>
        <v>3.9</v>
      </c>
      <c r="AA26" s="164" t="str">
        <f>+"IPCC 2006 - "&amp;+VLOOKUP($B$1&amp;" - "&amp;$D26,'Default Parameter'!$A$8:$M$25,2,FALSE)</f>
        <v>IPCC 2006 - Gas/ Diesel Oil</v>
      </c>
      <c r="AB26" s="165"/>
      <c r="AC26" s="166">
        <f t="shared" ref="AC26:AC33" si="19">IFERROR(L26*T26/10^2,0)</f>
        <v>79.185647638014458</v>
      </c>
      <c r="AD26" s="167">
        <f t="shared" ref="AD26:AD33" si="20">+AC26*P26</f>
        <v>66.823331340096559</v>
      </c>
      <c r="AE26" s="167">
        <f t="shared" ref="AE26:AE33" si="21">+AC26*Q26</f>
        <v>3404.9828484346217</v>
      </c>
      <c r="AF26" s="299">
        <f t="shared" ref="AF26:AF33" si="22">+$AD26*$Q26*V26/10^6</f>
        <v>212.91918064894966</v>
      </c>
      <c r="AG26" s="299">
        <f t="shared" ref="AG26:AG33" si="23">+$AD26*$Q26*X26/10^6</f>
        <v>1.1206272665734191E-2</v>
      </c>
      <c r="AH26" s="300">
        <f t="shared" ref="AH26:AH33" si="24">+$AD26*$Q26*Z26/10^6</f>
        <v>1.1206272665734191E-2</v>
      </c>
      <c r="AI26" s="146"/>
      <c r="AJ26" s="322"/>
      <c r="AK26" s="168"/>
      <c r="AL26" s="168"/>
      <c r="AM26" s="302">
        <f t="shared" ref="AM26:AN32" si="25">+$L26*AJ26</f>
        <v>0</v>
      </c>
      <c r="AN26" s="160">
        <f t="shared" si="25"/>
        <v>0</v>
      </c>
    </row>
    <row r="27" spans="1:40" s="12" customFormat="1" outlineLevel="1">
      <c r="A27" s="169" t="s">
        <v>328</v>
      </c>
      <c r="B27" s="156" t="s">
        <v>207</v>
      </c>
      <c r="C27" s="156" t="s">
        <v>405</v>
      </c>
      <c r="D27" s="178" t="s">
        <v>53</v>
      </c>
      <c r="E27" s="458" t="s">
        <v>54</v>
      </c>
      <c r="F27" s="170" t="s">
        <v>89</v>
      </c>
      <c r="G27" s="146"/>
      <c r="H27" s="293">
        <v>28895.9999022505</v>
      </c>
      <c r="I27" s="158" t="s">
        <v>398</v>
      </c>
      <c r="J27" s="298">
        <v>35823.496448204911</v>
      </c>
      <c r="K27" s="158" t="s">
        <v>398</v>
      </c>
      <c r="L27" s="160">
        <f t="shared" si="18"/>
        <v>1035.1557498656002</v>
      </c>
      <c r="M27" s="167"/>
      <c r="N27" s="146"/>
      <c r="O27" s="162" t="s">
        <v>47</v>
      </c>
      <c r="P27" s="163">
        <f>+VLOOKUP($B$1&amp;" - "&amp;$D27,'Default Parameter'!$A$8:$M$25,4,FALSE)</f>
        <v>0.84388185654008396</v>
      </c>
      <c r="Q27" s="171">
        <f>+VLOOKUP($B$1&amp;" - "&amp;$D27,'Default Parameter'!$A$8:$M$25,3,FALSE)</f>
        <v>43</v>
      </c>
      <c r="R27" s="164" t="s">
        <v>52</v>
      </c>
      <c r="S27" s="146"/>
      <c r="T27" s="163">
        <f>+VLOOKUP($F27,'(Edited)Spec. Fuel Consumption '!$A$4:$J$163,9,FALSE)</f>
        <v>19.892987701977304</v>
      </c>
      <c r="U27" s="163" t="str">
        <f>+VLOOKUP($F27,'(Edited)Spec. Fuel Consumption '!$A$4:$J$163,10,FALSE)</f>
        <v>Infras,2018</v>
      </c>
      <c r="V27" s="453">
        <f>+VLOOKUP($B$1&amp;" - "&amp;$D27,'Default Parameter'!$A$8:$M$25,5,FALSE)</f>
        <v>74100</v>
      </c>
      <c r="W27" s="168" t="s">
        <v>52</v>
      </c>
      <c r="X27" s="171">
        <f>+VLOOKUP($B$1&amp;" - "&amp;$D27,'Default Parameter'!$A$8:$M$25,8,FALSE)</f>
        <v>3.9</v>
      </c>
      <c r="Y27" s="304" t="str">
        <f>+"IPCC 2006 - "&amp;+VLOOKUP($B$1&amp;" - "&amp;$D27,'Default Parameter'!$A$8:$M$25,2,FALSE)</f>
        <v>IPCC 2006 - Gas/ Diesel Oil</v>
      </c>
      <c r="Z27" s="168">
        <f>+VLOOKUP($B$1&amp;" - "&amp;$D27,'Default Parameter'!$A$8:$M$25,11,FALSE)</f>
        <v>3.9</v>
      </c>
      <c r="AA27" s="164" t="str">
        <f>+"IPCC 2006 - "&amp;+VLOOKUP($B$1&amp;" - "&amp;$D27,'Default Parameter'!$A$8:$M$25,2,FALSE)</f>
        <v>IPCC 2006 - Gas/ Diesel Oil</v>
      </c>
      <c r="AB27" s="165"/>
      <c r="AC27" s="166">
        <f>IFERROR(L27*T27/10^2,0)</f>
        <v>205.92340601707483</v>
      </c>
      <c r="AD27" s="167">
        <f>+AC27*P27</f>
        <v>173.77502617474661</v>
      </c>
      <c r="AE27" s="167">
        <f>+AC27*Q27</f>
        <v>8854.7064587342174</v>
      </c>
      <c r="AF27" s="299">
        <f>+$AD27*$Q27*V27/10^6</f>
        <v>553.69936590059501</v>
      </c>
      <c r="AG27" s="299">
        <f>+$AD27*$Q27*X27/10^6</f>
        <v>2.9142071889505006E-2</v>
      </c>
      <c r="AH27" s="300">
        <f>+$AD27*$Q27*Z27/10^6</f>
        <v>2.9142071889505006E-2</v>
      </c>
      <c r="AI27" s="146"/>
      <c r="AJ27" s="322"/>
      <c r="AK27" s="168"/>
      <c r="AL27" s="168"/>
      <c r="AM27" s="302">
        <f t="shared" ref="AM27:AN29" si="26">+$L27*AJ27</f>
        <v>0</v>
      </c>
      <c r="AN27" s="160">
        <f t="shared" si="26"/>
        <v>0</v>
      </c>
    </row>
    <row r="28" spans="1:40" s="12" customFormat="1" outlineLevel="1">
      <c r="A28" s="169" t="s">
        <v>328</v>
      </c>
      <c r="B28" s="156" t="s">
        <v>207</v>
      </c>
      <c r="C28" s="156" t="s">
        <v>406</v>
      </c>
      <c r="D28" s="178" t="s">
        <v>53</v>
      </c>
      <c r="E28" s="458" t="s">
        <v>54</v>
      </c>
      <c r="F28" s="170" t="s">
        <v>448</v>
      </c>
      <c r="G28" s="146"/>
      <c r="H28" s="293">
        <v>502.79040116401302</v>
      </c>
      <c r="I28" s="158" t="s">
        <v>398</v>
      </c>
      <c r="J28" s="298">
        <v>35823.496441538315</v>
      </c>
      <c r="K28" s="158" t="s">
        <v>398</v>
      </c>
      <c r="L28" s="160">
        <f t="shared" si="18"/>
        <v>18.01171014693864</v>
      </c>
      <c r="M28" s="167" t="s">
        <v>47</v>
      </c>
      <c r="N28" s="146"/>
      <c r="O28" s="162" t="s">
        <v>47</v>
      </c>
      <c r="P28" s="163">
        <f>+VLOOKUP($B$1&amp;" - "&amp;$D28,'Default Parameter'!$A$8:$M$25,4,FALSE)</f>
        <v>0.84388185654008396</v>
      </c>
      <c r="Q28" s="171">
        <f>+VLOOKUP($B$1&amp;" - "&amp;$D28,'Default Parameter'!$A$8:$M$25,3,FALSE)</f>
        <v>43</v>
      </c>
      <c r="R28" s="164" t="s">
        <v>52</v>
      </c>
      <c r="S28" s="146"/>
      <c r="T28" s="163">
        <f>+VLOOKUP($F28,'(Edited)Spec. Fuel Consumption '!$A$4:$J$163,9,FALSE)</f>
        <v>21.68997684397555</v>
      </c>
      <c r="U28" s="163" t="str">
        <f>+VLOOKUP($F28,'(Edited)Spec. Fuel Consumption '!$A$4:$J$163,10,FALSE)</f>
        <v>Infras,2018</v>
      </c>
      <c r="V28" s="453">
        <f>+VLOOKUP($B$1&amp;" - "&amp;$D28,'Default Parameter'!$A$8:$M$25,5,FALSE)</f>
        <v>74100</v>
      </c>
      <c r="W28" s="168" t="s">
        <v>52</v>
      </c>
      <c r="X28" s="171">
        <f>+VLOOKUP($B$1&amp;" - "&amp;$D28,'Default Parameter'!$A$8:$M$25,8,FALSE)</f>
        <v>3.9</v>
      </c>
      <c r="Y28" s="304" t="str">
        <f>+"IPCC 2006 - "&amp;+VLOOKUP($B$1&amp;" - "&amp;$D28,'Default Parameter'!$A$8:$M$25,2,FALSE)</f>
        <v>IPCC 2006 - Gas/ Diesel Oil</v>
      </c>
      <c r="Z28" s="168">
        <f>+VLOOKUP($B$1&amp;" - "&amp;$D28,'Default Parameter'!$A$8:$M$25,11,FALSE)</f>
        <v>3.9</v>
      </c>
      <c r="AA28" s="164" t="str">
        <f>+"IPCC 2006 - "&amp;+VLOOKUP($B$1&amp;" - "&amp;$D28,'Default Parameter'!$A$8:$M$25,2,FALSE)</f>
        <v>IPCC 2006 - Gas/ Diesel Oil</v>
      </c>
      <c r="AB28" s="165"/>
      <c r="AC28" s="166">
        <f>IFERROR(L28*T28/10^2,0)</f>
        <v>3.9067357600749859</v>
      </c>
      <c r="AD28" s="167">
        <f>+AC28*P28</f>
        <v>3.2968234262236153</v>
      </c>
      <c r="AE28" s="167">
        <f>+AC28*Q28</f>
        <v>167.9896376832244</v>
      </c>
      <c r="AF28" s="299">
        <f>+$AD28*$Q28*V28/10^6</f>
        <v>10.504668482976305</v>
      </c>
      <c r="AG28" s="299">
        <f>+$AD28*$Q28*X28/10^6</f>
        <v>5.5287728857770027E-4</v>
      </c>
      <c r="AH28" s="300">
        <f>+$AD28*$Q28*Z28/10^6</f>
        <v>5.5287728857770027E-4</v>
      </c>
      <c r="AI28" s="146"/>
      <c r="AJ28" s="322"/>
      <c r="AK28" s="168"/>
      <c r="AL28" s="168"/>
      <c r="AM28" s="302">
        <f t="shared" si="26"/>
        <v>0</v>
      </c>
      <c r="AN28" s="160">
        <f t="shared" si="26"/>
        <v>0</v>
      </c>
    </row>
    <row r="29" spans="1:40" s="12" customFormat="1" outlineLevel="1">
      <c r="A29" s="169" t="s">
        <v>328</v>
      </c>
      <c r="B29" s="156" t="s">
        <v>207</v>
      </c>
      <c r="C29" s="156" t="s">
        <v>407</v>
      </c>
      <c r="D29" s="178" t="s">
        <v>53</v>
      </c>
      <c r="E29" s="458" t="s">
        <v>54</v>
      </c>
      <c r="F29" s="170" t="s">
        <v>449</v>
      </c>
      <c r="G29" s="146"/>
      <c r="H29" s="293">
        <v>213.830400038975</v>
      </c>
      <c r="I29" s="158" t="s">
        <v>398</v>
      </c>
      <c r="J29" s="298">
        <v>25588.21174787085</v>
      </c>
      <c r="K29" s="158" t="s">
        <v>398</v>
      </c>
      <c r="L29" s="160">
        <f t="shared" si="18"/>
        <v>5.471537554329224</v>
      </c>
      <c r="M29" s="167"/>
      <c r="N29" s="146"/>
      <c r="O29" s="162"/>
      <c r="P29" s="163">
        <f>+VLOOKUP($B$1&amp;" - "&amp;$D29,'Default Parameter'!$A$8:$M$25,4,FALSE)</f>
        <v>0.84388185654008396</v>
      </c>
      <c r="Q29" s="171">
        <f>+VLOOKUP($B$1&amp;" - "&amp;$D29,'Default Parameter'!$A$8:$M$25,3,FALSE)</f>
        <v>43</v>
      </c>
      <c r="R29" s="164" t="s">
        <v>52</v>
      </c>
      <c r="S29" s="146"/>
      <c r="T29" s="163">
        <f>+VLOOKUP($F29,'(Edited)Spec. Fuel Consumption '!$A$4:$J$163,9,FALSE)</f>
        <v>26.340080307106955</v>
      </c>
      <c r="U29" s="163" t="str">
        <f>+VLOOKUP($F29,'(Edited)Spec. Fuel Consumption '!$A$4:$J$163,10,FALSE)</f>
        <v>Infras,2018</v>
      </c>
      <c r="V29" s="453">
        <f>+VLOOKUP($B$1&amp;" - "&amp;$D29,'Default Parameter'!$A$8:$M$25,5,FALSE)</f>
        <v>74100</v>
      </c>
      <c r="W29" s="168" t="s">
        <v>52</v>
      </c>
      <c r="X29" s="171">
        <f>+VLOOKUP($B$1&amp;" - "&amp;$D29,'Default Parameter'!$A$8:$M$25,8,FALSE)</f>
        <v>3.9</v>
      </c>
      <c r="Y29" s="304" t="str">
        <f>+"IPCC 2006 - "&amp;+VLOOKUP($B$1&amp;" - "&amp;$D29,'Default Parameter'!$A$8:$M$25,2,FALSE)</f>
        <v>IPCC 2006 - Gas/ Diesel Oil</v>
      </c>
      <c r="Z29" s="168">
        <f>+VLOOKUP($B$1&amp;" - "&amp;$D29,'Default Parameter'!$A$8:$M$25,11,FALSE)</f>
        <v>3.9</v>
      </c>
      <c r="AA29" s="164" t="str">
        <f>+"IPCC 2006 - "&amp;+VLOOKUP($B$1&amp;" - "&amp;$D29,'Default Parameter'!$A$8:$M$25,2,FALSE)</f>
        <v>IPCC 2006 - Gas/ Diesel Oil</v>
      </c>
      <c r="AB29" s="165"/>
      <c r="AC29" s="166">
        <f>IFERROR(L29*T29/10^2,0)</f>
        <v>1.4412073858438332</v>
      </c>
      <c r="AD29" s="167">
        <f>+AC29*P29</f>
        <v>1.2162087644251751</v>
      </c>
      <c r="AE29" s="167">
        <f>+AC29*Q29</f>
        <v>61.971917591284829</v>
      </c>
      <c r="AF29" s="299">
        <f>+$AD29*$Q29*V29/10^6</f>
        <v>3.8752059860879355</v>
      </c>
      <c r="AG29" s="299">
        <f>+$AD29*$Q29*X29/10^6</f>
        <v>2.0395820979410186E-4</v>
      </c>
      <c r="AH29" s="300">
        <f>+$AD29*$Q29*Z29/10^6</f>
        <v>2.0395820979410186E-4</v>
      </c>
      <c r="AI29" s="146"/>
      <c r="AJ29" s="322"/>
      <c r="AK29" s="168"/>
      <c r="AL29" s="168"/>
      <c r="AM29" s="302">
        <f t="shared" si="26"/>
        <v>0</v>
      </c>
      <c r="AN29" s="160">
        <f t="shared" si="26"/>
        <v>0</v>
      </c>
    </row>
    <row r="30" spans="1:40" s="12" customFormat="1" outlineLevel="1">
      <c r="A30" s="169" t="s">
        <v>328</v>
      </c>
      <c r="B30" s="156" t="s">
        <v>207</v>
      </c>
      <c r="C30" s="156" t="s">
        <v>408</v>
      </c>
      <c r="D30" s="178" t="s">
        <v>53</v>
      </c>
      <c r="E30" s="458" t="s">
        <v>54</v>
      </c>
      <c r="F30" s="170" t="s">
        <v>450</v>
      </c>
      <c r="G30" s="146"/>
      <c r="H30" s="293">
        <v>75.129600116085797</v>
      </c>
      <c r="I30" s="158" t="s">
        <v>398</v>
      </c>
      <c r="J30" s="298">
        <v>19830.864104290176</v>
      </c>
      <c r="K30" s="158" t="s">
        <v>398</v>
      </c>
      <c r="L30" s="160">
        <f t="shared" si="18"/>
        <v>1.489884890111761</v>
      </c>
      <c r="M30" s="167" t="s">
        <v>47</v>
      </c>
      <c r="N30" s="146"/>
      <c r="O30" s="162" t="s">
        <v>47</v>
      </c>
      <c r="P30" s="163">
        <f>+VLOOKUP($B$1&amp;" - "&amp;$D30,'Default Parameter'!$A$8:$M$25,4,FALSE)</f>
        <v>0.84388185654008396</v>
      </c>
      <c r="Q30" s="171">
        <f>+VLOOKUP($B$1&amp;" - "&amp;$D30,'Default Parameter'!$A$8:$M$25,3,FALSE)</f>
        <v>43</v>
      </c>
      <c r="R30" s="164" t="s">
        <v>52</v>
      </c>
      <c r="S30" s="146"/>
      <c r="T30" s="163">
        <f>+VLOOKUP($F30,'(Edited)Spec. Fuel Consumption '!$A$4:$J$163,9,FALSE)</f>
        <v>33.447202226294607</v>
      </c>
      <c r="U30" s="163" t="str">
        <f>+VLOOKUP($F30,'(Edited)Spec. Fuel Consumption '!$A$4:$J$163,10,FALSE)</f>
        <v>Infras,2018</v>
      </c>
      <c r="V30" s="453">
        <f>+VLOOKUP($B$1&amp;" - "&amp;$D30,'Default Parameter'!$A$8:$M$25,5,FALSE)</f>
        <v>74100</v>
      </c>
      <c r="W30" s="168" t="s">
        <v>52</v>
      </c>
      <c r="X30" s="171">
        <f>+VLOOKUP($B$1&amp;" - "&amp;$D30,'Default Parameter'!$A$8:$M$25,8,FALSE)</f>
        <v>3.9</v>
      </c>
      <c r="Y30" s="304" t="str">
        <f>+"IPCC 2006 - "&amp;+VLOOKUP($B$1&amp;" - "&amp;$D30,'Default Parameter'!$A$8:$M$25,2,FALSE)</f>
        <v>IPCC 2006 - Gas/ Diesel Oil</v>
      </c>
      <c r="Z30" s="168">
        <f>+VLOOKUP($B$1&amp;" - "&amp;$D30,'Default Parameter'!$A$8:$M$25,11,FALSE)</f>
        <v>3.9</v>
      </c>
      <c r="AA30" s="164" t="str">
        <f>+"IPCC 2006 - "&amp;+VLOOKUP($B$1&amp;" - "&amp;$D30,'Default Parameter'!$A$8:$M$25,2,FALSE)</f>
        <v>IPCC 2006 - Gas/ Diesel Oil</v>
      </c>
      <c r="AB30" s="165"/>
      <c r="AC30" s="166">
        <f t="shared" si="19"/>
        <v>0.49832481213468788</v>
      </c>
      <c r="AD30" s="167">
        <f t="shared" si="20"/>
        <v>0.42052726762420894</v>
      </c>
      <c r="AE30" s="167">
        <f t="shared" si="21"/>
        <v>21.42796692179158</v>
      </c>
      <c r="AF30" s="299">
        <f t="shared" si="22"/>
        <v>1.3399260328310172</v>
      </c>
      <c r="AG30" s="299">
        <f t="shared" si="23"/>
        <v>7.0522422780579846E-5</v>
      </c>
      <c r="AH30" s="300">
        <f t="shared" si="24"/>
        <v>7.0522422780579846E-5</v>
      </c>
      <c r="AI30" s="146"/>
      <c r="AJ30" s="322"/>
      <c r="AK30" s="168"/>
      <c r="AL30" s="168"/>
      <c r="AM30" s="302">
        <f t="shared" si="25"/>
        <v>0</v>
      </c>
      <c r="AN30" s="160">
        <f t="shared" si="25"/>
        <v>0</v>
      </c>
    </row>
    <row r="31" spans="1:40" s="12" customFormat="1" outlineLevel="1">
      <c r="A31" s="169" t="s">
        <v>328</v>
      </c>
      <c r="B31" s="156" t="s">
        <v>207</v>
      </c>
      <c r="C31" s="156" t="s">
        <v>409</v>
      </c>
      <c r="D31" s="178" t="s">
        <v>53</v>
      </c>
      <c r="E31" s="458" t="s">
        <v>54</v>
      </c>
      <c r="F31" s="170" t="s">
        <v>451</v>
      </c>
      <c r="G31" s="146"/>
      <c r="H31" s="293">
        <v>15250.358903437664</v>
      </c>
      <c r="I31" s="158" t="s">
        <v>430</v>
      </c>
      <c r="J31" s="298">
        <v>63205.000019242638</v>
      </c>
      <c r="K31" s="158" t="s">
        <v>398</v>
      </c>
      <c r="L31" s="160">
        <f t="shared" si="18"/>
        <v>963.8989347852347</v>
      </c>
      <c r="M31" s="167"/>
      <c r="N31" s="146"/>
      <c r="O31" s="162" t="s">
        <v>47</v>
      </c>
      <c r="P31" s="163">
        <f>+VLOOKUP($B$1&amp;" - "&amp;$D31,'Default Parameter'!$A$8:$M$25,4,FALSE)</f>
        <v>0.84388185654008396</v>
      </c>
      <c r="Q31" s="171">
        <f>+VLOOKUP($B$1&amp;" - "&amp;$D31,'Default Parameter'!$A$8:$M$25,3,FALSE)</f>
        <v>43</v>
      </c>
      <c r="R31" s="164" t="s">
        <v>52</v>
      </c>
      <c r="S31" s="146"/>
      <c r="T31" s="163">
        <f>+VLOOKUP($F31,'(Edited)Spec. Fuel Consumption '!$A$4:$J$163,9,FALSE)</f>
        <v>33.296768532153472</v>
      </c>
      <c r="U31" s="163" t="str">
        <f>+VLOOKUP($F31,'(Edited)Spec. Fuel Consumption '!$A$4:$J$163,10,FALSE)</f>
        <v>Infras,2018</v>
      </c>
      <c r="V31" s="453">
        <f>+VLOOKUP($B$1&amp;" - "&amp;$D31,'Default Parameter'!$A$8:$M$25,5,FALSE)</f>
        <v>74100</v>
      </c>
      <c r="W31" s="168" t="s">
        <v>52</v>
      </c>
      <c r="X31" s="171">
        <f>+VLOOKUP($B$1&amp;" - "&amp;$D31,'Default Parameter'!$A$8:$M$25,8,FALSE)</f>
        <v>3.9</v>
      </c>
      <c r="Y31" s="304" t="str">
        <f>+"IPCC 2006 - "&amp;+VLOOKUP($B$1&amp;" - "&amp;$D31,'Default Parameter'!$A$8:$M$25,2,FALSE)</f>
        <v>IPCC 2006 - Gas/ Diesel Oil</v>
      </c>
      <c r="Z31" s="168">
        <f>+VLOOKUP($B$1&amp;" - "&amp;$D31,'Default Parameter'!$A$8:$M$25,11,FALSE)</f>
        <v>3.9</v>
      </c>
      <c r="AA31" s="164" t="str">
        <f>+"IPCC 2006 - "&amp;+VLOOKUP($B$1&amp;" - "&amp;$D31,'Default Parameter'!$A$8:$M$25,2,FALSE)</f>
        <v>IPCC 2006 - Gas/ Diesel Oil</v>
      </c>
      <c r="AB31" s="165"/>
      <c r="AC31" s="166">
        <f t="shared" si="19"/>
        <v>320.94719719933255</v>
      </c>
      <c r="AD31" s="167">
        <f t="shared" si="20"/>
        <v>270.84151662390917</v>
      </c>
      <c r="AE31" s="167">
        <f t="shared" si="21"/>
        <v>13800.729479571299</v>
      </c>
      <c r="AF31" s="299">
        <f t="shared" si="22"/>
        <v>862.98232441876178</v>
      </c>
      <c r="AG31" s="299">
        <f t="shared" si="23"/>
        <v>4.542012233782957E-2</v>
      </c>
      <c r="AH31" s="300">
        <f t="shared" si="24"/>
        <v>4.542012233782957E-2</v>
      </c>
      <c r="AI31" s="146"/>
      <c r="AJ31" s="322"/>
      <c r="AK31" s="168"/>
      <c r="AL31" s="168"/>
      <c r="AM31" s="302">
        <f t="shared" si="25"/>
        <v>0</v>
      </c>
      <c r="AN31" s="160">
        <f t="shared" si="25"/>
        <v>0</v>
      </c>
    </row>
    <row r="32" spans="1:40" s="12" customFormat="1" outlineLevel="1">
      <c r="A32" s="169" t="s">
        <v>328</v>
      </c>
      <c r="B32" s="156" t="s">
        <v>207</v>
      </c>
      <c r="C32" s="156" t="s">
        <v>410</v>
      </c>
      <c r="D32" s="178" t="s">
        <v>53</v>
      </c>
      <c r="E32" s="458" t="s">
        <v>54</v>
      </c>
      <c r="F32" s="170" t="s">
        <v>461</v>
      </c>
      <c r="G32" s="146"/>
      <c r="H32" s="293">
        <v>245.54576752006824</v>
      </c>
      <c r="I32" s="158" t="s">
        <v>430</v>
      </c>
      <c r="J32" s="298">
        <v>63205.000019242638</v>
      </c>
      <c r="K32" s="158" t="s">
        <v>398</v>
      </c>
      <c r="L32" s="160">
        <f t="shared" si="18"/>
        <v>15.519720240830861</v>
      </c>
      <c r="M32" s="167" t="s">
        <v>47</v>
      </c>
      <c r="N32" s="146"/>
      <c r="O32" s="162" t="s">
        <v>47</v>
      </c>
      <c r="P32" s="163">
        <f>+VLOOKUP($B$1&amp;" - "&amp;$D32,'Default Parameter'!$A$8:$M$25,4,FALSE)</f>
        <v>0.84388185654008396</v>
      </c>
      <c r="Q32" s="171">
        <f>+VLOOKUP($B$1&amp;" - "&amp;$D32,'Default Parameter'!$A$8:$M$25,3,FALSE)</f>
        <v>43</v>
      </c>
      <c r="R32" s="164" t="s">
        <v>52</v>
      </c>
      <c r="S32" s="146"/>
      <c r="T32" s="163">
        <f>+VLOOKUP($F32,'(Edited)Spec. Fuel Consumption '!$A$4:$J$163,9,FALSE)</f>
        <v>35.328671498464004</v>
      </c>
      <c r="U32" s="163" t="str">
        <f>+VLOOKUP($F32,'(Edited)Spec. Fuel Consumption '!$A$4:$J$163,10,FALSE)</f>
        <v>Infras,2018</v>
      </c>
      <c r="V32" s="453">
        <f>+VLOOKUP($B$1&amp;" - "&amp;$D32,'Default Parameter'!$A$8:$M$25,5,FALSE)</f>
        <v>74100</v>
      </c>
      <c r="W32" s="168" t="s">
        <v>52</v>
      </c>
      <c r="X32" s="171">
        <f>+VLOOKUP($B$1&amp;" - "&amp;$D32,'Default Parameter'!$A$8:$M$25,8,FALSE)</f>
        <v>3.9</v>
      </c>
      <c r="Y32" s="304" t="str">
        <f>+"IPCC 2006 - "&amp;+VLOOKUP($B$1&amp;" - "&amp;$D32,'Default Parameter'!$A$8:$M$25,2,FALSE)</f>
        <v>IPCC 2006 - Gas/ Diesel Oil</v>
      </c>
      <c r="Z32" s="168">
        <f>+VLOOKUP($B$1&amp;" - "&amp;$D32,'Default Parameter'!$A$8:$M$25,11,FALSE)</f>
        <v>3.9</v>
      </c>
      <c r="AA32" s="164" t="str">
        <f>+"IPCC 2006 - "&amp;+VLOOKUP($B$1&amp;" - "&amp;$D32,'Default Parameter'!$A$8:$M$25,2,FALSE)</f>
        <v>IPCC 2006 - Gas/ Diesel Oil</v>
      </c>
      <c r="AB32" s="165"/>
      <c r="AC32" s="166">
        <f t="shared" si="19"/>
        <v>5.4829109813637613</v>
      </c>
      <c r="AD32" s="167">
        <f t="shared" si="20"/>
        <v>4.6269290981972642</v>
      </c>
      <c r="AE32" s="167">
        <f t="shared" si="21"/>
        <v>235.76517219864175</v>
      </c>
      <c r="AF32" s="299">
        <f t="shared" si="22"/>
        <v>14.742784185585943</v>
      </c>
      <c r="AG32" s="299">
        <f t="shared" si="23"/>
        <v>7.759360097676812E-4</v>
      </c>
      <c r="AH32" s="300">
        <f t="shared" si="24"/>
        <v>7.759360097676812E-4</v>
      </c>
      <c r="AI32" s="146"/>
      <c r="AJ32" s="322"/>
      <c r="AK32" s="168"/>
      <c r="AL32" s="168"/>
      <c r="AM32" s="302">
        <f t="shared" si="25"/>
        <v>0</v>
      </c>
      <c r="AN32" s="160">
        <f t="shared" si="25"/>
        <v>0</v>
      </c>
    </row>
    <row r="33" spans="1:40" s="12" customFormat="1" outlineLevel="1">
      <c r="A33" s="169" t="s">
        <v>328</v>
      </c>
      <c r="B33" s="156" t="s">
        <v>207</v>
      </c>
      <c r="C33" s="156" t="s">
        <v>411</v>
      </c>
      <c r="D33" s="178" t="s">
        <v>53</v>
      </c>
      <c r="E33" s="458" t="s">
        <v>54</v>
      </c>
      <c r="F33" s="170" t="s">
        <v>460</v>
      </c>
      <c r="G33" s="146"/>
      <c r="H33" s="293">
        <v>15644.294440352</v>
      </c>
      <c r="I33" s="158" t="s">
        <v>398</v>
      </c>
      <c r="J33" s="298">
        <v>64619.68726522303</v>
      </c>
      <c r="K33" s="158" t="s">
        <v>398</v>
      </c>
      <c r="L33" s="160">
        <f t="shared" si="18"/>
        <v>1010.9294142206136</v>
      </c>
      <c r="M33" s="167"/>
      <c r="N33" s="146"/>
      <c r="O33" s="162"/>
      <c r="P33" s="163">
        <f>+VLOOKUP($B$1&amp;" - "&amp;$D33,'Default Parameter'!$A$8:$M$25,4,FALSE)</f>
        <v>0.84388185654008396</v>
      </c>
      <c r="Q33" s="171">
        <f>+VLOOKUP($B$1&amp;" - "&amp;$D33,'Default Parameter'!$A$8:$M$25,3,FALSE)</f>
        <v>43</v>
      </c>
      <c r="R33" s="164" t="s">
        <v>52</v>
      </c>
      <c r="S33" s="146"/>
      <c r="T33" s="163">
        <f>+VLOOKUP($F33,'(Edited)Spec. Fuel Consumption '!$A$4:$J$163,9,FALSE)</f>
        <v>41.04115290356016</v>
      </c>
      <c r="U33" s="163" t="str">
        <f>+VLOOKUP($F33,'(Edited)Spec. Fuel Consumption '!$A$4:$J$163,10,FALSE)</f>
        <v>Infras,2018</v>
      </c>
      <c r="V33" s="453">
        <f>+VLOOKUP($B$1&amp;" - "&amp;$D33,'Default Parameter'!$A$8:$M$25,5,FALSE)</f>
        <v>74100</v>
      </c>
      <c r="W33" s="168" t="s">
        <v>52</v>
      </c>
      <c r="X33" s="171">
        <f>+VLOOKUP($B$1&amp;" - "&amp;$D33,'Default Parameter'!$A$8:$M$25,8,FALSE)</f>
        <v>3.9</v>
      </c>
      <c r="Y33" s="304" t="str">
        <f>+"IPCC 2006 - "&amp;+VLOOKUP($B$1&amp;" - "&amp;$D33,'Default Parameter'!$A$8:$M$25,2,FALSE)</f>
        <v>IPCC 2006 - Gas/ Diesel Oil</v>
      </c>
      <c r="Z33" s="168">
        <f>+VLOOKUP($B$1&amp;" - "&amp;$D33,'Default Parameter'!$A$8:$M$25,11,FALSE)</f>
        <v>3.9</v>
      </c>
      <c r="AA33" s="164" t="str">
        <f>+"IPCC 2006 - "&amp;+VLOOKUP($B$1&amp;" - "&amp;$D33,'Default Parameter'!$A$8:$M$25,2,FALSE)</f>
        <v>IPCC 2006 - Gas/ Diesel Oil</v>
      </c>
      <c r="AB33" s="165"/>
      <c r="AC33" s="166">
        <f t="shared" si="19"/>
        <v>414.89708663734712</v>
      </c>
      <c r="AD33" s="167">
        <f t="shared" si="20"/>
        <v>350.12412374459655</v>
      </c>
      <c r="AE33" s="167">
        <f t="shared" si="21"/>
        <v>17840.574725405924</v>
      </c>
      <c r="AF33" s="299">
        <f t="shared" si="22"/>
        <v>1115.6004954874079</v>
      </c>
      <c r="AG33" s="299">
        <f t="shared" si="23"/>
        <v>5.8715815551968836E-2</v>
      </c>
      <c r="AH33" s="300">
        <f t="shared" si="24"/>
        <v>5.8715815551968836E-2</v>
      </c>
      <c r="AI33" s="146"/>
      <c r="AJ33" s="322"/>
      <c r="AK33" s="168"/>
      <c r="AL33" s="168"/>
      <c r="AM33" s="302">
        <f>+$L33*AJ33</f>
        <v>0</v>
      </c>
      <c r="AN33" s="160">
        <f>+$L33*AK33</f>
        <v>0</v>
      </c>
    </row>
    <row r="34" spans="1:40" s="11" customFormat="1">
      <c r="A34" s="313" t="s">
        <v>90</v>
      </c>
      <c r="B34" s="145" t="s">
        <v>46</v>
      </c>
      <c r="C34" s="145" t="s">
        <v>46</v>
      </c>
      <c r="D34" s="145" t="s">
        <v>46</v>
      </c>
      <c r="E34" s="314" t="s">
        <v>46</v>
      </c>
      <c r="F34" s="457"/>
      <c r="G34" s="146"/>
      <c r="H34" s="295">
        <f>+SUM(H35:H37)</f>
        <v>539767.9995584162</v>
      </c>
      <c r="I34" s="145"/>
      <c r="J34" s="483">
        <f>+L34/H34*10^6</f>
        <v>17807.000000872667</v>
      </c>
      <c r="K34" s="145"/>
      <c r="L34" s="175">
        <f>+SUM(L35:L37)</f>
        <v>9611.6487686077544</v>
      </c>
      <c r="M34" s="181" t="s">
        <v>47</v>
      </c>
      <c r="N34" s="146"/>
      <c r="O34" s="151" t="s">
        <v>47</v>
      </c>
      <c r="P34" s="313"/>
      <c r="Q34" s="145"/>
      <c r="R34" s="314"/>
      <c r="S34" s="146"/>
      <c r="T34" s="313"/>
      <c r="U34" s="145"/>
      <c r="V34" s="454"/>
      <c r="W34" s="145"/>
      <c r="X34" s="145"/>
      <c r="Y34" s="305"/>
      <c r="Z34" s="145"/>
      <c r="AA34" s="314"/>
      <c r="AB34" s="155"/>
      <c r="AC34" s="313"/>
      <c r="AD34" s="145"/>
      <c r="AE34" s="145"/>
      <c r="AF34" s="301"/>
      <c r="AG34" s="301"/>
      <c r="AH34" s="317"/>
      <c r="AI34" s="146"/>
      <c r="AJ34" s="321"/>
      <c r="AK34" s="145"/>
      <c r="AL34" s="145"/>
      <c r="AM34" s="301"/>
      <c r="AN34" s="314"/>
    </row>
    <row r="35" spans="1:40" s="12" customFormat="1" outlineLevel="1">
      <c r="A35" s="169" t="s">
        <v>329</v>
      </c>
      <c r="B35" s="156" t="s">
        <v>363</v>
      </c>
      <c r="C35" s="156" t="s">
        <v>92</v>
      </c>
      <c r="D35" s="178" t="s">
        <v>91</v>
      </c>
      <c r="E35" s="458" t="s">
        <v>54</v>
      </c>
      <c r="F35" s="170" t="s">
        <v>93</v>
      </c>
      <c r="G35" s="146"/>
      <c r="H35" s="293">
        <v>343655.07974701602</v>
      </c>
      <c r="I35" s="158" t="s">
        <v>398</v>
      </c>
      <c r="J35" s="298">
        <v>17807.000000872664</v>
      </c>
      <c r="K35" s="158" t="s">
        <v>398</v>
      </c>
      <c r="L35" s="160">
        <f>H35*J35/1000000</f>
        <v>6119.4660053550097</v>
      </c>
      <c r="M35" s="167" t="s">
        <v>47</v>
      </c>
      <c r="N35" s="146"/>
      <c r="O35" s="162" t="s">
        <v>47</v>
      </c>
      <c r="P35" s="163">
        <f>+VLOOKUP($B$1&amp;" - "&amp;$D35,'Default Parameter'!$A$8:$M$25,4,FALSE)</f>
        <v>0.7407407407407407</v>
      </c>
      <c r="Q35" s="171">
        <f>+VLOOKUP($B$1&amp;" - "&amp;$D35,'Default Parameter'!$A$8:$M$25,3,FALSE)</f>
        <v>44.3</v>
      </c>
      <c r="R35" s="164" t="s">
        <v>52</v>
      </c>
      <c r="S35" s="146"/>
      <c r="T35" s="163">
        <f>+VLOOKUP($F35,'(Edited)Spec. Fuel Consumption '!$A$4:$J$163,9,FALSE)</f>
        <v>3.2234487182264586</v>
      </c>
      <c r="U35" s="163" t="str">
        <f>+VLOOKUP($F35,'(Edited)Spec. Fuel Consumption '!$A$4:$J$163,10,FALSE)</f>
        <v>Infras,2018</v>
      </c>
      <c r="V35" s="453">
        <f>+VLOOKUP($B$1&amp;" - "&amp;$D35,'Default Parameter'!$A$8:$M$25,5,FALSE)</f>
        <v>69300</v>
      </c>
      <c r="W35" s="168" t="s">
        <v>52</v>
      </c>
      <c r="X35" s="171">
        <f>+VLOOKUP($B$1&amp;" - "&amp;$D35,'Default Parameter'!$A$8:$M$25,8,FALSE)</f>
        <v>33</v>
      </c>
      <c r="Y35" s="304" t="str">
        <f>+"IPCC 2006 - "&amp;+VLOOKUP($B$1&amp;" - "&amp;$D35,'Default Parameter'!$A$8:$M$25,2,FALSE)</f>
        <v>IPCC 2006 - Motor Gasoline- uncontrolled</v>
      </c>
      <c r="Z35" s="168">
        <f>+VLOOKUP($B$1&amp;" - "&amp;$D35,'Default Parameter'!$A$8:$M$25,11,FALSE)</f>
        <v>3.2</v>
      </c>
      <c r="AA35" s="164" t="str">
        <f>+"IPCC 2006 - "&amp;+VLOOKUP($B$1&amp;" - "&amp;$D35,'Default Parameter'!$A$8:$M$25,2,FALSE)</f>
        <v>IPCC 2006 - Motor Gasoline- uncontrolled</v>
      </c>
      <c r="AB35" s="165"/>
      <c r="AC35" s="166">
        <f>IFERROR(L35*T35/10^2,0)</f>
        <v>197.25784851191992</v>
      </c>
      <c r="AD35" s="167">
        <f>+AC35*P35</f>
        <v>146.11692482364438</v>
      </c>
      <c r="AE35" s="167">
        <f>+AC35*Q35</f>
        <v>8738.5226890780523</v>
      </c>
      <c r="AF35" s="299">
        <f>+$AD35*$Q35*V35/10^6</f>
        <v>448.57749803933996</v>
      </c>
      <c r="AG35" s="299">
        <f>+$AE35*X35/10^6</f>
        <v>0.28837124873957576</v>
      </c>
      <c r="AH35" s="300">
        <f>+$AE35*Z35/10^6</f>
        <v>2.7963272605049768E-2</v>
      </c>
      <c r="AI35" s="146"/>
      <c r="AJ35" s="303"/>
      <c r="AK35" s="179"/>
      <c r="AL35" s="168"/>
      <c r="AM35" s="299">
        <f t="shared" ref="AM35:AN37" si="27">+$L35*AJ35</f>
        <v>0</v>
      </c>
      <c r="AN35" s="182">
        <f t="shared" si="27"/>
        <v>0</v>
      </c>
    </row>
    <row r="36" spans="1:40" s="12" customFormat="1" outlineLevel="1">
      <c r="A36" s="169" t="s">
        <v>329</v>
      </c>
      <c r="B36" s="156" t="s">
        <v>363</v>
      </c>
      <c r="C36" s="156" t="s">
        <v>94</v>
      </c>
      <c r="D36" s="178" t="s">
        <v>91</v>
      </c>
      <c r="E36" s="458" t="s">
        <v>54</v>
      </c>
      <c r="F36" s="170" t="s">
        <v>95</v>
      </c>
      <c r="G36" s="146"/>
      <c r="H36" s="296">
        <v>187625.388333957</v>
      </c>
      <c r="I36" s="158" t="s">
        <v>398</v>
      </c>
      <c r="J36" s="298">
        <v>17807.000000872664</v>
      </c>
      <c r="K36" s="158" t="s">
        <v>398</v>
      </c>
      <c r="L36" s="160">
        <f>H36*J36/1000000</f>
        <v>3341.045290226506</v>
      </c>
      <c r="M36" s="167" t="s">
        <v>47</v>
      </c>
      <c r="N36" s="146"/>
      <c r="O36" s="162" t="s">
        <v>47</v>
      </c>
      <c r="P36" s="163">
        <f>+VLOOKUP($B$1&amp;" - "&amp;$D36,'Default Parameter'!$A$8:$M$25,4,FALSE)</f>
        <v>0.7407407407407407</v>
      </c>
      <c r="Q36" s="171">
        <f>+VLOOKUP($B$1&amp;" - "&amp;$D36,'Default Parameter'!$A$8:$M$25,3,FALSE)</f>
        <v>44.3</v>
      </c>
      <c r="R36" s="164" t="s">
        <v>52</v>
      </c>
      <c r="S36" s="146"/>
      <c r="T36" s="163">
        <f>+VLOOKUP($F36,'(Edited)Spec. Fuel Consumption '!$A$4:$J$163,9,FALSE)</f>
        <v>4.7985389408111425</v>
      </c>
      <c r="U36" s="163" t="str">
        <f>+VLOOKUP($F36,'(Edited)Spec. Fuel Consumption '!$A$4:$J$163,10,FALSE)</f>
        <v>Infras,2018</v>
      </c>
      <c r="V36" s="453">
        <f>+VLOOKUP($B$1&amp;" - "&amp;$D36,'Default Parameter'!$A$8:$M$25,5,FALSE)</f>
        <v>69300</v>
      </c>
      <c r="W36" s="168" t="s">
        <v>52</v>
      </c>
      <c r="X36" s="171">
        <f>+VLOOKUP($B$1&amp;" - "&amp;$D36,'Default Parameter'!$A$8:$M$25,8,FALSE)</f>
        <v>33</v>
      </c>
      <c r="Y36" s="304" t="str">
        <f>+"IPCC 2006 - "&amp;+VLOOKUP($B$1&amp;" - "&amp;$D36,'Default Parameter'!$A$8:$M$25,2,FALSE)</f>
        <v>IPCC 2006 - Motor Gasoline- uncontrolled</v>
      </c>
      <c r="Z36" s="168">
        <f>+VLOOKUP($B$1&amp;" - "&amp;$D36,'Default Parameter'!$A$8:$M$25,11,FALSE)</f>
        <v>3.2</v>
      </c>
      <c r="AA36" s="164" t="str">
        <f>+"IPCC 2006 - "&amp;+VLOOKUP($B$1&amp;" - "&amp;$D36,'Default Parameter'!$A$8:$M$25,2,FALSE)</f>
        <v>IPCC 2006 - Motor Gasoline- uncontrolled</v>
      </c>
      <c r="AB36" s="165"/>
      <c r="AC36" s="166">
        <f>IFERROR(L36*T36/10^2,0)</f>
        <v>160.32135928165556</v>
      </c>
      <c r="AD36" s="167">
        <f>+AC36*P36</f>
        <v>118.75656243085596</v>
      </c>
      <c r="AE36" s="167">
        <f>+AC36*Q36</f>
        <v>7102.2362161773408</v>
      </c>
      <c r="AF36" s="299">
        <f>+$AD36*$Q36*V36/10^6</f>
        <v>364.5814590971035</v>
      </c>
      <c r="AG36" s="299">
        <f>+$AE36*X36/10^6</f>
        <v>0.23437379513385226</v>
      </c>
      <c r="AH36" s="300">
        <f>+$AE36*Z36/10^6</f>
        <v>2.2727155891767492E-2</v>
      </c>
      <c r="AI36" s="146"/>
      <c r="AJ36" s="303"/>
      <c r="AK36" s="179"/>
      <c r="AL36" s="168"/>
      <c r="AM36" s="299">
        <f t="shared" si="27"/>
        <v>0</v>
      </c>
      <c r="AN36" s="182">
        <f t="shared" si="27"/>
        <v>0</v>
      </c>
    </row>
    <row r="37" spans="1:40" s="12" customFormat="1" outlineLevel="1">
      <c r="A37" s="169" t="s">
        <v>329</v>
      </c>
      <c r="B37" s="156" t="s">
        <v>363</v>
      </c>
      <c r="C37" s="156" t="s">
        <v>96</v>
      </c>
      <c r="D37" s="178" t="s">
        <v>91</v>
      </c>
      <c r="E37" s="458" t="s">
        <v>54</v>
      </c>
      <c r="F37" s="170" t="s">
        <v>97</v>
      </c>
      <c r="G37" s="146"/>
      <c r="H37" s="296">
        <v>8487.5314774431608</v>
      </c>
      <c r="I37" s="158" t="s">
        <v>398</v>
      </c>
      <c r="J37" s="298">
        <v>17807.000000872664</v>
      </c>
      <c r="K37" s="158" t="s">
        <v>398</v>
      </c>
      <c r="L37" s="160">
        <f>H37*J37/1000000</f>
        <v>151.13747302623713</v>
      </c>
      <c r="M37" s="167" t="s">
        <v>47</v>
      </c>
      <c r="N37" s="146"/>
      <c r="O37" s="162" t="s">
        <v>47</v>
      </c>
      <c r="P37" s="163">
        <f>+VLOOKUP($B$1&amp;" - "&amp;$D37,'Default Parameter'!$A$8:$M$25,4,FALSE)</f>
        <v>0.7407407407407407</v>
      </c>
      <c r="Q37" s="171">
        <f>+VLOOKUP($B$1&amp;" - "&amp;$D37,'Default Parameter'!$A$8:$M$25,3,FALSE)</f>
        <v>44.3</v>
      </c>
      <c r="R37" s="164" t="s">
        <v>52</v>
      </c>
      <c r="S37" s="146"/>
      <c r="T37" s="163">
        <f>+VLOOKUP($F37,'(Edited)Spec. Fuel Consumption '!$A$4:$J$163,9,FALSE)</f>
        <v>4.7985389408111425</v>
      </c>
      <c r="U37" s="163" t="str">
        <f>+VLOOKUP($F37,'(Edited)Spec. Fuel Consumption '!$A$4:$J$163,10,FALSE)</f>
        <v>Infras,2018</v>
      </c>
      <c r="V37" s="453">
        <f>+VLOOKUP($B$1&amp;" - "&amp;$D37,'Default Parameter'!$A$8:$M$25,5,FALSE)</f>
        <v>69300</v>
      </c>
      <c r="W37" s="168" t="s">
        <v>52</v>
      </c>
      <c r="X37" s="171">
        <f>+VLOOKUP($B$1&amp;" - "&amp;$D37,'Default Parameter'!$A$8:$M$25,8,FALSE)</f>
        <v>33</v>
      </c>
      <c r="Y37" s="304" t="str">
        <f>+"IPCC 2006 - "&amp;+VLOOKUP($B$1&amp;" - "&amp;$D37,'Default Parameter'!$A$8:$M$25,2,FALSE)</f>
        <v>IPCC 2006 - Motor Gasoline- uncontrolled</v>
      </c>
      <c r="Z37" s="168">
        <f>+VLOOKUP($B$1&amp;" - "&amp;$D37,'Default Parameter'!$A$8:$M$25,11,FALSE)</f>
        <v>3.2</v>
      </c>
      <c r="AA37" s="164" t="str">
        <f>+"IPCC 2006 - "&amp;+VLOOKUP($B$1&amp;" - "&amp;$D37,'Default Parameter'!$A$8:$M$25,2,FALSE)</f>
        <v>IPCC 2006 - Motor Gasoline- uncontrolled</v>
      </c>
      <c r="AB37" s="165"/>
      <c r="AC37" s="166">
        <f>IFERROR(L37*T37/10^2,0)</f>
        <v>7.252390497321926</v>
      </c>
      <c r="AD37" s="167">
        <f>+AC37*P37</f>
        <v>5.3721411091273525</v>
      </c>
      <c r="AE37" s="167">
        <f>+AC37*Q37</f>
        <v>321.28089903136129</v>
      </c>
      <c r="AF37" s="299">
        <f>+$AD37*$Q37*V37/10^6</f>
        <v>16.492419483609883</v>
      </c>
      <c r="AG37" s="299">
        <f>+$AE37*X37/10^6</f>
        <v>1.0602269668034922E-2</v>
      </c>
      <c r="AH37" s="300">
        <f>+$AE37*Z37/10^6</f>
        <v>1.0280988769003562E-3</v>
      </c>
      <c r="AI37" s="146"/>
      <c r="AJ37" s="303"/>
      <c r="AK37" s="179"/>
      <c r="AL37" s="168"/>
      <c r="AM37" s="299">
        <f t="shared" si="27"/>
        <v>0</v>
      </c>
      <c r="AN37" s="182">
        <f t="shared" si="27"/>
        <v>0</v>
      </c>
    </row>
    <row r="38" spans="1:40">
      <c r="AJ38" s="1"/>
      <c r="AK38" s="1"/>
      <c r="AL38" s="1"/>
      <c r="AN38" s="1"/>
    </row>
    <row r="39" spans="1:40">
      <c r="A39" s="13"/>
      <c r="AJ39" s="1"/>
      <c r="AK39" s="1"/>
      <c r="AL39" s="1"/>
      <c r="AN39" s="1"/>
    </row>
    <row r="40" spans="1:40">
      <c r="A40" s="13"/>
    </row>
    <row r="41" spans="1:40">
      <c r="A41" s="13"/>
      <c r="AD41" s="507"/>
    </row>
    <row r="42" spans="1:40">
      <c r="A42" s="13"/>
      <c r="S42" s="1"/>
      <c r="U42" s="1"/>
    </row>
    <row r="43" spans="1:40">
      <c r="A43" s="13"/>
      <c r="S43" s="1"/>
      <c r="U43" s="1"/>
    </row>
    <row r="44" spans="1:40">
      <c r="A44" s="13"/>
      <c r="S44" s="1"/>
      <c r="U44" s="1"/>
    </row>
    <row r="45" spans="1:40">
      <c r="A45" s="13"/>
      <c r="S45" s="1"/>
      <c r="U45" s="1"/>
    </row>
    <row r="46" spans="1:40">
      <c r="A46" s="13"/>
      <c r="S46" s="1"/>
      <c r="U46" s="1"/>
    </row>
    <row r="47" spans="1:40">
      <c r="A47" s="13"/>
      <c r="S47" s="1"/>
      <c r="U47" s="1"/>
    </row>
    <row r="48" spans="1:40">
      <c r="A48" s="13"/>
      <c r="S48" s="1"/>
      <c r="U48" s="1"/>
    </row>
    <row r="49" spans="1:21">
      <c r="A49" s="13"/>
      <c r="S49" s="1"/>
      <c r="U49" s="1"/>
    </row>
    <row r="50" spans="1:21">
      <c r="A50" s="13"/>
      <c r="S50" s="1"/>
      <c r="U50" s="1"/>
    </row>
    <row r="51" spans="1:21">
      <c r="A51" s="13"/>
      <c r="S51" s="1"/>
      <c r="U51" s="1"/>
    </row>
    <row r="52" spans="1:21">
      <c r="S52" s="1"/>
      <c r="U52" s="1"/>
    </row>
    <row r="53" spans="1:21">
      <c r="S53" s="1"/>
      <c r="U53" s="1"/>
    </row>
    <row r="54" spans="1:21">
      <c r="S54" s="1"/>
      <c r="U54" s="1"/>
    </row>
    <row r="55" spans="1:21">
      <c r="S55" s="1"/>
      <c r="U55" s="1"/>
    </row>
    <row r="56" spans="1:21">
      <c r="S56" s="1"/>
      <c r="U56" s="1"/>
    </row>
    <row r="57" spans="1:21">
      <c r="S57" s="1"/>
      <c r="U57" s="1"/>
    </row>
    <row r="58" spans="1:21">
      <c r="S58" s="1"/>
      <c r="U58" s="1"/>
    </row>
    <row r="59" spans="1:21">
      <c r="K59" s="5"/>
      <c r="S59" s="1"/>
      <c r="U59" s="1"/>
    </row>
    <row r="60" spans="1:21">
      <c r="K60" s="5"/>
      <c r="S60" s="1"/>
      <c r="U60" s="1"/>
    </row>
    <row r="61" spans="1:21">
      <c r="K61" s="5"/>
      <c r="S61" s="1"/>
      <c r="U61" s="1"/>
    </row>
    <row r="62" spans="1:21">
      <c r="K62" s="5"/>
      <c r="S62" s="1"/>
      <c r="U62" s="1"/>
    </row>
    <row r="63" spans="1:21">
      <c r="K63" s="5"/>
      <c r="S63" s="1"/>
      <c r="U63" s="1"/>
    </row>
    <row r="64" spans="1:21">
      <c r="K64" s="5"/>
      <c r="S64" s="1"/>
      <c r="U64" s="1"/>
    </row>
    <row r="65" spans="11:21">
      <c r="K65" s="5"/>
      <c r="S65" s="1"/>
      <c r="U65" s="1"/>
    </row>
    <row r="66" spans="11:21">
      <c r="K66" s="5"/>
      <c r="S66" s="1"/>
      <c r="U66" s="1"/>
    </row>
    <row r="67" spans="11:21">
      <c r="K67" s="5"/>
      <c r="S67" s="1"/>
      <c r="U67" s="1"/>
    </row>
    <row r="68" spans="11:21">
      <c r="K68" s="5"/>
      <c r="S68" s="1"/>
      <c r="U68" s="1"/>
    </row>
    <row r="69" spans="11:21">
      <c r="K69" s="5"/>
      <c r="S69" s="1"/>
      <c r="U69" s="1"/>
    </row>
    <row r="70" spans="11:21">
      <c r="S70" s="1"/>
      <c r="U70" s="1"/>
    </row>
    <row r="71" spans="11:21">
      <c r="S71" s="1"/>
      <c r="U71" s="1"/>
    </row>
    <row r="72" spans="11:21">
      <c r="S72" s="1"/>
      <c r="U72" s="1"/>
    </row>
    <row r="73" spans="11:21">
      <c r="S73" s="1"/>
      <c r="U73" s="1"/>
    </row>
  </sheetData>
  <autoFilter ref="A7:AH38" xr:uid="{00000000-0009-0000-0000-000002000000}">
    <filterColumn colId="7" showButton="0"/>
    <filterColumn colId="9" showButton="0"/>
    <filterColumn colId="11" showButton="0"/>
    <filterColumn colId="16" showButton="0"/>
    <filterColumn colId="21" showButton="0"/>
    <filterColumn colId="23" showButton="0"/>
    <filterColumn colId="25" showButton="0"/>
  </autoFilter>
  <mergeCells count="24">
    <mergeCell ref="AJ7:AL7"/>
    <mergeCell ref="AM7:AN7"/>
    <mergeCell ref="AJ6:AN6"/>
    <mergeCell ref="A6:F6"/>
    <mergeCell ref="V7:W7"/>
    <mergeCell ref="A7:A8"/>
    <mergeCell ref="C7:C8"/>
    <mergeCell ref="D7:D8"/>
    <mergeCell ref="E7:E8"/>
    <mergeCell ref="F7:F8"/>
    <mergeCell ref="H7:I7"/>
    <mergeCell ref="J7:K7"/>
    <mergeCell ref="L7:M7"/>
    <mergeCell ref="Q7:R7"/>
    <mergeCell ref="AC6:AH6"/>
    <mergeCell ref="A4:B4"/>
    <mergeCell ref="AC7:AE7"/>
    <mergeCell ref="T7:U7"/>
    <mergeCell ref="X7:Y7"/>
    <mergeCell ref="Z7:AA7"/>
    <mergeCell ref="H6:L6"/>
    <mergeCell ref="P6:R6"/>
    <mergeCell ref="T6:AA6"/>
    <mergeCell ref="B7:B8"/>
  </mergeCells>
  <hyperlinks>
    <hyperlink ref="A4" location="'Top-Down Validation'!H9" display="→Go to: Top-Down Validation" xr:uid="{00000000-0004-0000-0200-000000000000}"/>
    <hyperlink ref="A4:B4" location="'Top-Down Validation'!N9" display="→Go to: Top-Down Validation" xr:uid="{00000000-0004-0000-0200-000001000000}"/>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39997558519241921"/>
  </sheetPr>
  <dimension ref="A1:AE27"/>
  <sheetViews>
    <sheetView showGridLines="0" zoomScale="70" zoomScaleNormal="70" workbookViewId="0">
      <selection activeCell="B3" sqref="B3"/>
    </sheetView>
  </sheetViews>
  <sheetFormatPr defaultColWidth="11.42578125" defaultRowHeight="15" outlineLevelCol="1"/>
  <cols>
    <col min="1" max="1" width="28.28515625" style="384" customWidth="1"/>
    <col min="2" max="2" width="27.7109375" style="384" customWidth="1"/>
    <col min="3" max="3" width="12.7109375" style="384" customWidth="1"/>
    <col min="4" max="4" width="2.7109375" style="383" customWidth="1"/>
    <col min="5" max="5" width="17" style="384" customWidth="1"/>
    <col min="6" max="6" width="16.42578125" style="384" customWidth="1"/>
    <col min="7" max="7" width="2.28515625" style="385" customWidth="1"/>
    <col min="8" max="8" width="11.85546875" style="384" customWidth="1"/>
    <col min="9" max="9" width="11.7109375" style="384" customWidth="1"/>
    <col min="10" max="10" width="2.7109375" style="385" customWidth="1"/>
    <col min="11" max="11" width="9.5703125" style="384" bestFit="1" customWidth="1"/>
    <col min="12" max="12" width="7.42578125" style="385" customWidth="1"/>
    <col min="13" max="13" width="7.85546875" style="385" bestFit="1" customWidth="1"/>
    <col min="14" max="18" width="11.42578125" style="383"/>
    <col min="19" max="19" width="12.85546875" style="383" customWidth="1"/>
    <col min="20" max="20" width="3.7109375" style="384" customWidth="1"/>
    <col min="21" max="23" width="12.7109375" style="383" customWidth="1"/>
    <col min="24" max="24" width="2.7109375" style="383" customWidth="1"/>
    <col min="25" max="26" width="13.42578125" style="385" customWidth="1" outlineLevel="1"/>
    <col min="27" max="27" width="14.42578125" style="385" customWidth="1" outlineLevel="1"/>
    <col min="28" max="31" width="11.42578125" style="383"/>
    <col min="32" max="16384" width="11.42578125" style="384"/>
  </cols>
  <sheetData>
    <row r="1" spans="1:31" ht="27.75" customHeight="1" thickBot="1">
      <c r="A1" s="67" t="s">
        <v>160</v>
      </c>
      <c r="B1" s="68" t="s">
        <v>333</v>
      </c>
      <c r="C1" s="81"/>
      <c r="D1" s="81"/>
      <c r="E1" s="81"/>
      <c r="F1" s="81"/>
      <c r="G1" s="81"/>
      <c r="H1" s="81"/>
      <c r="I1" s="81"/>
      <c r="J1" s="81"/>
      <c r="K1" s="81"/>
      <c r="L1" s="81"/>
      <c r="M1" s="81"/>
      <c r="N1" s="81"/>
      <c r="O1" s="81"/>
      <c r="P1" s="81"/>
      <c r="Q1" s="81"/>
      <c r="R1" s="81"/>
      <c r="S1" s="81"/>
      <c r="T1" s="81"/>
      <c r="U1" s="81"/>
      <c r="V1" s="81"/>
      <c r="W1" s="81"/>
      <c r="X1" s="81"/>
      <c r="Y1" s="81"/>
      <c r="Z1" s="81"/>
      <c r="AA1" s="81"/>
    </row>
    <row r="2" spans="1:31" ht="27.75" customHeight="1" thickBot="1">
      <c r="A2" s="69" t="s">
        <v>2</v>
      </c>
      <c r="B2" s="71" t="s">
        <v>397</v>
      </c>
    </row>
    <row r="3" spans="1:31" s="85" customFormat="1" ht="27.75" customHeight="1" thickBot="1">
      <c r="A3" s="70" t="s">
        <v>217</v>
      </c>
      <c r="B3" s="71">
        <v>2015</v>
      </c>
      <c r="D3" s="86"/>
      <c r="N3" s="86"/>
      <c r="O3" s="86"/>
      <c r="P3" s="86"/>
      <c r="Q3" s="86"/>
      <c r="R3" s="86"/>
      <c r="S3" s="86"/>
      <c r="U3" s="86"/>
      <c r="V3" s="86"/>
      <c r="W3" s="86"/>
      <c r="X3" s="86"/>
      <c r="AB3" s="86"/>
      <c r="AC3" s="86"/>
      <c r="AD3" s="86"/>
      <c r="AE3" s="86"/>
    </row>
    <row r="4" spans="1:31" s="85" customFormat="1" ht="29.25" customHeight="1" thickBot="1">
      <c r="A4" s="633" t="s">
        <v>350</v>
      </c>
      <c r="B4" s="634"/>
      <c r="D4" s="86"/>
      <c r="N4" s="86"/>
      <c r="O4" s="86"/>
      <c r="P4" s="86"/>
      <c r="Q4" s="86"/>
      <c r="R4" s="86"/>
      <c r="S4" s="86"/>
      <c r="U4" s="86"/>
      <c r="V4" s="86"/>
      <c r="W4" s="86"/>
      <c r="X4" s="86"/>
      <c r="AB4" s="86"/>
      <c r="AC4" s="86"/>
      <c r="AD4" s="86"/>
      <c r="AE4" s="86"/>
    </row>
    <row r="5" spans="1:31" ht="39.75" customHeight="1" thickBot="1">
      <c r="A5" s="658"/>
      <c r="B5" s="658"/>
      <c r="C5" s="658"/>
      <c r="AA5" s="375"/>
    </row>
    <row r="6" spans="1:31" ht="20.25" thickBot="1">
      <c r="A6" s="653" t="s">
        <v>218</v>
      </c>
      <c r="B6" s="654"/>
      <c r="C6" s="655"/>
      <c r="D6" s="386"/>
      <c r="E6" s="625" t="s">
        <v>4</v>
      </c>
      <c r="F6" s="627"/>
      <c r="G6" s="375"/>
      <c r="H6" s="625" t="s">
        <v>5</v>
      </c>
      <c r="I6" s="627"/>
      <c r="J6" s="375"/>
      <c r="K6" s="625" t="s">
        <v>321</v>
      </c>
      <c r="L6" s="626"/>
      <c r="M6" s="626"/>
      <c r="N6" s="626"/>
      <c r="O6" s="626"/>
      <c r="P6" s="626"/>
      <c r="Q6" s="626"/>
      <c r="R6" s="626"/>
      <c r="S6" s="627"/>
      <c r="T6" s="378"/>
      <c r="U6" s="625" t="s">
        <v>284</v>
      </c>
      <c r="V6" s="626"/>
      <c r="W6" s="627"/>
      <c r="X6" s="386"/>
      <c r="Y6" s="653" t="s">
        <v>364</v>
      </c>
      <c r="Z6" s="654"/>
      <c r="AA6" s="654"/>
      <c r="AB6" s="655"/>
    </row>
    <row r="7" spans="1:31" s="88" customFormat="1" ht="63.75" customHeight="1">
      <c r="A7" s="659" t="s">
        <v>9</v>
      </c>
      <c r="B7" s="660" t="s">
        <v>359</v>
      </c>
      <c r="C7" s="661" t="s">
        <v>196</v>
      </c>
      <c r="D7" s="78"/>
      <c r="E7" s="663" t="s">
        <v>24</v>
      </c>
      <c r="F7" s="664"/>
      <c r="G7" s="79"/>
      <c r="H7" s="656" t="s">
        <v>229</v>
      </c>
      <c r="I7" s="662"/>
      <c r="J7" s="79"/>
      <c r="K7" s="656" t="s">
        <v>231</v>
      </c>
      <c r="L7" s="657"/>
      <c r="M7" s="657"/>
      <c r="N7" s="657" t="s">
        <v>21</v>
      </c>
      <c r="O7" s="657"/>
      <c r="P7" s="657" t="s">
        <v>22</v>
      </c>
      <c r="Q7" s="657"/>
      <c r="R7" s="657" t="s">
        <v>23</v>
      </c>
      <c r="S7" s="662"/>
      <c r="T7" s="80"/>
      <c r="U7" s="404" t="s">
        <v>25</v>
      </c>
      <c r="V7" s="403" t="s">
        <v>26</v>
      </c>
      <c r="W7" s="405" t="s">
        <v>27</v>
      </c>
      <c r="X7" s="78"/>
      <c r="Y7" s="412" t="s">
        <v>361</v>
      </c>
      <c r="Z7" s="413" t="s">
        <v>357</v>
      </c>
      <c r="AA7" s="413" t="s">
        <v>358</v>
      </c>
      <c r="AB7" s="623" t="s">
        <v>30</v>
      </c>
      <c r="AC7" s="87"/>
      <c r="AD7" s="87"/>
      <c r="AE7" s="87"/>
    </row>
    <row r="8" spans="1:31" ht="39" customHeight="1">
      <c r="A8" s="656"/>
      <c r="B8" s="657"/>
      <c r="C8" s="662"/>
      <c r="D8" s="78"/>
      <c r="E8" s="407" t="s">
        <v>38</v>
      </c>
      <c r="F8" s="190" t="s">
        <v>237</v>
      </c>
      <c r="G8" s="79"/>
      <c r="H8" s="189" t="s">
        <v>34</v>
      </c>
      <c r="I8" s="190" t="s">
        <v>30</v>
      </c>
      <c r="J8" s="79"/>
      <c r="K8" s="189" t="s">
        <v>360</v>
      </c>
      <c r="L8" s="191" t="s">
        <v>239</v>
      </c>
      <c r="M8" s="191" t="s">
        <v>240</v>
      </c>
      <c r="N8" s="191" t="s">
        <v>36</v>
      </c>
      <c r="O8" s="191" t="s">
        <v>30</v>
      </c>
      <c r="P8" s="191" t="s">
        <v>36</v>
      </c>
      <c r="Q8" s="191" t="s">
        <v>30</v>
      </c>
      <c r="R8" s="191" t="s">
        <v>36</v>
      </c>
      <c r="S8" s="190" t="s">
        <v>30</v>
      </c>
      <c r="T8" s="80"/>
      <c r="U8" s="189" t="s">
        <v>40</v>
      </c>
      <c r="V8" s="191" t="s">
        <v>40</v>
      </c>
      <c r="W8" s="190" t="s">
        <v>40</v>
      </c>
      <c r="X8" s="78"/>
      <c r="Y8" s="407" t="s">
        <v>362</v>
      </c>
      <c r="Z8" s="406" t="s">
        <v>244</v>
      </c>
      <c r="AA8" s="406" t="s">
        <v>243</v>
      </c>
      <c r="AB8" s="624"/>
    </row>
    <row r="9" spans="1:31" ht="15.75">
      <c r="A9" s="435" t="s">
        <v>213</v>
      </c>
      <c r="B9" s="434" t="s">
        <v>213</v>
      </c>
      <c r="C9" s="436" t="s">
        <v>46</v>
      </c>
      <c r="D9" s="40"/>
      <c r="E9" s="197">
        <f>+SUM(E10:E11)</f>
        <v>36.9</v>
      </c>
      <c r="F9" s="408"/>
      <c r="G9" s="22"/>
      <c r="H9" s="203"/>
      <c r="I9" s="204"/>
      <c r="J9" s="22"/>
      <c r="K9" s="203"/>
      <c r="L9" s="205"/>
      <c r="M9" s="205"/>
      <c r="N9" s="205"/>
      <c r="O9" s="205"/>
      <c r="P9" s="205"/>
      <c r="Q9" s="205"/>
      <c r="R9" s="205"/>
      <c r="S9" s="204"/>
      <c r="T9" s="23"/>
      <c r="U9" s="197"/>
      <c r="V9" s="201"/>
      <c r="W9" s="202"/>
      <c r="X9" s="40"/>
      <c r="Y9" s="414"/>
      <c r="Z9" s="411"/>
      <c r="AA9" s="411"/>
      <c r="AB9" s="415"/>
    </row>
    <row r="10" spans="1:31" ht="15.75">
      <c r="A10" s="207" t="s">
        <v>333</v>
      </c>
      <c r="B10" s="208" t="s">
        <v>363</v>
      </c>
      <c r="C10" s="422" t="s">
        <v>53</v>
      </c>
      <c r="D10" s="40"/>
      <c r="E10" s="219">
        <v>36.9</v>
      </c>
      <c r="F10" s="210" t="s">
        <v>429</v>
      </c>
      <c r="G10" s="22"/>
      <c r="H10" s="163">
        <f>+VLOOKUP($B$1&amp;" - "&amp;$C10,'Default Parameter'!$A$8:$M$25,3,FALSE)</f>
        <v>43</v>
      </c>
      <c r="I10" s="215" t="s">
        <v>52</v>
      </c>
      <c r="J10" s="22"/>
      <c r="K10" s="217">
        <f>+IFERROR(E10*10^6/(Y10*1000),0)</f>
        <v>0</v>
      </c>
      <c r="L10" s="212">
        <f>+IFERROR(E10/Z10*1000,0)</f>
        <v>0</v>
      </c>
      <c r="M10" s="212">
        <f>+IFERROR(E10/AA10*1000,0)</f>
        <v>0</v>
      </c>
      <c r="N10" s="216">
        <f>+VLOOKUP($B$1&amp;" - "&amp;$C10,'Default Parameter'!$A$8:$M$25,5,FALSE)</f>
        <v>74100</v>
      </c>
      <c r="O10" s="216" t="s">
        <v>52</v>
      </c>
      <c r="P10" s="216">
        <f>+VLOOKUP($B$1&amp;" - "&amp;$C10,'Default Parameter'!$A$8:$M$25,8,FALSE)</f>
        <v>4.1500000000000004</v>
      </c>
      <c r="Q10" s="216" t="s">
        <v>52</v>
      </c>
      <c r="R10" s="216">
        <f>+VLOOKUP($B$1&amp;" - "&amp;$C10,'Default Parameter'!$A$8:$M$25,11,FALSE)</f>
        <v>28.6</v>
      </c>
      <c r="S10" s="215" t="s">
        <v>52</v>
      </c>
      <c r="T10" s="23"/>
      <c r="U10" s="217">
        <f>+$E10*$H10*N10/10^6</f>
        <v>117.57447000000001</v>
      </c>
      <c r="V10" s="212">
        <f>+$E10*$H10*P10/10^6</f>
        <v>6.5848050000000009E-3</v>
      </c>
      <c r="W10" s="213">
        <f>+$E10*$H10*R10/10^6</f>
        <v>4.5379620000000002E-2</v>
      </c>
      <c r="X10" s="40"/>
      <c r="Y10" s="416"/>
      <c r="Z10" s="367"/>
      <c r="AA10" s="371"/>
      <c r="AB10" s="417"/>
    </row>
    <row r="11" spans="1:31" ht="16.5" thickBot="1">
      <c r="A11" s="220" t="s">
        <v>333</v>
      </c>
      <c r="B11" s="221" t="s">
        <v>207</v>
      </c>
      <c r="C11" s="423" t="s">
        <v>53</v>
      </c>
      <c r="D11" s="40"/>
      <c r="E11" s="409"/>
      <c r="F11" s="410"/>
      <c r="G11" s="22"/>
      <c r="H11" s="183">
        <f>+VLOOKUP($B$1&amp;" - "&amp;$C11,'Default Parameter'!$A$8:$M$25,3,FALSE)</f>
        <v>43</v>
      </c>
      <c r="I11" s="226" t="s">
        <v>52</v>
      </c>
      <c r="J11" s="22"/>
      <c r="K11" s="228">
        <f>+IFERROR(E11*10^6/(Y11*1000),0)</f>
        <v>0</v>
      </c>
      <c r="L11" s="224">
        <f>+IFERROR(E11/Z11*1000,0)</f>
        <v>0</v>
      </c>
      <c r="M11" s="224">
        <f>+IFERROR(E11/AA11*1000,0)</f>
        <v>0</v>
      </c>
      <c r="N11" s="227">
        <f>+VLOOKUP($B$1&amp;" - "&amp;$C11,'Default Parameter'!$A$8:$M$25,5,FALSE)</f>
        <v>74100</v>
      </c>
      <c r="O11" s="227" t="s">
        <v>52</v>
      </c>
      <c r="P11" s="227">
        <f>+VLOOKUP($B$1&amp;" - "&amp;$C11,'Default Parameter'!$A$8:$M$25,8,FALSE)</f>
        <v>4.1500000000000004</v>
      </c>
      <c r="Q11" s="227" t="s">
        <v>52</v>
      </c>
      <c r="R11" s="227">
        <f>+VLOOKUP($B$1&amp;" - "&amp;$C11,'Default Parameter'!$A$8:$M$25,11,FALSE)</f>
        <v>28.6</v>
      </c>
      <c r="S11" s="226" t="s">
        <v>52</v>
      </c>
      <c r="T11" s="23"/>
      <c r="U11" s="228">
        <f>+$E11*$H11*N11/10^6</f>
        <v>0</v>
      </c>
      <c r="V11" s="224">
        <f>+$E11*$H11*P11/10^6</f>
        <v>0</v>
      </c>
      <c r="W11" s="225">
        <f>+$E11*$H11*R11/10^6</f>
        <v>0</v>
      </c>
      <c r="X11" s="40"/>
      <c r="Y11" s="418"/>
      <c r="Z11" s="420"/>
      <c r="AA11" s="419"/>
      <c r="AB11" s="421"/>
    </row>
    <row r="12" spans="1:31">
      <c r="C12" s="91"/>
      <c r="E12" s="91"/>
      <c r="F12" s="91"/>
      <c r="G12" s="91"/>
      <c r="H12" s="91"/>
      <c r="I12" s="91"/>
      <c r="J12" s="90"/>
      <c r="K12" s="92"/>
      <c r="L12" s="92"/>
      <c r="M12" s="92"/>
      <c r="N12" s="92"/>
      <c r="O12" s="92"/>
      <c r="P12" s="91"/>
      <c r="Q12" s="91"/>
      <c r="R12" s="92"/>
      <c r="T12" s="383"/>
      <c r="U12" s="91"/>
      <c r="V12" s="92"/>
      <c r="W12" s="91"/>
      <c r="X12" s="91"/>
      <c r="Y12" s="383"/>
      <c r="Z12" s="383"/>
      <c r="AA12" s="383"/>
      <c r="AB12" s="384"/>
      <c r="AC12" s="384"/>
      <c r="AD12" s="384"/>
      <c r="AE12" s="384"/>
    </row>
    <row r="13" spans="1:31">
      <c r="S13" s="384"/>
      <c r="U13" s="384"/>
      <c r="V13" s="384"/>
      <c r="W13" s="385"/>
      <c r="X13" s="385"/>
      <c r="Y13" s="384"/>
      <c r="Z13" s="384"/>
      <c r="AA13" s="384"/>
      <c r="AB13" s="384"/>
      <c r="AC13" s="384"/>
      <c r="AD13" s="384"/>
      <c r="AE13" s="384"/>
    </row>
    <row r="14" spans="1:31">
      <c r="S14" s="384"/>
      <c r="U14" s="384"/>
      <c r="V14" s="384"/>
      <c r="W14" s="385"/>
      <c r="X14" s="385"/>
      <c r="Y14" s="384"/>
      <c r="Z14" s="384"/>
      <c r="AA14" s="384"/>
      <c r="AB14" s="384"/>
      <c r="AC14" s="384"/>
      <c r="AD14" s="384"/>
      <c r="AE14" s="384"/>
    </row>
    <row r="15" spans="1:31">
      <c r="S15" s="384"/>
      <c r="U15" s="384"/>
      <c r="V15" s="384"/>
      <c r="W15" s="385"/>
      <c r="X15" s="385"/>
      <c r="Y15" s="384"/>
      <c r="Z15" s="384"/>
      <c r="AA15" s="384"/>
      <c r="AB15" s="384"/>
      <c r="AC15" s="384"/>
      <c r="AD15" s="384"/>
      <c r="AE15" s="384"/>
    </row>
    <row r="16" spans="1:31">
      <c r="S16" s="384"/>
      <c r="U16" s="384"/>
      <c r="V16" s="384"/>
      <c r="W16" s="385"/>
      <c r="X16" s="385"/>
      <c r="Y16" s="384"/>
      <c r="Z16" s="384"/>
      <c r="AA16" s="384"/>
      <c r="AB16" s="384"/>
      <c r="AC16" s="384"/>
      <c r="AD16" s="384"/>
      <c r="AE16" s="384"/>
    </row>
    <row r="17" spans="19:31">
      <c r="S17" s="384"/>
      <c r="U17" s="384"/>
      <c r="V17" s="384"/>
      <c r="W17" s="385"/>
      <c r="X17" s="385"/>
      <c r="Y17" s="383"/>
      <c r="Z17" s="383"/>
      <c r="AA17" s="383"/>
      <c r="AC17" s="384"/>
      <c r="AD17" s="384"/>
      <c r="AE17" s="384"/>
    </row>
    <row r="18" spans="19:31">
      <c r="S18" s="384"/>
      <c r="U18" s="384"/>
      <c r="V18" s="384"/>
      <c r="W18" s="385"/>
      <c r="X18" s="385"/>
      <c r="Y18" s="383"/>
      <c r="Z18" s="383"/>
      <c r="AA18" s="383"/>
      <c r="AC18" s="384"/>
      <c r="AD18" s="384"/>
      <c r="AE18" s="384"/>
    </row>
    <row r="19" spans="19:31">
      <c r="Y19" s="383"/>
      <c r="Z19" s="383"/>
      <c r="AA19" s="383"/>
    </row>
    <row r="20" spans="19:31">
      <c r="Y20" s="383"/>
      <c r="Z20" s="383"/>
      <c r="AA20" s="383"/>
    </row>
    <row r="21" spans="19:31">
      <c r="Y21" s="383"/>
      <c r="Z21" s="383"/>
      <c r="AA21" s="383"/>
    </row>
    <row r="22" spans="19:31">
      <c r="Y22" s="383"/>
      <c r="Z22" s="383"/>
      <c r="AA22" s="383"/>
    </row>
    <row r="23" spans="19:31">
      <c r="Y23" s="383"/>
      <c r="Z23" s="383"/>
      <c r="AA23" s="383"/>
    </row>
    <row r="24" spans="19:31">
      <c r="Y24" s="383"/>
      <c r="Z24" s="383"/>
      <c r="AA24" s="383"/>
    </row>
    <row r="25" spans="19:31">
      <c r="Y25" s="383"/>
      <c r="Z25" s="383"/>
      <c r="AA25" s="383"/>
    </row>
    <row r="26" spans="19:31">
      <c r="Y26" s="383"/>
      <c r="Z26" s="383"/>
      <c r="AA26" s="383"/>
    </row>
    <row r="27" spans="19:31">
      <c r="Y27" s="383"/>
      <c r="Z27" s="383"/>
      <c r="AA27" s="383"/>
    </row>
  </sheetData>
  <mergeCells count="18">
    <mergeCell ref="A7:A8"/>
    <mergeCell ref="B7:B8"/>
    <mergeCell ref="C7:C8"/>
    <mergeCell ref="E7:F7"/>
    <mergeCell ref="R7:S7"/>
    <mergeCell ref="H7:I7"/>
    <mergeCell ref="A4:B4"/>
    <mergeCell ref="A5:C5"/>
    <mergeCell ref="A6:C6"/>
    <mergeCell ref="E6:F6"/>
    <mergeCell ref="H6:I6"/>
    <mergeCell ref="U6:W6"/>
    <mergeCell ref="AB7:AB8"/>
    <mergeCell ref="Y6:AB6"/>
    <mergeCell ref="K7:M7"/>
    <mergeCell ref="N7:O7"/>
    <mergeCell ref="P7:Q7"/>
    <mergeCell ref="K6:S6"/>
  </mergeCells>
  <hyperlinks>
    <hyperlink ref="A4" location="'Top-Down Validation'!H9" display="→Go to: Top-Down Validation" xr:uid="{00000000-0004-0000-0300-000000000000}"/>
    <hyperlink ref="A4:B4" location="'Top-Down Validation'!T9" display="→Go to: Top-Down Validation" xr:uid="{00000000-0004-0000-0300-000001000000}"/>
  </hyperlinks>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pageSetUpPr autoPageBreaks="0"/>
  </sheetPr>
  <dimension ref="A1:AM33"/>
  <sheetViews>
    <sheetView showGridLines="0" zoomScale="75" zoomScaleNormal="75" workbookViewId="0">
      <pane xSplit="3" ySplit="7" topLeftCell="M8" activePane="bottomRight" state="frozen"/>
      <selection activeCell="I5" sqref="I5"/>
      <selection pane="topRight" activeCell="I5" sqref="I5"/>
      <selection pane="bottomLeft" activeCell="I5" sqref="I5"/>
      <selection pane="bottomRight" activeCell="C13" sqref="C13"/>
    </sheetView>
  </sheetViews>
  <sheetFormatPr defaultColWidth="9.140625" defaultRowHeight="15" outlineLevelCol="1"/>
  <cols>
    <col min="1" max="1" width="36.85546875" style="83" bestFit="1" customWidth="1"/>
    <col min="2" max="2" width="27.85546875" style="83" customWidth="1"/>
    <col min="3" max="3" width="13.42578125" style="83" customWidth="1"/>
    <col min="4" max="4" width="2.140625" style="82" customWidth="1"/>
    <col min="5" max="5" width="11.5703125" style="83" bestFit="1" customWidth="1"/>
    <col min="6" max="6" width="8.140625" style="83" bestFit="1" customWidth="1"/>
    <col min="7" max="7" width="9.140625" style="83"/>
    <col min="8" max="8" width="10.7109375" style="83" bestFit="1" customWidth="1"/>
    <col min="9" max="9" width="9.140625" style="83"/>
    <col min="10" max="10" width="10.7109375" style="83" bestFit="1" customWidth="1"/>
    <col min="11" max="11" width="7.5703125" style="83" customWidth="1"/>
    <col min="12" max="12" width="9.28515625" style="83" customWidth="1"/>
    <col min="13" max="13" width="9.5703125" style="83" customWidth="1"/>
    <col min="14" max="14" width="8.140625" style="83" bestFit="1" customWidth="1"/>
    <col min="15" max="15" width="1.85546875" style="82" customWidth="1"/>
    <col min="16" max="16" width="11.140625" style="83" customWidth="1" outlineLevel="1"/>
    <col min="17" max="17" width="13.42578125" style="83" customWidth="1" outlineLevel="1"/>
    <col min="18" max="18" width="1.85546875" style="82" customWidth="1"/>
    <col min="19" max="21" width="9.140625" style="83" customWidth="1" outlineLevel="1"/>
    <col min="22" max="22" width="21.140625" style="83" customWidth="1" outlineLevel="1"/>
    <col min="23" max="23" width="11.140625" style="82" customWidth="1"/>
    <col min="24" max="24" width="9.140625" style="84" customWidth="1" outlineLevel="1"/>
    <col min="25" max="25" width="10" style="84" customWidth="1" outlineLevel="1"/>
    <col min="26" max="26" width="9.140625" style="84" customWidth="1" outlineLevel="1"/>
    <col min="27" max="27" width="10.85546875" style="84" customWidth="1" outlineLevel="1"/>
    <col min="28" max="28" width="14.7109375" style="84" customWidth="1" outlineLevel="1"/>
    <col min="29" max="29" width="1.85546875" style="82" customWidth="1"/>
    <col min="30" max="30" width="12.85546875" style="83" customWidth="1" outlineLevel="1"/>
    <col min="31" max="31" width="16" style="83" bestFit="1" customWidth="1" outlineLevel="1"/>
    <col min="32" max="32" width="11.7109375" style="83" customWidth="1" outlineLevel="1"/>
    <col min="33" max="33" width="12.140625" style="83" customWidth="1" outlineLevel="1"/>
    <col min="34" max="34" width="2.42578125" style="83" customWidth="1"/>
    <col min="35" max="35" width="12" style="83" customWidth="1" outlineLevel="1"/>
    <col min="36" max="36" width="11.42578125" style="83" customWidth="1" outlineLevel="1"/>
    <col min="37" max="37" width="11.28515625" style="83" customWidth="1" outlineLevel="1"/>
    <col min="38" max="38" width="10.85546875" style="83" customWidth="1" outlineLevel="1"/>
    <col min="39" max="16384" width="9.140625" style="83"/>
  </cols>
  <sheetData>
    <row r="1" spans="1:39" ht="27.75" customHeight="1" thickBot="1">
      <c r="A1" s="67" t="s">
        <v>160</v>
      </c>
      <c r="B1" s="517" t="s">
        <v>216</v>
      </c>
    </row>
    <row r="2" spans="1:39" ht="27.75" customHeight="1" thickBot="1">
      <c r="A2" s="69" t="s">
        <v>2</v>
      </c>
      <c r="B2" s="516" t="s">
        <v>397</v>
      </c>
      <c r="M2" s="93"/>
      <c r="N2" s="93"/>
    </row>
    <row r="3" spans="1:39" s="93" customFormat="1" ht="27.75" customHeight="1" thickBot="1">
      <c r="A3" s="70" t="s">
        <v>217</v>
      </c>
      <c r="B3" s="516">
        <v>2020</v>
      </c>
      <c r="D3" s="94"/>
      <c r="O3" s="94"/>
      <c r="R3" s="94"/>
      <c r="W3" s="94"/>
      <c r="AC3" s="94"/>
    </row>
    <row r="4" spans="1:39" s="93" customFormat="1" ht="28.5" customHeight="1" thickBot="1">
      <c r="A4" s="633" t="s">
        <v>350</v>
      </c>
      <c r="B4" s="634"/>
      <c r="D4" s="94"/>
      <c r="O4" s="94"/>
      <c r="R4" s="94"/>
      <c r="W4" s="94"/>
      <c r="AC4" s="94"/>
    </row>
    <row r="5" spans="1:39" s="93" customFormat="1" ht="99.75" customHeight="1" thickBot="1">
      <c r="A5" s="95"/>
      <c r="B5" s="95"/>
      <c r="D5" s="94"/>
      <c r="O5" s="94"/>
      <c r="R5" s="94"/>
      <c r="W5" s="94"/>
      <c r="X5" s="96"/>
      <c r="Z5" s="96"/>
      <c r="AC5" s="94"/>
    </row>
    <row r="6" spans="1:39" ht="20.25" thickBot="1">
      <c r="A6" s="625" t="s">
        <v>218</v>
      </c>
      <c r="B6" s="626"/>
      <c r="C6" s="627"/>
      <c r="D6" s="39"/>
      <c r="E6" s="625" t="s">
        <v>219</v>
      </c>
      <c r="F6" s="626"/>
      <c r="G6" s="626"/>
      <c r="H6" s="626"/>
      <c r="I6" s="626"/>
      <c r="J6" s="626"/>
      <c r="K6" s="626"/>
      <c r="L6" s="626"/>
      <c r="M6" s="626"/>
      <c r="N6" s="627"/>
      <c r="O6" s="39"/>
      <c r="P6" s="625" t="s">
        <v>5</v>
      </c>
      <c r="Q6" s="627"/>
      <c r="R6" s="39"/>
      <c r="S6" s="625" t="s">
        <v>6</v>
      </c>
      <c r="T6" s="626"/>
      <c r="U6" s="626"/>
      <c r="V6" s="626"/>
      <c r="W6" s="626"/>
      <c r="X6" s="626"/>
      <c r="Y6" s="626"/>
      <c r="Z6" s="626"/>
      <c r="AA6" s="626"/>
      <c r="AB6" s="627"/>
      <c r="AC6" s="39"/>
      <c r="AD6" s="625" t="s">
        <v>7</v>
      </c>
      <c r="AE6" s="626"/>
      <c r="AF6" s="626"/>
      <c r="AG6" s="627"/>
      <c r="AH6" s="41"/>
      <c r="AI6" s="625" t="s">
        <v>8</v>
      </c>
      <c r="AJ6" s="626"/>
      <c r="AK6" s="626"/>
      <c r="AL6" s="627"/>
      <c r="AM6" s="97"/>
    </row>
    <row r="7" spans="1:39" s="97" customFormat="1" ht="79.5" customHeight="1">
      <c r="A7" s="665" t="s">
        <v>324</v>
      </c>
      <c r="B7" s="667" t="s">
        <v>375</v>
      </c>
      <c r="C7" s="669" t="s">
        <v>196</v>
      </c>
      <c r="D7" s="113"/>
      <c r="E7" s="639" t="s">
        <v>245</v>
      </c>
      <c r="F7" s="640"/>
      <c r="G7" s="642" t="s">
        <v>246</v>
      </c>
      <c r="H7" s="640"/>
      <c r="I7" s="642" t="s">
        <v>247</v>
      </c>
      <c r="J7" s="640"/>
      <c r="K7" s="642" t="s">
        <v>248</v>
      </c>
      <c r="L7" s="641"/>
      <c r="M7" s="640" t="s">
        <v>249</v>
      </c>
      <c r="N7" s="643"/>
      <c r="O7" s="113"/>
      <c r="P7" s="630" t="s">
        <v>19</v>
      </c>
      <c r="Q7" s="631"/>
      <c r="R7" s="113"/>
      <c r="S7" s="639" t="s">
        <v>250</v>
      </c>
      <c r="T7" s="640"/>
      <c r="U7" s="640"/>
      <c r="V7" s="640"/>
      <c r="W7" s="642" t="s">
        <v>21</v>
      </c>
      <c r="X7" s="641"/>
      <c r="Y7" s="640" t="s">
        <v>22</v>
      </c>
      <c r="Z7" s="641"/>
      <c r="AA7" s="652" t="s">
        <v>23</v>
      </c>
      <c r="AB7" s="631"/>
      <c r="AC7" s="113"/>
      <c r="AD7" s="279" t="s">
        <v>24</v>
      </c>
      <c r="AE7" s="278" t="s">
        <v>25</v>
      </c>
      <c r="AF7" s="278" t="s">
        <v>26</v>
      </c>
      <c r="AG7" s="345" t="s">
        <v>27</v>
      </c>
      <c r="AH7" s="229"/>
      <c r="AI7" s="343" t="s">
        <v>251</v>
      </c>
      <c r="AJ7" s="278" t="s">
        <v>252</v>
      </c>
      <c r="AK7" s="278" t="s">
        <v>253</v>
      </c>
      <c r="AL7" s="345" t="s">
        <v>377</v>
      </c>
    </row>
    <row r="8" spans="1:39" s="97" customFormat="1" ht="47.25">
      <c r="A8" s="666"/>
      <c r="B8" s="668"/>
      <c r="C8" s="670"/>
      <c r="D8" s="119"/>
      <c r="E8" s="328" t="s">
        <v>254</v>
      </c>
      <c r="F8" s="329" t="s">
        <v>30</v>
      </c>
      <c r="G8" s="330" t="s">
        <v>38</v>
      </c>
      <c r="H8" s="329" t="s">
        <v>30</v>
      </c>
      <c r="I8" s="330" t="s">
        <v>255</v>
      </c>
      <c r="J8" s="329" t="s">
        <v>30</v>
      </c>
      <c r="K8" s="330" t="s">
        <v>256</v>
      </c>
      <c r="L8" s="144" t="s">
        <v>30</v>
      </c>
      <c r="M8" s="331" t="s">
        <v>214</v>
      </c>
      <c r="N8" s="312" t="s">
        <v>30</v>
      </c>
      <c r="O8" s="119"/>
      <c r="P8" s="328" t="s">
        <v>34</v>
      </c>
      <c r="Q8" s="312" t="s">
        <v>30</v>
      </c>
      <c r="R8" s="119"/>
      <c r="S8" s="334" t="s">
        <v>257</v>
      </c>
      <c r="T8" s="330" t="s">
        <v>258</v>
      </c>
      <c r="U8" s="330" t="s">
        <v>259</v>
      </c>
      <c r="V8" s="336" t="s">
        <v>30</v>
      </c>
      <c r="W8" s="330" t="s">
        <v>36</v>
      </c>
      <c r="X8" s="144" t="s">
        <v>30</v>
      </c>
      <c r="Y8" s="331" t="s">
        <v>36</v>
      </c>
      <c r="Z8" s="144" t="s">
        <v>30</v>
      </c>
      <c r="AA8" s="331" t="s">
        <v>36</v>
      </c>
      <c r="AB8" s="312" t="s">
        <v>30</v>
      </c>
      <c r="AC8" s="119"/>
      <c r="AD8" s="339" t="s">
        <v>38</v>
      </c>
      <c r="AE8" s="340" t="s">
        <v>40</v>
      </c>
      <c r="AF8" s="340" t="s">
        <v>40</v>
      </c>
      <c r="AG8" s="341" t="s">
        <v>40</v>
      </c>
      <c r="AH8" s="229"/>
      <c r="AI8" s="344" t="s">
        <v>244</v>
      </c>
      <c r="AJ8" s="340" t="s">
        <v>260</v>
      </c>
      <c r="AK8" s="340" t="s">
        <v>261</v>
      </c>
      <c r="AL8" s="341" t="s">
        <v>378</v>
      </c>
    </row>
    <row r="9" spans="1:39" s="89" customFormat="1" ht="15.75">
      <c r="A9" s="230" t="s">
        <v>287</v>
      </c>
      <c r="B9" s="231" t="s">
        <v>46</v>
      </c>
      <c r="C9" s="232" t="s">
        <v>46</v>
      </c>
      <c r="D9" s="78"/>
      <c r="E9" s="323">
        <f>+E12+E15</f>
        <v>0</v>
      </c>
      <c r="F9" s="324"/>
      <c r="G9" s="325">
        <f>+G12+G15</f>
        <v>0</v>
      </c>
      <c r="H9" s="324"/>
      <c r="I9" s="325">
        <f>+I12+I15</f>
        <v>0</v>
      </c>
      <c r="J9" s="234">
        <f>+J17</f>
        <v>0</v>
      </c>
      <c r="K9" s="236"/>
      <c r="L9" s="78"/>
      <c r="M9" s="326"/>
      <c r="N9" s="327"/>
      <c r="O9" s="78"/>
      <c r="P9" s="335"/>
      <c r="Q9" s="327"/>
      <c r="R9" s="78"/>
      <c r="S9" s="332"/>
      <c r="T9" s="333"/>
      <c r="U9" s="333"/>
      <c r="V9" s="333"/>
      <c r="W9" s="326"/>
      <c r="X9" s="326"/>
      <c r="Y9" s="326"/>
      <c r="Z9" s="326"/>
      <c r="AA9" s="326"/>
      <c r="AB9" s="327"/>
      <c r="AC9" s="78"/>
      <c r="AD9" s="323">
        <f>+AD15+AD12</f>
        <v>0</v>
      </c>
      <c r="AE9" s="337">
        <f>+AE15+AE12</f>
        <v>0</v>
      </c>
      <c r="AF9" s="337">
        <f>+AF15+AF12</f>
        <v>0</v>
      </c>
      <c r="AG9" s="338">
        <f>+AG15+AG12</f>
        <v>0</v>
      </c>
      <c r="AH9" s="239"/>
      <c r="AI9" s="323">
        <f>+AI15+AI12</f>
        <v>0</v>
      </c>
      <c r="AJ9" s="325">
        <f>+AJ15+AJ12</f>
        <v>0</v>
      </c>
      <c r="AK9" s="325">
        <f>+AK15+AK12</f>
        <v>0</v>
      </c>
      <c r="AL9" s="342">
        <f>+AJ9+AK9*10</f>
        <v>0</v>
      </c>
    </row>
    <row r="10" spans="1:39" s="89" customFormat="1" ht="15.75">
      <c r="A10" s="230" t="s">
        <v>488</v>
      </c>
      <c r="B10" s="231"/>
      <c r="C10" s="232"/>
      <c r="D10" s="78"/>
      <c r="E10" s="323"/>
      <c r="F10" s="324"/>
      <c r="G10" s="325"/>
      <c r="H10" s="324"/>
      <c r="I10" s="325"/>
      <c r="J10" s="234"/>
      <c r="K10" s="236"/>
      <c r="L10" s="78"/>
      <c r="M10" s="326"/>
      <c r="N10" s="327"/>
      <c r="O10" s="78"/>
      <c r="P10" s="335"/>
      <c r="Q10" s="327"/>
      <c r="R10" s="78"/>
      <c r="S10" s="332"/>
      <c r="T10" s="333"/>
      <c r="U10" s="333"/>
      <c r="V10" s="333"/>
      <c r="W10" s="326"/>
      <c r="X10" s="326"/>
      <c r="Y10" s="326"/>
      <c r="Z10" s="326"/>
      <c r="AA10" s="326"/>
      <c r="AB10" s="327"/>
      <c r="AC10" s="78"/>
      <c r="AD10" s="323">
        <f>'Transport vessels'!E3</f>
        <v>3.8886075949367069</v>
      </c>
      <c r="AE10" s="337"/>
      <c r="AF10" s="337"/>
      <c r="AG10" s="338"/>
      <c r="AH10" s="239"/>
      <c r="AI10" s="323"/>
      <c r="AJ10" s="325"/>
      <c r="AK10" s="325"/>
      <c r="AL10" s="342"/>
    </row>
    <row r="11" spans="1:39" s="89" customFormat="1" ht="15.75">
      <c r="A11" s="230" t="s">
        <v>274</v>
      </c>
      <c r="B11" s="231"/>
      <c r="C11" s="232"/>
      <c r="D11" s="78"/>
      <c r="E11" s="323"/>
      <c r="F11" s="324"/>
      <c r="G11" s="325"/>
      <c r="H11" s="324"/>
      <c r="I11" s="325"/>
      <c r="J11" s="234"/>
      <c r="K11" s="236"/>
      <c r="L11" s="78"/>
      <c r="M11" s="326"/>
      <c r="N11" s="327"/>
      <c r="O11" s="78"/>
      <c r="P11" s="335"/>
      <c r="Q11" s="327"/>
      <c r="R11" s="78"/>
      <c r="S11" s="332"/>
      <c r="T11" s="333"/>
      <c r="U11" s="333"/>
      <c r="V11" s="333"/>
      <c r="W11" s="326"/>
      <c r="X11" s="326"/>
      <c r="Y11" s="326"/>
      <c r="Z11" s="326"/>
      <c r="AA11" s="326"/>
      <c r="AB11" s="327"/>
      <c r="AC11" s="78"/>
      <c r="AD11" s="521">
        <f>'Top-Down Annual Fuel Cons.'!C14</f>
        <v>0.79519156118143419</v>
      </c>
      <c r="AE11" s="337" t="s">
        <v>482</v>
      </c>
      <c r="AF11" s="337"/>
      <c r="AG11" s="338"/>
      <c r="AH11" s="239"/>
      <c r="AI11" s="323"/>
      <c r="AJ11" s="325"/>
      <c r="AK11" s="325"/>
      <c r="AL11" s="342"/>
    </row>
    <row r="12" spans="1:39" s="89" customFormat="1" ht="15.75">
      <c r="A12" s="230" t="s">
        <v>331</v>
      </c>
      <c r="B12" s="231" t="s">
        <v>46</v>
      </c>
      <c r="C12" s="232" t="s">
        <v>46</v>
      </c>
      <c r="D12" s="78"/>
      <c r="E12" s="211"/>
      <c r="F12" s="241"/>
      <c r="G12" s="242"/>
      <c r="H12" s="241"/>
      <c r="I12" s="243"/>
      <c r="J12" s="243"/>
      <c r="K12" s="242"/>
      <c r="L12" s="241"/>
      <c r="M12" s="231"/>
      <c r="N12" s="232"/>
      <c r="O12" s="78"/>
      <c r="P12" s="230"/>
      <c r="Q12" s="232"/>
      <c r="R12" s="78"/>
      <c r="S12" s="244">
        <v>20</v>
      </c>
      <c r="T12" s="245">
        <v>3.3355404445703201</v>
      </c>
      <c r="U12" s="245">
        <v>32.444119270782871</v>
      </c>
      <c r="V12" s="245" t="s">
        <v>262</v>
      </c>
      <c r="W12" s="231"/>
      <c r="X12" s="231"/>
      <c r="Y12" s="231"/>
      <c r="Z12" s="231"/>
      <c r="AA12" s="231"/>
      <c r="AB12" s="232"/>
      <c r="AC12" s="78"/>
      <c r="AD12" s="233">
        <f>+SUMPRODUCT(S12:U12,AI12:AK12)/1000</f>
        <v>0</v>
      </c>
      <c r="AE12" s="237">
        <f>+AE13+AE14</f>
        <v>0</v>
      </c>
      <c r="AF12" s="237">
        <f>+AF13+AF14</f>
        <v>0</v>
      </c>
      <c r="AG12" s="238">
        <f>+AG13+AG14</f>
        <v>0</v>
      </c>
      <c r="AH12" s="239"/>
      <c r="AI12" s="233">
        <f>+$K12*E12/1000</f>
        <v>0</v>
      </c>
      <c r="AJ12" s="235">
        <f>+$K12*G12/1000</f>
        <v>0</v>
      </c>
      <c r="AK12" s="235">
        <f>+$K12*I12/1000</f>
        <v>0</v>
      </c>
      <c r="AL12" s="240">
        <f t="shared" ref="AL12:AL17" si="0">+AJ12+AK12*10</f>
        <v>0</v>
      </c>
    </row>
    <row r="13" spans="1:39" s="89" customFormat="1" ht="15.75">
      <c r="A13" s="246" t="s">
        <v>331</v>
      </c>
      <c r="B13" s="247" t="s">
        <v>46</v>
      </c>
      <c r="C13" s="248" t="s">
        <v>263</v>
      </c>
      <c r="D13" s="78"/>
      <c r="E13" s="249"/>
      <c r="F13" s="250"/>
      <c r="G13" s="250"/>
      <c r="H13" s="250"/>
      <c r="I13" s="250"/>
      <c r="J13" s="250"/>
      <c r="K13" s="250"/>
      <c r="L13" s="250"/>
      <c r="M13" s="251"/>
      <c r="N13" s="252"/>
      <c r="O13" s="78"/>
      <c r="P13" s="214">
        <f>+VLOOKUP($B$1&amp;" - "&amp;$C13,'Default Parameter'!$A$8:$M$25,3,FALSE)</f>
        <v>43</v>
      </c>
      <c r="Q13" s="253" t="s">
        <v>52</v>
      </c>
      <c r="R13" s="78"/>
      <c r="S13" s="249"/>
      <c r="T13" s="250"/>
      <c r="U13" s="250"/>
      <c r="V13" s="250"/>
      <c r="W13" s="254">
        <f>+VLOOKUP($B$1&amp;" - "&amp;$C13,'Default Parameter'!$A$8:$M$25,5,FALSE)</f>
        <v>74100</v>
      </c>
      <c r="X13" s="245" t="s">
        <v>52</v>
      </c>
      <c r="Y13" s="254">
        <f>+VLOOKUP($B$1&amp;" - "&amp;$C13,'Default Parameter'!$A$8:$M$25,8,FALSE)</f>
        <v>3.9</v>
      </c>
      <c r="Z13" s="245" t="s">
        <v>52</v>
      </c>
      <c r="AA13" s="254">
        <f>+VLOOKUP($B$1&amp;" - "&amp;$C13,'Default Parameter'!$A$8:$M$25,11,FALSE)</f>
        <v>3.9</v>
      </c>
      <c r="AB13" s="253" t="s">
        <v>52</v>
      </c>
      <c r="AC13" s="78"/>
      <c r="AD13" s="346">
        <f>+$AD$12*M13</f>
        <v>0</v>
      </c>
      <c r="AE13" s="255">
        <f>+$AD13*$P13*W13/10^6</f>
        <v>0</v>
      </c>
      <c r="AF13" s="255">
        <f>+$AD13*$P13*Y13/10^6</f>
        <v>0</v>
      </c>
      <c r="AG13" s="256">
        <f>+$AD13*$P13*AA13/10^6</f>
        <v>0</v>
      </c>
      <c r="AH13" s="239"/>
      <c r="AI13" s="346">
        <f t="shared" ref="AI13:AK14" si="1">+AI$12*$M13</f>
        <v>0</v>
      </c>
      <c r="AJ13" s="347">
        <f t="shared" si="1"/>
        <v>0</v>
      </c>
      <c r="AK13" s="347">
        <f t="shared" si="1"/>
        <v>0</v>
      </c>
      <c r="AL13" s="348">
        <f t="shared" si="0"/>
        <v>0</v>
      </c>
    </row>
    <row r="14" spans="1:39" s="89" customFormat="1" ht="15.75">
      <c r="A14" s="246" t="s">
        <v>331</v>
      </c>
      <c r="B14" s="247" t="s">
        <v>46</v>
      </c>
      <c r="C14" s="248" t="s">
        <v>210</v>
      </c>
      <c r="D14" s="78"/>
      <c r="E14" s="249"/>
      <c r="F14" s="250"/>
      <c r="G14" s="250"/>
      <c r="H14" s="250"/>
      <c r="I14" s="250"/>
      <c r="J14" s="250"/>
      <c r="K14" s="250"/>
      <c r="L14" s="250"/>
      <c r="M14" s="257"/>
      <c r="N14" s="258"/>
      <c r="O14" s="78"/>
      <c r="P14" s="214">
        <f>+VLOOKUP($B$1&amp;" - "&amp;$C14,'Default Parameter'!$A$8:$M$25,3,FALSE)</f>
        <v>40.4</v>
      </c>
      <c r="Q14" s="253" t="s">
        <v>52</v>
      </c>
      <c r="R14" s="78"/>
      <c r="S14" s="249"/>
      <c r="T14" s="250"/>
      <c r="U14" s="250"/>
      <c r="V14" s="250"/>
      <c r="W14" s="254">
        <f>+VLOOKUP($B$1&amp;" - "&amp;$C14,'Default Parameter'!$A$8:$M$25,5,FALSE)</f>
        <v>77400</v>
      </c>
      <c r="X14" s="245" t="s">
        <v>52</v>
      </c>
      <c r="Y14" s="254">
        <f>+VLOOKUP($B$1&amp;" - "&amp;$C14,'Default Parameter'!$A$8:$M$25,8,FALSE)</f>
        <v>7</v>
      </c>
      <c r="Z14" s="245" t="s">
        <v>52</v>
      </c>
      <c r="AA14" s="254">
        <f>+VLOOKUP($B$1&amp;" - "&amp;$C14,'Default Parameter'!$A$8:$M$25,11,FALSE)</f>
        <v>2</v>
      </c>
      <c r="AB14" s="253" t="s">
        <v>52</v>
      </c>
      <c r="AC14" s="78"/>
      <c r="AD14" s="346">
        <f>+$AD$12*M14</f>
        <v>0</v>
      </c>
      <c r="AE14" s="255">
        <f>+$AD14*$P14*W14/10^6</f>
        <v>0</v>
      </c>
      <c r="AF14" s="255">
        <f>+$AD14*$P14*Y14/10^6</f>
        <v>0</v>
      </c>
      <c r="AG14" s="256">
        <f>+$AD14*$P14*AA14/10^6</f>
        <v>0</v>
      </c>
      <c r="AH14" s="239"/>
      <c r="AI14" s="346">
        <f t="shared" si="1"/>
        <v>0</v>
      </c>
      <c r="AJ14" s="347">
        <f t="shared" si="1"/>
        <v>0</v>
      </c>
      <c r="AK14" s="347">
        <f t="shared" si="1"/>
        <v>0</v>
      </c>
      <c r="AL14" s="348">
        <f t="shared" si="0"/>
        <v>0</v>
      </c>
    </row>
    <row r="15" spans="1:39" s="554" customFormat="1" ht="15.75">
      <c r="A15" s="540" t="s">
        <v>335</v>
      </c>
      <c r="B15" s="541" t="s">
        <v>46</v>
      </c>
      <c r="C15" s="542" t="s">
        <v>46</v>
      </c>
      <c r="D15" s="543"/>
      <c r="E15" s="544"/>
      <c r="F15" s="545"/>
      <c r="G15" s="546"/>
      <c r="H15" s="545"/>
      <c r="I15" s="547"/>
      <c r="J15" s="541"/>
      <c r="K15" s="546"/>
      <c r="L15" s="545"/>
      <c r="M15" s="541"/>
      <c r="N15" s="542"/>
      <c r="O15" s="582"/>
      <c r="P15" s="540"/>
      <c r="Q15" s="542"/>
      <c r="R15" s="582"/>
      <c r="S15" s="548">
        <v>20</v>
      </c>
      <c r="T15" s="549">
        <v>2.3168758697571015</v>
      </c>
      <c r="U15" s="549">
        <v>32.444119270782871</v>
      </c>
      <c r="V15" s="549" t="s">
        <v>394</v>
      </c>
      <c r="W15" s="541"/>
      <c r="X15" s="541"/>
      <c r="Y15" s="541"/>
      <c r="Z15" s="541"/>
      <c r="AA15" s="541"/>
      <c r="AB15" s="542"/>
      <c r="AC15" s="582"/>
      <c r="AD15" s="550">
        <f>+SUMPRODUCT(S15:U15,AI15:AK15)/1000</f>
        <v>0</v>
      </c>
      <c r="AE15" s="551">
        <f>+AE16+AE17</f>
        <v>0</v>
      </c>
      <c r="AF15" s="551">
        <f>+AF16+AF17</f>
        <v>0</v>
      </c>
      <c r="AG15" s="552">
        <f>+AG16+AG17</f>
        <v>0</v>
      </c>
      <c r="AH15" s="583"/>
      <c r="AI15" s="550">
        <f>+$K15*E15/1000</f>
        <v>0</v>
      </c>
      <c r="AJ15" s="547">
        <f>+$K15*G15/1000</f>
        <v>0</v>
      </c>
      <c r="AK15" s="547">
        <f>+$K15*I15/1000</f>
        <v>0</v>
      </c>
      <c r="AL15" s="553">
        <f t="shared" si="0"/>
        <v>0</v>
      </c>
    </row>
    <row r="16" spans="1:39" s="566" customFormat="1" ht="15.75">
      <c r="A16" s="555" t="s">
        <v>335</v>
      </c>
      <c r="B16" s="545" t="s">
        <v>46</v>
      </c>
      <c r="C16" s="556" t="s">
        <v>263</v>
      </c>
      <c r="D16" s="557"/>
      <c r="E16" s="555"/>
      <c r="F16" s="545"/>
      <c r="G16" s="545"/>
      <c r="H16" s="545"/>
      <c r="I16" s="545"/>
      <c r="J16" s="545"/>
      <c r="K16" s="545"/>
      <c r="L16" s="545"/>
      <c r="M16" s="558"/>
      <c r="N16" s="559"/>
      <c r="O16" s="87"/>
      <c r="P16" s="560">
        <f>+VLOOKUP($B$1&amp;" - "&amp;$C16,'Default Parameter'!$A$8:$M$25,3,FALSE)</f>
        <v>43</v>
      </c>
      <c r="Q16" s="561" t="s">
        <v>52</v>
      </c>
      <c r="R16" s="87"/>
      <c r="S16" s="540"/>
      <c r="T16" s="541"/>
      <c r="U16" s="541"/>
      <c r="V16" s="541"/>
      <c r="W16" s="562">
        <f>+VLOOKUP($B$1&amp;" - "&amp;$C16,'Default Parameter'!$A$8:$M$25,5,FALSE)</f>
        <v>74100</v>
      </c>
      <c r="X16" s="549" t="s">
        <v>52</v>
      </c>
      <c r="Y16" s="562">
        <f>+VLOOKUP($B$1&amp;" - "&amp;$C16,'Default Parameter'!$A$8:$M$25,8,FALSE)</f>
        <v>3.9</v>
      </c>
      <c r="Z16" s="549" t="s">
        <v>52</v>
      </c>
      <c r="AA16" s="562">
        <f>+VLOOKUP($B$1&amp;" - "&amp;$C16,'Default Parameter'!$A$8:$M$25,11,FALSE)</f>
        <v>3.9</v>
      </c>
      <c r="AB16" s="561" t="s">
        <v>52</v>
      </c>
      <c r="AC16" s="87"/>
      <c r="AD16" s="544">
        <f>+$AD$15*M16</f>
        <v>0</v>
      </c>
      <c r="AE16" s="563">
        <f>+$AD16*$P16*W16/10^6</f>
        <v>0</v>
      </c>
      <c r="AF16" s="563">
        <f>+$AD16*$P16*Y16/10^6</f>
        <v>0</v>
      </c>
      <c r="AG16" s="564">
        <f>+$AD16*$P16*AA16/10^6</f>
        <v>0</v>
      </c>
      <c r="AH16" s="88"/>
      <c r="AI16" s="544">
        <f t="shared" ref="AI16:AK17" si="2">+AI$15*$M16</f>
        <v>0</v>
      </c>
      <c r="AJ16" s="546">
        <f t="shared" si="2"/>
        <v>0</v>
      </c>
      <c r="AK16" s="546">
        <f t="shared" si="2"/>
        <v>0</v>
      </c>
      <c r="AL16" s="565">
        <f>+AJ16+AK16*10</f>
        <v>0</v>
      </c>
    </row>
    <row r="17" spans="1:38" s="566" customFormat="1" ht="16.5" thickBot="1">
      <c r="A17" s="567" t="s">
        <v>335</v>
      </c>
      <c r="B17" s="568" t="s">
        <v>46</v>
      </c>
      <c r="C17" s="556" t="s">
        <v>210</v>
      </c>
      <c r="D17" s="557"/>
      <c r="E17" s="567"/>
      <c r="F17" s="568"/>
      <c r="G17" s="568"/>
      <c r="H17" s="568"/>
      <c r="I17" s="568"/>
      <c r="J17" s="568"/>
      <c r="K17" s="568"/>
      <c r="L17" s="568"/>
      <c r="M17" s="569"/>
      <c r="N17" s="570"/>
      <c r="O17" s="87"/>
      <c r="P17" s="571">
        <f>+VLOOKUP($B$1&amp;" - "&amp;$C17,'Default Parameter'!$A$8:$M$25,3,FALSE)</f>
        <v>40.4</v>
      </c>
      <c r="Q17" s="572" t="s">
        <v>52</v>
      </c>
      <c r="R17" s="87"/>
      <c r="S17" s="573"/>
      <c r="T17" s="574"/>
      <c r="U17" s="574"/>
      <c r="V17" s="574"/>
      <c r="W17" s="575">
        <f>+VLOOKUP($B$1&amp;" - "&amp;$C17,'Default Parameter'!$A$8:$M$25,5,FALSE)</f>
        <v>77400</v>
      </c>
      <c r="X17" s="576" t="s">
        <v>52</v>
      </c>
      <c r="Y17" s="575">
        <f>+VLOOKUP($B$1&amp;" - "&amp;$C17,'Default Parameter'!$A$8:$M$25,8,FALSE)</f>
        <v>7</v>
      </c>
      <c r="Z17" s="576" t="s">
        <v>52</v>
      </c>
      <c r="AA17" s="575">
        <f>+VLOOKUP($B$1&amp;" - "&amp;$C17,'Default Parameter'!$A$8:$M$25,11,FALSE)</f>
        <v>2</v>
      </c>
      <c r="AB17" s="572" t="s">
        <v>52</v>
      </c>
      <c r="AC17" s="87"/>
      <c r="AD17" s="577">
        <f>+$AD$15*M17</f>
        <v>0</v>
      </c>
      <c r="AE17" s="578">
        <f>+$AD17*$P17*W17/10^6</f>
        <v>0</v>
      </c>
      <c r="AF17" s="578">
        <f>+$AD17*$P17*Y17/10^6</f>
        <v>0</v>
      </c>
      <c r="AG17" s="579">
        <f>+$AD17*$P17*AA17/10^6</f>
        <v>0</v>
      </c>
      <c r="AH17" s="88"/>
      <c r="AI17" s="577">
        <f t="shared" si="2"/>
        <v>0</v>
      </c>
      <c r="AJ17" s="580">
        <f t="shared" si="2"/>
        <v>0</v>
      </c>
      <c r="AK17" s="580">
        <f t="shared" si="2"/>
        <v>0</v>
      </c>
      <c r="AL17" s="581">
        <f t="shared" si="0"/>
        <v>0</v>
      </c>
    </row>
    <row r="20" spans="1:38">
      <c r="A20" s="98"/>
    </row>
    <row r="21" spans="1:38">
      <c r="A21" s="98"/>
    </row>
    <row r="22" spans="1:38">
      <c r="A22" s="98"/>
    </row>
    <row r="23" spans="1:38">
      <c r="A23" s="98"/>
      <c r="B23" s="82"/>
      <c r="C23" s="82"/>
      <c r="E23" s="82"/>
      <c r="F23" s="82"/>
      <c r="G23" s="82"/>
      <c r="M23" s="82"/>
      <c r="N23" s="82"/>
    </row>
    <row r="24" spans="1:38">
      <c r="A24" s="82"/>
      <c r="B24" s="98"/>
      <c r="C24" s="82"/>
      <c r="E24" s="82"/>
      <c r="F24" s="82"/>
      <c r="G24" s="82"/>
      <c r="M24" s="82"/>
      <c r="N24" s="82"/>
    </row>
    <row r="25" spans="1:38">
      <c r="A25" s="64"/>
      <c r="B25" s="64"/>
      <c r="C25" s="64"/>
      <c r="E25" s="82"/>
      <c r="F25" s="82"/>
      <c r="G25" s="82"/>
      <c r="M25" s="64"/>
      <c r="N25" s="64"/>
    </row>
    <row r="26" spans="1:38">
      <c r="A26" s="64"/>
      <c r="B26" s="64"/>
      <c r="C26" s="64"/>
      <c r="E26" s="82"/>
      <c r="F26" s="82"/>
      <c r="G26" s="82"/>
      <c r="M26" s="64"/>
      <c r="N26" s="64"/>
    </row>
    <row r="27" spans="1:38">
      <c r="A27" s="82"/>
      <c r="B27" s="82"/>
      <c r="C27" s="82"/>
      <c r="E27" s="82"/>
      <c r="F27" s="82"/>
      <c r="G27" s="82"/>
      <c r="M27" s="82"/>
      <c r="N27" s="82"/>
    </row>
    <row r="28" spans="1:38">
      <c r="A28" s="82"/>
      <c r="B28" s="82"/>
      <c r="C28" s="82"/>
      <c r="E28" s="82"/>
      <c r="F28" s="82"/>
      <c r="G28" s="82"/>
      <c r="M28" s="82"/>
      <c r="N28" s="82"/>
    </row>
    <row r="29" spans="1:38">
      <c r="A29" s="64"/>
      <c r="B29" s="64"/>
      <c r="C29" s="64"/>
      <c r="E29" s="82"/>
      <c r="F29" s="82"/>
      <c r="G29" s="82"/>
      <c r="M29" s="64"/>
      <c r="N29" s="64"/>
    </row>
    <row r="30" spans="1:38">
      <c r="A30" s="82"/>
      <c r="B30" s="82"/>
      <c r="C30" s="82"/>
      <c r="E30" s="82"/>
      <c r="F30" s="82"/>
      <c r="G30" s="82"/>
      <c r="M30" s="82"/>
      <c r="N30" s="82"/>
    </row>
    <row r="31" spans="1:38">
      <c r="A31" s="82"/>
      <c r="B31" s="82"/>
      <c r="C31" s="82"/>
      <c r="E31" s="82"/>
      <c r="F31" s="82"/>
      <c r="G31" s="82"/>
      <c r="M31" s="82"/>
      <c r="N31" s="82"/>
    </row>
    <row r="32" spans="1:38">
      <c r="A32" s="82"/>
      <c r="B32" s="82"/>
      <c r="C32" s="82"/>
      <c r="E32" s="82"/>
      <c r="F32" s="82"/>
      <c r="G32" s="82"/>
      <c r="M32" s="82"/>
      <c r="N32" s="82"/>
    </row>
    <row r="33" spans="1:14">
      <c r="A33" s="82"/>
      <c r="B33" s="82"/>
      <c r="C33" s="82"/>
      <c r="E33" s="82"/>
      <c r="F33" s="82"/>
      <c r="G33" s="82"/>
      <c r="M33" s="82"/>
      <c r="N33" s="82"/>
    </row>
  </sheetData>
  <mergeCells count="20">
    <mergeCell ref="AI6:AL6"/>
    <mergeCell ref="A6:C6"/>
    <mergeCell ref="E6:N6"/>
    <mergeCell ref="P6:Q6"/>
    <mergeCell ref="S6:AB6"/>
    <mergeCell ref="AD6:AG6"/>
    <mergeCell ref="Y7:Z7"/>
    <mergeCell ref="S7:V7"/>
    <mergeCell ref="AA7:AB7"/>
    <mergeCell ref="E7:F7"/>
    <mergeCell ref="G7:H7"/>
    <mergeCell ref="I7:J7"/>
    <mergeCell ref="K7:L7"/>
    <mergeCell ref="M7:N7"/>
    <mergeCell ref="P7:Q7"/>
    <mergeCell ref="A4:B4"/>
    <mergeCell ref="A7:A8"/>
    <mergeCell ref="B7:B8"/>
    <mergeCell ref="C7:C8"/>
    <mergeCell ref="W7:X7"/>
  </mergeCells>
  <hyperlinks>
    <hyperlink ref="A4" location="'Top-Down Validation'!H9" display="→Go to: Top-Down Validation" xr:uid="{00000000-0004-0000-0400-000000000000}"/>
    <hyperlink ref="A4:B4" location="'Top-Down Validation'!Z9" display="→Go to: Top-Down Validation" xr:uid="{00000000-0004-0000-0400-000001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73E9-79F8-40C4-9706-278A5C2DB50F}">
  <sheetPr>
    <tabColor theme="6" tint="0.39997558519241921"/>
  </sheetPr>
  <dimension ref="A1:E3"/>
  <sheetViews>
    <sheetView workbookViewId="0">
      <selection activeCell="E3" sqref="E3"/>
    </sheetView>
  </sheetViews>
  <sheetFormatPr defaultRowHeight="15"/>
  <cols>
    <col min="3" max="3" width="10.42578125" bestFit="1" customWidth="1"/>
    <col min="4" max="4" width="15.7109375" bestFit="1" customWidth="1"/>
    <col min="5" max="5" width="12" bestFit="1" customWidth="1"/>
  </cols>
  <sheetData>
    <row r="1" spans="1:5">
      <c r="B1" s="520" t="s">
        <v>353</v>
      </c>
    </row>
    <row r="2" spans="1:5">
      <c r="A2" t="s">
        <v>483</v>
      </c>
      <c r="B2" t="s">
        <v>485</v>
      </c>
      <c r="C2" t="s">
        <v>486</v>
      </c>
      <c r="D2" t="s">
        <v>487</v>
      </c>
      <c r="E2" t="s">
        <v>481</v>
      </c>
    </row>
    <row r="3" spans="1:5">
      <c r="A3" t="s">
        <v>484</v>
      </c>
      <c r="B3">
        <v>100</v>
      </c>
      <c r="C3">
        <v>160</v>
      </c>
      <c r="D3" s="522">
        <f>C3*B3*24*12</f>
        <v>4608000</v>
      </c>
      <c r="E3" s="523">
        <f>D3*'Default Parameter'!$D$11/1000000</f>
        <v>3.8886075949367069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9295-D65D-4199-B5C0-11CAAF575831}">
  <sheetPr>
    <tabColor theme="7" tint="0.39997558519241921"/>
  </sheetPr>
  <dimension ref="A1:H12"/>
  <sheetViews>
    <sheetView workbookViewId="0">
      <selection activeCell="A11" sqref="A11:A12"/>
    </sheetView>
  </sheetViews>
  <sheetFormatPr defaultRowHeight="15"/>
  <cols>
    <col min="1" max="1" width="10.42578125" bestFit="1" customWidth="1"/>
    <col min="3" max="3" width="15.42578125" customWidth="1"/>
    <col min="4" max="4" width="14" customWidth="1"/>
    <col min="5" max="5" width="12.85546875" customWidth="1"/>
    <col min="6" max="6" width="13.7109375" bestFit="1" customWidth="1"/>
    <col min="7" max="7" width="18" customWidth="1"/>
  </cols>
  <sheetData>
    <row r="1" spans="1:8" ht="15.75">
      <c r="A1" s="585" t="s">
        <v>550</v>
      </c>
    </row>
    <row r="2" spans="1:8" ht="60" customHeight="1">
      <c r="A2" s="586" t="s">
        <v>483</v>
      </c>
      <c r="B2" s="586" t="s">
        <v>513</v>
      </c>
      <c r="C2" s="586" t="s">
        <v>512</v>
      </c>
      <c r="D2" s="586" t="s">
        <v>510</v>
      </c>
      <c r="E2" s="586" t="s">
        <v>514</v>
      </c>
      <c r="F2" s="587" t="s">
        <v>516</v>
      </c>
      <c r="G2" s="588" t="s">
        <v>515</v>
      </c>
    </row>
    <row r="3" spans="1:8">
      <c r="A3" t="s">
        <v>484</v>
      </c>
      <c r="B3">
        <v>15</v>
      </c>
      <c r="C3">
        <v>33</v>
      </c>
      <c r="D3">
        <v>20</v>
      </c>
      <c r="E3">
        <v>288</v>
      </c>
      <c r="F3" s="589">
        <f>'Default Parameter'!$D$10</f>
        <v>0.7407407407407407</v>
      </c>
      <c r="G3" s="595">
        <f>C3*D3*E3*F3</f>
        <v>140800</v>
      </c>
    </row>
    <row r="4" spans="1:8">
      <c r="A4" t="s">
        <v>484</v>
      </c>
      <c r="B4">
        <v>40</v>
      </c>
      <c r="C4">
        <v>33</v>
      </c>
      <c r="D4">
        <v>50</v>
      </c>
      <c r="E4">
        <v>288</v>
      </c>
      <c r="F4" s="589">
        <f>'Default Parameter'!$D$10</f>
        <v>0.7407407407407407</v>
      </c>
      <c r="G4">
        <f>C4*D4*E4*F4</f>
        <v>352000</v>
      </c>
    </row>
    <row r="5" spans="1:8">
      <c r="A5" t="s">
        <v>484</v>
      </c>
      <c r="B5">
        <v>200</v>
      </c>
      <c r="C5">
        <v>34</v>
      </c>
      <c r="D5">
        <v>160</v>
      </c>
      <c r="E5">
        <v>288</v>
      </c>
      <c r="F5" s="589">
        <f>'Default Parameter'!$D$10</f>
        <v>0.7407407407407407</v>
      </c>
      <c r="G5">
        <f>C5*D5*E5*F5</f>
        <v>1160533.3333333333</v>
      </c>
    </row>
    <row r="6" spans="1:8">
      <c r="A6" t="s">
        <v>549</v>
      </c>
      <c r="F6" s="589"/>
    </row>
    <row r="8" spans="1:8" ht="18.75">
      <c r="B8" s="518" t="s">
        <v>517</v>
      </c>
      <c r="C8">
        <f>SUM(C3:C5)</f>
        <v>100</v>
      </c>
      <c r="D8">
        <f>SUM(D3:D5)</f>
        <v>230</v>
      </c>
      <c r="E8">
        <f>SUM(E3:E5)</f>
        <v>864</v>
      </c>
      <c r="G8" s="590">
        <f>SUM(G3:G5)</f>
        <v>1653333.3333333333</v>
      </c>
      <c r="H8" s="518" t="s">
        <v>532</v>
      </c>
    </row>
    <row r="10" spans="1:8" ht="15.75" thickBot="1"/>
    <row r="11" spans="1:8" ht="16.5" thickTop="1" thickBot="1">
      <c r="A11" s="622" t="s">
        <v>548</v>
      </c>
    </row>
    <row r="12" spans="1:8" ht="15.75" thickTop="1">
      <c r="A12"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4B0C-C408-4D38-8646-27E73AE26271}">
  <sheetPr>
    <tabColor theme="7" tint="0.39997558519241921"/>
    <pageSetUpPr autoPageBreaks="0"/>
  </sheetPr>
  <dimension ref="A1:J22"/>
  <sheetViews>
    <sheetView zoomScaleNormal="100" workbookViewId="0">
      <selection activeCell="A20" sqref="A20"/>
    </sheetView>
  </sheetViews>
  <sheetFormatPr defaultRowHeight="15"/>
  <cols>
    <col min="6" max="6" width="13.5703125" customWidth="1"/>
    <col min="9" max="9" width="12" bestFit="1" customWidth="1"/>
  </cols>
  <sheetData>
    <row r="1" spans="1:9" ht="15.75">
      <c r="A1" s="610" t="s">
        <v>518</v>
      </c>
      <c r="B1" s="601"/>
      <c r="C1" s="601"/>
      <c r="D1" s="601"/>
      <c r="E1" s="601"/>
      <c r="F1" s="531"/>
      <c r="G1" s="531"/>
      <c r="H1" s="531"/>
      <c r="I1" s="531"/>
    </row>
    <row r="2" spans="1:9" ht="69" customHeight="1">
      <c r="A2" s="586" t="s">
        <v>519</v>
      </c>
      <c r="B2" s="586" t="s">
        <v>522</v>
      </c>
      <c r="C2" s="586" t="s">
        <v>529</v>
      </c>
      <c r="D2" s="586" t="s">
        <v>525</v>
      </c>
      <c r="E2" s="586" t="s">
        <v>526</v>
      </c>
      <c r="F2" s="587" t="s">
        <v>527</v>
      </c>
      <c r="G2" s="587" t="s">
        <v>528</v>
      </c>
      <c r="H2" s="588" t="s">
        <v>530</v>
      </c>
      <c r="I2" s="588" t="s">
        <v>531</v>
      </c>
    </row>
    <row r="3" spans="1:9">
      <c r="A3" s="602" t="s">
        <v>520</v>
      </c>
      <c r="B3" s="602" t="s">
        <v>523</v>
      </c>
      <c r="C3" s="602">
        <v>200</v>
      </c>
      <c r="D3" s="603">
        <v>0.4</v>
      </c>
      <c r="E3" s="604">
        <v>35.1</v>
      </c>
      <c r="F3" s="602">
        <v>190</v>
      </c>
      <c r="G3" s="602">
        <v>3.19</v>
      </c>
      <c r="H3" s="602">
        <f>C3*D3*E3*F3/1000000</f>
        <v>0.53351999999999999</v>
      </c>
      <c r="I3" s="602">
        <f>H3*G3</f>
        <v>1.7019287999999999</v>
      </c>
    </row>
    <row r="4" spans="1:9">
      <c r="A4" s="602" t="s">
        <v>520</v>
      </c>
      <c r="B4" s="602" t="s">
        <v>523</v>
      </c>
      <c r="C4" s="602"/>
      <c r="D4" s="603"/>
      <c r="E4" s="604"/>
      <c r="F4" s="602"/>
      <c r="G4" s="602"/>
      <c r="H4" s="602"/>
      <c r="I4" s="602"/>
    </row>
    <row r="5" spans="1:9">
      <c r="A5" s="602" t="s">
        <v>520</v>
      </c>
      <c r="B5" s="602" t="s">
        <v>523</v>
      </c>
      <c r="C5" s="602"/>
      <c r="D5" s="603"/>
      <c r="E5" s="604"/>
      <c r="F5" s="602"/>
      <c r="G5" s="602"/>
      <c r="H5" s="602"/>
      <c r="I5" s="602"/>
    </row>
    <row r="6" spans="1:9">
      <c r="A6" s="605" t="s">
        <v>521</v>
      </c>
      <c r="B6" s="605" t="s">
        <v>524</v>
      </c>
      <c r="C6" s="605">
        <v>4749</v>
      </c>
      <c r="D6" s="606">
        <v>0.5</v>
      </c>
      <c r="E6" s="607">
        <v>1000</v>
      </c>
      <c r="F6" s="605">
        <v>185</v>
      </c>
      <c r="G6" s="605">
        <v>3.19</v>
      </c>
      <c r="H6" s="605">
        <f>C6*D6*E6*F6/1000000</f>
        <v>439.28250000000003</v>
      </c>
      <c r="I6" s="605">
        <f>H6*G6</f>
        <v>1401.311175</v>
      </c>
    </row>
    <row r="7" spans="1:9">
      <c r="A7" s="605" t="s">
        <v>521</v>
      </c>
      <c r="B7" s="605" t="s">
        <v>524</v>
      </c>
      <c r="C7" s="605"/>
      <c r="D7" s="606"/>
      <c r="E7" s="607"/>
      <c r="F7" s="605"/>
      <c r="G7" s="605"/>
      <c r="H7" s="605"/>
      <c r="I7" s="605"/>
    </row>
    <row r="8" spans="1:9">
      <c r="A8" s="605" t="s">
        <v>521</v>
      </c>
      <c r="B8" s="605" t="s">
        <v>524</v>
      </c>
      <c r="C8" s="605"/>
      <c r="D8" s="606"/>
      <c r="E8" s="607"/>
      <c r="F8" s="605"/>
      <c r="G8" s="605"/>
      <c r="H8" s="605"/>
      <c r="I8" s="605"/>
    </row>
    <row r="9" spans="1:9">
      <c r="A9" s="605" t="s">
        <v>521</v>
      </c>
      <c r="B9" s="605" t="s">
        <v>524</v>
      </c>
      <c r="C9" s="605"/>
      <c r="D9" s="606"/>
      <c r="E9" s="607"/>
      <c r="F9" s="605"/>
      <c r="G9" s="605"/>
      <c r="H9" s="605"/>
      <c r="I9" s="605"/>
    </row>
    <row r="10" spans="1:9">
      <c r="A10" s="605" t="s">
        <v>521</v>
      </c>
      <c r="B10" s="605" t="s">
        <v>524</v>
      </c>
      <c r="C10" s="605"/>
      <c r="D10" s="606"/>
      <c r="E10" s="607"/>
      <c r="F10" s="605"/>
      <c r="G10" s="605"/>
      <c r="H10" s="605"/>
      <c r="I10" s="605"/>
    </row>
    <row r="11" spans="1:9">
      <c r="A11" s="605" t="s">
        <v>521</v>
      </c>
      <c r="B11" s="605" t="s">
        <v>524</v>
      </c>
      <c r="C11" s="605"/>
      <c r="D11" s="606"/>
      <c r="E11" s="607"/>
      <c r="F11" s="605"/>
      <c r="G11" s="605"/>
      <c r="H11" s="605"/>
      <c r="I11" s="605"/>
    </row>
    <row r="12" spans="1:9">
      <c r="A12" s="602" t="s">
        <v>521</v>
      </c>
      <c r="B12" s="602" t="s">
        <v>523</v>
      </c>
      <c r="C12" s="602">
        <v>200</v>
      </c>
      <c r="D12" s="603">
        <v>0.4</v>
      </c>
      <c r="E12" s="604">
        <v>1000</v>
      </c>
      <c r="F12" s="602">
        <v>190</v>
      </c>
      <c r="G12" s="602">
        <v>3.19</v>
      </c>
      <c r="H12" s="602">
        <f>C12*D12*E12*F12/1000000</f>
        <v>15.2</v>
      </c>
      <c r="I12" s="602">
        <f>H12*G12</f>
        <v>48.488</v>
      </c>
    </row>
    <row r="13" spans="1:9">
      <c r="A13" s="602" t="s">
        <v>521</v>
      </c>
      <c r="B13" s="602" t="s">
        <v>523</v>
      </c>
      <c r="C13" s="602"/>
      <c r="D13" s="603"/>
      <c r="E13" s="604"/>
      <c r="F13" s="602"/>
      <c r="G13" s="602"/>
      <c r="H13" s="602"/>
      <c r="I13" s="602"/>
    </row>
    <row r="14" spans="1:9">
      <c r="A14" s="602" t="s">
        <v>521</v>
      </c>
      <c r="B14" s="602" t="s">
        <v>523</v>
      </c>
      <c r="C14" s="602"/>
      <c r="D14" s="603"/>
      <c r="E14" s="604"/>
      <c r="F14" s="602"/>
      <c r="G14" s="602"/>
      <c r="H14" s="602"/>
      <c r="I14" s="602"/>
    </row>
    <row r="15" spans="1:9">
      <c r="A15" s="602" t="s">
        <v>521</v>
      </c>
      <c r="B15" s="602" t="s">
        <v>523</v>
      </c>
      <c r="C15" s="602"/>
      <c r="D15" s="603"/>
      <c r="E15" s="604"/>
      <c r="F15" s="602"/>
      <c r="G15" s="602"/>
      <c r="H15" s="602"/>
      <c r="I15" s="602"/>
    </row>
    <row r="16" spans="1:9">
      <c r="A16" s="602" t="s">
        <v>521</v>
      </c>
      <c r="B16" s="602" t="s">
        <v>523</v>
      </c>
      <c r="C16" s="602"/>
      <c r="D16" s="603"/>
      <c r="E16" s="604"/>
      <c r="F16" s="602"/>
      <c r="G16" s="602"/>
      <c r="H16" s="602"/>
      <c r="I16" s="602"/>
    </row>
    <row r="17" spans="1:10">
      <c r="A17" s="602" t="s">
        <v>521</v>
      </c>
      <c r="B17" s="602" t="s">
        <v>523</v>
      </c>
      <c r="C17" s="602"/>
      <c r="D17" s="602"/>
      <c r="E17" s="602"/>
      <c r="F17" s="602"/>
      <c r="G17" s="602"/>
      <c r="H17" s="602"/>
      <c r="I17" s="602"/>
    </row>
    <row r="18" spans="1:10" ht="18.75">
      <c r="A18" s="531"/>
      <c r="B18" s="608"/>
      <c r="C18" s="608"/>
      <c r="D18" s="608"/>
      <c r="E18" s="608"/>
      <c r="F18" s="531"/>
      <c r="G18" s="531"/>
      <c r="H18" s="609">
        <f>SUM(H3:H17)</f>
        <v>455.01602000000003</v>
      </c>
      <c r="I18" s="609">
        <f>SUM(I3:I17)</f>
        <v>1451.5011038</v>
      </c>
      <c r="J18" s="518" t="s">
        <v>532</v>
      </c>
    </row>
    <row r="19" spans="1:10" ht="15.75" thickBot="1"/>
    <row r="20" spans="1:10" ht="16.5" thickTop="1" thickBot="1">
      <c r="A20" s="622" t="s">
        <v>548</v>
      </c>
    </row>
    <row r="21" spans="1:10" ht="15.75" thickTop="1">
      <c r="A21" t="s">
        <v>552</v>
      </c>
    </row>
    <row r="22" spans="1:10">
      <c r="A22" t="s">
        <v>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pageSetUpPr autoPageBreaks="0"/>
  </sheetPr>
  <dimension ref="A1:BC34"/>
  <sheetViews>
    <sheetView showGridLines="0" zoomScale="70" zoomScaleNormal="70" workbookViewId="0">
      <pane xSplit="4" ySplit="9" topLeftCell="W10" activePane="bottomRight" state="frozen"/>
      <selection activeCell="I5" sqref="I5"/>
      <selection pane="topRight" activeCell="I5" sqref="I5"/>
      <selection pane="bottomLeft" activeCell="I5" sqref="I5"/>
      <selection pane="bottomRight" activeCell="AY21" sqref="AY21"/>
    </sheetView>
  </sheetViews>
  <sheetFormatPr defaultColWidth="11.42578125" defaultRowHeight="15" outlineLevelCol="1"/>
  <cols>
    <col min="1" max="1" width="16.140625" style="83" customWidth="1"/>
    <col min="2" max="2" width="27.140625" style="83" customWidth="1"/>
    <col min="3" max="3" width="13.42578125" style="83" hidden="1" customWidth="1"/>
    <col min="4" max="4" width="16.28515625" style="83" customWidth="1"/>
    <col min="5" max="5" width="13.28515625" style="83" customWidth="1"/>
    <col min="6" max="6" width="9.85546875" style="83" customWidth="1"/>
    <col min="7" max="7" width="26.42578125" style="83" customWidth="1"/>
    <col min="8" max="8" width="2.7109375" style="82" customWidth="1"/>
    <col min="9" max="9" width="11.42578125" style="83" customWidth="1"/>
    <col min="10" max="10" width="15.42578125" style="83" customWidth="1"/>
    <col min="11" max="11" width="9.7109375" style="83" customWidth="1"/>
    <col min="12" max="12" width="12.5703125" style="83" customWidth="1"/>
    <col min="13" max="13" width="11.5703125" style="83" customWidth="1"/>
    <col min="14" max="14" width="5.7109375" style="83" customWidth="1"/>
    <col min="15" max="15" width="11.42578125" style="83" customWidth="1"/>
    <col min="16" max="16" width="16.7109375" style="83" customWidth="1"/>
    <col min="17" max="17" width="3.85546875" style="84" customWidth="1"/>
    <col min="18" max="18" width="11.85546875" style="83" customWidth="1"/>
    <col min="19" max="19" width="13.85546875" style="83" customWidth="1"/>
    <col min="20" max="20" width="3.85546875" style="84" customWidth="1"/>
    <col min="21" max="21" width="11.42578125" style="83" customWidth="1"/>
    <col min="22" max="22" width="26.7109375" style="83" customWidth="1"/>
    <col min="23" max="23" width="9.5703125" style="83" bestFit="1" customWidth="1"/>
    <col min="24" max="24" width="9.5703125" style="83" customWidth="1"/>
    <col min="25" max="25" width="7.42578125" style="84" customWidth="1"/>
    <col min="26" max="26" width="7.85546875" style="84" bestFit="1" customWidth="1"/>
    <col min="27" max="32" width="11.42578125" style="82"/>
    <col min="33" max="33" width="3.7109375" style="83" customWidth="1"/>
    <col min="34" max="34" width="15.5703125" style="83" customWidth="1"/>
    <col min="35" max="35" width="15.5703125" style="82" bestFit="1" customWidth="1"/>
    <col min="36" max="36" width="13.85546875" style="82" customWidth="1"/>
    <col min="37" max="37" width="14.7109375" style="82" customWidth="1"/>
    <col min="38" max="38" width="1.85546875" style="82" customWidth="1"/>
    <col min="39" max="39" width="9.7109375" style="83" hidden="1" customWidth="1" outlineLevel="1"/>
    <col min="40" max="40" width="13.5703125" style="82" hidden="1" customWidth="1" outlineLevel="1"/>
    <col min="41" max="41" width="11.42578125" style="83" hidden="1" customWidth="1" outlineLevel="1"/>
    <col min="42" max="42" width="12.85546875" style="83" hidden="1" customWidth="1" outlineLevel="1"/>
    <col min="43" max="43" width="12.7109375" style="83" hidden="1" customWidth="1" outlineLevel="1"/>
    <col min="44" max="44" width="12.28515625" style="83" hidden="1" customWidth="1" outlineLevel="1"/>
    <col min="45" max="45" width="7" style="83" hidden="1" customWidth="1" outlineLevel="1"/>
    <col min="46" max="46" width="12.28515625" style="84" hidden="1" customWidth="1" outlineLevel="1"/>
    <col min="47" max="47" width="15" style="84" hidden="1" customWidth="1" outlineLevel="1"/>
    <col min="48" max="48" width="14.42578125" style="84" hidden="1" customWidth="1" outlineLevel="1"/>
    <col min="49" max="49" width="1.7109375" style="82" customWidth="1" collapsed="1"/>
    <col min="50" max="50" width="33.7109375" style="82" customWidth="1"/>
    <col min="51" max="51" width="3.7109375" style="83" customWidth="1"/>
    <col min="52" max="52" width="26" style="83" bestFit="1" customWidth="1"/>
    <col min="53" max="55" width="26" style="83" customWidth="1"/>
    <col min="56" max="16384" width="11.42578125" style="83"/>
  </cols>
  <sheetData>
    <row r="1" spans="1:55" ht="27.75" customHeight="1" thickBot="1">
      <c r="A1" s="67" t="s">
        <v>160</v>
      </c>
      <c r="B1" s="68" t="s">
        <v>325</v>
      </c>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row>
    <row r="2" spans="1:55" ht="27.75" customHeight="1" thickBot="1">
      <c r="A2" s="69" t="s">
        <v>2</v>
      </c>
      <c r="B2" s="516" t="s">
        <v>397</v>
      </c>
    </row>
    <row r="3" spans="1:55" s="85" customFormat="1" ht="27.75" customHeight="1" thickBot="1">
      <c r="A3" s="70" t="s">
        <v>217</v>
      </c>
      <c r="B3" s="516">
        <v>2020</v>
      </c>
      <c r="H3" s="86"/>
      <c r="AA3" s="86"/>
      <c r="AB3" s="86"/>
      <c r="AC3" s="86"/>
      <c r="AD3" s="86"/>
      <c r="AE3" s="86"/>
      <c r="AF3" s="86"/>
      <c r="AI3" s="86"/>
      <c r="AJ3" s="86"/>
      <c r="AK3" s="86"/>
      <c r="AL3" s="86"/>
      <c r="AN3" s="86"/>
      <c r="AW3" s="86"/>
      <c r="AX3" s="86"/>
    </row>
    <row r="4" spans="1:55" s="85" customFormat="1" ht="33.75" customHeight="1" thickBot="1">
      <c r="A4" s="633" t="s">
        <v>350</v>
      </c>
      <c r="B4" s="634"/>
      <c r="H4" s="86"/>
      <c r="AA4" s="86"/>
      <c r="AB4" s="86"/>
      <c r="AC4" s="86"/>
      <c r="AD4" s="86"/>
      <c r="AE4" s="86"/>
      <c r="AF4" s="86"/>
      <c r="AI4" s="86"/>
      <c r="AJ4" s="86"/>
      <c r="AK4" s="86"/>
      <c r="AL4" s="86"/>
      <c r="AN4" s="86"/>
      <c r="AW4" s="86"/>
      <c r="AX4" s="86"/>
    </row>
    <row r="5" spans="1:55" ht="101.25" customHeight="1" thickBot="1">
      <c r="A5" s="658"/>
      <c r="B5" s="658"/>
      <c r="C5" s="658"/>
      <c r="D5" s="658"/>
      <c r="E5" s="658"/>
      <c r="F5" s="658"/>
      <c r="G5" s="658"/>
    </row>
    <row r="6" spans="1:55" ht="20.25" thickBot="1">
      <c r="A6" s="625" t="s">
        <v>508</v>
      </c>
      <c r="B6" s="626"/>
      <c r="C6" s="626"/>
      <c r="D6" s="626"/>
      <c r="E6" s="626"/>
      <c r="F6" s="626"/>
      <c r="G6" s="627"/>
      <c r="H6" s="39"/>
      <c r="I6" s="625" t="s">
        <v>4</v>
      </c>
      <c r="J6" s="626"/>
      <c r="K6" s="626"/>
      <c r="L6" s="626"/>
      <c r="M6" s="626"/>
      <c r="N6" s="626"/>
      <c r="O6" s="626"/>
      <c r="P6" s="627"/>
      <c r="Q6" s="24"/>
      <c r="R6" s="625" t="s">
        <v>5</v>
      </c>
      <c r="S6" s="627"/>
      <c r="T6" s="24"/>
      <c r="U6" s="625" t="s">
        <v>6</v>
      </c>
      <c r="V6" s="626"/>
      <c r="W6" s="626"/>
      <c r="X6" s="626"/>
      <c r="Y6" s="626"/>
      <c r="Z6" s="626"/>
      <c r="AA6" s="626"/>
      <c r="AB6" s="626"/>
      <c r="AC6" s="626"/>
      <c r="AD6" s="626"/>
      <c r="AE6" s="626"/>
      <c r="AF6" s="627"/>
      <c r="AG6" s="27"/>
      <c r="AH6" s="625" t="s">
        <v>7</v>
      </c>
      <c r="AI6" s="626"/>
      <c r="AJ6" s="626"/>
      <c r="AK6" s="627"/>
      <c r="AL6" s="39"/>
      <c r="AM6" s="672" t="s">
        <v>8</v>
      </c>
      <c r="AN6" s="673"/>
      <c r="AO6" s="673"/>
      <c r="AP6" s="673"/>
      <c r="AQ6" s="673"/>
      <c r="AR6" s="673"/>
      <c r="AS6" s="673"/>
      <c r="AT6" s="673"/>
      <c r="AU6" s="673"/>
      <c r="AV6" s="674"/>
      <c r="AX6" s="596" t="s">
        <v>537</v>
      </c>
      <c r="AZ6" s="594" t="s">
        <v>541</v>
      </c>
      <c r="BA6" s="594" t="s">
        <v>545</v>
      </c>
      <c r="BB6" s="594" t="s">
        <v>546</v>
      </c>
      <c r="BC6" s="594" t="s">
        <v>547</v>
      </c>
    </row>
    <row r="7" spans="1:55" s="88" customFormat="1" ht="63.75" customHeight="1">
      <c r="A7" s="659" t="s">
        <v>200</v>
      </c>
      <c r="B7" s="660" t="s">
        <v>222</v>
      </c>
      <c r="C7" s="660" t="s">
        <v>507</v>
      </c>
      <c r="D7" s="660" t="s">
        <v>196</v>
      </c>
      <c r="E7" s="660" t="s">
        <v>223</v>
      </c>
      <c r="F7" s="675"/>
      <c r="G7" s="661"/>
      <c r="H7" s="40"/>
      <c r="I7" s="656" t="s">
        <v>224</v>
      </c>
      <c r="J7" s="657"/>
      <c r="K7" s="676" t="s">
        <v>225</v>
      </c>
      <c r="L7" s="677"/>
      <c r="M7" s="184" t="s">
        <v>226</v>
      </c>
      <c r="N7" s="657" t="s">
        <v>227</v>
      </c>
      <c r="O7" s="657"/>
      <c r="P7" s="185" t="s">
        <v>228</v>
      </c>
      <c r="Q7" s="22"/>
      <c r="R7" s="656" t="s">
        <v>229</v>
      </c>
      <c r="S7" s="662"/>
      <c r="T7" s="22"/>
      <c r="U7" s="656" t="s">
        <v>230</v>
      </c>
      <c r="V7" s="657"/>
      <c r="W7" s="657" t="s">
        <v>265</v>
      </c>
      <c r="X7" s="657"/>
      <c r="Y7" s="657"/>
      <c r="Z7" s="657"/>
      <c r="AA7" s="657" t="s">
        <v>21</v>
      </c>
      <c r="AB7" s="657"/>
      <c r="AC7" s="657" t="s">
        <v>22</v>
      </c>
      <c r="AD7" s="657"/>
      <c r="AE7" s="657" t="s">
        <v>23</v>
      </c>
      <c r="AF7" s="662"/>
      <c r="AG7" s="23"/>
      <c r="AH7" s="186" t="s">
        <v>24</v>
      </c>
      <c r="AI7" s="184" t="s">
        <v>25</v>
      </c>
      <c r="AJ7" s="184" t="s">
        <v>26</v>
      </c>
      <c r="AK7" s="185" t="s">
        <v>27</v>
      </c>
      <c r="AL7" s="40"/>
      <c r="AM7" s="666" t="s">
        <v>232</v>
      </c>
      <c r="AN7" s="671"/>
      <c r="AO7" s="671"/>
      <c r="AP7" s="671"/>
      <c r="AQ7" s="671" t="s">
        <v>233</v>
      </c>
      <c r="AR7" s="671"/>
      <c r="AS7" s="671" t="s">
        <v>234</v>
      </c>
      <c r="AT7" s="671"/>
      <c r="AU7" s="443" t="s">
        <v>236</v>
      </c>
      <c r="AV7" s="444" t="s">
        <v>235</v>
      </c>
      <c r="AW7" s="87"/>
      <c r="AX7" s="591" t="s">
        <v>511</v>
      </c>
      <c r="AZ7" s="591" t="s">
        <v>540</v>
      </c>
      <c r="BA7" s="591" t="s">
        <v>540</v>
      </c>
      <c r="BB7" s="591" t="s">
        <v>540</v>
      </c>
      <c r="BC7" s="591" t="s">
        <v>540</v>
      </c>
    </row>
    <row r="8" spans="1:55" ht="94.5">
      <c r="A8" s="656"/>
      <c r="B8" s="657"/>
      <c r="C8" s="657"/>
      <c r="D8" s="657"/>
      <c r="E8" s="187" t="s">
        <v>266</v>
      </c>
      <c r="F8" s="611" t="s">
        <v>542</v>
      </c>
      <c r="G8" s="188" t="s">
        <v>30</v>
      </c>
      <c r="H8" s="40"/>
      <c r="I8" s="189" t="s">
        <v>29</v>
      </c>
      <c r="J8" s="191" t="s">
        <v>237</v>
      </c>
      <c r="K8" s="349" t="s">
        <v>267</v>
      </c>
      <c r="L8" s="191" t="s">
        <v>30</v>
      </c>
      <c r="M8" s="191" t="s">
        <v>238</v>
      </c>
      <c r="N8" s="191" t="s">
        <v>214</v>
      </c>
      <c r="O8" s="191" t="s">
        <v>30</v>
      </c>
      <c r="P8" s="190" t="s">
        <v>268</v>
      </c>
      <c r="Q8" s="22"/>
      <c r="R8" s="189" t="s">
        <v>34</v>
      </c>
      <c r="S8" s="190" t="s">
        <v>30</v>
      </c>
      <c r="T8" s="22"/>
      <c r="U8" s="189" t="s">
        <v>269</v>
      </c>
      <c r="V8" s="191" t="s">
        <v>30</v>
      </c>
      <c r="W8" s="191" t="s">
        <v>510</v>
      </c>
      <c r="X8" s="191" t="s">
        <v>539</v>
      </c>
      <c r="Y8" s="191" t="s">
        <v>239</v>
      </c>
      <c r="Z8" s="191" t="s">
        <v>240</v>
      </c>
      <c r="AA8" s="191" t="s">
        <v>36</v>
      </c>
      <c r="AB8" s="191" t="s">
        <v>30</v>
      </c>
      <c r="AC8" s="191" t="s">
        <v>36</v>
      </c>
      <c r="AD8" s="191" t="s">
        <v>30</v>
      </c>
      <c r="AE8" s="191" t="s">
        <v>36</v>
      </c>
      <c r="AF8" s="190" t="s">
        <v>30</v>
      </c>
      <c r="AG8" s="23"/>
      <c r="AH8" s="189" t="s">
        <v>38</v>
      </c>
      <c r="AI8" s="191" t="s">
        <v>40</v>
      </c>
      <c r="AJ8" s="191" t="s">
        <v>40</v>
      </c>
      <c r="AK8" s="190" t="s">
        <v>40</v>
      </c>
      <c r="AL8" s="40"/>
      <c r="AM8" s="189" t="s">
        <v>270</v>
      </c>
      <c r="AN8" s="191" t="s">
        <v>237</v>
      </c>
      <c r="AO8" s="191" t="s">
        <v>251</v>
      </c>
      <c r="AP8" s="191" t="s">
        <v>237</v>
      </c>
      <c r="AQ8" s="191" t="s">
        <v>241</v>
      </c>
      <c r="AR8" s="191" t="s">
        <v>30</v>
      </c>
      <c r="AS8" s="191" t="s">
        <v>242</v>
      </c>
      <c r="AT8" s="191" t="s">
        <v>30</v>
      </c>
      <c r="AU8" s="191" t="s">
        <v>244</v>
      </c>
      <c r="AV8" s="190" t="s">
        <v>243</v>
      </c>
      <c r="AX8" s="592" t="s">
        <v>538</v>
      </c>
      <c r="AZ8" s="592" t="s">
        <v>38</v>
      </c>
      <c r="BA8" s="592" t="s">
        <v>38</v>
      </c>
      <c r="BB8" s="592" t="s">
        <v>38</v>
      </c>
      <c r="BC8" s="592" t="s">
        <v>38</v>
      </c>
    </row>
    <row r="9" spans="1:55" ht="15.75">
      <c r="A9" s="192" t="s">
        <v>213</v>
      </c>
      <c r="B9" s="193" t="s">
        <v>213</v>
      </c>
      <c r="C9" s="193" t="s">
        <v>213</v>
      </c>
      <c r="D9" s="194" t="s">
        <v>46</v>
      </c>
      <c r="E9" s="195"/>
      <c r="F9" s="612"/>
      <c r="G9" s="196"/>
      <c r="H9" s="40"/>
      <c r="I9" s="197">
        <f>+SUM(I10:I16)</f>
        <v>103</v>
      </c>
      <c r="J9" s="351"/>
      <c r="K9" s="199"/>
      <c r="L9" s="200"/>
      <c r="M9" s="201">
        <f>+SUM(M10:M16)</f>
        <v>2035.1</v>
      </c>
      <c r="N9" s="198"/>
      <c r="O9" s="200"/>
      <c r="P9" s="621"/>
      <c r="Q9" s="22"/>
      <c r="R9" s="203"/>
      <c r="S9" s="204"/>
      <c r="T9" s="22"/>
      <c r="U9" s="203"/>
      <c r="V9" s="205"/>
      <c r="W9" s="205"/>
      <c r="X9" s="205"/>
      <c r="Y9" s="205"/>
      <c r="Z9" s="205"/>
      <c r="AA9" s="205"/>
      <c r="AB9" s="205"/>
      <c r="AC9" s="205"/>
      <c r="AD9" s="205"/>
      <c r="AE9" s="205"/>
      <c r="AF9" s="204"/>
      <c r="AG9" s="23"/>
      <c r="AH9" s="259"/>
      <c r="AI9" s="260"/>
      <c r="AJ9" s="260"/>
      <c r="AK9" s="206"/>
      <c r="AL9" s="40"/>
      <c r="AM9" s="441"/>
      <c r="AN9" s="437"/>
      <c r="AO9" s="437"/>
      <c r="AP9" s="437"/>
      <c r="AQ9" s="437"/>
      <c r="AR9" s="437"/>
      <c r="AS9" s="437"/>
      <c r="AT9" s="437"/>
      <c r="AU9" s="438"/>
      <c r="AV9" s="442"/>
      <c r="AX9" s="597"/>
      <c r="AZ9" s="593"/>
      <c r="BA9" s="593"/>
      <c r="BB9" s="593"/>
      <c r="BC9" s="593"/>
    </row>
    <row r="10" spans="1:55" ht="18.75">
      <c r="A10" s="207" t="s">
        <v>207</v>
      </c>
      <c r="B10" s="208" t="s">
        <v>506</v>
      </c>
      <c r="C10" s="208" t="s">
        <v>46</v>
      </c>
      <c r="D10" s="208" t="s">
        <v>53</v>
      </c>
      <c r="E10" s="350">
        <v>15</v>
      </c>
      <c r="F10" s="612"/>
      <c r="G10" s="261" t="s">
        <v>536</v>
      </c>
      <c r="H10" s="40"/>
      <c r="I10" s="211">
        <v>33</v>
      </c>
      <c r="J10" s="350" t="s">
        <v>509</v>
      </c>
      <c r="K10" s="350"/>
      <c r="L10" s="218"/>
      <c r="M10" s="621"/>
      <c r="N10" s="262"/>
      <c r="O10" s="218"/>
      <c r="P10" s="621"/>
      <c r="Q10" s="22"/>
      <c r="R10" s="263">
        <f>+VLOOKUP($B$1&amp;" - "&amp;$D10,'Default Parameter'!$A$8:$M$25,3,FALSE)</f>
        <v>43</v>
      </c>
      <c r="S10" s="215" t="s">
        <v>52</v>
      </c>
      <c r="T10" s="22"/>
      <c r="U10" s="264">
        <f t="shared" ref="U10:U16" si="0">0.22/1.3</f>
        <v>0.16923076923076921</v>
      </c>
      <c r="V10" s="216" t="s">
        <v>271</v>
      </c>
      <c r="W10" s="212">
        <v>20</v>
      </c>
      <c r="X10" s="212">
        <v>288</v>
      </c>
      <c r="Y10" s="621"/>
      <c r="Z10" s="621"/>
      <c r="AA10" s="216">
        <f>+VLOOKUP($B$1&amp;" - "&amp;$D10,'Default Parameter'!$A$8:$M$25,5,FALSE)</f>
        <v>74100</v>
      </c>
      <c r="AB10" s="216" t="s">
        <v>52</v>
      </c>
      <c r="AC10" s="216">
        <f>+VLOOKUP($B$1&amp;" - "&amp;$D10,'Default Parameter'!$A$8:$M$25,8,FALSE)</f>
        <v>3.9</v>
      </c>
      <c r="AD10" s="216" t="s">
        <v>52</v>
      </c>
      <c r="AE10" s="216">
        <f>+VLOOKUP($B$1&amp;" - "&amp;$D10,'Default Parameter'!$A$8:$M$25,11,FALSE)</f>
        <v>3.9</v>
      </c>
      <c r="AF10" s="215" t="s">
        <v>52</v>
      </c>
      <c r="AG10" s="23"/>
      <c r="AH10" s="217">
        <f>I10*W10*X10*'Default Parameter'!$D$10/1000</f>
        <v>140.80000000000001</v>
      </c>
      <c r="AI10" s="600">
        <f>+$AH10*$R10*AA10/10^6</f>
        <v>448.63104000000004</v>
      </c>
      <c r="AJ10" s="615">
        <f>+$AH10*$R10*AC10/10^6</f>
        <v>2.361216E-2</v>
      </c>
      <c r="AK10" s="616">
        <f>+$AH10*$R10*AE10/10^6</f>
        <v>2.361216E-2</v>
      </c>
      <c r="AL10" s="40"/>
      <c r="AM10" s="211"/>
      <c r="AN10" s="265"/>
      <c r="AO10" s="437"/>
      <c r="AP10" s="437"/>
      <c r="AQ10" s="262"/>
      <c r="AR10" s="265"/>
      <c r="AS10" s="439"/>
      <c r="AT10" s="265"/>
      <c r="AU10" s="440">
        <f>+(M10*$AO10*$AS10*$AQ10)/10^6</f>
        <v>0</v>
      </c>
      <c r="AV10" s="213">
        <f>+(M10*$AM10*$AS10*$AQ10)/10^6</f>
        <v>0</v>
      </c>
      <c r="AX10" s="599">
        <v>0.98</v>
      </c>
      <c r="AZ10" s="618">
        <f>AH10*AX10</f>
        <v>137.98400000000001</v>
      </c>
      <c r="BA10" s="618">
        <f>AI10*AX10</f>
        <v>439.65841920000003</v>
      </c>
      <c r="BB10" s="618">
        <f>AJ10*$AX$10</f>
        <v>2.31399168E-2</v>
      </c>
      <c r="BC10" s="618">
        <f>AK10*$AX$10</f>
        <v>2.31399168E-2</v>
      </c>
    </row>
    <row r="11" spans="1:55" ht="18.75">
      <c r="A11" s="207" t="s">
        <v>207</v>
      </c>
      <c r="B11" s="208" t="s">
        <v>506</v>
      </c>
      <c r="C11" s="208" t="s">
        <v>272</v>
      </c>
      <c r="D11" s="208" t="s">
        <v>53</v>
      </c>
      <c r="E11" s="350">
        <v>40</v>
      </c>
      <c r="F11" s="612"/>
      <c r="G11" s="261" t="s">
        <v>536</v>
      </c>
      <c r="H11" s="40"/>
      <c r="I11" s="211">
        <v>33</v>
      </c>
      <c r="J11" s="350" t="s">
        <v>509</v>
      </c>
      <c r="K11" s="350"/>
      <c r="L11" s="218"/>
      <c r="M11" s="621"/>
      <c r="N11" s="262"/>
      <c r="O11" s="218"/>
      <c r="P11" s="621"/>
      <c r="Q11" s="22"/>
      <c r="R11" s="263">
        <f>+VLOOKUP($B$1&amp;" - "&amp;$D11,'Default Parameter'!$A$8:$M$25,3,FALSE)</f>
        <v>43</v>
      </c>
      <c r="S11" s="215" t="s">
        <v>52</v>
      </c>
      <c r="T11" s="22"/>
      <c r="U11" s="264">
        <f t="shared" si="0"/>
        <v>0.16923076923076921</v>
      </c>
      <c r="V11" s="216" t="s">
        <v>271</v>
      </c>
      <c r="W11" s="212">
        <v>50</v>
      </c>
      <c r="X11" s="212">
        <v>288</v>
      </c>
      <c r="Y11" s="621"/>
      <c r="Z11" s="621"/>
      <c r="AA11" s="216">
        <f>+VLOOKUP($B$1&amp;" - "&amp;$D11,'Default Parameter'!$A$8:$M$25,5,FALSE)</f>
        <v>74100</v>
      </c>
      <c r="AB11" s="216" t="s">
        <v>52</v>
      </c>
      <c r="AC11" s="216">
        <f>+VLOOKUP($B$1&amp;" - "&amp;$D11,'Default Parameter'!$A$8:$M$25,8,FALSE)</f>
        <v>3.9</v>
      </c>
      <c r="AD11" s="216" t="s">
        <v>52</v>
      </c>
      <c r="AE11" s="216">
        <f>+VLOOKUP($B$1&amp;" - "&amp;$D11,'Default Parameter'!$A$8:$M$25,11,FALSE)</f>
        <v>3.9</v>
      </c>
      <c r="AF11" s="215" t="s">
        <v>52</v>
      </c>
      <c r="AG11" s="23"/>
      <c r="AH11" s="217">
        <f>I11*W11*X11*'Default Parameter'!$D$10/1000</f>
        <v>352</v>
      </c>
      <c r="AI11" s="600">
        <f>+$AH11*$R11*AA11/10^6</f>
        <v>1121.5776000000001</v>
      </c>
      <c r="AJ11" s="615">
        <f>+$AH11*$R11*AC11/10^6</f>
        <v>5.9030400000000004E-2</v>
      </c>
      <c r="AK11" s="616">
        <f t="shared" ref="AK11:AK16" si="1">+$AH11*$R11*AE11/10^6</f>
        <v>5.9030400000000004E-2</v>
      </c>
      <c r="AL11" s="40"/>
      <c r="AM11" s="211"/>
      <c r="AN11" s="265"/>
      <c r="AO11" s="437"/>
      <c r="AP11" s="437"/>
      <c r="AQ11" s="262"/>
      <c r="AR11" s="265"/>
      <c r="AS11" s="439"/>
      <c r="AT11" s="265"/>
      <c r="AU11" s="440">
        <f>+(M11*$AO11*$AS11*$AQ11)/10^6</f>
        <v>0</v>
      </c>
      <c r="AV11" s="213">
        <f>+(M11*$AM11*$AS11*$AQ11)/10^6</f>
        <v>0</v>
      </c>
      <c r="AX11" s="599">
        <v>1.29</v>
      </c>
      <c r="AZ11" s="618">
        <f>AH11*AX11</f>
        <v>454.08000000000004</v>
      </c>
      <c r="BA11" s="618">
        <f t="shared" ref="BA11:BA16" si="2">AI11*AX11</f>
        <v>1446.8351040000002</v>
      </c>
      <c r="BB11" s="618">
        <f t="shared" ref="BB11:BB16" si="3">AJ11*$AX$10</f>
        <v>5.7849792000000004E-2</v>
      </c>
      <c r="BC11" s="618">
        <f t="shared" ref="BC11:BC16" si="4">AK11*$AX$10</f>
        <v>5.7849792000000004E-2</v>
      </c>
    </row>
    <row r="12" spans="1:55" ht="18.75">
      <c r="A12" s="207" t="s">
        <v>207</v>
      </c>
      <c r="B12" s="208" t="s">
        <v>506</v>
      </c>
      <c r="C12" s="208" t="s">
        <v>273</v>
      </c>
      <c r="D12" s="208" t="s">
        <v>53</v>
      </c>
      <c r="E12" s="350">
        <v>200</v>
      </c>
      <c r="F12" s="612"/>
      <c r="G12" s="261" t="s">
        <v>536</v>
      </c>
      <c r="H12" s="40"/>
      <c r="I12" s="211">
        <v>34</v>
      </c>
      <c r="J12" s="350" t="s">
        <v>509</v>
      </c>
      <c r="K12" s="350"/>
      <c r="L12" s="218"/>
      <c r="M12" s="621"/>
      <c r="N12" s="262"/>
      <c r="O12" s="218"/>
      <c r="P12" s="621"/>
      <c r="Q12" s="22"/>
      <c r="R12" s="263">
        <f>+VLOOKUP($B$1&amp;" - "&amp;$D12,'Default Parameter'!$A$8:$M$25,3,FALSE)</f>
        <v>43</v>
      </c>
      <c r="S12" s="215" t="s">
        <v>52</v>
      </c>
      <c r="T12" s="22"/>
      <c r="U12" s="264">
        <f t="shared" si="0"/>
        <v>0.16923076923076921</v>
      </c>
      <c r="V12" s="216" t="s">
        <v>271</v>
      </c>
      <c r="W12" s="212">
        <v>160</v>
      </c>
      <c r="X12" s="212">
        <v>288</v>
      </c>
      <c r="Y12" s="621"/>
      <c r="Z12" s="621"/>
      <c r="AA12" s="216">
        <f>+VLOOKUP($B$1&amp;" - "&amp;$D12,'Default Parameter'!$A$8:$M$25,5,FALSE)</f>
        <v>74100</v>
      </c>
      <c r="AB12" s="216" t="s">
        <v>52</v>
      </c>
      <c r="AC12" s="216">
        <f>+VLOOKUP($B$1&amp;" - "&amp;$D12,'Default Parameter'!$A$8:$M$25,8,FALSE)</f>
        <v>3.9</v>
      </c>
      <c r="AD12" s="216" t="s">
        <v>52</v>
      </c>
      <c r="AE12" s="216">
        <f>+VLOOKUP($B$1&amp;" - "&amp;$D12,'Default Parameter'!$A$8:$M$25,11,FALSE)</f>
        <v>3.9</v>
      </c>
      <c r="AF12" s="215" t="s">
        <v>52</v>
      </c>
      <c r="AG12" s="23"/>
      <c r="AH12" s="217">
        <f>I12*W12*X12*'Default Parameter'!$D$10/1000</f>
        <v>1160.5333333333333</v>
      </c>
      <c r="AI12" s="600">
        <f>+$AH12*$R12*AA12/10^6</f>
        <v>3697.8073599999998</v>
      </c>
      <c r="AJ12" s="615">
        <f>+$AH12*$R12*AC12/10^6</f>
        <v>0.19462144000000001</v>
      </c>
      <c r="AK12" s="616">
        <f t="shared" si="1"/>
        <v>0.19462144000000001</v>
      </c>
      <c r="AL12" s="40"/>
      <c r="AM12" s="211"/>
      <c r="AN12" s="265"/>
      <c r="AO12" s="437"/>
      <c r="AP12" s="437"/>
      <c r="AQ12" s="262"/>
      <c r="AR12" s="265"/>
      <c r="AS12" s="439"/>
      <c r="AT12" s="265"/>
      <c r="AU12" s="440">
        <f>+(M12*$AO12*$AS12*$AQ12)/10^6</f>
        <v>0</v>
      </c>
      <c r="AV12" s="213">
        <f>+(M12*$AM12*$AS12*$AQ12)/10^6</f>
        <v>0</v>
      </c>
      <c r="AX12" s="599">
        <v>1.08</v>
      </c>
      <c r="AZ12" s="618">
        <f>AH12*AX12</f>
        <v>1253.376</v>
      </c>
      <c r="BA12" s="618">
        <f t="shared" si="2"/>
        <v>3993.6319487999999</v>
      </c>
      <c r="BB12" s="618">
        <f t="shared" si="3"/>
        <v>0.19072901119999999</v>
      </c>
      <c r="BC12" s="618">
        <f t="shared" si="4"/>
        <v>0.19072901119999999</v>
      </c>
    </row>
    <row r="13" spans="1:55" ht="18.75">
      <c r="A13" s="207"/>
      <c r="B13" s="208"/>
      <c r="C13" s="208"/>
      <c r="D13" s="208"/>
      <c r="E13" s="350"/>
      <c r="F13" s="613"/>
      <c r="G13" s="261"/>
      <c r="H13" s="40"/>
      <c r="I13" s="211"/>
      <c r="J13" s="350"/>
      <c r="K13" s="350"/>
      <c r="L13" s="218"/>
      <c r="M13" s="212"/>
      <c r="N13" s="262"/>
      <c r="O13" s="218"/>
      <c r="P13" s="213"/>
      <c r="Q13" s="22"/>
      <c r="R13" s="263"/>
      <c r="S13" s="215"/>
      <c r="T13" s="22"/>
      <c r="U13" s="264"/>
      <c r="V13" s="216"/>
      <c r="W13" s="212"/>
      <c r="X13" s="212"/>
      <c r="Y13" s="212"/>
      <c r="Z13" s="212"/>
      <c r="AA13" s="216"/>
      <c r="AB13" s="216"/>
      <c r="AC13" s="216"/>
      <c r="AD13" s="216"/>
      <c r="AE13" s="216"/>
      <c r="AF13" s="215"/>
      <c r="AG13" s="23"/>
      <c r="AH13" s="217"/>
      <c r="AI13" s="212"/>
      <c r="AJ13" s="212"/>
      <c r="AK13" s="213"/>
      <c r="AL13" s="40"/>
      <c r="AM13" s="211"/>
      <c r="AN13" s="265"/>
      <c r="AO13" s="437"/>
      <c r="AP13" s="437"/>
      <c r="AQ13" s="262"/>
      <c r="AR13" s="265"/>
      <c r="AS13" s="439"/>
      <c r="AT13" s="265"/>
      <c r="AU13" s="440"/>
      <c r="AV13" s="213"/>
      <c r="AX13" s="593"/>
      <c r="AZ13" s="619"/>
      <c r="BA13" s="618"/>
      <c r="BB13" s="618"/>
      <c r="BC13" s="618"/>
    </row>
    <row r="14" spans="1:55" ht="18.75">
      <c r="A14" s="207" t="s">
        <v>207</v>
      </c>
      <c r="B14" s="208" t="s">
        <v>533</v>
      </c>
      <c r="C14" s="208"/>
      <c r="D14" s="208" t="s">
        <v>53</v>
      </c>
      <c r="E14" s="612"/>
      <c r="F14" s="350">
        <v>200</v>
      </c>
      <c r="G14" s="261" t="s">
        <v>536</v>
      </c>
      <c r="H14" s="40"/>
      <c r="I14" s="211">
        <v>1</v>
      </c>
      <c r="J14" s="350" t="s">
        <v>509</v>
      </c>
      <c r="K14" s="350"/>
      <c r="L14" s="218"/>
      <c r="M14" s="212">
        <v>35.1</v>
      </c>
      <c r="N14" s="262">
        <v>0.4</v>
      </c>
      <c r="O14" s="218"/>
      <c r="P14" s="213"/>
      <c r="Q14" s="22"/>
      <c r="R14" s="263">
        <f>+VLOOKUP($B$1&amp;" - "&amp;$D14,'Default Parameter'!$A$8:$M$25,3,FALSE)</f>
        <v>43</v>
      </c>
      <c r="S14" s="215" t="s">
        <v>52</v>
      </c>
      <c r="T14" s="22"/>
      <c r="U14" s="264">
        <f t="shared" si="0"/>
        <v>0.16923076923076921</v>
      </c>
      <c r="V14" s="216" t="s">
        <v>271</v>
      </c>
      <c r="W14" s="621"/>
      <c r="X14" s="621"/>
      <c r="Y14" s="621"/>
      <c r="Z14" s="621"/>
      <c r="AA14" s="216">
        <f>+VLOOKUP($B$1&amp;" - "&amp;$D14,'Default Parameter'!$A$8:$M$25,5,FALSE)</f>
        <v>74100</v>
      </c>
      <c r="AB14" s="216" t="s">
        <v>52</v>
      </c>
      <c r="AC14" s="216">
        <f>+VLOOKUP($B$1&amp;" - "&amp;$D14,'Default Parameter'!$A$8:$M$25,8,FALSE)</f>
        <v>3.9</v>
      </c>
      <c r="AD14" s="216" t="s">
        <v>52</v>
      </c>
      <c r="AE14" s="216">
        <f>+VLOOKUP($B$1&amp;" - "&amp;$D14,'Default Parameter'!$A$8:$M$25,11,FALSE)</f>
        <v>3.9</v>
      </c>
      <c r="AF14" s="215" t="s">
        <v>52</v>
      </c>
      <c r="AG14" s="23"/>
      <c r="AH14" s="614">
        <f>F14*I14*M14*N14*'KPA Port Call (Bottom-up 2)'!$F$3/1000000000</f>
        <v>5.3352E-4</v>
      </c>
      <c r="AI14" s="617">
        <f>F14*I14*M14*N14*'KPA Port Call (Bottom-up 2)'!$F$3*'KPA Port Call (Bottom-up 2)'!G$3/1000000000</f>
        <v>1.7019288E-3</v>
      </c>
      <c r="AJ14" s="615">
        <f t="shared" ref="AJ14:AJ16" si="5">+$AH14*$R14*AC14/10^6</f>
        <v>8.9471303999999999E-8</v>
      </c>
      <c r="AK14" s="616">
        <f t="shared" si="1"/>
        <v>8.9471303999999999E-8</v>
      </c>
      <c r="AL14" s="40"/>
      <c r="AM14" s="211"/>
      <c r="AN14" s="265"/>
      <c r="AO14" s="437"/>
      <c r="AP14" s="437"/>
      <c r="AQ14" s="262"/>
      <c r="AR14" s="265"/>
      <c r="AS14" s="439"/>
      <c r="AT14" s="265"/>
      <c r="AU14" s="440"/>
      <c r="AV14" s="213"/>
      <c r="AX14" s="598">
        <v>1.36</v>
      </c>
      <c r="AZ14" s="620">
        <f>AH14*AI14</f>
        <v>9.0801305337599999E-7</v>
      </c>
      <c r="BA14" s="618">
        <f t="shared" si="2"/>
        <v>2.3146231680000002E-3</v>
      </c>
      <c r="BB14" s="618">
        <f t="shared" si="3"/>
        <v>8.7681877919999999E-8</v>
      </c>
      <c r="BC14" s="618">
        <f t="shared" si="4"/>
        <v>8.7681877919999999E-8</v>
      </c>
    </row>
    <row r="15" spans="1:55" ht="18.75">
      <c r="A15" s="207" t="s">
        <v>207</v>
      </c>
      <c r="B15" s="208" t="s">
        <v>534</v>
      </c>
      <c r="C15" s="208"/>
      <c r="D15" s="208" t="s">
        <v>53</v>
      </c>
      <c r="E15" s="612"/>
      <c r="F15" s="350">
        <v>4749</v>
      </c>
      <c r="G15" s="261" t="s">
        <v>536</v>
      </c>
      <c r="H15" s="40"/>
      <c r="I15" s="211">
        <v>1</v>
      </c>
      <c r="J15" s="350" t="s">
        <v>509</v>
      </c>
      <c r="K15" s="350"/>
      <c r="L15" s="218"/>
      <c r="M15" s="212">
        <v>1000</v>
      </c>
      <c r="N15" s="262">
        <v>0.5</v>
      </c>
      <c r="O15" s="218"/>
      <c r="P15" s="213"/>
      <c r="Q15" s="22"/>
      <c r="R15" s="263">
        <f>+VLOOKUP($B$1&amp;" - "&amp;$D15,'Default Parameter'!$A$8:$M$25,3,FALSE)</f>
        <v>43</v>
      </c>
      <c r="S15" s="215" t="s">
        <v>52</v>
      </c>
      <c r="T15" s="22"/>
      <c r="U15" s="264">
        <f t="shared" si="0"/>
        <v>0.16923076923076921</v>
      </c>
      <c r="V15" s="216" t="s">
        <v>271</v>
      </c>
      <c r="W15" s="621"/>
      <c r="X15" s="621"/>
      <c r="Y15" s="621"/>
      <c r="Z15" s="621"/>
      <c r="AA15" s="216">
        <f>+VLOOKUP($B$1&amp;" - "&amp;$D15,'Default Parameter'!$A$8:$M$25,5,FALSE)</f>
        <v>74100</v>
      </c>
      <c r="AB15" s="216" t="s">
        <v>52</v>
      </c>
      <c r="AC15" s="216">
        <f>+VLOOKUP($B$1&amp;" - "&amp;$D15,'Default Parameter'!$A$8:$M$25,8,FALSE)</f>
        <v>3.9</v>
      </c>
      <c r="AD15" s="216" t="s">
        <v>52</v>
      </c>
      <c r="AE15" s="216">
        <f>+VLOOKUP($B$1&amp;" - "&amp;$D15,'Default Parameter'!$A$8:$M$25,11,FALSE)</f>
        <v>3.9</v>
      </c>
      <c r="AF15" s="215" t="s">
        <v>52</v>
      </c>
      <c r="AG15" s="23"/>
      <c r="AH15" s="614">
        <f>F15*I15*M15*N15*'KPA Port Call (Bottom-up 2)'!$F$3/1000000000</f>
        <v>0.45115499999999997</v>
      </c>
      <c r="AI15" s="617">
        <f>F15*I15*M15*N15*'KPA Port Call (Bottom-up 2)'!$F$3*'KPA Port Call (Bottom-up 2)'!G$3/1000000000</f>
        <v>1.4391844499999999</v>
      </c>
      <c r="AJ15" s="615">
        <f t="shared" si="5"/>
        <v>7.5658693499999993E-5</v>
      </c>
      <c r="AK15" s="616">
        <f t="shared" si="1"/>
        <v>7.5658693499999993E-5</v>
      </c>
      <c r="AL15" s="40"/>
      <c r="AM15" s="211"/>
      <c r="AN15" s="265"/>
      <c r="AO15" s="437"/>
      <c r="AP15" s="437"/>
      <c r="AQ15" s="262"/>
      <c r="AR15" s="265"/>
      <c r="AS15" s="439"/>
      <c r="AT15" s="265"/>
      <c r="AU15" s="440"/>
      <c r="AV15" s="213"/>
      <c r="AX15" s="598">
        <v>0.89</v>
      </c>
      <c r="AZ15" s="620">
        <f>AH15*AI15</f>
        <v>0.64929526053974995</v>
      </c>
      <c r="BA15" s="618">
        <f t="shared" si="2"/>
        <v>1.2808741605</v>
      </c>
      <c r="BB15" s="618">
        <f t="shared" si="3"/>
        <v>7.4145519629999988E-5</v>
      </c>
      <c r="BC15" s="618">
        <f t="shared" si="4"/>
        <v>7.4145519629999988E-5</v>
      </c>
    </row>
    <row r="16" spans="1:55" ht="18.75">
      <c r="A16" s="207" t="s">
        <v>207</v>
      </c>
      <c r="B16" s="208" t="s">
        <v>535</v>
      </c>
      <c r="C16" s="208"/>
      <c r="D16" s="208" t="s">
        <v>53</v>
      </c>
      <c r="E16" s="612"/>
      <c r="F16" s="350">
        <v>200</v>
      </c>
      <c r="G16" s="261" t="s">
        <v>536</v>
      </c>
      <c r="H16" s="40"/>
      <c r="I16" s="211">
        <v>1</v>
      </c>
      <c r="J16" s="350" t="s">
        <v>509</v>
      </c>
      <c r="K16" s="350"/>
      <c r="L16" s="218"/>
      <c r="M16" s="212">
        <v>1000</v>
      </c>
      <c r="N16" s="262">
        <v>0.4</v>
      </c>
      <c r="O16" s="218"/>
      <c r="P16" s="213"/>
      <c r="Q16" s="22"/>
      <c r="R16" s="263">
        <f>+VLOOKUP($B$1&amp;" - "&amp;$D16,'Default Parameter'!$A$8:$M$25,3,FALSE)</f>
        <v>43</v>
      </c>
      <c r="S16" s="215" t="s">
        <v>52</v>
      </c>
      <c r="T16" s="22"/>
      <c r="U16" s="264">
        <f t="shared" si="0"/>
        <v>0.16923076923076921</v>
      </c>
      <c r="V16" s="216" t="s">
        <v>271</v>
      </c>
      <c r="W16" s="621"/>
      <c r="X16" s="621"/>
      <c r="Y16" s="621"/>
      <c r="Z16" s="621"/>
      <c r="AA16" s="216">
        <f>+VLOOKUP($B$1&amp;" - "&amp;$D16,'Default Parameter'!$A$8:$M$25,5,FALSE)</f>
        <v>74100</v>
      </c>
      <c r="AB16" s="216" t="s">
        <v>52</v>
      </c>
      <c r="AC16" s="216">
        <f>+VLOOKUP($B$1&amp;" - "&amp;$D16,'Default Parameter'!$A$8:$M$25,8,FALSE)</f>
        <v>3.9</v>
      </c>
      <c r="AD16" s="216" t="s">
        <v>52</v>
      </c>
      <c r="AE16" s="216">
        <f>+VLOOKUP($B$1&amp;" - "&amp;$D16,'Default Parameter'!$A$8:$M$25,11,FALSE)</f>
        <v>3.9</v>
      </c>
      <c r="AF16" s="215" t="s">
        <v>52</v>
      </c>
      <c r="AG16" s="23"/>
      <c r="AH16" s="614">
        <f>F16*I16*M16*N16*'KPA Port Call (Bottom-up 2)'!$F$3/1000000000</f>
        <v>1.52E-2</v>
      </c>
      <c r="AI16" s="617">
        <f>F16*I16*M16*N16*'KPA Port Call (Bottom-up 2)'!$F$3*'KPA Port Call (Bottom-up 2)'!G$3/1000000000</f>
        <v>4.8488000000000003E-2</v>
      </c>
      <c r="AJ16" s="615">
        <f t="shared" si="5"/>
        <v>2.5490399999999999E-6</v>
      </c>
      <c r="AK16" s="616">
        <f t="shared" si="1"/>
        <v>2.5490399999999999E-6</v>
      </c>
      <c r="AM16" s="82"/>
      <c r="AO16" s="82"/>
      <c r="AP16" s="82"/>
      <c r="AQ16" s="82"/>
      <c r="AR16" s="82"/>
      <c r="AS16" s="82"/>
      <c r="AT16" s="82"/>
      <c r="AU16" s="82"/>
      <c r="AV16" s="82"/>
      <c r="AX16" s="598">
        <v>1.1000000000000001</v>
      </c>
      <c r="AZ16" s="620">
        <f>AH16*AI16</f>
        <v>7.3701760000000006E-4</v>
      </c>
      <c r="BA16" s="618">
        <f t="shared" si="2"/>
        <v>5.3336800000000011E-2</v>
      </c>
      <c r="BB16" s="618">
        <f t="shared" si="3"/>
        <v>2.4980591999999997E-6</v>
      </c>
      <c r="BC16" s="618">
        <f t="shared" si="4"/>
        <v>2.4980591999999997E-6</v>
      </c>
    </row>
    <row r="17" spans="1:50" ht="15.75">
      <c r="A17" s="91"/>
      <c r="B17" s="91"/>
      <c r="C17" s="91"/>
      <c r="D17" s="91"/>
      <c r="E17" s="91"/>
      <c r="F17" s="91"/>
      <c r="G17" s="91"/>
      <c r="H17" s="40"/>
      <c r="I17" s="91"/>
      <c r="J17" s="91"/>
      <c r="K17" s="91"/>
      <c r="L17" s="91"/>
      <c r="M17" s="91"/>
      <c r="N17" s="91"/>
      <c r="O17" s="91"/>
      <c r="P17" s="90"/>
      <c r="Q17" s="22"/>
      <c r="R17" s="91"/>
      <c r="S17" s="91"/>
      <c r="T17" s="22"/>
      <c r="U17" s="90"/>
      <c r="V17" s="92"/>
      <c r="W17" s="92"/>
      <c r="X17" s="92"/>
      <c r="Y17" s="92"/>
      <c r="Z17" s="92"/>
      <c r="AA17" s="92"/>
      <c r="AB17" s="92"/>
      <c r="AC17" s="91"/>
      <c r="AD17" s="91"/>
      <c r="AE17" s="92"/>
      <c r="AG17" s="23"/>
      <c r="AH17" s="82"/>
      <c r="AI17" s="91"/>
      <c r="AJ17" s="92"/>
      <c r="AK17" s="91"/>
      <c r="AM17" s="82"/>
      <c r="AO17" s="82"/>
      <c r="AP17" s="82"/>
      <c r="AQ17" s="82"/>
      <c r="AR17" s="82"/>
      <c r="AS17" s="82"/>
      <c r="AT17" s="82"/>
      <c r="AU17" s="82"/>
      <c r="AV17" s="82"/>
      <c r="AX17" s="83"/>
    </row>
    <row r="18" spans="1:50">
      <c r="P18" s="84"/>
      <c r="Q18" s="83"/>
      <c r="U18" s="84"/>
      <c r="V18" s="82"/>
      <c r="W18" s="82"/>
      <c r="X18" s="82"/>
      <c r="Y18" s="82"/>
      <c r="Z18" s="82"/>
      <c r="AC18" s="83"/>
      <c r="AD18" s="83"/>
      <c r="AG18" s="82"/>
      <c r="AH18" s="82"/>
      <c r="AI18" s="83"/>
      <c r="AK18" s="83"/>
      <c r="AM18" s="82"/>
      <c r="AO18" s="82"/>
      <c r="AP18" s="82"/>
      <c r="AQ18" s="82"/>
      <c r="AR18" s="82"/>
      <c r="AS18" s="82"/>
      <c r="AT18" s="82"/>
      <c r="AU18" s="82"/>
      <c r="AV18" s="82"/>
      <c r="AX18" s="83"/>
    </row>
    <row r="19" spans="1:50" ht="15.75" thickBot="1">
      <c r="AW19" s="84"/>
    </row>
    <row r="20" spans="1:50" ht="16.5" thickTop="1" thickBot="1">
      <c r="AW20" s="84"/>
      <c r="AX20" s="622" t="s">
        <v>548</v>
      </c>
    </row>
    <row r="21" spans="1:50" ht="15.75" thickTop="1">
      <c r="AW21" s="84"/>
      <c r="AX21" s="82" t="s">
        <v>554</v>
      </c>
    </row>
    <row r="22" spans="1:50">
      <c r="AW22" s="84"/>
    </row>
    <row r="23" spans="1:50">
      <c r="AW23" s="84"/>
    </row>
    <row r="24" spans="1:50">
      <c r="AW24" s="84"/>
    </row>
    <row r="27" spans="1:50">
      <c r="AF27" s="83"/>
      <c r="AI27" s="83"/>
      <c r="AJ27" s="83"/>
      <c r="AK27" s="84"/>
      <c r="AL27" s="84"/>
      <c r="AM27" s="84"/>
      <c r="AO27" s="82"/>
      <c r="AP27" s="82"/>
      <c r="AQ27" s="82"/>
      <c r="AT27" s="83"/>
      <c r="AV27" s="83"/>
      <c r="AW27" s="83"/>
      <c r="AX27" s="83"/>
    </row>
    <row r="28" spans="1:50">
      <c r="AF28" s="83"/>
      <c r="AI28" s="83"/>
      <c r="AJ28" s="83"/>
      <c r="AK28" s="84"/>
      <c r="AL28" s="84"/>
      <c r="AM28" s="84"/>
      <c r="AO28" s="82"/>
      <c r="AP28" s="82"/>
      <c r="AQ28" s="82"/>
      <c r="AT28" s="83"/>
      <c r="AV28" s="83"/>
      <c r="AW28" s="83"/>
      <c r="AX28" s="83"/>
    </row>
    <row r="29" spans="1:50">
      <c r="AF29" s="83"/>
      <c r="AI29" s="83"/>
      <c r="AJ29" s="83"/>
      <c r="AK29" s="84"/>
      <c r="AL29" s="84"/>
      <c r="AM29" s="84"/>
      <c r="AO29" s="82"/>
      <c r="AP29" s="82"/>
      <c r="AQ29" s="82"/>
      <c r="AT29" s="83"/>
      <c r="AV29" s="83"/>
      <c r="AW29" s="83"/>
      <c r="AX29" s="83"/>
    </row>
    <row r="30" spans="1:50">
      <c r="AF30" s="83"/>
      <c r="AI30" s="83"/>
      <c r="AJ30" s="83"/>
      <c r="AK30" s="84"/>
      <c r="AL30" s="84"/>
      <c r="AM30" s="84"/>
      <c r="AO30" s="82"/>
      <c r="AP30" s="82"/>
      <c r="AQ30" s="82"/>
      <c r="AT30" s="83"/>
      <c r="AV30" s="83"/>
      <c r="AW30" s="83"/>
      <c r="AX30" s="83"/>
    </row>
    <row r="31" spans="1:50">
      <c r="AF31" s="83"/>
      <c r="AI31" s="83"/>
      <c r="AJ31" s="83"/>
      <c r="AK31" s="84"/>
      <c r="AL31" s="84"/>
      <c r="AM31" s="84"/>
      <c r="AO31" s="82"/>
      <c r="AP31" s="82"/>
      <c r="AQ31" s="82"/>
      <c r="AT31" s="83"/>
      <c r="AU31" s="83"/>
      <c r="AV31" s="83"/>
      <c r="AW31" s="83"/>
      <c r="AX31" s="83"/>
    </row>
    <row r="32" spans="1:50">
      <c r="AF32" s="83"/>
      <c r="AI32" s="83"/>
      <c r="AJ32" s="83"/>
      <c r="AK32" s="84"/>
      <c r="AL32" s="84"/>
      <c r="AM32" s="84"/>
      <c r="AO32" s="82"/>
      <c r="AP32" s="82"/>
      <c r="AQ32" s="82"/>
      <c r="AT32" s="83"/>
      <c r="AU32" s="83"/>
      <c r="AV32" s="83"/>
      <c r="AW32" s="83"/>
      <c r="AX32" s="83"/>
    </row>
    <row r="33" spans="32:50">
      <c r="AF33" s="83"/>
      <c r="AI33" s="83"/>
      <c r="AJ33" s="83"/>
      <c r="AK33" s="84"/>
      <c r="AL33" s="84"/>
      <c r="AM33" s="84"/>
      <c r="AO33" s="82"/>
      <c r="AP33" s="82"/>
      <c r="AQ33" s="82"/>
      <c r="AT33" s="83"/>
      <c r="AU33" s="83"/>
      <c r="AV33" s="83"/>
      <c r="AW33" s="83"/>
      <c r="AX33" s="83"/>
    </row>
    <row r="34" spans="32:50">
      <c r="AF34" s="83"/>
      <c r="AI34" s="83"/>
      <c r="AJ34" s="83"/>
      <c r="AK34" s="84"/>
      <c r="AL34" s="84"/>
      <c r="AM34" s="84"/>
      <c r="AO34" s="82"/>
      <c r="AP34" s="82"/>
      <c r="AQ34" s="82"/>
      <c r="AT34" s="83"/>
      <c r="AU34" s="83"/>
      <c r="AV34" s="83"/>
      <c r="AW34" s="83"/>
      <c r="AX34" s="83"/>
    </row>
  </sheetData>
  <mergeCells count="25">
    <mergeCell ref="N7:O7"/>
    <mergeCell ref="R7:S7"/>
    <mergeCell ref="U7:V7"/>
    <mergeCell ref="W7:Z7"/>
    <mergeCell ref="C7:C8"/>
    <mergeCell ref="D7:D8"/>
    <mergeCell ref="E7:G7"/>
    <mergeCell ref="I7:J7"/>
    <mergeCell ref="K7:L7"/>
    <mergeCell ref="A4:B4"/>
    <mergeCell ref="AC7:AD7"/>
    <mergeCell ref="AE7:AF7"/>
    <mergeCell ref="AM7:AP7"/>
    <mergeCell ref="AQ7:AR7"/>
    <mergeCell ref="AH6:AK6"/>
    <mergeCell ref="AM6:AV6"/>
    <mergeCell ref="A5:G5"/>
    <mergeCell ref="A6:G6"/>
    <mergeCell ref="I6:P6"/>
    <mergeCell ref="R6:S6"/>
    <mergeCell ref="U6:AF6"/>
    <mergeCell ref="AS7:AT7"/>
    <mergeCell ref="AA7:AB7"/>
    <mergeCell ref="A7:A8"/>
    <mergeCell ref="B7:B8"/>
  </mergeCells>
  <phoneticPr fontId="108" type="noConversion"/>
  <hyperlinks>
    <hyperlink ref="A4" location="'Top-Down Validation'!H9" display="→Go to: Top-Down Validation" xr:uid="{00000000-0004-0000-0500-000000000000}"/>
    <hyperlink ref="A4:B4" location="'Top-Down Validation'!Z9" display="→Go to: Top-Down Validation" xr:uid="{00000000-0004-0000-0500-000001000000}"/>
  </hyperlinks>
  <pageMargins left="0.7" right="0.7" top="0.78740157499999996" bottom="0.78740157499999996"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ECC6-8A3B-4E0D-AC76-F7C6FAA8BDC8}">
  <sheetPr>
    <tabColor theme="6" tint="0.39997558519241921"/>
  </sheetPr>
  <dimension ref="A1:K31"/>
  <sheetViews>
    <sheetView zoomScale="85" zoomScaleNormal="85" workbookViewId="0">
      <selection activeCell="K32" sqref="K32"/>
    </sheetView>
  </sheetViews>
  <sheetFormatPr defaultRowHeight="15"/>
  <cols>
    <col min="1" max="1" width="45" bestFit="1" customWidth="1"/>
    <col min="2" max="3" width="9.85546875" bestFit="1" customWidth="1"/>
    <col min="4" max="6" width="6.140625" customWidth="1"/>
    <col min="7" max="7" width="12.42578125" bestFit="1" customWidth="1"/>
    <col min="8" max="8" width="13.7109375" bestFit="1" customWidth="1"/>
    <col min="9" max="9" width="12.42578125" bestFit="1" customWidth="1"/>
    <col min="10" max="10" width="16.28515625" customWidth="1"/>
  </cols>
  <sheetData>
    <row r="1" spans="1:11" ht="21">
      <c r="A1" s="519" t="s">
        <v>490</v>
      </c>
    </row>
    <row r="2" spans="1:11">
      <c r="A2" s="529" t="s">
        <v>496</v>
      </c>
    </row>
    <row r="3" spans="1:11" ht="19.5">
      <c r="G3" s="524" t="s">
        <v>495</v>
      </c>
    </row>
    <row r="4" spans="1:11" ht="19.5">
      <c r="A4" s="524" t="s">
        <v>491</v>
      </c>
      <c r="D4" s="518"/>
      <c r="E4" s="518"/>
      <c r="G4" s="528" t="s">
        <v>161</v>
      </c>
      <c r="H4" s="528" t="s">
        <v>504</v>
      </c>
      <c r="I4" s="528" t="s">
        <v>505</v>
      </c>
      <c r="J4" s="538" t="s">
        <v>502</v>
      </c>
    </row>
    <row r="5" spans="1:11" s="518" customFormat="1" ht="15.75">
      <c r="A5" s="518" t="s">
        <v>469</v>
      </c>
      <c r="B5" s="518" t="s">
        <v>470</v>
      </c>
      <c r="C5" s="518" t="s">
        <v>471</v>
      </c>
      <c r="D5" s="535"/>
      <c r="G5" s="528" t="s">
        <v>471</v>
      </c>
      <c r="H5" s="528" t="s">
        <v>471</v>
      </c>
      <c r="I5" s="528" t="s">
        <v>471</v>
      </c>
    </row>
    <row r="6" spans="1:11">
      <c r="A6" t="s">
        <v>472</v>
      </c>
      <c r="B6">
        <v>169617</v>
      </c>
      <c r="C6" s="527"/>
      <c r="D6" s="536"/>
      <c r="E6" s="518"/>
      <c r="G6" s="527"/>
      <c r="H6" s="527"/>
      <c r="I6" s="527"/>
    </row>
    <row r="7" spans="1:11">
      <c r="A7" t="s">
        <v>474</v>
      </c>
      <c r="B7">
        <v>135064</v>
      </c>
      <c r="C7" s="527">
        <v>206030</v>
      </c>
      <c r="D7" s="536"/>
      <c r="E7" s="518"/>
      <c r="G7" s="527">
        <f>C7*$C$18*'Default Parameter'!$D$11/1000000</f>
        <v>554.62928270042164</v>
      </c>
      <c r="H7" s="527">
        <f>$C7*$C$19*'Default Parameter'!$D$11/1000000</f>
        <v>0.5737544303797466</v>
      </c>
      <c r="I7" s="527">
        <f>$C7*$C$20*'Default Parameter'!$D$11/1000000</f>
        <v>6.2591392405063262</v>
      </c>
      <c r="J7">
        <f>SUM(G7:I7)</f>
        <v>561.46217637130769</v>
      </c>
    </row>
    <row r="8" spans="1:11">
      <c r="A8" t="s">
        <v>475</v>
      </c>
      <c r="B8">
        <v>221957</v>
      </c>
      <c r="C8" s="527">
        <v>122019</v>
      </c>
      <c r="D8" s="536"/>
      <c r="E8" s="518"/>
      <c r="G8" s="527">
        <f>C8*$C$18*'Default Parameter'!$D$11/1000000</f>
        <v>328.47308860759478</v>
      </c>
      <c r="H8" s="527">
        <f>$C8*$C$19*'Default Parameter'!$D$11/1000000</f>
        <v>0.33979974683544284</v>
      </c>
      <c r="I8" s="527">
        <f>$C8*$C$20*'Default Parameter'!$D$11/1000000</f>
        <v>3.7069063291139219</v>
      </c>
      <c r="J8">
        <f>SUM(G8:I8)</f>
        <v>332.51979468354415</v>
      </c>
    </row>
    <row r="9" spans="1:11">
      <c r="A9" t="s">
        <v>476</v>
      </c>
      <c r="B9">
        <v>294885</v>
      </c>
      <c r="C9" s="527">
        <v>117556</v>
      </c>
      <c r="D9" s="536"/>
      <c r="E9" s="518"/>
      <c r="G9" s="527">
        <f>C9*$C$18*'Default Parameter'!$D$11/1000000</f>
        <v>316.45876793248925</v>
      </c>
      <c r="H9" s="527">
        <f>$C9*$C$19*'Default Parameter'!$D$11/1000000</f>
        <v>0.32737113924050615</v>
      </c>
      <c r="I9" s="527">
        <f>$C9*$C$20*'Default Parameter'!$D$11/1000000</f>
        <v>3.57132151898734</v>
      </c>
      <c r="J9">
        <f>SUM(G9:I9)</f>
        <v>320.3574605907171</v>
      </c>
    </row>
    <row r="10" spans="1:11">
      <c r="A10" t="s">
        <v>477</v>
      </c>
      <c r="B10">
        <v>59754</v>
      </c>
      <c r="C10" s="527">
        <v>201493</v>
      </c>
      <c r="D10" s="536"/>
      <c r="E10" s="518"/>
      <c r="G10" s="527">
        <f>C10*$C$18*'Default Parameter'!$D$11/1000000</f>
        <v>542.4157552742613</v>
      </c>
      <c r="H10" s="527">
        <f>$C10*$C$19*'Default Parameter'!$D$11/1000000</f>
        <v>0.56111974683544275</v>
      </c>
      <c r="I10" s="527">
        <f>$C10*$C$20*'Default Parameter'!$D$11/1000000</f>
        <v>6.1213063291139216</v>
      </c>
      <c r="J10">
        <f>SUM(G10:I10)</f>
        <v>549.09818135021067</v>
      </c>
    </row>
    <row r="11" spans="1:11">
      <c r="A11" t="s">
        <v>478</v>
      </c>
      <c r="B11">
        <v>261914</v>
      </c>
      <c r="C11" s="527">
        <v>295204</v>
      </c>
      <c r="D11" s="536"/>
      <c r="E11" s="518"/>
      <c r="G11" s="527">
        <f>C11*$C$18*'Default Parameter'!$D$11/1000000</f>
        <v>794.68418565400805</v>
      </c>
      <c r="H11" s="527">
        <f>$C11*$C$19*'Default Parameter'!$D$11/1000000</f>
        <v>0.8220870886075945</v>
      </c>
      <c r="I11" s="527">
        <f>$C11*$C$20*'Default Parameter'!$D$11/1000000</f>
        <v>8.9682227848101217</v>
      </c>
      <c r="J11">
        <f>SUM(G11:I11)</f>
        <v>804.4744955274258</v>
      </c>
    </row>
    <row r="12" spans="1:11">
      <c r="A12" t="s">
        <v>479</v>
      </c>
      <c r="B12" t="s">
        <v>473</v>
      </c>
      <c r="C12" s="527" t="s">
        <v>473</v>
      </c>
      <c r="D12" s="536"/>
      <c r="E12" s="518"/>
      <c r="G12" s="527"/>
      <c r="H12" s="527"/>
      <c r="I12" s="530"/>
    </row>
    <row r="13" spans="1:11" s="518" customFormat="1" ht="18.75">
      <c r="A13" s="518" t="s">
        <v>480</v>
      </c>
      <c r="B13" s="518">
        <f>SUM(B6:B12)</f>
        <v>1143191</v>
      </c>
      <c r="C13" s="532">
        <f>SUM(C6:C12)</f>
        <v>942302</v>
      </c>
      <c r="D13" s="536"/>
      <c r="G13" s="532">
        <f>SUM(G6:G12)</f>
        <v>2536.6610801687752</v>
      </c>
      <c r="H13" s="532">
        <f>SUM(H7:H11)</f>
        <v>2.6241321518987326</v>
      </c>
      <c r="I13" s="532">
        <f>SUM(I7:I11)</f>
        <v>28.626896202531633</v>
      </c>
      <c r="J13" s="538">
        <f>SUM(J7:J11)</f>
        <v>2567.9121085232055</v>
      </c>
      <c r="K13" s="539" t="s">
        <v>497</v>
      </c>
    </row>
    <row r="14" spans="1:11" ht="15.75">
      <c r="A14" s="80" t="s">
        <v>489</v>
      </c>
      <c r="B14" s="80">
        <f>B13*'Default Parameter'!$D$11/1000000</f>
        <v>0.96471814345991513</v>
      </c>
      <c r="C14" s="532">
        <f>C13*'Default Parameter'!$D$11/1000000</f>
        <v>0.79519156118143419</v>
      </c>
      <c r="D14" s="536"/>
      <c r="E14" s="518"/>
    </row>
    <row r="15" spans="1:11">
      <c r="E15" s="518"/>
    </row>
    <row r="16" spans="1:11" ht="19.5">
      <c r="A16" s="524" t="s">
        <v>494</v>
      </c>
    </row>
    <row r="17" spans="1:3" ht="45" customHeight="1">
      <c r="A17" s="524"/>
      <c r="B17" s="525" t="s">
        <v>492</v>
      </c>
      <c r="C17" s="525" t="s">
        <v>493</v>
      </c>
    </row>
    <row r="18" spans="1:3">
      <c r="A18" t="s">
        <v>161</v>
      </c>
      <c r="B18" s="526">
        <v>3135</v>
      </c>
      <c r="C18" s="526">
        <v>3190</v>
      </c>
    </row>
    <row r="19" spans="1:3">
      <c r="A19" t="s">
        <v>162</v>
      </c>
      <c r="B19" s="520">
        <v>9.3000000000000007</v>
      </c>
      <c r="C19" s="520">
        <v>3.3</v>
      </c>
    </row>
    <row r="20" spans="1:3">
      <c r="A20" t="s">
        <v>201</v>
      </c>
      <c r="B20" s="520">
        <v>8.3000000000000007</v>
      </c>
      <c r="C20" s="520">
        <v>36</v>
      </c>
    </row>
    <row r="31" spans="1:3" ht="15" customHeight="1"/>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3:R381"/>
  <sheetViews>
    <sheetView showGridLines="0" zoomScale="70" zoomScaleNormal="70" workbookViewId="0">
      <pane xSplit="7" ySplit="7" topLeftCell="H8" activePane="bottomRight" state="frozen"/>
      <selection activeCell="I5" sqref="I5"/>
      <selection pane="topRight" activeCell="I5" sqref="I5"/>
      <selection pane="bottomLeft" activeCell="I5" sqref="I5"/>
      <selection pane="bottomRight"/>
    </sheetView>
  </sheetViews>
  <sheetFormatPr defaultColWidth="9.140625" defaultRowHeight="15"/>
  <cols>
    <col min="1" max="1" width="25" style="61" customWidth="1"/>
    <col min="2" max="2" width="15.28515625" style="61" customWidth="1"/>
    <col min="3" max="3" width="12.140625" style="61" bestFit="1" customWidth="1"/>
    <col min="4" max="4" width="24.5703125" style="61" bestFit="1" customWidth="1"/>
    <col min="5" max="5" width="34.28515625" style="61" bestFit="1" customWidth="1"/>
    <col min="6" max="6" width="16.28515625" style="61" customWidth="1"/>
    <col min="7" max="7" width="20.85546875" style="61" bestFit="1" customWidth="1"/>
    <col min="8" max="8" width="19.28515625" style="61" customWidth="1"/>
    <col min="9" max="10" width="20.42578125" style="61" customWidth="1"/>
    <col min="11" max="11" width="20.28515625" style="61" customWidth="1"/>
    <col min="12" max="12" width="18.85546875" style="61" customWidth="1"/>
    <col min="13" max="13" width="16.42578125" style="61" customWidth="1"/>
    <col min="14" max="14" width="15.28515625" style="61" customWidth="1"/>
    <col min="15" max="16384" width="9.140625" style="61"/>
  </cols>
  <sheetData>
    <row r="3" spans="1:18">
      <c r="E3" s="62"/>
    </row>
    <row r="4" spans="1:18" ht="39" customHeight="1">
      <c r="E4" s="62"/>
    </row>
    <row r="5" spans="1:18" ht="57.95" customHeight="1" thickBot="1">
      <c r="D5" s="62"/>
      <c r="E5" s="62"/>
    </row>
    <row r="6" spans="1:18" s="63" customFormat="1" ht="38.450000000000003" customHeight="1">
      <c r="A6" s="680" t="s">
        <v>2</v>
      </c>
      <c r="B6" s="678" t="s">
        <v>194</v>
      </c>
      <c r="C6" s="678" t="s">
        <v>195</v>
      </c>
      <c r="D6" s="678" t="s">
        <v>380</v>
      </c>
      <c r="E6" s="678" t="s">
        <v>381</v>
      </c>
      <c r="F6" s="678" t="s">
        <v>200</v>
      </c>
      <c r="G6" s="678" t="s">
        <v>196</v>
      </c>
      <c r="H6" s="352" t="s">
        <v>19</v>
      </c>
      <c r="I6" s="352" t="s">
        <v>24</v>
      </c>
      <c r="J6" s="352" t="s">
        <v>197</v>
      </c>
      <c r="K6" s="352" t="s">
        <v>198</v>
      </c>
      <c r="L6" s="352" t="s">
        <v>199</v>
      </c>
      <c r="M6" s="352" t="s">
        <v>357</v>
      </c>
      <c r="N6" s="448" t="s">
        <v>358</v>
      </c>
    </row>
    <row r="7" spans="1:18" s="63" customFormat="1" ht="35.25" customHeight="1">
      <c r="A7" s="681"/>
      <c r="B7" s="679"/>
      <c r="C7" s="679"/>
      <c r="D7" s="679"/>
      <c r="E7" s="679"/>
      <c r="F7" s="679"/>
      <c r="G7" s="679"/>
      <c r="H7" s="424" t="s">
        <v>34</v>
      </c>
      <c r="I7" s="424" t="s">
        <v>38</v>
      </c>
      <c r="J7" s="424" t="s">
        <v>38</v>
      </c>
      <c r="K7" s="424" t="s">
        <v>38</v>
      </c>
      <c r="L7" s="424" t="s">
        <v>38</v>
      </c>
      <c r="M7" s="424" t="s">
        <v>206</v>
      </c>
      <c r="N7" s="449" t="s">
        <v>208</v>
      </c>
    </row>
    <row r="8" spans="1:18" ht="15.75">
      <c r="A8" s="353" t="s">
        <v>215</v>
      </c>
      <c r="B8" s="267"/>
      <c r="C8" s="267"/>
      <c r="D8" s="267"/>
      <c r="E8" s="267"/>
      <c r="F8" s="267"/>
      <c r="G8" s="267"/>
      <c r="H8" s="267"/>
      <c r="I8" s="268"/>
      <c r="J8" s="268"/>
      <c r="K8" s="268"/>
      <c r="L8" s="268"/>
      <c r="M8" s="267"/>
      <c r="N8" s="354"/>
      <c r="Q8" s="425"/>
      <c r="R8" s="425"/>
    </row>
    <row r="9" spans="1:18" s="63" customFormat="1" ht="15.75">
      <c r="A9" s="492" t="str">
        <f>'1A3a Aviation'!$B$2</f>
        <v>Kenya</v>
      </c>
      <c r="B9" s="491">
        <f>'1A3a Aviation'!$B$3</f>
        <v>2015</v>
      </c>
      <c r="C9" s="267" t="s">
        <v>322</v>
      </c>
      <c r="D9" s="267" t="s">
        <v>372</v>
      </c>
      <c r="E9" s="267" t="s">
        <v>202</v>
      </c>
      <c r="F9" s="267" t="s">
        <v>213</v>
      </c>
      <c r="G9" s="267" t="s">
        <v>203</v>
      </c>
      <c r="H9" s="485">
        <f>+VLOOKUP($A$8&amp;" - "&amp;G9,'Default Parameter'!$A$8:$M$25,3,FALSE)</f>
        <v>44.1</v>
      </c>
      <c r="I9" s="486">
        <f>+SUMIFS('1A3a Aviation'!E:E,'1A3a Aviation'!$A:$A,$E9,'1A3a Aviation'!$C:$C,$G9)</f>
        <v>44.471000000000004</v>
      </c>
      <c r="J9" s="486">
        <f>+SUMIFS('1A3a Aviation'!R:R,'1A3a Aviation'!$A:$A,$E9,'1A3a Aviation'!$C:$C,$G9)</f>
        <v>140.22373365000001</v>
      </c>
      <c r="K9" s="486">
        <f>+SUMIFS('1A3a Aviation'!T:T,'1A3a Aviation'!$A:$A,$E9,'1A3a Aviation'!$C:$C,$G9)</f>
        <v>9.8058555000000015E-4</v>
      </c>
      <c r="L9" s="486">
        <f>+SUMIFS('1A3a Aviation'!V:V,'1A3a Aviation'!$A:$A,$E9,'1A3a Aviation'!$C:$C,$G9)</f>
        <v>3.9223422000000006E-3</v>
      </c>
      <c r="M9" s="486">
        <f>+SUMIFS('1A3a Aviation'!Y:Y,'1A3a Aviation'!$A:$A,$E9,'1A3a Aviation'!$C:$C,$G9)</f>
        <v>0</v>
      </c>
      <c r="N9" s="487">
        <f>+SUMIFS('1A3a Aviation'!Z:Z,'1A3a Aviation'!$A:$A,$E9,'1A3a Aviation'!$C:$C,$G9)</f>
        <v>0</v>
      </c>
      <c r="Q9" s="426"/>
      <c r="R9" s="426"/>
    </row>
    <row r="10" spans="1:18" s="63" customFormat="1" ht="15.75">
      <c r="A10" s="492" t="str">
        <f>'1A3a Aviation'!$B$2</f>
        <v>Kenya</v>
      </c>
      <c r="B10" s="491">
        <f>'1A3a Aviation'!$B$3</f>
        <v>2015</v>
      </c>
      <c r="C10" s="267" t="s">
        <v>326</v>
      </c>
      <c r="D10" s="267" t="s">
        <v>372</v>
      </c>
      <c r="E10" s="267" t="s">
        <v>335</v>
      </c>
      <c r="F10" s="267" t="s">
        <v>213</v>
      </c>
      <c r="G10" s="267" t="s">
        <v>203</v>
      </c>
      <c r="H10" s="485">
        <f>+VLOOKUP($A$8&amp;" - "&amp;G10,'Default Parameter'!$A$8:$M$25,3,FALSE)</f>
        <v>44.1</v>
      </c>
      <c r="I10" s="486">
        <f>+SUMIFS('1A3a Aviation'!E:E,'1A3a Aviation'!$A:$A,$E10,'1A3a Aviation'!$C:$C,$G10)</f>
        <v>590.82899999999995</v>
      </c>
      <c r="J10" s="486">
        <f>+SUMIFS('1A3a Aviation'!R:R,'1A3a Aviation'!$A:$A,$E10,'1A3a Aviation'!$C:$C,$G10)</f>
        <v>1862.97246135</v>
      </c>
      <c r="K10" s="486">
        <f>+SUMIFS('1A3a Aviation'!T:T,'1A3a Aviation'!$A:$A,$E10,'1A3a Aviation'!$C:$C,$G10)</f>
        <v>1.3027779450000001E-2</v>
      </c>
      <c r="L10" s="486">
        <f>+SUMIFS('1A3a Aviation'!V:V,'1A3a Aviation'!$A:$A,$E10,'1A3a Aviation'!$C:$C,$G10)</f>
        <v>5.2111117800000002E-2</v>
      </c>
      <c r="M10" s="486">
        <f>+SUMIFS('1A3a Aviation'!Y:Y,'1A3a Aviation'!$A:$A,$E10,'1A3a Aviation'!$C:$C,$G10)</f>
        <v>0</v>
      </c>
      <c r="N10" s="487">
        <f>+SUMIFS('1A3a Aviation'!Z:Z,'1A3a Aviation'!$A:$A,$E10,'1A3a Aviation'!$C:$C,$G10)</f>
        <v>0</v>
      </c>
      <c r="Q10" s="426"/>
      <c r="R10" s="426"/>
    </row>
    <row r="11" spans="1:18" s="63" customFormat="1" ht="15.75">
      <c r="A11" s="492" t="str">
        <f>'1A3a Aviation'!$B$2</f>
        <v>Kenya</v>
      </c>
      <c r="B11" s="491">
        <f>'1A3a Aviation'!$B$3</f>
        <v>2015</v>
      </c>
      <c r="C11" s="267" t="s">
        <v>322</v>
      </c>
      <c r="D11" s="267" t="s">
        <v>372</v>
      </c>
      <c r="E11" s="267" t="s">
        <v>202</v>
      </c>
      <c r="F11" s="267" t="s">
        <v>213</v>
      </c>
      <c r="G11" s="267" t="s">
        <v>205</v>
      </c>
      <c r="H11" s="485">
        <f>+VLOOKUP($A$8&amp;" - "&amp;G11,'Default Parameter'!$A$8:$M$25,3,FALSE)</f>
        <v>44.3</v>
      </c>
      <c r="I11" s="486">
        <f>+SUMIFS('1A3a Aviation'!E:E,'1A3a Aviation'!$A:$A,$E11,'1A3a Aviation'!$C:$C,$G11)</f>
        <v>18.7</v>
      </c>
      <c r="J11" s="486">
        <f>+SUMIFS('1A3a Aviation'!R:R,'1A3a Aviation'!$A:$A,$E11,'1A3a Aviation'!$C:$C,$G11)</f>
        <v>57.988700000000001</v>
      </c>
      <c r="K11" s="486">
        <f>+SUMIFS('1A3a Aviation'!T:T,'1A3a Aviation'!$A:$A,$E11,'1A3a Aviation'!$C:$C,$G11)</f>
        <v>4.1420500000000001E-4</v>
      </c>
      <c r="L11" s="486">
        <f>+SUMIFS('1A3a Aviation'!V:V,'1A3a Aviation'!$A:$A,$E11,'1A3a Aviation'!$C:$C,$G11)</f>
        <v>1.65682E-3</v>
      </c>
      <c r="M11" s="486">
        <f>+SUMIFS('1A3a Aviation'!Y:Y,'1A3a Aviation'!$A:$A,$E11,'1A3a Aviation'!$C:$C,$G11)</f>
        <v>0</v>
      </c>
      <c r="N11" s="487">
        <f>+SUMIFS('1A3a Aviation'!Z:Z,'1A3a Aviation'!$A:$A,$E11,'1A3a Aviation'!$C:$C,$G11)</f>
        <v>0</v>
      </c>
      <c r="Q11" s="426"/>
      <c r="R11" s="426"/>
    </row>
    <row r="12" spans="1:18" s="63" customFormat="1" ht="15.75">
      <c r="A12" s="355"/>
      <c r="B12" s="267"/>
      <c r="C12" s="267"/>
      <c r="D12" s="267"/>
      <c r="E12" s="267"/>
      <c r="F12" s="267"/>
      <c r="G12" s="267"/>
      <c r="H12" s="267"/>
      <c r="I12" s="268"/>
      <c r="J12" s="268"/>
      <c r="K12" s="268"/>
      <c r="L12" s="268"/>
      <c r="M12" s="268"/>
      <c r="N12" s="356"/>
      <c r="Q12" s="426"/>
      <c r="R12" s="426"/>
    </row>
    <row r="13" spans="1:18" ht="15.75">
      <c r="A13" s="353" t="s">
        <v>0</v>
      </c>
      <c r="B13" s="267"/>
      <c r="C13" s="267"/>
      <c r="D13" s="267"/>
      <c r="E13" s="267"/>
      <c r="F13" s="267"/>
      <c r="G13" s="267"/>
      <c r="H13" s="267"/>
      <c r="I13" s="268"/>
      <c r="J13" s="268"/>
      <c r="K13" s="268"/>
      <c r="L13" s="268"/>
      <c r="M13" s="267"/>
      <c r="N13" s="354"/>
      <c r="Q13" s="425"/>
      <c r="R13" s="425"/>
    </row>
    <row r="14" spans="1:18" s="63" customFormat="1" ht="15.75">
      <c r="A14" s="492" t="str">
        <f>'1A3b Road'!$B$2</f>
        <v>Kenya</v>
      </c>
      <c r="B14" s="491">
        <f>'1A3b Road'!$B$3</f>
        <v>2015</v>
      </c>
      <c r="C14" s="267" t="s">
        <v>183</v>
      </c>
      <c r="D14" s="267" t="s">
        <v>366</v>
      </c>
      <c r="E14" s="267" t="s">
        <v>323</v>
      </c>
      <c r="F14" s="267" t="s">
        <v>363</v>
      </c>
      <c r="G14" s="267" t="s">
        <v>49</v>
      </c>
      <c r="H14" s="485">
        <f>+VLOOKUP($A$13&amp;" - "&amp;G14,'Default Parameter'!$A$8:$M$25,3,FALSE)</f>
        <v>44.3</v>
      </c>
      <c r="I14" s="486">
        <f>+SUMIFS('1A3b Road'!AD:AD,'1A3b Road'!$D:$D,$G14,'1A3b Road'!$A:$A,$E14)</f>
        <v>667.35551421220157</v>
      </c>
      <c r="J14" s="486">
        <f>+SUMIFS('1A3b Road'!AF:AF,'1A3b Road'!$D:$D,$G14,'1A3b Road'!$A:$A,$E14)</f>
        <v>2048.7747550763165</v>
      </c>
      <c r="K14" s="486">
        <f>+SUMIFS('1A3b Road'!AG:AG,'1A3b Road'!$D:$D,$G14,'1A3b Road'!$A:$A,$E14)</f>
        <v>0.97560702622681739</v>
      </c>
      <c r="L14" s="486">
        <f>+SUMIFS('1A3b Road'!AH:AH,'1A3b Road'!$D:$D,$G14,'1A3b Road'!$A:$A,$E14)</f>
        <v>9.460431769472169E-2</v>
      </c>
      <c r="M14" s="347">
        <f>+SUMIFS('1A3b Road'!AM:AM,'1A3b Road'!$D:$D,$G14,'1A3b Road'!$A:$A,$E14)</f>
        <v>0</v>
      </c>
      <c r="N14" s="348">
        <f>SUMIFS('1A3b Road'!AN:AN,'1A3b Road'!$D:$D,$G14,'1A3b Road'!$A:$A,$E14)</f>
        <v>0</v>
      </c>
      <c r="Q14" s="426"/>
      <c r="R14" s="426"/>
    </row>
    <row r="15" spans="1:18" s="63" customFormat="1" ht="15.75">
      <c r="A15" s="492" t="str">
        <f>'1A3b Road'!$B$2</f>
        <v>Kenya</v>
      </c>
      <c r="B15" s="491">
        <f>'1A3b Road'!$B$3</f>
        <v>2015</v>
      </c>
      <c r="C15" s="267" t="s">
        <v>183</v>
      </c>
      <c r="D15" s="267" t="s">
        <v>366</v>
      </c>
      <c r="E15" s="267" t="s">
        <v>323</v>
      </c>
      <c r="F15" s="267" t="s">
        <v>363</v>
      </c>
      <c r="G15" s="267" t="s">
        <v>53</v>
      </c>
      <c r="H15" s="485">
        <f>+VLOOKUP($A$13&amp;" - "&amp;G15,'Default Parameter'!$A$8:$M$25,3,FALSE)</f>
        <v>43</v>
      </c>
      <c r="I15" s="486">
        <f>+SUMIFS('1A3b Road'!AD:AD,'1A3b Road'!$D:$D,$G15,'1A3b Road'!$A:$A,$E15)</f>
        <v>44.694248889887476</v>
      </c>
      <c r="J15" s="486">
        <f>+SUMIFS('1A3b Road'!AF:AF,'1A3b Road'!$D:$D,$G15,'1A3b Road'!$A:$A,$E15)</f>
        <v>142.40928523784848</v>
      </c>
      <c r="K15" s="486">
        <f>+SUMIFS('1A3b Road'!AG:AG,'1A3b Road'!$D:$D,$G15,'1A3b Road'!$A:$A,$E15)</f>
        <v>7.4952255388341313E-3</v>
      </c>
      <c r="L15" s="486">
        <f>+SUMIFS('1A3b Road'!AH:AH,'1A3b Road'!$D:$D,$G15,'1A3b Road'!$A:$A,$E15)</f>
        <v>7.4952255388341313E-3</v>
      </c>
      <c r="M15" s="347">
        <f>+SUMIFS('1A3b Road'!AM:AM,'1A3b Road'!$D:$D,$G15,'1A3b Road'!$A:$A,$E15)</f>
        <v>0</v>
      </c>
      <c r="N15" s="348">
        <f>SUMIFS('1A3b Road'!AN:AN,'1A3b Road'!$D:$D,$G15,'1A3b Road'!$A:$A,$E15)</f>
        <v>0</v>
      </c>
      <c r="Q15" s="426"/>
      <c r="R15" s="426"/>
    </row>
    <row r="16" spans="1:18" ht="15.75">
      <c r="A16" s="492" t="str">
        <f>'1A3b Road'!$B$2</f>
        <v>Kenya</v>
      </c>
      <c r="B16" s="491">
        <f>'1A3b Road'!$B$3</f>
        <v>2015</v>
      </c>
      <c r="C16" s="267" t="s">
        <v>183</v>
      </c>
      <c r="D16" s="267" t="s">
        <v>366</v>
      </c>
      <c r="E16" s="267" t="s">
        <v>323</v>
      </c>
      <c r="F16" s="267" t="s">
        <v>363</v>
      </c>
      <c r="G16" s="267" t="s">
        <v>70</v>
      </c>
      <c r="H16" s="485">
        <f>+VLOOKUP($A$13&amp;" - "&amp;G16,'Default Parameter'!$A$8:$M$25,3,FALSE)</f>
        <v>47.3</v>
      </c>
      <c r="I16" s="486">
        <f>+SUMIFS('1A3b Road'!AD:AD,'1A3b Road'!$D:$D,$G16,'1A3b Road'!$A:$A,$E16)</f>
        <v>0</v>
      </c>
      <c r="J16" s="486">
        <f>+SUMIFS('1A3b Road'!AF:AF,'1A3b Road'!$D:$D,$G16,'1A3b Road'!$A:$A,$E16)</f>
        <v>0</v>
      </c>
      <c r="K16" s="486">
        <f>+SUMIFS('1A3b Road'!AG:AG,'1A3b Road'!$D:$D,$G16,'1A3b Road'!$A:$A,$E16)</f>
        <v>0</v>
      </c>
      <c r="L16" s="486">
        <f>+SUMIFS('1A3b Road'!AH:AH,'1A3b Road'!$D:$D,$G16,'1A3b Road'!$A:$A,$E16)</f>
        <v>0</v>
      </c>
      <c r="M16" s="347">
        <f>+SUMIFS('1A3b Road'!AM:AM,'1A3b Road'!$D:$D,$G16,'1A3b Road'!$A:$A,$E16)</f>
        <v>0</v>
      </c>
      <c r="N16" s="348">
        <f>SUMIFS('1A3b Road'!AN:AN,'1A3b Road'!$D:$D,$G16,'1A3b Road'!$A:$A,$E16)</f>
        <v>0</v>
      </c>
      <c r="Q16" s="425"/>
      <c r="R16" s="425"/>
    </row>
    <row r="17" spans="1:18" ht="15.75">
      <c r="A17" s="492" t="str">
        <f>'1A3b Road'!$B$2</f>
        <v>Kenya</v>
      </c>
      <c r="B17" s="491">
        <f>'1A3b Road'!$B$3</f>
        <v>2015</v>
      </c>
      <c r="C17" s="267" t="s">
        <v>183</v>
      </c>
      <c r="D17" s="267" t="s">
        <v>366</v>
      </c>
      <c r="E17" s="267" t="s">
        <v>323</v>
      </c>
      <c r="F17" s="267" t="s">
        <v>363</v>
      </c>
      <c r="G17" s="267" t="s">
        <v>78</v>
      </c>
      <c r="H17" s="485">
        <f>+VLOOKUP($A$13&amp;" - "&amp;G17,'Default Parameter'!$A$8:$M$25,3,FALSE)</f>
        <v>48</v>
      </c>
      <c r="I17" s="486">
        <f>+SUMIFS('1A3b Road'!AD:AD,'1A3b Road'!$D:$D,$G17,'1A3b Road'!$A:$A,$E17)</f>
        <v>0</v>
      </c>
      <c r="J17" s="486">
        <f>+SUMIFS('1A3b Road'!AF:AF,'1A3b Road'!$D:$D,$G17,'1A3b Road'!$A:$A,$E17)</f>
        <v>0</v>
      </c>
      <c r="K17" s="486">
        <f>+SUMIFS('1A3b Road'!AG:AG,'1A3b Road'!$D:$D,$G17,'1A3b Road'!$A:$A,$E17)</f>
        <v>0</v>
      </c>
      <c r="L17" s="486">
        <f>+SUMIFS('1A3b Road'!AH:AH,'1A3b Road'!$D:$D,$G17,'1A3b Road'!$A:$A,$E17)</f>
        <v>0</v>
      </c>
      <c r="M17" s="347">
        <f>+SUMIFS('1A3b Road'!AM:AM,'1A3b Road'!$D:$D,$G17,'1A3b Road'!$A:$A,$E17)</f>
        <v>0</v>
      </c>
      <c r="N17" s="348">
        <f>SUMIFS('1A3b Road'!AN:AN,'1A3b Road'!$D:$D,$G17,'1A3b Road'!$A:$A,$E17)</f>
        <v>0</v>
      </c>
      <c r="Q17" s="425"/>
      <c r="R17" s="425"/>
    </row>
    <row r="18" spans="1:18" ht="15.75">
      <c r="A18" s="492" t="str">
        <f>'1A3b Road'!$B$2</f>
        <v>Kenya</v>
      </c>
      <c r="B18" s="491">
        <f>'1A3b Road'!$B$3</f>
        <v>2015</v>
      </c>
      <c r="C18" s="267" t="s">
        <v>185</v>
      </c>
      <c r="D18" s="267" t="s">
        <v>366</v>
      </c>
      <c r="E18" s="267" t="s">
        <v>327</v>
      </c>
      <c r="F18" s="267" t="s">
        <v>207</v>
      </c>
      <c r="G18" s="267" t="s">
        <v>49</v>
      </c>
      <c r="H18" s="485">
        <f>+VLOOKUP($A$13&amp;" - "&amp;G18,'Default Parameter'!$A$8:$M$25,3,FALSE)</f>
        <v>44.3</v>
      </c>
      <c r="I18" s="486">
        <f>+SUMIFS('1A3b Road'!AD:AD,'1A3b Road'!$D:$D,$G18,'1A3b Road'!$A:$A,$E18)</f>
        <v>24.56581130574941</v>
      </c>
      <c r="J18" s="486">
        <f>+SUMIFS('1A3b Road'!AF:AF,'1A3b Road'!$D:$D,$G18,'1A3b Road'!$A:$A,$E18)</f>
        <v>75.416795050537615</v>
      </c>
      <c r="K18" s="486">
        <f>+SUMIFS('1A3b Road'!AG:AG,'1A3b Road'!$D:$D,$G18,'1A3b Road'!$A:$A,$E18)</f>
        <v>3.5912759547875067E-2</v>
      </c>
      <c r="L18" s="486">
        <f>+SUMIFS('1A3b Road'!AH:AH,'1A3b Road'!$D:$D,$G18,'1A3b Road'!$A:$A,$E18)</f>
        <v>3.4824494107030366E-3</v>
      </c>
      <c r="M18" s="347">
        <f>+SUMIFS('1A3b Road'!AM:AM,'1A3b Road'!$D:$D,$G18,'1A3b Road'!$A:$A,$E18)</f>
        <v>0</v>
      </c>
      <c r="N18" s="348">
        <f>SUMIFS('1A3b Road'!AN:AN,'1A3b Road'!$D:$D,$G18,'1A3b Road'!$A:$A,$E18)</f>
        <v>0</v>
      </c>
      <c r="Q18" s="425"/>
      <c r="R18" s="425"/>
    </row>
    <row r="19" spans="1:18" ht="15.75">
      <c r="A19" s="492" t="str">
        <f>'1A3b Road'!$B$2</f>
        <v>Kenya</v>
      </c>
      <c r="B19" s="491">
        <f>'1A3b Road'!$B$3</f>
        <v>2015</v>
      </c>
      <c r="C19" s="267" t="s">
        <v>185</v>
      </c>
      <c r="D19" s="267" t="s">
        <v>366</v>
      </c>
      <c r="E19" s="267" t="s">
        <v>327</v>
      </c>
      <c r="F19" s="267" t="s">
        <v>207</v>
      </c>
      <c r="G19" s="267" t="s">
        <v>53</v>
      </c>
      <c r="H19" s="485">
        <f>+VLOOKUP($A$13&amp;" - "&amp;G19,'Default Parameter'!$A$8:$M$25,3,FALSE)</f>
        <v>43</v>
      </c>
      <c r="I19" s="486">
        <f>+SUMIFS('1A3b Road'!AD:AD,'1A3b Road'!$D:$D,$G19,'1A3b Road'!$A:$A,$E19)</f>
        <v>200.41478274300584</v>
      </c>
      <c r="J19" s="486">
        <f>+SUMIFS('1A3b Road'!AF:AF,'1A3b Road'!$D:$D,$G19,'1A3b Road'!$A:$A,$E19)</f>
        <v>638.58162225403964</v>
      </c>
      <c r="K19" s="486">
        <f>+SUMIFS('1A3b Road'!AG:AG,'1A3b Road'!$D:$D,$G19,'1A3b Road'!$A:$A,$E19)</f>
        <v>3.360955906600209E-2</v>
      </c>
      <c r="L19" s="486">
        <f>+SUMIFS('1A3b Road'!AH:AH,'1A3b Road'!$D:$D,$G19,'1A3b Road'!$A:$A,$E19)</f>
        <v>3.360955906600209E-2</v>
      </c>
      <c r="M19" s="347">
        <f>+SUMIFS('1A3b Road'!AM:AM,'1A3b Road'!$D:$D,$G19,'1A3b Road'!$A:$A,$E19)</f>
        <v>0</v>
      </c>
      <c r="N19" s="348">
        <f>SUMIFS('1A3b Road'!AN:AN,'1A3b Road'!$D:$D,$G19,'1A3b Road'!$A:$A,$E19)</f>
        <v>0</v>
      </c>
      <c r="Q19" s="425"/>
      <c r="R19" s="425"/>
    </row>
    <row r="20" spans="1:18" ht="15.75">
      <c r="A20" s="492" t="str">
        <f>'1A3b Road'!$B$2</f>
        <v>Kenya</v>
      </c>
      <c r="B20" s="491">
        <f>'1A3b Road'!$B$3</f>
        <v>2015</v>
      </c>
      <c r="C20" s="267" t="s">
        <v>184</v>
      </c>
      <c r="D20" s="267" t="s">
        <v>366</v>
      </c>
      <c r="E20" s="267" t="s">
        <v>328</v>
      </c>
      <c r="F20" s="267" t="s">
        <v>207</v>
      </c>
      <c r="G20" s="267" t="s">
        <v>53</v>
      </c>
      <c r="H20" s="485">
        <f>+VLOOKUP($A$13&amp;" - "&amp;G20,'Default Parameter'!$A$8:$M$25,3,FALSE)</f>
        <v>43</v>
      </c>
      <c r="I20" s="486">
        <f>+SUMIFS('1A3b Road'!AD:AD,'1A3b Road'!$D:$D,$G20,'1A3b Road'!$A:$A,$E20)</f>
        <v>871.12448643981918</v>
      </c>
      <c r="J20" s="486">
        <f>+SUMIFS('1A3b Road'!AF:AF,'1A3b Road'!$D:$D,$G20,'1A3b Road'!$A:$A,$E20)</f>
        <v>2775.6639511431958</v>
      </c>
      <c r="K20" s="486">
        <f>+SUMIFS('1A3b Road'!AG:AG,'1A3b Road'!$D:$D,$G20,'1A3b Road'!$A:$A,$E20)</f>
        <v>0.14608757637595765</v>
      </c>
      <c r="L20" s="486">
        <f>+SUMIFS('1A3b Road'!AH:AH,'1A3b Road'!$D:$D,$G20,'1A3b Road'!$A:$A,$E20)</f>
        <v>0.14608757637595765</v>
      </c>
      <c r="M20" s="347">
        <f>+SUMIFS('1A3b Road'!AM:AM,'1A3b Road'!$D:$D,$G20,'1A3b Road'!$A:$A,$E20)</f>
        <v>0</v>
      </c>
      <c r="N20" s="348">
        <f>SUMIFS('1A3b Road'!AN:AN,'1A3b Road'!$D:$D,$G20,'1A3b Road'!$A:$A,$E20)</f>
        <v>0</v>
      </c>
      <c r="Q20" s="425"/>
      <c r="R20" s="425"/>
    </row>
    <row r="21" spans="1:18" ht="15.75">
      <c r="A21" s="492" t="str">
        <f>'1A3b Road'!$B$2</f>
        <v>Kenya</v>
      </c>
      <c r="B21" s="491">
        <f>'1A3b Road'!$B$3</f>
        <v>2015</v>
      </c>
      <c r="C21" s="267" t="s">
        <v>184</v>
      </c>
      <c r="D21" s="267" t="s">
        <v>366</v>
      </c>
      <c r="E21" s="267" t="s">
        <v>82</v>
      </c>
      <c r="F21" s="267" t="s">
        <v>363</v>
      </c>
      <c r="G21" s="267" t="s">
        <v>49</v>
      </c>
      <c r="H21" s="485">
        <f>+VLOOKUP($A$13&amp;" - "&amp;G21,'Default Parameter'!$A$8:$M$25,3,FALSE)</f>
        <v>44.3</v>
      </c>
      <c r="I21" s="486">
        <f>+SUMIFS('1A3b Road'!AD:AD,'1A3b Road'!$D:$D,$G21,'1A3b Road'!$A:$A,$E21)</f>
        <v>0</v>
      </c>
      <c r="J21" s="486">
        <f>+SUMIFS('1A3b Road'!AF:AF,'1A3b Road'!$D:$D,$G21,'1A3b Road'!$A:$A,$E21)</f>
        <v>0</v>
      </c>
      <c r="K21" s="486">
        <f>+SUMIFS('1A3b Road'!AG:AG,'1A3b Road'!$D:$D,$G21,'1A3b Road'!$A:$A,$E21)</f>
        <v>0</v>
      </c>
      <c r="L21" s="486">
        <f>+SUMIFS('1A3b Road'!AH:AH,'1A3b Road'!$D:$D,$G21,'1A3b Road'!$A:$A,$E21)</f>
        <v>0</v>
      </c>
      <c r="M21" s="347">
        <f>+SUMIFS('1A3b Road'!AM:AM,'1A3b Road'!$D:$D,$G21,'1A3b Road'!$A:$A,$E21)</f>
        <v>0</v>
      </c>
      <c r="N21" s="348">
        <f>SUMIFS('1A3b Road'!AN:AN,'1A3b Road'!$D:$D,$G21,'1A3b Road'!$A:$A,$E21)</f>
        <v>0</v>
      </c>
      <c r="Q21" s="425"/>
      <c r="R21" s="425"/>
    </row>
    <row r="22" spans="1:18" ht="15.75">
      <c r="A22" s="492" t="str">
        <f>'1A3b Road'!$B$2</f>
        <v>Kenya</v>
      </c>
      <c r="B22" s="491">
        <f>'1A3b Road'!$B$3</f>
        <v>2015</v>
      </c>
      <c r="C22" s="267" t="s">
        <v>184</v>
      </c>
      <c r="D22" s="267" t="s">
        <v>366</v>
      </c>
      <c r="E22" s="267" t="s">
        <v>82</v>
      </c>
      <c r="F22" s="267" t="s">
        <v>363</v>
      </c>
      <c r="G22" s="267" t="s">
        <v>53</v>
      </c>
      <c r="H22" s="485">
        <f>+VLOOKUP($A$13&amp;" - "&amp;G22,'Default Parameter'!$A$8:$M$25,3,FALSE)</f>
        <v>43</v>
      </c>
      <c r="I22" s="486">
        <f>+SUMIFS('1A3b Road'!AD:AD,'1A3b Road'!$D:$D,$G22,'1A3b Road'!$A:$A,$E22)</f>
        <v>116.84677186913228</v>
      </c>
      <c r="J22" s="486">
        <f>+SUMIFS('1A3b Road'!AF:AF,'1A3b Road'!$D:$D,$G22,'1A3b Road'!$A:$A,$E22)</f>
        <v>372.30886920661618</v>
      </c>
      <c r="K22" s="486">
        <f>+SUMIFS('1A3b Road'!AG:AG,'1A3b Road'!$D:$D,$G22,'1A3b Road'!$A:$A,$E22)</f>
        <v>1.9595203642453481E-2</v>
      </c>
      <c r="L22" s="486">
        <f>+SUMIFS('1A3b Road'!AH:AH,'1A3b Road'!$D:$D,$G22,'1A3b Road'!$A:$A,$E22)</f>
        <v>1.9595203642453481E-2</v>
      </c>
      <c r="M22" s="347">
        <f>+SUMIFS('1A3b Road'!AM:AM,'1A3b Road'!$D:$D,$G22,'1A3b Road'!$A:$A,$E22)</f>
        <v>0</v>
      </c>
      <c r="N22" s="348">
        <f>SUMIFS('1A3b Road'!AN:AN,'1A3b Road'!$D:$D,$G22,'1A3b Road'!$A:$A,$E22)</f>
        <v>0</v>
      </c>
      <c r="Q22" s="425"/>
      <c r="R22" s="425"/>
    </row>
    <row r="23" spans="1:18" ht="15.75">
      <c r="A23" s="492" t="str">
        <f>'1A3b Road'!$B$2</f>
        <v>Kenya</v>
      </c>
      <c r="B23" s="491">
        <f>'1A3b Road'!$B$3</f>
        <v>2015</v>
      </c>
      <c r="C23" s="267" t="s">
        <v>184</v>
      </c>
      <c r="D23" s="267" t="s">
        <v>366</v>
      </c>
      <c r="E23" s="267" t="s">
        <v>82</v>
      </c>
      <c r="F23" s="267" t="s">
        <v>363</v>
      </c>
      <c r="G23" s="267" t="s">
        <v>78</v>
      </c>
      <c r="H23" s="485">
        <f>+VLOOKUP($A$13&amp;" - "&amp;G23,'Default Parameter'!$A$8:$M$25,3,FALSE)</f>
        <v>48</v>
      </c>
      <c r="I23" s="486">
        <f>+SUMIFS('1A3b Road'!AD:AD,'1A3b Road'!$D:$D,$G23,'1A3b Road'!$A:$A,$E23)</f>
        <v>0</v>
      </c>
      <c r="J23" s="486">
        <f>+SUMIFS('1A3b Road'!AF:AF,'1A3b Road'!$D:$D,$G23,'1A3b Road'!$A:$A,$E23)</f>
        <v>0</v>
      </c>
      <c r="K23" s="486">
        <f>+SUMIFS('1A3b Road'!AG:AG,'1A3b Road'!$D:$D,$G23,'1A3b Road'!$A:$A,$E23)</f>
        <v>0</v>
      </c>
      <c r="L23" s="486">
        <f>+SUMIFS('1A3b Road'!AH:AH,'1A3b Road'!$D:$D,$G23,'1A3b Road'!$A:$A,$E23)</f>
        <v>0</v>
      </c>
      <c r="M23" s="347">
        <f>+SUMIFS('1A3b Road'!AM:AM,'1A3b Road'!$D:$D,$G23,'1A3b Road'!$A:$A,$E23)</f>
        <v>0</v>
      </c>
      <c r="N23" s="348">
        <f>SUMIFS('1A3b Road'!AN:AN,'1A3b Road'!$D:$D,$G23,'1A3b Road'!$A:$A,$E23)</f>
        <v>0</v>
      </c>
      <c r="Q23" s="425"/>
      <c r="R23" s="425"/>
    </row>
    <row r="24" spans="1:18" ht="15.75">
      <c r="A24" s="492" t="str">
        <f>'1A3b Road'!$B$2</f>
        <v>Kenya</v>
      </c>
      <c r="B24" s="491">
        <f>'1A3b Road'!$B$3</f>
        <v>2015</v>
      </c>
      <c r="C24" s="267" t="s">
        <v>186</v>
      </c>
      <c r="D24" s="267" t="s">
        <v>366</v>
      </c>
      <c r="E24" s="267" t="s">
        <v>329</v>
      </c>
      <c r="F24" s="267" t="s">
        <v>363</v>
      </c>
      <c r="G24" s="267" t="s">
        <v>49</v>
      </c>
      <c r="H24" s="485">
        <f>+VLOOKUP($A$13&amp;" - "&amp;G24,'Default Parameter'!$A$8:$M$25,3,FALSE)</f>
        <v>44.3</v>
      </c>
      <c r="I24" s="486">
        <f>+SUMIFS('1A3b Road'!AD:AD,'1A3b Road'!$D:$D,$G24,'1A3b Road'!$A:$A,$E24)</f>
        <v>270.2456283636277</v>
      </c>
      <c r="J24" s="486">
        <f>+SUMIFS('1A3b Road'!AF:AF,'1A3b Road'!$D:$D,$G24,'1A3b Road'!$A:$A,$E24)</f>
        <v>829.65137662005327</v>
      </c>
      <c r="K24" s="486">
        <f>+SUMIFS('1A3b Road'!AG:AG,'1A3b Road'!$D:$D,$G24,'1A3b Road'!$A:$A,$E24)</f>
        <v>0.53334731354146292</v>
      </c>
      <c r="L24" s="486">
        <f>+SUMIFS('1A3b Road'!AH:AH,'1A3b Road'!$D:$D,$G24,'1A3b Road'!$A:$A,$E24)</f>
        <v>5.171852737371762E-2</v>
      </c>
      <c r="M24" s="347">
        <f>+SUMIFS('1A3b Road'!AM:AM,'1A3b Road'!$D:$D,$G24,'1A3b Road'!$A:$A,$E24)</f>
        <v>0</v>
      </c>
      <c r="N24" s="348">
        <f>SUMIFS('1A3b Road'!AN:AN,'1A3b Road'!$D:$D,$G24,'1A3b Road'!$A:$A,$E24)</f>
        <v>0</v>
      </c>
      <c r="Q24" s="425"/>
      <c r="R24" s="425"/>
    </row>
    <row r="25" spans="1:18" ht="15.75">
      <c r="A25" s="355"/>
      <c r="B25" s="267"/>
      <c r="C25" s="267"/>
      <c r="D25" s="267"/>
      <c r="E25" s="267"/>
      <c r="F25" s="267"/>
      <c r="G25" s="267"/>
      <c r="H25" s="267"/>
      <c r="I25" s="268"/>
      <c r="J25" s="268"/>
      <c r="K25" s="268"/>
      <c r="L25" s="268"/>
      <c r="M25" s="268"/>
      <c r="N25" s="356"/>
      <c r="Q25" s="425"/>
      <c r="R25" s="425"/>
    </row>
    <row r="26" spans="1:18" ht="15.75">
      <c r="A26" s="353" t="s">
        <v>333</v>
      </c>
      <c r="B26" s="267"/>
      <c r="C26" s="267"/>
      <c r="D26" s="267"/>
      <c r="E26" s="267"/>
      <c r="F26" s="267"/>
      <c r="G26" s="267"/>
      <c r="H26" s="267"/>
      <c r="I26" s="268"/>
      <c r="J26" s="268"/>
      <c r="K26" s="268"/>
      <c r="L26" s="268"/>
      <c r="M26" s="267"/>
      <c r="N26" s="354"/>
      <c r="Q26" s="425"/>
      <c r="R26" s="425"/>
    </row>
    <row r="27" spans="1:18" ht="15.75">
      <c r="A27" s="492" t="str">
        <f>'1A3c Railways'!$B$2</f>
        <v>Kenya</v>
      </c>
      <c r="B27" s="491">
        <f>'1A3c Railways'!$B$3</f>
        <v>2015</v>
      </c>
      <c r="C27" s="267" t="s">
        <v>209</v>
      </c>
      <c r="D27" s="267" t="s">
        <v>333</v>
      </c>
      <c r="E27" s="267" t="s">
        <v>333</v>
      </c>
      <c r="F27" s="267" t="s">
        <v>363</v>
      </c>
      <c r="G27" s="267" t="s">
        <v>53</v>
      </c>
      <c r="H27" s="485">
        <f t="array" ref="H27">+VLOOKUP($A$26&amp;" - "&amp;G27,'Default Parameter'!$A$8:$M$25,3,FALSE)</f>
        <v>43</v>
      </c>
      <c r="I27" s="486">
        <f>+SUMIFS('1A3c Railways'!$E:$E,'1A3c Railways'!$B:$B,$F27,'1A3c Railways'!$C:$C,G27)</f>
        <v>36.9</v>
      </c>
      <c r="J27" s="486">
        <f>+SUMIFS('1A3c Railways'!U:U,'1A3c Railways'!$B:$B,$F27,'1A3c Railways'!$C:$C,$G27)</f>
        <v>117.57447000000001</v>
      </c>
      <c r="K27" s="486">
        <f>+SUMIFS('1A3c Railways'!V:V,'1A3c Railways'!$B:$B,$F27,'1A3c Railways'!$C:$C,$G27)</f>
        <v>6.5848050000000009E-3</v>
      </c>
      <c r="L27" s="486">
        <f>+SUMIFS('1A3c Railways'!W:W,'1A3c Railways'!$B:$B,$F27,'1A3c Railways'!$C:$C,$G27)</f>
        <v>4.5379620000000002E-2</v>
      </c>
      <c r="M27" s="347">
        <f>+SUMIFS('1A3c Railways'!Z:Z,'1A3c Railways'!$B:$B,$F27,'1A3c Railways'!$C:$C,$G27)</f>
        <v>0</v>
      </c>
      <c r="N27" s="348">
        <f>+SUMIFS('1A3c Railways'!AA:AA,'1A3c Railways'!$B:$B,$F27,'1A3c Railways'!$C:$C,$G27)</f>
        <v>0</v>
      </c>
      <c r="Q27" s="425"/>
      <c r="R27" s="425"/>
    </row>
    <row r="28" spans="1:18" ht="15.75">
      <c r="A28" s="492" t="str">
        <f>'1A3c Railways'!$B$2</f>
        <v>Kenya</v>
      </c>
      <c r="B28" s="491">
        <f>'1A3c Railways'!$B$3</f>
        <v>2015</v>
      </c>
      <c r="C28" s="267" t="s">
        <v>209</v>
      </c>
      <c r="D28" s="267" t="s">
        <v>333</v>
      </c>
      <c r="E28" s="267" t="s">
        <v>333</v>
      </c>
      <c r="F28" s="267" t="s">
        <v>207</v>
      </c>
      <c r="G28" s="267" t="s">
        <v>53</v>
      </c>
      <c r="H28" s="485">
        <f>+VLOOKUP($A$26&amp;" - "&amp;G28,'Default Parameter'!$A$8:$M$25,3,FALSE)</f>
        <v>43</v>
      </c>
      <c r="I28" s="486">
        <f>+SUMIFS('1A3c Railways'!$E:$E,'1A3c Railways'!$B:$B,$F28,'1A3c Railways'!$C:$C,G28)</f>
        <v>0</v>
      </c>
      <c r="J28" s="486">
        <f>+SUMIFS('1A3c Railways'!U:U,'1A3c Railways'!$B:$B,$F28,'1A3c Railways'!$C:$C,$G28)</f>
        <v>0</v>
      </c>
      <c r="K28" s="486">
        <f>+SUMIFS('1A3c Railways'!V:V,'1A3c Railways'!$B:$B,$F28,'1A3c Railways'!$C:$C,$G28)</f>
        <v>0</v>
      </c>
      <c r="L28" s="486">
        <f>+SUMIFS('1A3c Railways'!W:W,'1A3c Railways'!$B:$B,$F28,'1A3c Railways'!$C:$C,$G28)</f>
        <v>0</v>
      </c>
      <c r="M28" s="347">
        <f>+SUMIFS('1A3c Railways'!Z:Z,'1A3c Railways'!$B:$B,$F28,'1A3c Railways'!$C:$C,$G28)</f>
        <v>0</v>
      </c>
      <c r="N28" s="348">
        <f>+SUMIFS('1A3c Railways'!AA:AA,'1A3c Railways'!$B:$B,$F28,'1A3c Railways'!$C:$C,$G28)</f>
        <v>0</v>
      </c>
      <c r="Q28" s="425"/>
      <c r="R28" s="425"/>
    </row>
    <row r="29" spans="1:18" ht="15.75">
      <c r="A29" s="355"/>
      <c r="B29" s="267"/>
      <c r="C29" s="267"/>
      <c r="D29" s="267"/>
      <c r="E29" s="267"/>
      <c r="F29" s="267"/>
      <c r="G29" s="267"/>
      <c r="H29" s="267"/>
      <c r="I29" s="268"/>
      <c r="J29" s="268"/>
      <c r="K29" s="268"/>
      <c r="L29" s="268"/>
      <c r="M29" s="267"/>
      <c r="N29" s="354"/>
      <c r="Q29" s="425"/>
      <c r="R29" s="425"/>
    </row>
    <row r="30" spans="1:18" ht="15.75">
      <c r="A30" s="353" t="s">
        <v>216</v>
      </c>
      <c r="B30" s="267"/>
      <c r="C30" s="267"/>
      <c r="D30" s="267"/>
      <c r="E30" s="267"/>
      <c r="F30" s="267"/>
      <c r="G30" s="267"/>
      <c r="H30" s="267"/>
      <c r="I30" s="268"/>
      <c r="J30" s="268"/>
      <c r="K30" s="268"/>
      <c r="L30" s="268"/>
      <c r="M30" s="267"/>
      <c r="N30" s="354"/>
      <c r="Q30" s="425"/>
      <c r="R30" s="425"/>
    </row>
    <row r="31" spans="1:18" ht="15.75">
      <c r="A31" s="492" t="str">
        <f>'1A3di(i) Maritime'!$B$2</f>
        <v>Kenya</v>
      </c>
      <c r="B31" s="491">
        <f>'1A3di(i) Maritime'!$B$3</f>
        <v>2020</v>
      </c>
      <c r="C31" s="267" t="s">
        <v>332</v>
      </c>
      <c r="D31" s="267" t="s">
        <v>373</v>
      </c>
      <c r="E31" s="267" t="s">
        <v>331</v>
      </c>
      <c r="F31" s="267" t="s">
        <v>213</v>
      </c>
      <c r="G31" s="267" t="s">
        <v>210</v>
      </c>
      <c r="H31" s="485">
        <f>+VLOOKUP($A$30&amp;" - "&amp;G31,'Default Parameter'!$A$8:$M$25,3,FALSE)</f>
        <v>40.4</v>
      </c>
      <c r="I31" s="486">
        <f>+SUMIFS('1A3di(i) Maritime'!AD:AD,'1A3di(i) Maritime'!$A:$A,$E31,'1A3di(i) Maritime'!$C:$C,$G31)</f>
        <v>0</v>
      </c>
      <c r="J31" s="486">
        <f>+SUMIFS('1A3di(i) Maritime'!AE:AE,'1A3di(i) Maritime'!$A:$A,$E31,'1A3di(i) Maritime'!$C:$C,$G31)</f>
        <v>0</v>
      </c>
      <c r="K31" s="486">
        <f>+SUMIFS('1A3di(i) Maritime'!AF:AF,'1A3di(i) Maritime'!$A:$A,$E31,'1A3di(i) Maritime'!$C:$C,$G31)</f>
        <v>0</v>
      </c>
      <c r="L31" s="486">
        <f>+SUMIFS('1A3di(i) Maritime'!AG:AG,'1A3di(i) Maritime'!$A:$A,$E31,'1A3di(i) Maritime'!$C:$C,$G31)</f>
        <v>0</v>
      </c>
      <c r="M31" s="486">
        <f>+SUMIFS('1A3di(i) Maritime'!AI:AI,'1A3di(i) Maritime'!$A:$A,$E31,'1A3di(i) Maritime'!$C:$C,$G31)</f>
        <v>0</v>
      </c>
      <c r="N31" s="487">
        <f>+SUMIFS('1A3di(i) Maritime'!AL:AL,'1A3di(i) Maritime'!$A:$A,$E31,'1A3di(i) Maritime'!$C:$C,$G31)</f>
        <v>0</v>
      </c>
      <c r="Q31" s="425"/>
      <c r="R31" s="425"/>
    </row>
    <row r="32" spans="1:18" ht="15.75">
      <c r="A32" s="492" t="str">
        <f>'1A3di(i) Maritime'!$B$2</f>
        <v>Kenya</v>
      </c>
      <c r="B32" s="491">
        <f>'1A3di(i) Maritime'!$B$3</f>
        <v>2020</v>
      </c>
      <c r="C32" s="267" t="s">
        <v>332</v>
      </c>
      <c r="D32" s="267" t="s">
        <v>373</v>
      </c>
      <c r="E32" s="267" t="s">
        <v>331</v>
      </c>
      <c r="F32" s="267" t="s">
        <v>213</v>
      </c>
      <c r="G32" s="267" t="s">
        <v>53</v>
      </c>
      <c r="H32" s="485">
        <f>+VLOOKUP($A$30&amp;" - "&amp;G32,'Default Parameter'!$A$8:$M$25,3,FALSE)</f>
        <v>43</v>
      </c>
      <c r="I32" s="486">
        <v>1.1000000000000001</v>
      </c>
      <c r="J32" s="486">
        <v>3.6</v>
      </c>
      <c r="K32" s="486">
        <v>2.5</v>
      </c>
      <c r="L32" s="486">
        <f>+SUMIFS('1A3di(i) Maritime'!AG:AG,'1A3di(i) Maritime'!$A:$A,$E32,'1A3di(i) Maritime'!$C:$C,$G32)</f>
        <v>0</v>
      </c>
      <c r="M32" s="486">
        <f>+SUMIFS('1A3di(i) Maritime'!AI:AI,'1A3di(i) Maritime'!$A:$A,$E32,'1A3di(i) Maritime'!$C:$C,$G32)</f>
        <v>0</v>
      </c>
      <c r="N32" s="487">
        <f>+SUMIFS('1A3di(i) Maritime'!AL:AL,'1A3di(i) Maritime'!$A:$A,$E32,'1A3di(i) Maritime'!$C:$C,$G32)</f>
        <v>0</v>
      </c>
      <c r="Q32" s="425"/>
      <c r="R32" s="425"/>
    </row>
    <row r="33" spans="1:18" ht="15.75">
      <c r="A33" s="492" t="str">
        <f>'1A3di(i) Maritime'!$B$2</f>
        <v>Kenya</v>
      </c>
      <c r="B33" s="491">
        <f>'1A3di(i) Maritime'!$B$3</f>
        <v>2020</v>
      </c>
      <c r="C33" s="267" t="s">
        <v>330</v>
      </c>
      <c r="D33" s="267" t="s">
        <v>373</v>
      </c>
      <c r="E33" s="267" t="s">
        <v>335</v>
      </c>
      <c r="F33" s="267" t="s">
        <v>213</v>
      </c>
      <c r="G33" s="267" t="s">
        <v>210</v>
      </c>
      <c r="H33" s="485">
        <f>+VLOOKUP($A$30&amp;" - "&amp;G33,'Default Parameter'!$A$8:$M$25,3,FALSE)</f>
        <v>40.4</v>
      </c>
      <c r="I33" s="486">
        <f>+SUMIFS('1A3di(i) Maritime'!AD:AD,'1A3di(i) Maritime'!$A:$A,$E33,'1A3di(i) Maritime'!$C:$C,$G33)</f>
        <v>0</v>
      </c>
      <c r="J33" s="486">
        <f>+SUMIFS('1A3di(i) Maritime'!AE:AE,'1A3di(i) Maritime'!$A:$A,$E33,'1A3di(i) Maritime'!$C:$C,$G33)</f>
        <v>0</v>
      </c>
      <c r="K33" s="486">
        <f>+SUMIFS('1A3di(i) Maritime'!AF:AF,'1A3di(i) Maritime'!$A:$A,$E33,'1A3di(i) Maritime'!$C:$C,$G33)</f>
        <v>0</v>
      </c>
      <c r="L33" s="486">
        <f>+SUMIFS('1A3di(i) Maritime'!AG:AG,'1A3di(i) Maritime'!$A:$A,$E33,'1A3di(i) Maritime'!$C:$C,$G33)</f>
        <v>0</v>
      </c>
      <c r="M33" s="486">
        <f>+SUMIFS('1A3di(i) Maritime'!AI:AI,'1A3di(i) Maritime'!$A:$A,$E33,'1A3di(i) Maritime'!$C:$C,$G33)</f>
        <v>0</v>
      </c>
      <c r="N33" s="487">
        <f>+SUMIFS('1A3di(i) Maritime'!AL:AL,'1A3di(i) Maritime'!$A:$A,$E33,'1A3di(i) Maritime'!$C:$C,$G33)</f>
        <v>0</v>
      </c>
      <c r="Q33" s="425"/>
      <c r="R33" s="425"/>
    </row>
    <row r="34" spans="1:18" ht="15.75">
      <c r="A34" s="492" t="str">
        <f>'1A3di(i) Maritime'!$B$2</f>
        <v>Kenya</v>
      </c>
      <c r="B34" s="491">
        <f>'1A3di(i) Maritime'!$B$3</f>
        <v>2020</v>
      </c>
      <c r="C34" s="267" t="s">
        <v>330</v>
      </c>
      <c r="D34" s="267" t="s">
        <v>373</v>
      </c>
      <c r="E34" s="267" t="s">
        <v>335</v>
      </c>
      <c r="F34" s="267" t="s">
        <v>213</v>
      </c>
      <c r="G34" s="267" t="s">
        <v>53</v>
      </c>
      <c r="H34" s="485">
        <f>+VLOOKUP($A$30&amp;" - "&amp;G34,'Default Parameter'!$A$8:$M$25,3,FALSE)</f>
        <v>43</v>
      </c>
      <c r="I34" s="486">
        <f>+SUMIFS('1A3di(i) Maritime'!AD:AD,'1A3di(i) Maritime'!$A:$A,$E34,'1A3di(i) Maritime'!$C:$C,$G34)</f>
        <v>0</v>
      </c>
      <c r="J34" s="486">
        <f>+SUMIFS('1A3di(i) Maritime'!AE:AE,'1A3di(i) Maritime'!$A:$A,$E34,'1A3di(i) Maritime'!$C:$C,$G34)</f>
        <v>0</v>
      </c>
      <c r="K34" s="486">
        <f>+SUMIFS('1A3di(i) Maritime'!AF:AF,'1A3di(i) Maritime'!$A:$A,$E34,'1A3di(i) Maritime'!$C:$C,$G34)</f>
        <v>0</v>
      </c>
      <c r="L34" s="486">
        <f>+SUMIFS('1A3di(i) Maritime'!AG:AG,'1A3di(i) Maritime'!$A:$A,$E34,'1A3di(i) Maritime'!$C:$C,$G34)</f>
        <v>0</v>
      </c>
      <c r="M34" s="486">
        <f>+SUMIFS('1A3di(i) Maritime'!AI:AI,'1A3di(i) Maritime'!$A:$A,$E34,'1A3di(i) Maritime'!$C:$C,$G34)</f>
        <v>0</v>
      </c>
      <c r="N34" s="487">
        <f>+SUMIFS('1A3di(i) Maritime'!AL:AL,'1A3di(i) Maritime'!$A:$A,$E34,'1A3di(i) Maritime'!$C:$C,$G34)</f>
        <v>0</v>
      </c>
      <c r="Q34" s="425"/>
      <c r="R34" s="425"/>
    </row>
    <row r="35" spans="1:18" ht="15.75">
      <c r="A35" s="355"/>
      <c r="B35" s="267"/>
      <c r="C35" s="267"/>
      <c r="D35" s="267"/>
      <c r="E35" s="267"/>
      <c r="F35" s="267"/>
      <c r="G35" s="267"/>
      <c r="H35" s="267"/>
      <c r="I35" s="268"/>
      <c r="J35" s="268"/>
      <c r="K35" s="268"/>
      <c r="L35" s="268"/>
      <c r="M35" s="267"/>
      <c r="N35" s="354"/>
      <c r="Q35" s="425"/>
      <c r="R35" s="425"/>
    </row>
    <row r="36" spans="1:18" ht="15.75">
      <c r="A36" s="353" t="s">
        <v>334</v>
      </c>
      <c r="B36" s="267"/>
      <c r="C36" s="267"/>
      <c r="D36" s="267"/>
      <c r="E36" s="267"/>
      <c r="F36" s="267"/>
      <c r="G36" s="267"/>
      <c r="H36" s="267"/>
      <c r="I36" s="268"/>
      <c r="J36" s="268"/>
      <c r="K36" s="268"/>
      <c r="L36" s="268"/>
      <c r="M36" s="267"/>
      <c r="N36" s="354"/>
      <c r="Q36" s="425"/>
      <c r="R36" s="425"/>
    </row>
    <row r="37" spans="1:18" ht="15.75">
      <c r="A37" s="492" t="str">
        <f>'1A3di Maritime'!$B$2</f>
        <v>Kenya</v>
      </c>
      <c r="B37" s="491">
        <f>'1A3di Maritime'!$B$3</f>
        <v>2020</v>
      </c>
      <c r="C37" s="267" t="s">
        <v>332</v>
      </c>
      <c r="D37" s="267" t="s">
        <v>373</v>
      </c>
      <c r="E37" s="267" t="s">
        <v>331</v>
      </c>
      <c r="F37" s="267" t="s">
        <v>207</v>
      </c>
      <c r="G37" s="267" t="s">
        <v>53</v>
      </c>
      <c r="H37" s="485">
        <f>+VLOOKUP($A$36&amp;" - "&amp;G37,'Default Parameter'!$A$8:$M$25,3,FALSE)</f>
        <v>43</v>
      </c>
      <c r="I37" s="486">
        <f>+SUMIFS('1A3di Maritime'!AH:AH,'1A3di Maritime'!$A:$A,$F37,'1A3di Maritime'!$D:$D,$G37)</f>
        <v>1653.8002218533334</v>
      </c>
      <c r="J37" s="486">
        <f>+SUMIFS('1A3di Maritime'!AI:AI,'1A3di Maritime'!$A:$A,$F37,'1A3di Maritime'!$D:$D,$G37)</f>
        <v>5269.5053743787994</v>
      </c>
      <c r="K37" s="486">
        <f>+SUMIFS('1A3di Maritime'!AJ:AJ,'1A3di Maritime'!$A:$A,$F37,'1A3di Maritime'!$D:$D,$G37)</f>
        <v>0.27734229720480402</v>
      </c>
      <c r="L37" s="486">
        <f>+SUMIFS('1A3di Maritime'!AK:AK,'1A3di Maritime'!$A:$A,$F37,'1A3di Maritime'!$D:$D,$G37)</f>
        <v>0.27734229720480402</v>
      </c>
      <c r="M37" s="486">
        <f>SUMIFS('1A3di Maritime'!AU:AU,'1A3di Maritime'!$A:$A,$F37,'1A3di Maritime'!$D:$D,$G37)</f>
        <v>0</v>
      </c>
      <c r="N37" s="487">
        <f>+SUMIFS('1A3di Maritime'!AV:AV,'1A3di Maritime'!$A:$A,$F37,'1A3di Maritime'!$D:$D,$G37)</f>
        <v>0</v>
      </c>
      <c r="Q37" s="425"/>
      <c r="R37" s="425"/>
    </row>
    <row r="38" spans="1:18" ht="15.75">
      <c r="A38" s="492" t="str">
        <f>'1A3di Maritime'!$B$2</f>
        <v>Kenya</v>
      </c>
      <c r="B38" s="491">
        <f>'1A3di Maritime'!$B$3</f>
        <v>2020</v>
      </c>
      <c r="C38" s="267" t="s">
        <v>332</v>
      </c>
      <c r="D38" s="267" t="s">
        <v>373</v>
      </c>
      <c r="E38" s="267" t="s">
        <v>331</v>
      </c>
      <c r="F38" s="267" t="s">
        <v>363</v>
      </c>
      <c r="G38" s="267" t="s">
        <v>53</v>
      </c>
      <c r="H38" s="485">
        <f>+VLOOKUP($A$36&amp;" - "&amp;G38,'Default Parameter'!$A$8:$M$25,3,FALSE)</f>
        <v>43</v>
      </c>
      <c r="I38" s="486">
        <f>+SUMIFS('1A3di Maritime'!AH:AH,'1A3di Maritime'!$A:$A,$F38,'1A3di Maritime'!$D:$D,$G38)</f>
        <v>0</v>
      </c>
      <c r="J38" s="486">
        <f>+SUMIFS('1A3di Maritime'!AI:AI,'1A3di Maritime'!$A:$A,$F38,'1A3di Maritime'!$D:$D,$G38)</f>
        <v>0</v>
      </c>
      <c r="K38" s="486">
        <f>+SUMIFS('1A3di Maritime'!AJ:AJ,'1A3di Maritime'!$A:$A,$F38,'1A3di Maritime'!$D:$D,$G38)</f>
        <v>0</v>
      </c>
      <c r="L38" s="486">
        <f>+SUMIFS('1A3di Maritime'!AK:AK,'1A3di Maritime'!$A:$A,$F38,'1A3di Maritime'!$D:$D,$G38)</f>
        <v>0</v>
      </c>
      <c r="M38" s="486">
        <f>SUMIFS('1A3di Maritime'!AU:AU,'1A3di Maritime'!$A:$A,$F38,'1A3di Maritime'!$D:$D,$G38)</f>
        <v>0</v>
      </c>
      <c r="N38" s="487">
        <f>+SUMIFS('1A3di Maritime'!AV:AV,'1A3di Maritime'!$A:$A,$F38,'1A3di Maritime'!$D:$D,$G38)</f>
        <v>0</v>
      </c>
      <c r="Q38" s="425"/>
      <c r="R38" s="425"/>
    </row>
    <row r="39" spans="1:18" ht="16.5" thickBot="1">
      <c r="A39" s="493" t="str">
        <f>'1A3di Maritime'!$B$2</f>
        <v>Kenya</v>
      </c>
      <c r="B39" s="494">
        <f>'1A3di Maritime'!$B$3</f>
        <v>2020</v>
      </c>
      <c r="C39" s="484" t="s">
        <v>332</v>
      </c>
      <c r="D39" s="484" t="s">
        <v>373</v>
      </c>
      <c r="E39" s="484" t="s">
        <v>331</v>
      </c>
      <c r="F39" s="484" t="s">
        <v>363</v>
      </c>
      <c r="G39" s="484" t="s">
        <v>49</v>
      </c>
      <c r="H39" s="488">
        <f>+VLOOKUP($A$36&amp;" - "&amp;G39,'Default Parameter'!$A$8:$M$25,3,FALSE)</f>
        <v>44.3</v>
      </c>
      <c r="I39" s="489">
        <f>+SUMIFS('1A3di Maritime'!AH:AH,'1A3di Maritime'!$A:$A,$F39,'1A3di Maritime'!$D:$D,$G39)</f>
        <v>0</v>
      </c>
      <c r="J39" s="489">
        <f>+SUMIFS('1A3di Maritime'!AI:AI,'1A3di Maritime'!$A:$A,$F39,'1A3di Maritime'!$D:$D,$G39)</f>
        <v>0</v>
      </c>
      <c r="K39" s="489">
        <f>+SUMIFS('1A3di Maritime'!AJ:AJ,'1A3di Maritime'!$A:$A,$F39,'1A3di Maritime'!$D:$D,$G39)</f>
        <v>0</v>
      </c>
      <c r="L39" s="489">
        <f>+SUMIFS('1A3di Maritime'!AK:AK,'1A3di Maritime'!$A:$A,$F39,'1A3di Maritime'!$D:$D,$G39)</f>
        <v>0</v>
      </c>
      <c r="M39" s="489">
        <f>SUMIFS('1A3di Maritime'!AU:AU,'1A3di Maritime'!$A:$A,$F39,'1A3di Maritime'!$D:$D,$G39)</f>
        <v>0</v>
      </c>
      <c r="N39" s="490">
        <f>+SUMIFS('1A3di Maritime'!AV:AV,'1A3di Maritime'!$A:$A,$F39,'1A3di Maritime'!$D:$D,$G39)</f>
        <v>0</v>
      </c>
    </row>
    <row r="40" spans="1:18">
      <c r="I40" s="65"/>
      <c r="J40" s="66"/>
      <c r="K40" s="66"/>
      <c r="L40" s="66"/>
      <c r="M40" s="66"/>
      <c r="N40" s="65"/>
    </row>
    <row r="41" spans="1:18">
      <c r="I41" s="65"/>
      <c r="N41" s="65"/>
    </row>
    <row r="42" spans="1:18">
      <c r="I42" s="65"/>
      <c r="N42" s="65"/>
    </row>
    <row r="43" spans="1:18">
      <c r="I43" s="65"/>
      <c r="N43" s="65"/>
    </row>
    <row r="44" spans="1:18">
      <c r="I44" s="65"/>
      <c r="N44" s="65"/>
    </row>
    <row r="45" spans="1:18">
      <c r="I45" s="65"/>
      <c r="N45" s="65"/>
    </row>
    <row r="46" spans="1:18">
      <c r="I46" s="65"/>
      <c r="N46" s="65"/>
    </row>
    <row r="47" spans="1:18">
      <c r="I47" s="65"/>
      <c r="N47" s="65"/>
    </row>
    <row r="48" spans="1:18">
      <c r="I48" s="65"/>
      <c r="N48" s="65"/>
    </row>
    <row r="49" spans="9:14">
      <c r="I49" s="65"/>
      <c r="N49" s="65"/>
    </row>
    <row r="50" spans="9:14">
      <c r="I50" s="65"/>
      <c r="N50" s="65"/>
    </row>
    <row r="51" spans="9:14">
      <c r="I51" s="65"/>
      <c r="N51" s="65"/>
    </row>
    <row r="52" spans="9:14">
      <c r="I52" s="65"/>
      <c r="N52" s="65"/>
    </row>
    <row r="53" spans="9:14">
      <c r="I53" s="65"/>
      <c r="N53" s="65"/>
    </row>
    <row r="54" spans="9:14">
      <c r="I54" s="65"/>
      <c r="N54" s="65"/>
    </row>
    <row r="55" spans="9:14">
      <c r="I55" s="65"/>
      <c r="N55" s="65"/>
    </row>
    <row r="56" spans="9:14">
      <c r="I56" s="65"/>
      <c r="N56" s="65"/>
    </row>
    <row r="57" spans="9:14">
      <c r="I57" s="65"/>
      <c r="N57" s="65"/>
    </row>
    <row r="58" spans="9:14">
      <c r="I58" s="65"/>
      <c r="N58" s="65"/>
    </row>
    <row r="59" spans="9:14">
      <c r="I59" s="65"/>
      <c r="N59" s="65"/>
    </row>
    <row r="60" spans="9:14">
      <c r="I60" s="65"/>
      <c r="N60" s="65"/>
    </row>
    <row r="61" spans="9:14">
      <c r="I61" s="65"/>
      <c r="N61" s="65"/>
    </row>
    <row r="62" spans="9:14">
      <c r="I62" s="65"/>
      <c r="N62" s="65"/>
    </row>
    <row r="63" spans="9:14">
      <c r="I63" s="65"/>
      <c r="N63" s="65"/>
    </row>
    <row r="64" spans="9:14">
      <c r="I64" s="65"/>
      <c r="N64" s="65"/>
    </row>
    <row r="65" spans="9:14">
      <c r="I65" s="65"/>
      <c r="N65" s="65"/>
    </row>
    <row r="66" spans="9:14">
      <c r="I66" s="65"/>
      <c r="N66" s="65"/>
    </row>
    <row r="67" spans="9:14">
      <c r="I67" s="65"/>
      <c r="N67" s="65"/>
    </row>
    <row r="68" spans="9:14">
      <c r="I68" s="65"/>
      <c r="N68" s="65"/>
    </row>
    <row r="69" spans="9:14">
      <c r="I69" s="65"/>
      <c r="N69" s="65"/>
    </row>
    <row r="70" spans="9:14">
      <c r="I70" s="65"/>
      <c r="N70" s="65"/>
    </row>
    <row r="71" spans="9:14">
      <c r="I71" s="65"/>
      <c r="N71" s="65"/>
    </row>
    <row r="72" spans="9:14">
      <c r="I72" s="65"/>
      <c r="N72" s="65"/>
    </row>
    <row r="73" spans="9:14">
      <c r="I73" s="65"/>
      <c r="N73" s="65"/>
    </row>
    <row r="74" spans="9:14">
      <c r="I74" s="65"/>
      <c r="N74" s="65"/>
    </row>
    <row r="75" spans="9:14">
      <c r="I75" s="65"/>
      <c r="N75" s="65"/>
    </row>
    <row r="76" spans="9:14">
      <c r="I76" s="65"/>
      <c r="N76" s="65"/>
    </row>
    <row r="77" spans="9:14">
      <c r="I77" s="65"/>
      <c r="N77" s="65"/>
    </row>
    <row r="78" spans="9:14">
      <c r="I78" s="65"/>
      <c r="N78" s="65"/>
    </row>
    <row r="79" spans="9:14">
      <c r="I79" s="65"/>
      <c r="N79" s="65"/>
    </row>
    <row r="80" spans="9:14">
      <c r="I80" s="65"/>
      <c r="N80" s="65"/>
    </row>
    <row r="81" spans="9:14">
      <c r="I81" s="65"/>
      <c r="N81" s="65"/>
    </row>
    <row r="82" spans="9:14">
      <c r="I82" s="65"/>
      <c r="N82" s="65"/>
    </row>
    <row r="83" spans="9:14">
      <c r="I83" s="65"/>
      <c r="N83" s="65"/>
    </row>
    <row r="84" spans="9:14">
      <c r="I84" s="65"/>
      <c r="N84" s="65"/>
    </row>
    <row r="85" spans="9:14">
      <c r="I85" s="65"/>
      <c r="N85" s="65"/>
    </row>
    <row r="86" spans="9:14">
      <c r="I86" s="65"/>
      <c r="N86" s="65"/>
    </row>
    <row r="87" spans="9:14">
      <c r="I87" s="65"/>
      <c r="N87" s="65"/>
    </row>
    <row r="88" spans="9:14">
      <c r="I88" s="65"/>
      <c r="N88" s="65"/>
    </row>
    <row r="89" spans="9:14">
      <c r="I89" s="65"/>
      <c r="N89" s="65"/>
    </row>
    <row r="90" spans="9:14">
      <c r="I90" s="65"/>
      <c r="N90" s="65"/>
    </row>
    <row r="91" spans="9:14">
      <c r="I91" s="65"/>
      <c r="N91" s="65"/>
    </row>
    <row r="92" spans="9:14">
      <c r="I92" s="65"/>
      <c r="N92" s="65"/>
    </row>
    <row r="93" spans="9:14">
      <c r="I93" s="65"/>
      <c r="N93" s="65"/>
    </row>
    <row r="94" spans="9:14">
      <c r="I94" s="65"/>
      <c r="N94" s="65"/>
    </row>
    <row r="95" spans="9:14">
      <c r="I95" s="65"/>
      <c r="N95" s="65"/>
    </row>
    <row r="96" spans="9:14">
      <c r="I96" s="65"/>
      <c r="N96" s="65"/>
    </row>
    <row r="97" spans="9:14">
      <c r="I97" s="65"/>
      <c r="N97" s="65"/>
    </row>
    <row r="98" spans="9:14">
      <c r="I98" s="65"/>
      <c r="N98" s="65"/>
    </row>
    <row r="99" spans="9:14">
      <c r="I99" s="65"/>
      <c r="N99" s="65"/>
    </row>
    <row r="100" spans="9:14">
      <c r="I100" s="65"/>
      <c r="N100" s="65"/>
    </row>
    <row r="101" spans="9:14">
      <c r="I101" s="65"/>
      <c r="N101" s="65"/>
    </row>
    <row r="102" spans="9:14">
      <c r="I102" s="65"/>
      <c r="N102" s="65"/>
    </row>
    <row r="103" spans="9:14">
      <c r="I103" s="65"/>
      <c r="N103" s="65"/>
    </row>
    <row r="104" spans="9:14">
      <c r="I104" s="65"/>
      <c r="N104" s="65"/>
    </row>
    <row r="105" spans="9:14">
      <c r="I105" s="65"/>
      <c r="N105" s="65"/>
    </row>
    <row r="106" spans="9:14">
      <c r="I106" s="65"/>
      <c r="N106" s="65"/>
    </row>
    <row r="107" spans="9:14">
      <c r="I107" s="65"/>
      <c r="N107" s="65"/>
    </row>
    <row r="108" spans="9:14">
      <c r="I108" s="65"/>
      <c r="N108" s="65"/>
    </row>
    <row r="109" spans="9:14">
      <c r="I109" s="65"/>
      <c r="N109" s="65"/>
    </row>
    <row r="110" spans="9:14">
      <c r="I110" s="65"/>
      <c r="N110" s="65"/>
    </row>
    <row r="111" spans="9:14">
      <c r="I111" s="65"/>
      <c r="N111" s="65"/>
    </row>
    <row r="112" spans="9:14">
      <c r="I112" s="65"/>
      <c r="N112" s="65"/>
    </row>
    <row r="113" spans="9:14">
      <c r="I113" s="65"/>
      <c r="N113" s="65"/>
    </row>
    <row r="114" spans="9:14">
      <c r="I114" s="65"/>
      <c r="N114" s="65"/>
    </row>
    <row r="115" spans="9:14">
      <c r="I115" s="65"/>
      <c r="N115" s="65"/>
    </row>
    <row r="116" spans="9:14">
      <c r="I116" s="65"/>
      <c r="N116" s="65"/>
    </row>
    <row r="117" spans="9:14">
      <c r="I117" s="65"/>
      <c r="N117" s="65"/>
    </row>
    <row r="118" spans="9:14">
      <c r="I118" s="65"/>
      <c r="N118" s="65"/>
    </row>
    <row r="119" spans="9:14">
      <c r="I119" s="65"/>
      <c r="N119" s="65"/>
    </row>
    <row r="120" spans="9:14">
      <c r="I120" s="65"/>
      <c r="N120" s="65"/>
    </row>
    <row r="121" spans="9:14">
      <c r="I121" s="65"/>
      <c r="N121" s="65"/>
    </row>
    <row r="122" spans="9:14">
      <c r="I122" s="65"/>
      <c r="N122" s="65"/>
    </row>
    <row r="123" spans="9:14">
      <c r="I123" s="65"/>
      <c r="N123" s="65"/>
    </row>
    <row r="124" spans="9:14">
      <c r="I124" s="65"/>
      <c r="N124" s="65"/>
    </row>
    <row r="125" spans="9:14">
      <c r="I125" s="65"/>
      <c r="N125" s="65"/>
    </row>
    <row r="126" spans="9:14">
      <c r="I126" s="65"/>
      <c r="N126" s="65"/>
    </row>
    <row r="127" spans="9:14">
      <c r="I127" s="65"/>
      <c r="N127" s="65"/>
    </row>
    <row r="128" spans="9:14">
      <c r="I128" s="65"/>
      <c r="N128" s="65"/>
    </row>
    <row r="129" spans="9:14">
      <c r="I129" s="65"/>
      <c r="N129" s="65"/>
    </row>
    <row r="130" spans="9:14">
      <c r="I130" s="65"/>
      <c r="N130" s="65"/>
    </row>
    <row r="131" spans="9:14">
      <c r="I131" s="65"/>
      <c r="N131" s="65"/>
    </row>
    <row r="132" spans="9:14">
      <c r="I132" s="65"/>
      <c r="N132" s="65"/>
    </row>
    <row r="133" spans="9:14">
      <c r="I133" s="65"/>
      <c r="N133" s="65"/>
    </row>
    <row r="134" spans="9:14">
      <c r="I134" s="65"/>
      <c r="N134" s="65"/>
    </row>
    <row r="135" spans="9:14">
      <c r="I135" s="65"/>
      <c r="N135" s="65"/>
    </row>
    <row r="136" spans="9:14">
      <c r="I136" s="65"/>
      <c r="N136" s="65"/>
    </row>
    <row r="137" spans="9:14">
      <c r="I137" s="65"/>
      <c r="N137" s="65"/>
    </row>
    <row r="138" spans="9:14">
      <c r="I138" s="65"/>
      <c r="N138" s="65"/>
    </row>
    <row r="139" spans="9:14">
      <c r="I139" s="65"/>
      <c r="N139" s="65"/>
    </row>
    <row r="140" spans="9:14">
      <c r="I140" s="65"/>
      <c r="N140" s="65"/>
    </row>
    <row r="141" spans="9:14">
      <c r="I141" s="65"/>
      <c r="N141" s="65"/>
    </row>
    <row r="142" spans="9:14">
      <c r="I142" s="65"/>
      <c r="N142" s="65"/>
    </row>
    <row r="143" spans="9:14">
      <c r="I143" s="65"/>
      <c r="N143" s="65"/>
    </row>
    <row r="144" spans="9:14">
      <c r="I144" s="65"/>
      <c r="N144" s="65"/>
    </row>
    <row r="145" spans="9:14">
      <c r="I145" s="65"/>
      <c r="N145" s="65"/>
    </row>
    <row r="146" spans="9:14">
      <c r="I146" s="65"/>
      <c r="N146" s="65"/>
    </row>
    <row r="147" spans="9:14">
      <c r="I147" s="65"/>
      <c r="N147" s="65"/>
    </row>
    <row r="148" spans="9:14">
      <c r="I148" s="65"/>
      <c r="N148" s="65"/>
    </row>
    <row r="149" spans="9:14">
      <c r="I149" s="65"/>
      <c r="N149" s="65"/>
    </row>
    <row r="150" spans="9:14">
      <c r="I150" s="65"/>
      <c r="N150" s="65"/>
    </row>
    <row r="151" spans="9:14">
      <c r="I151" s="65"/>
      <c r="N151" s="65"/>
    </row>
    <row r="152" spans="9:14">
      <c r="I152" s="65"/>
      <c r="N152" s="65"/>
    </row>
    <row r="153" spans="9:14">
      <c r="I153" s="65"/>
      <c r="N153" s="65"/>
    </row>
    <row r="154" spans="9:14">
      <c r="I154" s="65"/>
      <c r="N154" s="65"/>
    </row>
    <row r="155" spans="9:14">
      <c r="I155" s="65"/>
      <c r="N155" s="65"/>
    </row>
    <row r="156" spans="9:14">
      <c r="I156" s="65"/>
      <c r="N156" s="65"/>
    </row>
    <row r="157" spans="9:14">
      <c r="I157" s="65"/>
      <c r="N157" s="65"/>
    </row>
    <row r="158" spans="9:14">
      <c r="I158" s="65"/>
      <c r="N158" s="65"/>
    </row>
    <row r="159" spans="9:14">
      <c r="I159" s="65"/>
      <c r="N159" s="65"/>
    </row>
    <row r="160" spans="9:14">
      <c r="I160" s="65"/>
      <c r="N160" s="65"/>
    </row>
    <row r="161" spans="9:14">
      <c r="I161" s="65"/>
      <c r="N161" s="65"/>
    </row>
    <row r="162" spans="9:14">
      <c r="I162" s="65"/>
      <c r="N162" s="65"/>
    </row>
    <row r="163" spans="9:14">
      <c r="I163" s="65"/>
      <c r="N163" s="65"/>
    </row>
    <row r="164" spans="9:14">
      <c r="I164" s="65"/>
      <c r="N164" s="65"/>
    </row>
    <row r="165" spans="9:14">
      <c r="I165" s="65"/>
      <c r="N165" s="65"/>
    </row>
    <row r="166" spans="9:14">
      <c r="I166" s="65"/>
      <c r="N166" s="65"/>
    </row>
    <row r="167" spans="9:14">
      <c r="I167" s="65"/>
      <c r="N167" s="65"/>
    </row>
    <row r="168" spans="9:14">
      <c r="I168" s="65"/>
      <c r="N168" s="65"/>
    </row>
    <row r="169" spans="9:14">
      <c r="I169" s="65"/>
      <c r="N169" s="65"/>
    </row>
    <row r="170" spans="9:14">
      <c r="I170" s="65"/>
      <c r="N170" s="65"/>
    </row>
    <row r="171" spans="9:14">
      <c r="I171" s="65"/>
      <c r="N171" s="65"/>
    </row>
    <row r="172" spans="9:14">
      <c r="I172" s="65"/>
      <c r="N172" s="65"/>
    </row>
    <row r="173" spans="9:14">
      <c r="I173" s="65"/>
      <c r="N173" s="65"/>
    </row>
    <row r="174" spans="9:14">
      <c r="I174" s="65"/>
      <c r="N174" s="65"/>
    </row>
    <row r="175" spans="9:14">
      <c r="I175" s="65"/>
      <c r="N175" s="65"/>
    </row>
    <row r="176" spans="9:14">
      <c r="I176" s="65"/>
      <c r="N176" s="65"/>
    </row>
    <row r="177" spans="9:14">
      <c r="I177" s="65"/>
      <c r="N177" s="65"/>
    </row>
    <row r="178" spans="9:14">
      <c r="I178" s="65"/>
      <c r="N178" s="65"/>
    </row>
    <row r="179" spans="9:14">
      <c r="I179" s="65"/>
      <c r="N179" s="65"/>
    </row>
    <row r="180" spans="9:14">
      <c r="I180" s="65"/>
      <c r="N180" s="65"/>
    </row>
    <row r="181" spans="9:14">
      <c r="I181" s="65"/>
      <c r="N181" s="65"/>
    </row>
    <row r="182" spans="9:14">
      <c r="I182" s="65"/>
      <c r="N182" s="65"/>
    </row>
    <row r="183" spans="9:14">
      <c r="I183" s="65"/>
      <c r="N183" s="65"/>
    </row>
    <row r="184" spans="9:14">
      <c r="I184" s="65"/>
      <c r="N184" s="65"/>
    </row>
    <row r="185" spans="9:14">
      <c r="I185" s="65"/>
      <c r="N185" s="65"/>
    </row>
    <row r="186" spans="9:14">
      <c r="I186" s="65"/>
      <c r="N186" s="65"/>
    </row>
    <row r="187" spans="9:14">
      <c r="I187" s="65"/>
      <c r="N187" s="65"/>
    </row>
    <row r="188" spans="9:14">
      <c r="I188" s="65"/>
      <c r="N188" s="65"/>
    </row>
    <row r="189" spans="9:14">
      <c r="I189" s="65"/>
      <c r="N189" s="65"/>
    </row>
    <row r="190" spans="9:14">
      <c r="I190" s="65"/>
      <c r="N190" s="65"/>
    </row>
    <row r="191" spans="9:14">
      <c r="I191" s="65"/>
      <c r="N191" s="65"/>
    </row>
    <row r="192" spans="9:14">
      <c r="I192" s="65"/>
      <c r="N192" s="65"/>
    </row>
    <row r="193" spans="9:14">
      <c r="I193" s="65"/>
      <c r="N193" s="65"/>
    </row>
    <row r="194" spans="9:14">
      <c r="I194" s="65"/>
      <c r="N194" s="65"/>
    </row>
    <row r="195" spans="9:14">
      <c r="I195" s="65"/>
      <c r="N195" s="65"/>
    </row>
    <row r="196" spans="9:14">
      <c r="I196" s="65"/>
      <c r="N196" s="65"/>
    </row>
    <row r="197" spans="9:14">
      <c r="I197" s="65"/>
      <c r="N197" s="65"/>
    </row>
    <row r="198" spans="9:14">
      <c r="I198" s="65"/>
      <c r="N198" s="65"/>
    </row>
    <row r="199" spans="9:14">
      <c r="I199" s="65"/>
      <c r="N199" s="65"/>
    </row>
    <row r="200" spans="9:14">
      <c r="I200" s="65"/>
      <c r="N200" s="65"/>
    </row>
    <row r="201" spans="9:14">
      <c r="I201" s="65"/>
      <c r="N201" s="65"/>
    </row>
    <row r="202" spans="9:14">
      <c r="I202" s="65"/>
      <c r="N202" s="65"/>
    </row>
    <row r="203" spans="9:14">
      <c r="I203" s="65"/>
      <c r="N203" s="65"/>
    </row>
    <row r="204" spans="9:14">
      <c r="I204" s="65"/>
      <c r="N204" s="65"/>
    </row>
    <row r="205" spans="9:14">
      <c r="I205" s="65"/>
      <c r="N205" s="65"/>
    </row>
    <row r="206" spans="9:14">
      <c r="I206" s="65"/>
      <c r="N206" s="65"/>
    </row>
    <row r="207" spans="9:14">
      <c r="I207" s="65"/>
      <c r="N207" s="65"/>
    </row>
    <row r="208" spans="9:14">
      <c r="I208" s="65"/>
      <c r="N208" s="65"/>
    </row>
    <row r="209" spans="9:14">
      <c r="I209" s="65"/>
      <c r="N209" s="65"/>
    </row>
    <row r="210" spans="9:14">
      <c r="I210" s="65"/>
      <c r="N210" s="65"/>
    </row>
    <row r="211" spans="9:14">
      <c r="I211" s="65"/>
      <c r="N211" s="65"/>
    </row>
    <row r="212" spans="9:14">
      <c r="I212" s="65"/>
      <c r="N212" s="65"/>
    </row>
    <row r="213" spans="9:14">
      <c r="I213" s="65"/>
      <c r="N213" s="65"/>
    </row>
    <row r="214" spans="9:14">
      <c r="I214" s="65"/>
      <c r="N214" s="65"/>
    </row>
    <row r="215" spans="9:14">
      <c r="I215" s="65"/>
      <c r="N215" s="65"/>
    </row>
    <row r="216" spans="9:14">
      <c r="I216" s="65"/>
      <c r="N216" s="65"/>
    </row>
    <row r="217" spans="9:14">
      <c r="I217" s="65"/>
      <c r="N217" s="65"/>
    </row>
    <row r="218" spans="9:14">
      <c r="I218" s="65"/>
      <c r="N218" s="65"/>
    </row>
    <row r="219" spans="9:14">
      <c r="I219" s="65"/>
      <c r="N219" s="65"/>
    </row>
    <row r="220" spans="9:14">
      <c r="I220" s="65"/>
      <c r="N220" s="65"/>
    </row>
    <row r="221" spans="9:14">
      <c r="I221" s="65"/>
      <c r="N221" s="65"/>
    </row>
    <row r="222" spans="9:14">
      <c r="I222" s="65"/>
      <c r="N222" s="65"/>
    </row>
    <row r="223" spans="9:14">
      <c r="I223" s="65"/>
      <c r="N223" s="65"/>
    </row>
    <row r="224" spans="9:14">
      <c r="I224" s="65"/>
      <c r="N224" s="65"/>
    </row>
    <row r="225" spans="9:14">
      <c r="I225" s="65"/>
      <c r="N225" s="65"/>
    </row>
    <row r="226" spans="9:14">
      <c r="I226" s="65"/>
      <c r="N226" s="65"/>
    </row>
    <row r="227" spans="9:14">
      <c r="I227" s="65"/>
      <c r="N227" s="65"/>
    </row>
    <row r="228" spans="9:14">
      <c r="I228" s="65"/>
      <c r="N228" s="65"/>
    </row>
    <row r="229" spans="9:14">
      <c r="I229" s="65"/>
      <c r="N229" s="65"/>
    </row>
    <row r="230" spans="9:14">
      <c r="I230" s="65"/>
      <c r="N230" s="65"/>
    </row>
    <row r="231" spans="9:14">
      <c r="I231" s="65"/>
      <c r="N231" s="65"/>
    </row>
    <row r="232" spans="9:14">
      <c r="I232" s="65"/>
      <c r="N232" s="65"/>
    </row>
    <row r="233" spans="9:14">
      <c r="I233" s="65"/>
      <c r="N233" s="65"/>
    </row>
    <row r="234" spans="9:14">
      <c r="I234" s="65"/>
      <c r="N234" s="65"/>
    </row>
    <row r="235" spans="9:14">
      <c r="I235" s="65"/>
      <c r="N235" s="65"/>
    </row>
    <row r="236" spans="9:14">
      <c r="I236" s="65"/>
      <c r="N236" s="65"/>
    </row>
    <row r="237" spans="9:14">
      <c r="I237" s="65"/>
      <c r="N237" s="65"/>
    </row>
    <row r="238" spans="9:14">
      <c r="I238" s="65"/>
      <c r="N238" s="65"/>
    </row>
    <row r="239" spans="9:14">
      <c r="I239" s="65"/>
      <c r="N239" s="65"/>
    </row>
    <row r="240" spans="9:14">
      <c r="I240" s="65"/>
      <c r="N240" s="65"/>
    </row>
    <row r="241" spans="9:14">
      <c r="I241" s="65"/>
      <c r="N241" s="65"/>
    </row>
    <row r="242" spans="9:14">
      <c r="I242" s="65"/>
      <c r="N242" s="65"/>
    </row>
    <row r="243" spans="9:14">
      <c r="I243" s="65"/>
      <c r="N243" s="65"/>
    </row>
    <row r="244" spans="9:14">
      <c r="I244" s="65"/>
      <c r="N244" s="65"/>
    </row>
    <row r="245" spans="9:14">
      <c r="I245" s="65"/>
      <c r="N245" s="65"/>
    </row>
    <row r="246" spans="9:14">
      <c r="I246" s="65"/>
      <c r="N246" s="65"/>
    </row>
    <row r="247" spans="9:14">
      <c r="I247" s="65"/>
      <c r="N247" s="65"/>
    </row>
    <row r="248" spans="9:14">
      <c r="I248" s="65"/>
      <c r="N248" s="65"/>
    </row>
    <row r="249" spans="9:14">
      <c r="I249" s="65"/>
      <c r="N249" s="65"/>
    </row>
    <row r="250" spans="9:14">
      <c r="I250" s="65"/>
      <c r="N250" s="65"/>
    </row>
    <row r="251" spans="9:14">
      <c r="I251" s="65"/>
      <c r="N251" s="65"/>
    </row>
    <row r="252" spans="9:14">
      <c r="I252" s="65"/>
      <c r="N252" s="65"/>
    </row>
    <row r="253" spans="9:14">
      <c r="I253" s="65"/>
      <c r="N253" s="65"/>
    </row>
    <row r="254" spans="9:14">
      <c r="I254" s="65"/>
      <c r="N254" s="65"/>
    </row>
    <row r="255" spans="9:14">
      <c r="I255" s="65"/>
      <c r="N255" s="65"/>
    </row>
    <row r="256" spans="9:14">
      <c r="I256" s="65"/>
      <c r="N256" s="65"/>
    </row>
    <row r="257" spans="9:14">
      <c r="I257" s="65"/>
      <c r="N257" s="65"/>
    </row>
    <row r="258" spans="9:14">
      <c r="I258" s="65"/>
      <c r="N258" s="65"/>
    </row>
    <row r="259" spans="9:14">
      <c r="I259" s="65"/>
      <c r="N259" s="65"/>
    </row>
    <row r="260" spans="9:14">
      <c r="I260" s="65"/>
      <c r="N260" s="65"/>
    </row>
    <row r="261" spans="9:14">
      <c r="I261" s="65"/>
      <c r="N261" s="65"/>
    </row>
    <row r="262" spans="9:14">
      <c r="I262" s="65"/>
      <c r="N262" s="65"/>
    </row>
    <row r="263" spans="9:14">
      <c r="I263" s="65"/>
      <c r="N263" s="65"/>
    </row>
    <row r="264" spans="9:14">
      <c r="I264" s="65"/>
      <c r="N264" s="65"/>
    </row>
    <row r="265" spans="9:14">
      <c r="I265" s="65"/>
      <c r="N265" s="65"/>
    </row>
    <row r="266" spans="9:14">
      <c r="I266" s="65"/>
      <c r="N266" s="65"/>
    </row>
    <row r="267" spans="9:14">
      <c r="I267" s="65"/>
      <c r="N267" s="65"/>
    </row>
    <row r="268" spans="9:14">
      <c r="I268" s="65"/>
      <c r="N268" s="65"/>
    </row>
    <row r="269" spans="9:14">
      <c r="I269" s="65"/>
      <c r="N269" s="65"/>
    </row>
    <row r="270" spans="9:14">
      <c r="I270" s="65"/>
      <c r="N270" s="65"/>
    </row>
    <row r="271" spans="9:14">
      <c r="I271" s="65"/>
      <c r="N271" s="65"/>
    </row>
    <row r="272" spans="9:14">
      <c r="I272" s="65"/>
      <c r="N272" s="65"/>
    </row>
    <row r="273" spans="9:14">
      <c r="I273" s="65"/>
      <c r="N273" s="65"/>
    </row>
    <row r="274" spans="9:14">
      <c r="I274" s="65"/>
      <c r="N274" s="65"/>
    </row>
    <row r="275" spans="9:14">
      <c r="I275" s="65"/>
      <c r="N275" s="65"/>
    </row>
    <row r="276" spans="9:14">
      <c r="I276" s="65"/>
      <c r="N276" s="65"/>
    </row>
    <row r="277" spans="9:14">
      <c r="I277" s="65"/>
      <c r="N277" s="65"/>
    </row>
    <row r="278" spans="9:14">
      <c r="I278" s="65"/>
      <c r="N278" s="65"/>
    </row>
    <row r="279" spans="9:14">
      <c r="I279" s="65"/>
      <c r="N279" s="65"/>
    </row>
    <row r="280" spans="9:14">
      <c r="I280" s="65"/>
      <c r="N280" s="65"/>
    </row>
    <row r="281" spans="9:14">
      <c r="I281" s="65"/>
      <c r="N281" s="65"/>
    </row>
    <row r="282" spans="9:14">
      <c r="I282" s="65"/>
      <c r="N282" s="65"/>
    </row>
    <row r="283" spans="9:14">
      <c r="I283" s="65"/>
      <c r="N283" s="65"/>
    </row>
    <row r="284" spans="9:14">
      <c r="I284" s="65"/>
      <c r="N284" s="65"/>
    </row>
    <row r="285" spans="9:14">
      <c r="I285" s="65"/>
      <c r="N285" s="65"/>
    </row>
    <row r="286" spans="9:14">
      <c r="I286" s="65"/>
      <c r="N286" s="65"/>
    </row>
    <row r="287" spans="9:14">
      <c r="I287" s="65"/>
      <c r="N287" s="65"/>
    </row>
    <row r="288" spans="9:14">
      <c r="I288" s="65"/>
      <c r="N288" s="65"/>
    </row>
    <row r="289" spans="9:14">
      <c r="I289" s="65"/>
      <c r="N289" s="65"/>
    </row>
    <row r="290" spans="9:14">
      <c r="I290" s="65"/>
      <c r="N290" s="65"/>
    </row>
    <row r="291" spans="9:14">
      <c r="I291" s="65"/>
      <c r="N291" s="65"/>
    </row>
    <row r="292" spans="9:14">
      <c r="I292" s="65"/>
      <c r="N292" s="65"/>
    </row>
    <row r="293" spans="9:14">
      <c r="I293" s="65"/>
      <c r="N293" s="65"/>
    </row>
    <row r="294" spans="9:14">
      <c r="I294" s="65"/>
      <c r="N294" s="65"/>
    </row>
    <row r="295" spans="9:14">
      <c r="I295" s="65"/>
      <c r="N295" s="65"/>
    </row>
    <row r="296" spans="9:14">
      <c r="I296" s="65"/>
      <c r="N296" s="65"/>
    </row>
    <row r="297" spans="9:14">
      <c r="I297" s="65"/>
      <c r="N297" s="65"/>
    </row>
    <row r="298" spans="9:14">
      <c r="I298" s="65"/>
      <c r="N298" s="65"/>
    </row>
    <row r="299" spans="9:14">
      <c r="I299" s="65"/>
      <c r="N299" s="65"/>
    </row>
    <row r="300" spans="9:14">
      <c r="I300" s="65"/>
      <c r="N300" s="65"/>
    </row>
    <row r="301" spans="9:14">
      <c r="I301" s="65"/>
      <c r="N301" s="65"/>
    </row>
    <row r="302" spans="9:14">
      <c r="I302" s="65"/>
      <c r="N302" s="65"/>
    </row>
    <row r="303" spans="9:14">
      <c r="I303" s="65"/>
      <c r="N303" s="65"/>
    </row>
    <row r="304" spans="9:14">
      <c r="I304" s="65"/>
      <c r="N304" s="65"/>
    </row>
    <row r="305" spans="9:14">
      <c r="I305" s="65"/>
      <c r="N305" s="65"/>
    </row>
    <row r="306" spans="9:14">
      <c r="I306" s="65"/>
      <c r="N306" s="65"/>
    </row>
    <row r="307" spans="9:14">
      <c r="I307" s="65"/>
      <c r="N307" s="65"/>
    </row>
    <row r="308" spans="9:14">
      <c r="I308" s="65"/>
      <c r="N308" s="65"/>
    </row>
    <row r="309" spans="9:14">
      <c r="I309" s="65"/>
      <c r="N309" s="65"/>
    </row>
    <row r="310" spans="9:14">
      <c r="I310" s="65"/>
      <c r="N310" s="65"/>
    </row>
    <row r="311" spans="9:14">
      <c r="I311" s="65"/>
      <c r="N311" s="65"/>
    </row>
    <row r="312" spans="9:14">
      <c r="I312" s="65"/>
      <c r="N312" s="65"/>
    </row>
    <row r="313" spans="9:14">
      <c r="I313" s="65"/>
      <c r="N313" s="65"/>
    </row>
    <row r="314" spans="9:14">
      <c r="I314" s="65"/>
      <c r="N314" s="65"/>
    </row>
    <row r="315" spans="9:14">
      <c r="I315" s="65"/>
      <c r="N315" s="65"/>
    </row>
    <row r="316" spans="9:14">
      <c r="I316" s="65"/>
      <c r="N316" s="65"/>
    </row>
    <row r="317" spans="9:14">
      <c r="I317" s="65"/>
      <c r="N317" s="65"/>
    </row>
    <row r="318" spans="9:14">
      <c r="I318" s="65"/>
      <c r="N318" s="65"/>
    </row>
    <row r="319" spans="9:14">
      <c r="I319" s="65"/>
      <c r="N319" s="65"/>
    </row>
    <row r="320" spans="9:14">
      <c r="I320" s="65"/>
      <c r="N320" s="65"/>
    </row>
    <row r="321" spans="9:14">
      <c r="I321" s="65"/>
      <c r="N321" s="65"/>
    </row>
    <row r="322" spans="9:14">
      <c r="I322" s="65"/>
      <c r="N322" s="65"/>
    </row>
    <row r="323" spans="9:14">
      <c r="I323" s="65"/>
      <c r="N323" s="65"/>
    </row>
    <row r="324" spans="9:14">
      <c r="I324" s="65"/>
      <c r="N324" s="65"/>
    </row>
    <row r="325" spans="9:14">
      <c r="I325" s="65"/>
      <c r="N325" s="65"/>
    </row>
    <row r="326" spans="9:14">
      <c r="I326" s="65"/>
      <c r="N326" s="65"/>
    </row>
    <row r="327" spans="9:14">
      <c r="I327" s="65"/>
      <c r="N327" s="65"/>
    </row>
    <row r="328" spans="9:14">
      <c r="I328" s="65"/>
      <c r="N328" s="65"/>
    </row>
    <row r="329" spans="9:14">
      <c r="I329" s="65"/>
      <c r="N329" s="65"/>
    </row>
    <row r="330" spans="9:14">
      <c r="I330" s="65"/>
      <c r="N330" s="65"/>
    </row>
    <row r="331" spans="9:14">
      <c r="I331" s="65"/>
      <c r="N331" s="65"/>
    </row>
    <row r="332" spans="9:14">
      <c r="I332" s="65"/>
      <c r="N332" s="65"/>
    </row>
    <row r="333" spans="9:14">
      <c r="I333" s="65"/>
      <c r="N333" s="65"/>
    </row>
    <row r="334" spans="9:14">
      <c r="I334" s="65"/>
      <c r="N334" s="65"/>
    </row>
    <row r="335" spans="9:14">
      <c r="I335" s="65"/>
      <c r="N335" s="65"/>
    </row>
    <row r="336" spans="9:14">
      <c r="I336" s="65"/>
      <c r="N336" s="65"/>
    </row>
    <row r="337" spans="9:14">
      <c r="I337" s="65"/>
      <c r="N337" s="65"/>
    </row>
    <row r="338" spans="9:14">
      <c r="I338" s="65"/>
      <c r="N338" s="65"/>
    </row>
    <row r="339" spans="9:14">
      <c r="I339" s="65"/>
      <c r="N339" s="65"/>
    </row>
    <row r="340" spans="9:14">
      <c r="I340" s="65"/>
      <c r="N340" s="65"/>
    </row>
    <row r="341" spans="9:14">
      <c r="I341" s="65"/>
      <c r="N341" s="65"/>
    </row>
    <row r="342" spans="9:14">
      <c r="I342" s="65"/>
      <c r="N342" s="65"/>
    </row>
    <row r="343" spans="9:14">
      <c r="I343" s="65"/>
      <c r="N343" s="65"/>
    </row>
    <row r="344" spans="9:14">
      <c r="I344" s="65"/>
      <c r="N344" s="65"/>
    </row>
    <row r="345" spans="9:14">
      <c r="I345" s="65"/>
      <c r="N345" s="65"/>
    </row>
    <row r="346" spans="9:14">
      <c r="I346" s="65"/>
      <c r="N346" s="65"/>
    </row>
    <row r="347" spans="9:14">
      <c r="I347" s="65"/>
      <c r="N347" s="65"/>
    </row>
    <row r="348" spans="9:14">
      <c r="I348" s="65"/>
      <c r="N348" s="65"/>
    </row>
    <row r="349" spans="9:14">
      <c r="I349" s="65"/>
      <c r="N349" s="65"/>
    </row>
    <row r="350" spans="9:14">
      <c r="I350" s="65"/>
      <c r="N350" s="65"/>
    </row>
    <row r="351" spans="9:14">
      <c r="I351" s="65"/>
      <c r="N351" s="65"/>
    </row>
    <row r="352" spans="9:14">
      <c r="I352" s="65"/>
      <c r="N352" s="65"/>
    </row>
    <row r="353" spans="9:14">
      <c r="I353" s="65"/>
      <c r="N353" s="65"/>
    </row>
    <row r="354" spans="9:14">
      <c r="I354" s="65"/>
      <c r="N354" s="65"/>
    </row>
    <row r="355" spans="9:14">
      <c r="I355" s="65"/>
      <c r="N355" s="65"/>
    </row>
    <row r="356" spans="9:14">
      <c r="I356" s="65"/>
      <c r="N356" s="65"/>
    </row>
    <row r="357" spans="9:14">
      <c r="I357" s="65"/>
      <c r="N357" s="65"/>
    </row>
    <row r="358" spans="9:14">
      <c r="I358" s="65"/>
      <c r="N358" s="65"/>
    </row>
    <row r="359" spans="9:14">
      <c r="I359" s="65"/>
      <c r="N359" s="65"/>
    </row>
    <row r="360" spans="9:14">
      <c r="I360" s="65"/>
      <c r="N360" s="65"/>
    </row>
    <row r="361" spans="9:14">
      <c r="I361" s="65"/>
      <c r="N361" s="65"/>
    </row>
    <row r="362" spans="9:14">
      <c r="I362" s="65"/>
      <c r="N362" s="65"/>
    </row>
    <row r="363" spans="9:14">
      <c r="I363" s="65"/>
      <c r="N363" s="65"/>
    </row>
    <row r="364" spans="9:14">
      <c r="I364" s="65"/>
      <c r="N364" s="65"/>
    </row>
    <row r="365" spans="9:14">
      <c r="I365" s="65"/>
      <c r="N365" s="65"/>
    </row>
    <row r="366" spans="9:14">
      <c r="I366" s="65"/>
      <c r="N366" s="65"/>
    </row>
    <row r="367" spans="9:14">
      <c r="I367" s="65"/>
      <c r="N367" s="65"/>
    </row>
    <row r="368" spans="9:14">
      <c r="I368" s="65"/>
      <c r="N368" s="65"/>
    </row>
    <row r="369" spans="9:14">
      <c r="I369" s="65"/>
      <c r="N369" s="65"/>
    </row>
    <row r="370" spans="9:14">
      <c r="I370" s="65"/>
      <c r="N370" s="65"/>
    </row>
    <row r="371" spans="9:14">
      <c r="I371" s="65"/>
      <c r="N371" s="65"/>
    </row>
    <row r="372" spans="9:14">
      <c r="I372" s="65"/>
      <c r="N372" s="65"/>
    </row>
    <row r="373" spans="9:14">
      <c r="I373" s="65"/>
      <c r="N373" s="65"/>
    </row>
    <row r="374" spans="9:14">
      <c r="I374" s="65"/>
      <c r="N374" s="65"/>
    </row>
    <row r="375" spans="9:14">
      <c r="I375" s="65"/>
      <c r="N375" s="65"/>
    </row>
    <row r="376" spans="9:14">
      <c r="I376" s="65"/>
      <c r="N376" s="65"/>
    </row>
    <row r="377" spans="9:14">
      <c r="I377" s="65"/>
      <c r="N377" s="65"/>
    </row>
    <row r="378" spans="9:14">
      <c r="I378" s="65"/>
      <c r="N378" s="65"/>
    </row>
    <row r="379" spans="9:14">
      <c r="I379" s="65"/>
      <c r="N379" s="65"/>
    </row>
    <row r="380" spans="9:14">
      <c r="I380" s="65"/>
      <c r="N380" s="65"/>
    </row>
    <row r="381" spans="9:14">
      <c r="I381" s="65"/>
      <c r="N381" s="65"/>
    </row>
  </sheetData>
  <mergeCells count="7">
    <mergeCell ref="G6:G7"/>
    <mergeCell ref="F6:F7"/>
    <mergeCell ref="A6:A7"/>
    <mergeCell ref="B6:B7"/>
    <mergeCell ref="C6:C7"/>
    <mergeCell ref="D6:D7"/>
    <mergeCell ref="E6:E7"/>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pageSetUpPr autoPageBreaks="0"/>
  </sheetPr>
  <dimension ref="B4:AJ65"/>
  <sheetViews>
    <sheetView showGridLines="0" topLeftCell="M23" zoomScale="70" zoomScaleNormal="70" workbookViewId="0">
      <selection activeCell="U62" sqref="U62"/>
    </sheetView>
  </sheetViews>
  <sheetFormatPr defaultColWidth="11.42578125" defaultRowHeight="15"/>
  <cols>
    <col min="1" max="1" width="2.42578125" style="83" customWidth="1"/>
    <col min="2" max="2" width="19.5703125" style="83" customWidth="1"/>
    <col min="3" max="6" width="15.7109375" style="83" customWidth="1"/>
    <col min="7" max="7" width="1.42578125" style="83" customWidth="1"/>
    <col min="8" max="12" width="15.7109375" style="83" customWidth="1"/>
    <col min="13" max="13" width="1.42578125" style="83" customWidth="1"/>
    <col min="14" max="18" width="15.7109375" style="83" customWidth="1"/>
    <col min="19" max="19" width="1.5703125" style="83" customWidth="1"/>
    <col min="20" max="20" width="15.7109375" style="83" customWidth="1"/>
    <col min="21" max="24" width="15.7109375" style="27" customWidth="1"/>
    <col min="25" max="25" width="1" style="27" customWidth="1"/>
    <col min="26" max="29" width="15.7109375" style="27" customWidth="1"/>
    <col min="30" max="30" width="45.7109375" style="27" customWidth="1"/>
    <col min="31" max="31" width="19" style="27" customWidth="1"/>
    <col min="32" max="32" width="15.7109375" style="27" customWidth="1"/>
    <col min="33" max="36" width="15.7109375" style="83" customWidth="1"/>
    <col min="37" max="16384" width="11.42578125" style="83"/>
  </cols>
  <sheetData>
    <row r="4" spans="8:8" ht="18.75">
      <c r="H4" s="100"/>
    </row>
    <row r="19" spans="2:36" ht="15.75" customHeight="1"/>
    <row r="20" spans="2:36" ht="36" customHeight="1"/>
    <row r="21" spans="2:36" ht="10.5" customHeight="1"/>
    <row r="22" spans="2:36" ht="15.75" customHeight="1">
      <c r="B22" s="514" t="s">
        <v>2</v>
      </c>
      <c r="C22" s="515" t="s">
        <v>397</v>
      </c>
    </row>
    <row r="23" spans="2:36" ht="15.75" customHeight="1">
      <c r="B23" s="514" t="s">
        <v>217</v>
      </c>
      <c r="C23" s="515">
        <v>2015</v>
      </c>
    </row>
    <row r="24" spans="2:36" ht="15.75" customHeight="1" thickBot="1"/>
    <row r="25" spans="2:36" s="387" customFormat="1" ht="29.25" customHeight="1" thickBot="1">
      <c r="B25" s="682" t="s">
        <v>341</v>
      </c>
      <c r="C25" s="683"/>
      <c r="D25" s="683"/>
      <c r="E25" s="683"/>
      <c r="F25" s="684"/>
      <c r="G25" s="82"/>
      <c r="H25" s="682" t="s">
        <v>202</v>
      </c>
      <c r="I25" s="683"/>
      <c r="J25" s="683"/>
      <c r="K25" s="683"/>
      <c r="L25" s="684"/>
      <c r="M25" s="82"/>
      <c r="N25" s="682" t="s">
        <v>366</v>
      </c>
      <c r="O25" s="683"/>
      <c r="P25" s="683"/>
      <c r="Q25" s="683"/>
      <c r="R25" s="684"/>
      <c r="S25" s="82"/>
      <c r="T25" s="682" t="s">
        <v>333</v>
      </c>
      <c r="U25" s="683"/>
      <c r="V25" s="683"/>
      <c r="W25" s="683"/>
      <c r="X25" s="684"/>
      <c r="Y25" s="82"/>
      <c r="Z25" s="682" t="s">
        <v>331</v>
      </c>
      <c r="AA25" s="683"/>
      <c r="AB25" s="683"/>
      <c r="AC25" s="683"/>
      <c r="AD25" s="684"/>
      <c r="AE25" s="82"/>
      <c r="AF25" s="682" t="s">
        <v>335</v>
      </c>
      <c r="AG25" s="683"/>
      <c r="AH25" s="683"/>
      <c r="AI25" s="683"/>
      <c r="AJ25" s="684"/>
    </row>
    <row r="26" spans="2:36" s="387" customFormat="1" ht="51" customHeight="1">
      <c r="B26" s="363" t="s">
        <v>196</v>
      </c>
      <c r="C26" s="364" t="s">
        <v>342</v>
      </c>
      <c r="D26" s="364" t="s">
        <v>30</v>
      </c>
      <c r="E26" s="364" t="s">
        <v>343</v>
      </c>
      <c r="F26" s="365" t="s">
        <v>344</v>
      </c>
      <c r="G26" s="82"/>
      <c r="H26" s="363" t="s">
        <v>196</v>
      </c>
      <c r="I26" s="364" t="s">
        <v>342</v>
      </c>
      <c r="J26" s="364" t="s">
        <v>30</v>
      </c>
      <c r="K26" s="364" t="s">
        <v>343</v>
      </c>
      <c r="L26" s="365" t="s">
        <v>344</v>
      </c>
      <c r="M26" s="82"/>
      <c r="N26" s="363" t="s">
        <v>196</v>
      </c>
      <c r="O26" s="364" t="s">
        <v>342</v>
      </c>
      <c r="P26" s="364" t="s">
        <v>30</v>
      </c>
      <c r="Q26" s="364" t="s">
        <v>343</v>
      </c>
      <c r="R26" s="365" t="s">
        <v>344</v>
      </c>
      <c r="S26" s="82"/>
      <c r="T26" s="363" t="s">
        <v>196</v>
      </c>
      <c r="U26" s="364" t="s">
        <v>342</v>
      </c>
      <c r="V26" s="364" t="s">
        <v>30</v>
      </c>
      <c r="W26" s="364" t="s">
        <v>343</v>
      </c>
      <c r="X26" s="365" t="s">
        <v>344</v>
      </c>
      <c r="Y26" s="82"/>
      <c r="Z26" s="363" t="s">
        <v>196</v>
      </c>
      <c r="AA26" s="364" t="s">
        <v>342</v>
      </c>
      <c r="AB26" s="364" t="s">
        <v>30</v>
      </c>
      <c r="AC26" s="364" t="s">
        <v>343</v>
      </c>
      <c r="AD26" s="365" t="s">
        <v>344</v>
      </c>
      <c r="AE26" s="82"/>
      <c r="AF26" s="363" t="s">
        <v>196</v>
      </c>
      <c r="AG26" s="364" t="s">
        <v>342</v>
      </c>
      <c r="AH26" s="364" t="s">
        <v>30</v>
      </c>
      <c r="AI26" s="364" t="s">
        <v>343</v>
      </c>
      <c r="AJ26" s="365" t="s">
        <v>344</v>
      </c>
    </row>
    <row r="27" spans="2:36" s="387" customFormat="1" ht="15.75">
      <c r="B27" s="366" t="s">
        <v>91</v>
      </c>
      <c r="C27" s="218">
        <v>1107</v>
      </c>
      <c r="D27" s="271" t="s">
        <v>429</v>
      </c>
      <c r="E27" s="272">
        <f>+SUMIF('Summary Table'!$G:$G,B27,'Summary Table'!$I:$I)</f>
        <v>962.16695388157871</v>
      </c>
      <c r="F27" s="369">
        <f>+E27/C27-1</f>
        <v>-0.13083382666524057</v>
      </c>
      <c r="G27" s="82"/>
      <c r="H27" s="366" t="s">
        <v>91</v>
      </c>
      <c r="I27" s="358"/>
      <c r="J27" s="218"/>
      <c r="K27" s="361"/>
      <c r="L27" s="369"/>
      <c r="M27" s="82"/>
      <c r="N27" s="366" t="s">
        <v>91</v>
      </c>
      <c r="O27" s="359">
        <v>1107</v>
      </c>
      <c r="P27" s="218"/>
      <c r="Q27" s="361">
        <f>+SUMIFS('Summary Table'!$I:$I,'Summary Table'!D:D,$N$25,'Summary Table'!$G:$G,'Top-Down Validation'!N27)</f>
        <v>962.16695388157871</v>
      </c>
      <c r="R27" s="369">
        <f>+Q27/O27-1</f>
        <v>-0.13083382666524057</v>
      </c>
      <c r="S27" s="82"/>
      <c r="T27" s="366" t="s">
        <v>91</v>
      </c>
      <c r="U27" s="367"/>
      <c r="V27" s="367"/>
      <c r="W27" s="368"/>
      <c r="X27" s="369"/>
      <c r="Y27" s="82"/>
      <c r="Z27" s="533" t="s">
        <v>91</v>
      </c>
      <c r="AA27" s="534"/>
      <c r="AB27" s="272"/>
      <c r="AC27" s="361"/>
      <c r="AD27" s="369"/>
      <c r="AE27" s="82"/>
      <c r="AF27" s="366" t="s">
        <v>91</v>
      </c>
      <c r="AG27" s="367"/>
      <c r="AH27" s="367"/>
      <c r="AI27" s="368"/>
      <c r="AJ27" s="369"/>
    </row>
    <row r="28" spans="2:36" s="387" customFormat="1" ht="15.75">
      <c r="B28" s="366" t="s">
        <v>53</v>
      </c>
      <c r="C28" s="218">
        <v>2080.9</v>
      </c>
      <c r="D28" s="271" t="s">
        <v>429</v>
      </c>
      <c r="E28" s="272">
        <f>+SUMIF('Summary Table'!$G:$G,B28,'Summary Table'!$I:$I)</f>
        <v>2924.8805117951779</v>
      </c>
      <c r="F28" s="369">
        <f t="shared" ref="F28:F34" si="0">+E28/C28-1</f>
        <v>0.40558436820374721</v>
      </c>
      <c r="G28" s="82"/>
      <c r="H28" s="366" t="s">
        <v>53</v>
      </c>
      <c r="I28" s="367"/>
      <c r="J28" s="367"/>
      <c r="K28" s="361"/>
      <c r="L28" s="369"/>
      <c r="M28" s="82"/>
      <c r="N28" s="366" t="s">
        <v>53</v>
      </c>
      <c r="O28" s="358">
        <f>3414.7-O27</f>
        <v>2307.6999999999998</v>
      </c>
      <c r="P28" s="218" t="s">
        <v>462</v>
      </c>
      <c r="Q28" s="361">
        <f>+SUMIFS('Summary Table'!$I:$I,'Summary Table'!D:D,$N$25,'Summary Table'!$G:$G,'Top-Down Validation'!N28)</f>
        <v>1233.0802899418447</v>
      </c>
      <c r="R28" s="369">
        <f>+Q28/O28-1</f>
        <v>-0.4656669888019046</v>
      </c>
      <c r="S28" s="82"/>
      <c r="T28" s="366" t="s">
        <v>53</v>
      </c>
      <c r="U28" s="360">
        <v>36.9</v>
      </c>
      <c r="V28" s="218" t="s">
        <v>429</v>
      </c>
      <c r="W28" s="361">
        <f>+SUMIFS('Summary Table'!$I:$I,'Summary Table'!D:D,$T$25,'Summary Table'!$G:$G,'Top-Down Validation'!T28)</f>
        <v>36.9</v>
      </c>
      <c r="X28" s="369">
        <f>+W28/U28-1</f>
        <v>0</v>
      </c>
      <c r="Y28" s="82"/>
      <c r="Z28" s="366" t="s">
        <v>53</v>
      </c>
      <c r="AA28" s="358">
        <f>'Top-Down Annual Fuel Cons.'!C14</f>
        <v>0.79519156118143419</v>
      </c>
      <c r="AB28" s="218" t="s">
        <v>499</v>
      </c>
      <c r="AC28" s="361">
        <f>+SUMIFS('Summary Table'!$I:$I,'Summary Table'!$E:$E,$Z$25,'Summary Table'!$G:$G,'Top-Down Validation'!Z28)</f>
        <v>1654.9002218533333</v>
      </c>
      <c r="AD28" s="369">
        <f>+AC28/AA28-1</f>
        <v>2080.1340344138089</v>
      </c>
      <c r="AE28" s="82"/>
      <c r="AF28" s="366" t="s">
        <v>53</v>
      </c>
      <c r="AG28" s="358"/>
      <c r="AH28" s="218"/>
      <c r="AI28" s="361">
        <f>+SUMIFS('Summary Table'!$I:$I,'Summary Table'!$E:$E,$AF$25,'Summary Table'!$G:$G,'Top-Down Validation'!AF28)</f>
        <v>0</v>
      </c>
      <c r="AJ28" s="369" t="e">
        <f>+AI28/AG28-1</f>
        <v>#DIV/0!</v>
      </c>
    </row>
    <row r="29" spans="2:36" s="387" customFormat="1" ht="15.75">
      <c r="B29" s="366" t="s">
        <v>203</v>
      </c>
      <c r="C29" s="218">
        <v>635.29999999999995</v>
      </c>
      <c r="D29" s="271" t="s">
        <v>429</v>
      </c>
      <c r="E29" s="272">
        <f>+SUMIF('Summary Table'!$G:$G,B29,'Summary Table'!$I:$I)</f>
        <v>635.29999999999995</v>
      </c>
      <c r="F29" s="369">
        <f t="shared" si="0"/>
        <v>0</v>
      </c>
      <c r="G29" s="82"/>
      <c r="H29" s="366" t="s">
        <v>203</v>
      </c>
      <c r="I29" s="358">
        <f>0.07*635.3</f>
        <v>44.471000000000004</v>
      </c>
      <c r="J29" s="271" t="s">
        <v>429</v>
      </c>
      <c r="K29" s="361">
        <f>+SUMIFS('Summary Table'!$I:$I,'Summary Table'!E:E,'Top-Down Validation'!$H$25,'Summary Table'!$G:$G,H29)</f>
        <v>44.471000000000004</v>
      </c>
      <c r="L29" s="369">
        <f>+K29/I29-1</f>
        <v>0</v>
      </c>
      <c r="M29" s="82"/>
      <c r="N29" s="366" t="s">
        <v>203</v>
      </c>
      <c r="O29" s="367"/>
      <c r="P29" s="367"/>
      <c r="Q29" s="361"/>
      <c r="R29" s="369"/>
      <c r="S29" s="82"/>
      <c r="T29" s="366" t="s">
        <v>203</v>
      </c>
      <c r="U29" s="367"/>
      <c r="V29" s="367"/>
      <c r="W29" s="368"/>
      <c r="X29" s="369"/>
      <c r="Y29" s="82"/>
      <c r="Z29" s="533" t="s">
        <v>203</v>
      </c>
      <c r="AA29" s="368"/>
      <c r="AB29" s="368"/>
      <c r="AC29" s="361"/>
      <c r="AD29" s="369"/>
      <c r="AE29" s="82"/>
      <c r="AF29" s="366" t="s">
        <v>203</v>
      </c>
      <c r="AG29" s="358"/>
      <c r="AH29" s="218"/>
      <c r="AI29" s="361">
        <f>+SUMIFS('Summary Table'!$I:$I,'Summary Table'!$E:$E,$AF$25,'Summary Table'!$G:$G,'Top-Down Validation'!AF29)</f>
        <v>590.82899999999995</v>
      </c>
      <c r="AJ29" s="369" t="e">
        <f>+AI29/AG29-1</f>
        <v>#DIV/0!</v>
      </c>
    </row>
    <row r="30" spans="2:36" s="387" customFormat="1" ht="15.75">
      <c r="B30" s="366" t="s">
        <v>345</v>
      </c>
      <c r="C30" s="218">
        <v>18.7</v>
      </c>
      <c r="D30" s="271" t="s">
        <v>429</v>
      </c>
      <c r="E30" s="272">
        <f>+SUMIF('Summary Table'!$G:$G,B30,'Summary Table'!$I:$I)</f>
        <v>18.7</v>
      </c>
      <c r="F30" s="369">
        <f t="shared" si="0"/>
        <v>0</v>
      </c>
      <c r="G30" s="82"/>
      <c r="H30" s="366" t="s">
        <v>345</v>
      </c>
      <c r="I30" s="358">
        <v>18.7</v>
      </c>
      <c r="J30" s="271" t="s">
        <v>429</v>
      </c>
      <c r="K30" s="361">
        <f>+SUMIFS('Summary Table'!$I:$I,'Summary Table'!E:E,'Top-Down Validation'!$H$25,'Summary Table'!$G:$G,H30)</f>
        <v>18.7</v>
      </c>
      <c r="L30" s="369">
        <f>+K30/I30-1</f>
        <v>0</v>
      </c>
      <c r="M30" s="82"/>
      <c r="N30" s="366" t="s">
        <v>345</v>
      </c>
      <c r="O30" s="367"/>
      <c r="P30" s="367"/>
      <c r="Q30" s="361"/>
      <c r="R30" s="369"/>
      <c r="S30" s="82"/>
      <c r="T30" s="366" t="s">
        <v>345</v>
      </c>
      <c r="U30" s="367"/>
      <c r="V30" s="367"/>
      <c r="W30" s="368"/>
      <c r="X30" s="369"/>
      <c r="Y30" s="82"/>
      <c r="Z30" s="533" t="s">
        <v>345</v>
      </c>
      <c r="AA30" s="368"/>
      <c r="AB30" s="368"/>
      <c r="AC30" s="361"/>
      <c r="AD30" s="369"/>
      <c r="AE30" s="82"/>
      <c r="AF30" s="366" t="s">
        <v>345</v>
      </c>
      <c r="AG30" s="367"/>
      <c r="AH30" s="367"/>
      <c r="AI30" s="361"/>
      <c r="AJ30" s="369"/>
    </row>
    <row r="31" spans="2:36" s="387" customFormat="1" ht="15.75">
      <c r="B31" s="366" t="s">
        <v>210</v>
      </c>
      <c r="C31" s="218"/>
      <c r="D31" s="271"/>
      <c r="E31" s="272"/>
      <c r="F31" s="369" t="e">
        <f t="shared" si="0"/>
        <v>#DIV/0!</v>
      </c>
      <c r="G31" s="82"/>
      <c r="H31" s="366" t="s">
        <v>210</v>
      </c>
      <c r="I31" s="367"/>
      <c r="J31" s="367"/>
      <c r="K31" s="368"/>
      <c r="L31" s="369"/>
      <c r="M31" s="82"/>
      <c r="N31" s="366" t="s">
        <v>210</v>
      </c>
      <c r="O31" s="367"/>
      <c r="P31" s="367"/>
      <c r="Q31" s="361"/>
      <c r="R31" s="369"/>
      <c r="S31" s="82"/>
      <c r="T31" s="366" t="s">
        <v>210</v>
      </c>
      <c r="U31" s="367"/>
      <c r="V31" s="367"/>
      <c r="W31" s="368"/>
      <c r="X31" s="369"/>
      <c r="Y31" s="82"/>
      <c r="Z31" s="533" t="s">
        <v>210</v>
      </c>
      <c r="AA31" s="534"/>
      <c r="AB31" s="272"/>
      <c r="AC31" s="361"/>
      <c r="AD31" s="369"/>
      <c r="AE31" s="82"/>
      <c r="AF31" s="366" t="s">
        <v>210</v>
      </c>
      <c r="AG31" s="358"/>
      <c r="AH31" s="218"/>
      <c r="AI31" s="361">
        <f>+SUMIFS('Summary Table'!$I:$I,'Summary Table'!$E:$E,$AF$25,'Summary Table'!$G:$G,'Top-Down Validation'!AF31)</f>
        <v>0</v>
      </c>
      <c r="AJ31" s="369" t="e">
        <f>+AI31/AG31-1</f>
        <v>#DIV/0!</v>
      </c>
    </row>
    <row r="32" spans="2:36" s="387" customFormat="1" ht="15.75">
      <c r="B32" s="366" t="s">
        <v>70</v>
      </c>
      <c r="C32" s="218"/>
      <c r="D32" s="271"/>
      <c r="E32" s="272"/>
      <c r="F32" s="369" t="e">
        <f t="shared" si="0"/>
        <v>#DIV/0!</v>
      </c>
      <c r="G32" s="82"/>
      <c r="H32" s="366" t="s">
        <v>70</v>
      </c>
      <c r="I32" s="367"/>
      <c r="J32" s="367"/>
      <c r="K32" s="368"/>
      <c r="L32" s="369"/>
      <c r="M32" s="82"/>
      <c r="N32" s="366" t="s">
        <v>70</v>
      </c>
      <c r="O32" s="360"/>
      <c r="P32" s="218"/>
      <c r="Q32" s="361">
        <f>+SUMIFS('Summary Table'!$I:$I,'Summary Table'!D:D,$N$25,'Summary Table'!$G:$G,'Top-Down Validation'!N32)</f>
        <v>0</v>
      </c>
      <c r="R32" s="369" t="e">
        <f>+Q32/O32-1</f>
        <v>#DIV/0!</v>
      </c>
      <c r="S32" s="82"/>
      <c r="T32" s="366" t="s">
        <v>70</v>
      </c>
      <c r="U32" s="367"/>
      <c r="V32" s="367"/>
      <c r="W32" s="368"/>
      <c r="X32" s="369"/>
      <c r="Y32" s="82"/>
      <c r="Z32" s="533" t="s">
        <v>70</v>
      </c>
      <c r="AA32" s="368"/>
      <c r="AB32" s="368"/>
      <c r="AC32" s="368"/>
      <c r="AD32" s="369"/>
      <c r="AE32" s="82"/>
      <c r="AF32" s="366" t="s">
        <v>70</v>
      </c>
      <c r="AG32" s="367"/>
      <c r="AH32" s="367"/>
      <c r="AI32" s="368"/>
      <c r="AJ32" s="369"/>
    </row>
    <row r="33" spans="2:36" s="387" customFormat="1" ht="15.75">
      <c r="B33" s="366" t="s">
        <v>78</v>
      </c>
      <c r="C33" s="218"/>
      <c r="D33" s="218"/>
      <c r="E33" s="272"/>
      <c r="F33" s="370" t="e">
        <f t="shared" si="0"/>
        <v>#DIV/0!</v>
      </c>
      <c r="G33" s="82"/>
      <c r="H33" s="366" t="s">
        <v>78</v>
      </c>
      <c r="I33" s="367"/>
      <c r="J33" s="367"/>
      <c r="K33" s="368"/>
      <c r="L33" s="370"/>
      <c r="M33" s="82"/>
      <c r="N33" s="366" t="s">
        <v>78</v>
      </c>
      <c r="O33" s="358"/>
      <c r="P33" s="218"/>
      <c r="Q33" s="361">
        <f>+SUMIFS('Summary Table'!$I:$I,'Summary Table'!D:D,$N$25,'Summary Table'!$G:$G,'Top-Down Validation'!N33)</f>
        <v>0</v>
      </c>
      <c r="R33" s="369" t="e">
        <f>+Q33/O33-1</f>
        <v>#DIV/0!</v>
      </c>
      <c r="S33" s="82"/>
      <c r="T33" s="366" t="s">
        <v>78</v>
      </c>
      <c r="U33" s="367"/>
      <c r="V33" s="367"/>
      <c r="W33" s="368"/>
      <c r="X33" s="370"/>
      <c r="Y33" s="82"/>
      <c r="Z33" s="533" t="s">
        <v>78</v>
      </c>
      <c r="AA33" s="368"/>
      <c r="AB33" s="368"/>
      <c r="AC33" s="368"/>
      <c r="AD33" s="370"/>
      <c r="AE33" s="82"/>
      <c r="AF33" s="366" t="s">
        <v>78</v>
      </c>
      <c r="AG33" s="367"/>
      <c r="AH33" s="367"/>
      <c r="AI33" s="368"/>
      <c r="AJ33" s="370"/>
    </row>
    <row r="34" spans="2:36" s="387" customFormat="1" ht="16.5" thickBot="1">
      <c r="B34" s="366" t="s">
        <v>288</v>
      </c>
      <c r="C34" s="222"/>
      <c r="D34" s="223"/>
      <c r="E34" s="273"/>
      <c r="F34" s="370" t="e">
        <f t="shared" si="0"/>
        <v>#DIV/0!</v>
      </c>
      <c r="G34" s="82"/>
      <c r="H34" s="366" t="s">
        <v>288</v>
      </c>
      <c r="I34" s="367"/>
      <c r="J34" s="367"/>
      <c r="K34" s="371"/>
      <c r="L34" s="370"/>
      <c r="M34" s="82"/>
      <c r="N34" s="366" t="s">
        <v>288</v>
      </c>
      <c r="O34" s="367"/>
      <c r="P34" s="367"/>
      <c r="Q34" s="371"/>
      <c r="R34" s="370"/>
      <c r="S34" s="82"/>
      <c r="T34" s="366" t="s">
        <v>288</v>
      </c>
      <c r="U34" s="367"/>
      <c r="V34" s="367"/>
      <c r="W34" s="371"/>
      <c r="X34" s="370"/>
      <c r="Y34" s="82"/>
      <c r="Z34" s="533" t="s">
        <v>288</v>
      </c>
      <c r="AA34" s="368"/>
      <c r="AB34" s="368"/>
      <c r="AC34" s="368"/>
      <c r="AD34" s="370"/>
      <c r="AE34" s="82"/>
      <c r="AF34" s="366" t="s">
        <v>288</v>
      </c>
      <c r="AG34" s="367"/>
      <c r="AH34" s="367"/>
      <c r="AI34" s="371"/>
      <c r="AJ34" s="370"/>
    </row>
    <row r="35" spans="2:36" s="387" customFormat="1">
      <c r="B35" s="388"/>
      <c r="C35" s="82"/>
      <c r="D35" s="82"/>
      <c r="E35" s="82"/>
      <c r="F35" s="389"/>
      <c r="G35" s="82"/>
      <c r="H35" s="388"/>
      <c r="I35" s="82"/>
      <c r="J35" s="82"/>
      <c r="K35" s="82"/>
      <c r="L35" s="389"/>
      <c r="M35" s="82"/>
      <c r="N35" s="388"/>
      <c r="O35" s="82"/>
      <c r="P35" s="82"/>
      <c r="Q35" s="82"/>
      <c r="R35" s="389"/>
      <c r="S35" s="82"/>
      <c r="T35" s="390"/>
      <c r="X35" s="391"/>
      <c r="Y35" s="82"/>
      <c r="Z35" s="390"/>
      <c r="AD35" s="391"/>
      <c r="AE35" s="82"/>
      <c r="AF35" s="390"/>
      <c r="AJ35" s="391"/>
    </row>
    <row r="36" spans="2:36" s="387" customFormat="1">
      <c r="B36" s="388"/>
      <c r="C36" s="82"/>
      <c r="D36" s="82"/>
      <c r="E36" s="82"/>
      <c r="F36" s="389"/>
      <c r="G36" s="82"/>
      <c r="H36" s="388"/>
      <c r="I36" s="82"/>
      <c r="J36" s="82"/>
      <c r="K36" s="82"/>
      <c r="L36" s="389"/>
      <c r="M36" s="82"/>
      <c r="N36" s="388"/>
      <c r="O36" s="82"/>
      <c r="P36" s="82"/>
      <c r="Q36" s="82"/>
      <c r="R36" s="389"/>
      <c r="S36" s="82"/>
      <c r="T36" s="390"/>
      <c r="X36" s="391"/>
      <c r="Y36" s="82"/>
      <c r="Z36" s="390"/>
      <c r="AD36" s="391"/>
      <c r="AE36" s="82"/>
      <c r="AF36" s="390"/>
      <c r="AJ36" s="391"/>
    </row>
    <row r="37" spans="2:36" s="387" customFormat="1">
      <c r="B37" s="388"/>
      <c r="C37" s="82"/>
      <c r="D37" s="82"/>
      <c r="E37" s="82"/>
      <c r="F37" s="389"/>
      <c r="G37" s="82"/>
      <c r="H37" s="388"/>
      <c r="I37" s="82"/>
      <c r="J37" s="82"/>
      <c r="K37" s="82"/>
      <c r="L37" s="389"/>
      <c r="M37" s="82"/>
      <c r="N37" s="388"/>
      <c r="O37" s="82"/>
      <c r="P37" s="82"/>
      <c r="Q37" s="82"/>
      <c r="R37" s="389"/>
      <c r="S37" s="82"/>
      <c r="T37" s="390"/>
      <c r="X37" s="391"/>
      <c r="Y37" s="82"/>
      <c r="Z37" s="390"/>
      <c r="AD37" s="391"/>
      <c r="AE37" s="82"/>
      <c r="AF37" s="390"/>
      <c r="AJ37" s="391"/>
    </row>
    <row r="38" spans="2:36" s="387" customFormat="1">
      <c r="B38" s="390"/>
      <c r="F38" s="391"/>
      <c r="H38" s="390"/>
      <c r="L38" s="391"/>
      <c r="N38" s="390"/>
      <c r="R38" s="391"/>
      <c r="T38" s="390"/>
      <c r="X38" s="391"/>
      <c r="Z38" s="390"/>
      <c r="AD38" s="391"/>
      <c r="AF38" s="390"/>
      <c r="AJ38" s="391"/>
    </row>
    <row r="39" spans="2:36" s="387" customFormat="1">
      <c r="B39" s="390"/>
      <c r="F39" s="391"/>
      <c r="H39" s="390"/>
      <c r="L39" s="391"/>
      <c r="N39" s="390"/>
      <c r="R39" s="391"/>
      <c r="T39" s="390"/>
      <c r="X39" s="391"/>
      <c r="Z39" s="390"/>
      <c r="AD39" s="391"/>
      <c r="AF39" s="390"/>
      <c r="AJ39" s="391"/>
    </row>
    <row r="40" spans="2:36" s="387" customFormat="1">
      <c r="B40" s="390"/>
      <c r="F40" s="391"/>
      <c r="H40" s="390"/>
      <c r="L40" s="391"/>
      <c r="N40" s="390"/>
      <c r="R40" s="391"/>
      <c r="T40" s="390"/>
      <c r="X40" s="391"/>
      <c r="Z40" s="390"/>
      <c r="AD40" s="391"/>
      <c r="AF40" s="390"/>
      <c r="AJ40" s="391"/>
    </row>
    <row r="41" spans="2:36" s="387" customFormat="1">
      <c r="B41" s="390"/>
      <c r="F41" s="391"/>
      <c r="H41" s="390"/>
      <c r="L41" s="391"/>
      <c r="N41" s="390"/>
      <c r="R41" s="391"/>
      <c r="T41" s="390"/>
      <c r="X41" s="391"/>
      <c r="Z41" s="390"/>
      <c r="AD41" s="391"/>
      <c r="AF41" s="390"/>
      <c r="AJ41" s="391"/>
    </row>
    <row r="42" spans="2:36" s="387" customFormat="1">
      <c r="B42" s="390"/>
      <c r="F42" s="391"/>
      <c r="H42" s="390"/>
      <c r="L42" s="391"/>
      <c r="N42" s="390"/>
      <c r="R42" s="391"/>
      <c r="T42" s="390"/>
      <c r="X42" s="391"/>
      <c r="Z42" s="390"/>
      <c r="AD42" s="391"/>
      <c r="AF42" s="390"/>
      <c r="AJ42" s="391"/>
    </row>
    <row r="43" spans="2:36" s="387" customFormat="1">
      <c r="B43" s="390"/>
      <c r="F43" s="391"/>
      <c r="H43" s="390"/>
      <c r="L43" s="391"/>
      <c r="N43" s="390"/>
      <c r="R43" s="391"/>
      <c r="T43" s="390"/>
      <c r="X43" s="391"/>
      <c r="Z43" s="390"/>
      <c r="AD43" s="391"/>
      <c r="AF43" s="390"/>
      <c r="AJ43" s="391"/>
    </row>
    <row r="44" spans="2:36" s="387" customFormat="1">
      <c r="B44" s="390"/>
      <c r="F44" s="391"/>
      <c r="H44" s="390"/>
      <c r="L44" s="391"/>
      <c r="N44" s="390"/>
      <c r="R44" s="391"/>
      <c r="T44" s="390"/>
      <c r="X44" s="391"/>
      <c r="Z44" s="390"/>
      <c r="AD44" s="391"/>
      <c r="AF44" s="390"/>
      <c r="AJ44" s="391"/>
    </row>
    <row r="45" spans="2:36" s="387" customFormat="1">
      <c r="B45" s="390"/>
      <c r="F45" s="391"/>
      <c r="H45" s="390"/>
      <c r="L45" s="391"/>
      <c r="N45" s="390"/>
      <c r="R45" s="391"/>
      <c r="T45" s="390"/>
      <c r="X45" s="391"/>
      <c r="Z45" s="390"/>
      <c r="AD45" s="391"/>
      <c r="AF45" s="390"/>
      <c r="AJ45" s="391"/>
    </row>
    <row r="46" spans="2:36" s="387" customFormat="1">
      <c r="B46" s="390"/>
      <c r="F46" s="391"/>
      <c r="H46" s="390"/>
      <c r="L46" s="391"/>
      <c r="N46" s="390"/>
      <c r="R46" s="391"/>
      <c r="T46" s="390"/>
      <c r="X46" s="391"/>
      <c r="Z46" s="390"/>
      <c r="AD46" s="391"/>
      <c r="AF46" s="390"/>
      <c r="AJ46" s="391"/>
    </row>
    <row r="47" spans="2:36" s="387" customFormat="1">
      <c r="B47" s="390"/>
      <c r="F47" s="391"/>
      <c r="H47" s="390"/>
      <c r="L47" s="391"/>
      <c r="N47" s="390"/>
      <c r="R47" s="391"/>
      <c r="T47" s="390"/>
      <c r="X47" s="391"/>
      <c r="Z47" s="390"/>
      <c r="AD47" s="391"/>
      <c r="AF47" s="390"/>
      <c r="AJ47" s="391"/>
    </row>
    <row r="48" spans="2:36" s="387" customFormat="1" ht="15.75">
      <c r="B48" s="390"/>
      <c r="F48" s="391"/>
      <c r="H48" s="392"/>
      <c r="L48" s="391"/>
      <c r="N48" s="390"/>
      <c r="R48" s="391"/>
      <c r="T48" s="390"/>
      <c r="X48" s="391"/>
      <c r="Z48" s="390"/>
      <c r="AD48" s="391"/>
      <c r="AF48" s="390"/>
      <c r="AJ48" s="391"/>
    </row>
    <row r="49" spans="2:36" s="387" customFormat="1">
      <c r="B49" s="390"/>
      <c r="F49" s="391"/>
      <c r="H49" s="390"/>
      <c r="L49" s="391"/>
      <c r="N49" s="390"/>
      <c r="R49" s="391"/>
      <c r="T49" s="390"/>
      <c r="X49" s="391"/>
      <c r="Z49" s="390"/>
      <c r="AD49" s="391"/>
      <c r="AF49" s="390"/>
      <c r="AJ49" s="391"/>
    </row>
    <row r="50" spans="2:36" s="387" customFormat="1">
      <c r="B50" s="390"/>
      <c r="F50" s="391"/>
      <c r="H50" s="390"/>
      <c r="L50" s="391"/>
      <c r="N50" s="390"/>
      <c r="R50" s="391"/>
      <c r="T50" s="390"/>
      <c r="X50" s="391"/>
      <c r="Z50" s="390"/>
      <c r="AD50" s="391"/>
      <c r="AF50" s="390"/>
      <c r="AJ50" s="391"/>
    </row>
    <row r="51" spans="2:36" s="387" customFormat="1">
      <c r="B51" s="390"/>
      <c r="F51" s="391"/>
      <c r="H51" s="390"/>
      <c r="L51" s="391"/>
      <c r="N51" s="390"/>
      <c r="R51" s="391"/>
      <c r="T51" s="390"/>
      <c r="X51" s="391"/>
      <c r="Z51" s="390"/>
      <c r="AD51" s="391"/>
      <c r="AF51" s="390"/>
      <c r="AJ51" s="391"/>
    </row>
    <row r="52" spans="2:36" s="387" customFormat="1">
      <c r="B52" s="390"/>
      <c r="F52" s="391"/>
      <c r="H52" s="390"/>
      <c r="L52" s="391"/>
      <c r="N52" s="390"/>
      <c r="R52" s="391"/>
      <c r="T52" s="390"/>
      <c r="X52" s="391"/>
      <c r="Z52" s="390"/>
      <c r="AD52" s="391"/>
      <c r="AF52" s="390"/>
      <c r="AJ52" s="391"/>
    </row>
    <row r="53" spans="2:36" s="387" customFormat="1" ht="21.75" thickBot="1">
      <c r="B53" s="374"/>
      <c r="C53" s="393"/>
      <c r="D53" s="393"/>
      <c r="E53" s="393"/>
      <c r="F53" s="394"/>
      <c r="H53" s="395" t="s">
        <v>346</v>
      </c>
      <c r="I53" s="393"/>
      <c r="J53" s="393"/>
      <c r="K53" s="393"/>
      <c r="L53" s="394"/>
      <c r="N53" s="395" t="s">
        <v>347</v>
      </c>
      <c r="O53" s="393"/>
      <c r="P53" s="393"/>
      <c r="Q53" s="393"/>
      <c r="R53" s="394"/>
      <c r="T53" s="395" t="s">
        <v>348</v>
      </c>
      <c r="U53" s="393"/>
      <c r="V53" s="393"/>
      <c r="W53" s="393"/>
      <c r="X53" s="394"/>
      <c r="Z53" s="395" t="s">
        <v>349</v>
      </c>
      <c r="AA53" s="393"/>
      <c r="AB53" s="584" t="s">
        <v>503</v>
      </c>
      <c r="AC53" s="393"/>
      <c r="AD53" s="394"/>
      <c r="AF53" s="395" t="s">
        <v>346</v>
      </c>
      <c r="AG53" s="393"/>
      <c r="AH53" s="447" t="s">
        <v>379</v>
      </c>
      <c r="AI53" s="393"/>
      <c r="AJ53" s="394"/>
    </row>
    <row r="54" spans="2:36" ht="15.75" thickBot="1"/>
    <row r="55" spans="2:36" ht="29.25" thickBot="1">
      <c r="Z55" s="682" t="s">
        <v>500</v>
      </c>
      <c r="AA55" s="683"/>
      <c r="AB55" s="683"/>
      <c r="AC55" s="683"/>
      <c r="AD55" s="684"/>
    </row>
    <row r="56" spans="2:36" ht="62.25" customHeight="1">
      <c r="Z56" s="363" t="s">
        <v>498</v>
      </c>
      <c r="AA56" s="364" t="s">
        <v>342</v>
      </c>
      <c r="AB56" s="364" t="s">
        <v>30</v>
      </c>
      <c r="AC56" s="364" t="s">
        <v>343</v>
      </c>
      <c r="AD56" s="365" t="s">
        <v>344</v>
      </c>
    </row>
    <row r="57" spans="2:36" ht="15.75">
      <c r="Z57" s="366" t="s">
        <v>472</v>
      </c>
      <c r="AA57" s="358">
        <f>'Top-Down Annual Fuel Cons.'!J6</f>
        <v>0</v>
      </c>
      <c r="AB57" s="537" t="s">
        <v>501</v>
      </c>
      <c r="AC57" s="361">
        <f>+SUMIFS('Summary Table'!$I:$I,'Summary Table'!$E:$E,$Z$25,'Summary Table'!$G:$G,'Top-Down Validation'!Z57)</f>
        <v>0</v>
      </c>
      <c r="AD57" s="369" t="e">
        <f>+AC57/AA57-1</f>
        <v>#DIV/0!</v>
      </c>
    </row>
    <row r="58" spans="2:36" ht="15.75">
      <c r="Z58" s="366" t="s">
        <v>474</v>
      </c>
      <c r="AA58" s="358">
        <f>'Top-Down Annual Fuel Cons.'!J7</f>
        <v>561.46217637130769</v>
      </c>
      <c r="AB58" s="537" t="s">
        <v>501</v>
      </c>
      <c r="AC58" s="361">
        <f>+SUMIFS('Summary Table'!$I:$I,'Summary Table'!$E:$E,$Z$25,'Summary Table'!$G:$G,'Top-Down Validation'!Z58)</f>
        <v>0</v>
      </c>
      <c r="AD58" s="369">
        <f>+AC58/AA58-1</f>
        <v>-1</v>
      </c>
    </row>
    <row r="59" spans="2:36" ht="15.75">
      <c r="Z59" s="366" t="s">
        <v>475</v>
      </c>
      <c r="AA59" s="358">
        <f>'Top-Down Annual Fuel Cons.'!J8</f>
        <v>332.51979468354415</v>
      </c>
      <c r="AB59" s="537" t="s">
        <v>501</v>
      </c>
      <c r="AC59" s="361"/>
      <c r="AD59" s="369"/>
    </row>
    <row r="60" spans="2:36" ht="15.75">
      <c r="Z60" s="366" t="s">
        <v>476</v>
      </c>
      <c r="AA60" s="358">
        <f>'Top-Down Annual Fuel Cons.'!J9</f>
        <v>320.3574605907171</v>
      </c>
      <c r="AB60" s="537" t="s">
        <v>501</v>
      </c>
      <c r="AC60" s="361"/>
      <c r="AD60" s="369"/>
    </row>
    <row r="61" spans="2:36" ht="15.75">
      <c r="I61" s="460"/>
      <c r="Z61" s="366" t="s">
        <v>477</v>
      </c>
      <c r="AA61" s="358">
        <f>'Top-Down Annual Fuel Cons.'!J10</f>
        <v>549.09818135021067</v>
      </c>
      <c r="AB61" s="537" t="s">
        <v>501</v>
      </c>
      <c r="AC61" s="361">
        <f>+SUMIFS('Summary Table'!$I:$I,'Summary Table'!$E:$E,$Z$25,'Summary Table'!$G:$G,'Top-Down Validation'!Z61)</f>
        <v>0</v>
      </c>
      <c r="AD61" s="369">
        <f>+AC61/AA61-1</f>
        <v>-1</v>
      </c>
    </row>
    <row r="62" spans="2:36" ht="15.75">
      <c r="I62" s="460"/>
      <c r="Z62" s="366" t="s">
        <v>478</v>
      </c>
      <c r="AA62" s="358">
        <f>'Top-Down Annual Fuel Cons.'!J11</f>
        <v>804.4744955274258</v>
      </c>
      <c r="AB62" s="537" t="s">
        <v>501</v>
      </c>
      <c r="AC62" s="368"/>
      <c r="AD62" s="369"/>
    </row>
    <row r="63" spans="2:36" ht="15.75">
      <c r="Z63" s="366" t="s">
        <v>479</v>
      </c>
      <c r="AA63" s="358">
        <f>'Top-Down Annual Fuel Cons.'!J12</f>
        <v>0</v>
      </c>
      <c r="AB63" s="537" t="s">
        <v>501</v>
      </c>
      <c r="AC63" s="368"/>
      <c r="AD63" s="370"/>
    </row>
    <row r="64" spans="2:36">
      <c r="Z64" s="390"/>
      <c r="AA64" s="387"/>
      <c r="AB64" s="387"/>
      <c r="AC64" s="387"/>
      <c r="AD64" s="391"/>
    </row>
    <row r="65" spans="26:30" ht="16.5" thickBot="1">
      <c r="Z65" s="584" t="s">
        <v>503</v>
      </c>
      <c r="AA65" s="393"/>
      <c r="AB65" s="396"/>
      <c r="AC65" s="393"/>
      <c r="AD65" s="394"/>
    </row>
  </sheetData>
  <mergeCells count="7">
    <mergeCell ref="Z55:AD55"/>
    <mergeCell ref="AF25:AJ25"/>
    <mergeCell ref="B25:F25"/>
    <mergeCell ref="H25:L25"/>
    <mergeCell ref="N25:R25"/>
    <mergeCell ref="T25:X25"/>
    <mergeCell ref="Z25:AD25"/>
  </mergeCells>
  <hyperlinks>
    <hyperlink ref="T53" location="'1A3c Railways'!A1" display="→ Back to Input Railways" xr:uid="{00000000-0004-0000-0700-000000000000}"/>
    <hyperlink ref="N53" location="'1A3b Road'!A1" display="→ Back to Input Road" xr:uid="{00000000-0004-0000-0700-000001000000}"/>
    <hyperlink ref="H53" location="'1A3a Aviation'!A1" display="→ Back to Input Aviation" xr:uid="{00000000-0004-0000-0700-000002000000}"/>
    <hyperlink ref="Z53" location="'1A3di(i) Maritime'!A1" display="→ Back to Input Maritime" xr:uid="{00000000-0004-0000-0700-000003000000}"/>
    <hyperlink ref="AF53" location="'1A3a Aviation'!A1" display="→ Back to Input Aviation" xr:uid="{00000000-0004-0000-0700-000005000000}"/>
    <hyperlink ref="AH53" location="'1A3di(i) Maritime'!A1" display="'1A3di(i) Maritime'!A1" xr:uid="{00000000-0004-0000-0700-000006000000}"/>
    <hyperlink ref="Z65" location="'Top-Down Annual Fuel Cons.'!A1" display="→ Back to Top-Down Annual Fuel Cons." xr:uid="{241C5803-3EBD-4718-A666-E46F3CB81ACD}"/>
    <hyperlink ref="AB53" location="'Top-Down Annual Fuel Cons.'!A1" display="→ Back to Top-Down Annual Fuel Cons." xr:uid="{B221B1F0-51D8-4615-A700-4F85D8B98461}"/>
  </hyperlinks>
  <pageMargins left="0.7" right="0.7" top="0.78740157499999996" bottom="0.78740157499999996"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sheetPr>
  <dimension ref="A4:J16"/>
  <sheetViews>
    <sheetView showGridLines="0" topLeftCell="A4" zoomScale="80" zoomScaleNormal="80" workbookViewId="0">
      <selection activeCell="E14" sqref="E14"/>
    </sheetView>
  </sheetViews>
  <sheetFormatPr defaultColWidth="11.42578125" defaultRowHeight="15"/>
  <cols>
    <col min="1" max="1" width="23.140625" style="99" customWidth="1"/>
    <col min="2" max="2" width="14.28515625" style="99" customWidth="1"/>
    <col min="3" max="3" width="15.85546875" style="99" customWidth="1"/>
    <col min="4" max="4" width="36.42578125" style="99" customWidth="1"/>
    <col min="5" max="5" width="15" style="99" customWidth="1"/>
    <col min="6" max="16384" width="11.42578125" style="99"/>
  </cols>
  <sheetData>
    <row r="4" spans="1:10" ht="59.45" customHeight="1"/>
    <row r="5" spans="1:10">
      <c r="J5" s="104"/>
    </row>
    <row r="6" spans="1:10" ht="15.75">
      <c r="A6" s="685" t="s">
        <v>2</v>
      </c>
      <c r="B6" s="685" t="s">
        <v>217</v>
      </c>
      <c r="C6" s="686" t="s">
        <v>195</v>
      </c>
      <c r="D6" s="685" t="s">
        <v>324</v>
      </c>
      <c r="E6" s="685" t="s">
        <v>211</v>
      </c>
      <c r="F6" s="685"/>
      <c r="G6" s="685"/>
      <c r="H6" s="685"/>
    </row>
    <row r="7" spans="1:10" ht="15.75">
      <c r="A7" s="685"/>
      <c r="B7" s="685"/>
      <c r="C7" s="679"/>
      <c r="D7" s="685"/>
      <c r="E7" s="266" t="s">
        <v>161</v>
      </c>
      <c r="F7" s="266" t="s">
        <v>162</v>
      </c>
      <c r="G7" s="266" t="s">
        <v>201</v>
      </c>
      <c r="H7" s="266" t="s">
        <v>212</v>
      </c>
    </row>
    <row r="8" spans="1:10" ht="15.75">
      <c r="A8" s="247" t="str">
        <f>+'1A3b Road'!$B$2</f>
        <v>Kenya</v>
      </c>
      <c r="B8" s="247">
        <f>+'1A3b Road'!$B$3</f>
        <v>2015</v>
      </c>
      <c r="C8" s="247" t="s">
        <v>183</v>
      </c>
      <c r="D8" s="281" t="s">
        <v>323</v>
      </c>
      <c r="E8" s="347">
        <f>+SUMIFS('Summary Table'!J:J,'Summary Table'!$C:$C,'GHG Inventory'!$C8)</f>
        <v>2191.184040314165</v>
      </c>
      <c r="F8" s="486">
        <f>+SUMIFS('Summary Table'!K:K,'Summary Table'!$C:$C,'GHG Inventory'!$C8)</f>
        <v>0.98310225176565147</v>
      </c>
      <c r="G8" s="486">
        <f>+SUMIFS('Summary Table'!L:L,'Summary Table'!$C:$C,'GHG Inventory'!$C8)</f>
        <v>0.10209954323355583</v>
      </c>
      <c r="H8" s="347">
        <f t="shared" ref="H8:H13" si="0">+E8+F8*25+G8*298</f>
        <v>2246.1872604919058</v>
      </c>
    </row>
    <row r="9" spans="1:10" ht="15.75">
      <c r="A9" s="247" t="str">
        <f>+'1A3b Road'!$B$2</f>
        <v>Kenya</v>
      </c>
      <c r="B9" s="247">
        <f>+'1A3b Road'!$B$3</f>
        <v>2015</v>
      </c>
      <c r="C9" s="247" t="s">
        <v>185</v>
      </c>
      <c r="D9" s="281" t="s">
        <v>327</v>
      </c>
      <c r="E9" s="347">
        <f>+SUMIFS('Summary Table'!J:J,'Summary Table'!$C:$C,'GHG Inventory'!$C9)</f>
        <v>713.99841730457729</v>
      </c>
      <c r="F9" s="486">
        <f>+SUMIFS('Summary Table'!K:K,'Summary Table'!$C:$C,'GHG Inventory'!$C9)</f>
        <v>6.9522318613877157E-2</v>
      </c>
      <c r="G9" s="486">
        <f>+SUMIFS('Summary Table'!L:L,'Summary Table'!$C:$C,'GHG Inventory'!$C9)</f>
        <v>3.7092008476705129E-2</v>
      </c>
      <c r="H9" s="347">
        <f t="shared" si="0"/>
        <v>726.78989379598238</v>
      </c>
    </row>
    <row r="10" spans="1:10" ht="15.75">
      <c r="A10" s="247" t="str">
        <f>+'1A3b Road'!$B$2</f>
        <v>Kenya</v>
      </c>
      <c r="B10" s="247">
        <f>+'1A3b Road'!$B$3</f>
        <v>2015</v>
      </c>
      <c r="C10" s="247" t="s">
        <v>184</v>
      </c>
      <c r="D10" s="281" t="s">
        <v>340</v>
      </c>
      <c r="E10" s="347">
        <f>+SUMIFS('Summary Table'!J:J,'Summary Table'!$C:$C,'GHG Inventory'!$C10)</f>
        <v>3147.9728203498121</v>
      </c>
      <c r="F10" s="486">
        <f>+SUMIFS('Summary Table'!K:K,'Summary Table'!$C:$C,'GHG Inventory'!$C10)</f>
        <v>0.16568278001841114</v>
      </c>
      <c r="G10" s="486">
        <f>+SUMIFS('Summary Table'!L:L,'Summary Table'!$C:$C,'GHG Inventory'!$C10)</f>
        <v>0.16568278001841114</v>
      </c>
      <c r="H10" s="347">
        <f t="shared" si="0"/>
        <v>3201.4883582957591</v>
      </c>
    </row>
    <row r="11" spans="1:10" ht="15.75">
      <c r="A11" s="247" t="str">
        <f>+'1A3b Road'!$B$2</f>
        <v>Kenya</v>
      </c>
      <c r="B11" s="247">
        <f>+'1A3b Road'!$B$3</f>
        <v>2015</v>
      </c>
      <c r="C11" s="247" t="s">
        <v>186</v>
      </c>
      <c r="D11" s="247" t="s">
        <v>329</v>
      </c>
      <c r="E11" s="347">
        <f>+SUMIFS('Summary Table'!J:J,'Summary Table'!$C:$C,'GHG Inventory'!$C11)</f>
        <v>829.65137662005327</v>
      </c>
      <c r="F11" s="486">
        <f>+SUMIFS('Summary Table'!K:K,'Summary Table'!$C:$C,'GHG Inventory'!$C11)</f>
        <v>0.53334731354146292</v>
      </c>
      <c r="G11" s="486">
        <f>+SUMIFS('Summary Table'!L:L,'Summary Table'!$C:$C,'GHG Inventory'!$C11)</f>
        <v>5.171852737371762E-2</v>
      </c>
      <c r="H11" s="347">
        <f t="shared" si="0"/>
        <v>858.39718061595772</v>
      </c>
    </row>
    <row r="12" spans="1:10" ht="15.75">
      <c r="A12" s="247" t="str">
        <f>+'1A3a Aviation'!$B$2</f>
        <v>Kenya</v>
      </c>
      <c r="B12" s="247">
        <f>+'1A3a Aviation'!$B$3</f>
        <v>2015</v>
      </c>
      <c r="C12" s="247" t="s">
        <v>322</v>
      </c>
      <c r="D12" s="247" t="s">
        <v>202</v>
      </c>
      <c r="E12" s="347">
        <f>+SUMIFS('Summary Table'!J:J,'Summary Table'!$C:$C,'GHG Inventory'!$C12)</f>
        <v>198.21243365000001</v>
      </c>
      <c r="F12" s="486">
        <f>+SUMIFS('Summary Table'!K:K,'Summary Table'!$C:$C,'GHG Inventory'!$C12)</f>
        <v>1.3947905500000001E-3</v>
      </c>
      <c r="G12" s="486">
        <f>+SUMIFS('Summary Table'!L:L,'Summary Table'!$C:$C,'GHG Inventory'!$C12)</f>
        <v>5.5791622000000004E-3</v>
      </c>
      <c r="H12" s="347">
        <f t="shared" si="0"/>
        <v>199.90989374935</v>
      </c>
    </row>
    <row r="13" spans="1:10" ht="15.75">
      <c r="A13" s="247" t="str">
        <f>+'1A3c Railways'!$B$2</f>
        <v>Kenya</v>
      </c>
      <c r="B13" s="247">
        <f>+'1A3c Railways'!$B$3</f>
        <v>2015</v>
      </c>
      <c r="C13" s="247" t="s">
        <v>209</v>
      </c>
      <c r="D13" s="247" t="s">
        <v>333</v>
      </c>
      <c r="E13" s="347">
        <f>+SUMIFS('Summary Table'!J:J,'Summary Table'!$C:$C,'GHG Inventory'!$C13)</f>
        <v>117.57447000000001</v>
      </c>
      <c r="F13" s="486">
        <f>+SUMIFS('Summary Table'!K:K,'Summary Table'!$C:$C,'GHG Inventory'!$C13)</f>
        <v>6.5848050000000009E-3</v>
      </c>
      <c r="G13" s="486">
        <f>+SUMIFS('Summary Table'!L:L,'Summary Table'!$C:$C,'GHG Inventory'!$C13)</f>
        <v>4.5379620000000002E-2</v>
      </c>
      <c r="H13" s="347">
        <f t="shared" si="0"/>
        <v>131.26221688500002</v>
      </c>
    </row>
    <row r="14" spans="1:10" ht="15.75">
      <c r="A14" s="247" t="str">
        <f>+'1A3di Maritime'!$B$2</f>
        <v>Kenya</v>
      </c>
      <c r="B14" s="247">
        <f>+'1A3di Maritime'!$B$3</f>
        <v>2020</v>
      </c>
      <c r="C14" s="247" t="s">
        <v>332</v>
      </c>
      <c r="D14" s="281" t="s">
        <v>331</v>
      </c>
      <c r="E14" s="347">
        <f>+SUMIFS('Summary Table'!J:J,'Summary Table'!$C:$C,'GHG Inventory'!$C14)</f>
        <v>5273.1053743787998</v>
      </c>
      <c r="F14" s="486">
        <f>+SUMIFS('Summary Table'!K:K,'Summary Table'!$C:$C,'GHG Inventory'!$C14)</f>
        <v>2.7773422972048039</v>
      </c>
      <c r="G14" s="486">
        <f>+SUMIFS('Summary Table'!L:L,'Summary Table'!$C:$C,'GHG Inventory'!$C14)</f>
        <v>0.27734229720480402</v>
      </c>
      <c r="H14" s="347">
        <f>+E14+F14*25+G14*298</f>
        <v>5425.1869363759515</v>
      </c>
    </row>
    <row r="15" spans="1:10" ht="15.75">
      <c r="A15" s="247"/>
      <c r="B15" s="247"/>
      <c r="C15" s="231" t="s">
        <v>352</v>
      </c>
      <c r="D15" s="402" t="s">
        <v>353</v>
      </c>
      <c r="E15" s="235">
        <f>+SUM(E8:E14)</f>
        <v>12471.698932617408</v>
      </c>
      <c r="F15" s="235">
        <f>+SUM(F8:F14)</f>
        <v>4.5369765566942064</v>
      </c>
      <c r="G15" s="235">
        <f>+SUM(G8:G14)</f>
        <v>0.68489393850719371</v>
      </c>
      <c r="H15" s="235">
        <f>+SUM(H8:H14)</f>
        <v>12789.221740209907</v>
      </c>
    </row>
    <row r="16" spans="1:10">
      <c r="E16" s="105"/>
    </row>
  </sheetData>
  <mergeCells count="5">
    <mergeCell ref="A6:A7"/>
    <mergeCell ref="E6:H6"/>
    <mergeCell ref="D6:D7"/>
    <mergeCell ref="C6:C7"/>
    <mergeCell ref="B6:B7"/>
  </mergeCells>
  <pageMargins left="0.7" right="0.7" top="0.78740157499999996" bottom="0.78740157499999996"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sheetPr>
  <dimension ref="A17:S86"/>
  <sheetViews>
    <sheetView showGridLines="0" zoomScale="40" zoomScaleNormal="90" workbookViewId="0">
      <selection activeCell="G26" sqref="G26"/>
    </sheetView>
  </sheetViews>
  <sheetFormatPr defaultColWidth="11.5703125" defaultRowHeight="15"/>
  <cols>
    <col min="1" max="1" width="2.28515625" style="99" customWidth="1"/>
    <col min="2" max="2" width="25.28515625" style="99" customWidth="1"/>
    <col min="3" max="3" width="33.85546875" style="99" customWidth="1"/>
    <col min="4" max="4" width="19.5703125" style="99" customWidth="1"/>
    <col min="5" max="5" width="11.42578125" style="99" customWidth="1"/>
    <col min="6" max="6" width="18.42578125" style="99" customWidth="1"/>
    <col min="7" max="7" width="18.140625" style="99" customWidth="1"/>
    <col min="8" max="8" width="11.42578125" style="99" customWidth="1"/>
    <col min="9" max="9" width="19.5703125" style="99" customWidth="1"/>
    <col min="10" max="10" width="2.85546875" style="99" customWidth="1"/>
    <col min="11" max="11" width="25" style="99" customWidth="1"/>
    <col min="12" max="12" width="33.28515625" style="99" customWidth="1"/>
    <col min="13" max="13" width="20.140625" style="99" customWidth="1"/>
    <col min="14" max="14" width="13.5703125" style="99" customWidth="1"/>
    <col min="15" max="15" width="20.140625" style="99" customWidth="1"/>
    <col min="16" max="16" width="17.85546875" style="99" customWidth="1"/>
    <col min="17" max="17" width="11.42578125" style="99" customWidth="1"/>
    <col min="18" max="18" width="19.42578125" style="99" customWidth="1"/>
    <col min="19" max="19" width="11.42578125" style="99"/>
  </cols>
  <sheetData>
    <row r="17" spans="2:18" ht="15.75" thickBot="1"/>
    <row r="18" spans="2:18" ht="20.25" thickBot="1">
      <c r="B18" s="625" t="s">
        <v>363</v>
      </c>
      <c r="C18" s="626"/>
      <c r="D18" s="626"/>
      <c r="E18" s="626"/>
      <c r="F18" s="626"/>
      <c r="G18" s="626"/>
      <c r="H18" s="626"/>
      <c r="I18" s="627"/>
      <c r="K18" s="625" t="s">
        <v>207</v>
      </c>
      <c r="L18" s="626"/>
      <c r="M18" s="626"/>
      <c r="N18" s="626"/>
      <c r="O18" s="626"/>
      <c r="P18" s="626"/>
      <c r="Q18" s="626"/>
      <c r="R18" s="627"/>
    </row>
    <row r="19" spans="2:18" ht="47.25">
      <c r="B19" s="275" t="s">
        <v>9</v>
      </c>
      <c r="C19" s="274" t="s">
        <v>324</v>
      </c>
      <c r="D19" s="269" t="s">
        <v>384</v>
      </c>
      <c r="E19" s="269" t="s">
        <v>30</v>
      </c>
      <c r="F19" s="269" t="s">
        <v>295</v>
      </c>
      <c r="G19" s="269" t="s">
        <v>467</v>
      </c>
      <c r="H19" s="269" t="s">
        <v>30</v>
      </c>
      <c r="I19" s="270" t="s">
        <v>294</v>
      </c>
      <c r="K19" s="275" t="s">
        <v>9</v>
      </c>
      <c r="L19" s="274" t="s">
        <v>324</v>
      </c>
      <c r="M19" s="269" t="s">
        <v>385</v>
      </c>
      <c r="N19" s="269" t="s">
        <v>30</v>
      </c>
      <c r="O19" s="269" t="s">
        <v>290</v>
      </c>
      <c r="P19" s="269" t="s">
        <v>351</v>
      </c>
      <c r="Q19" s="269" t="s">
        <v>30</v>
      </c>
      <c r="R19" s="270" t="s">
        <v>292</v>
      </c>
    </row>
    <row r="20" spans="2:18" ht="15.75">
      <c r="B20" s="401"/>
      <c r="C20" s="400"/>
      <c r="D20" s="400" t="s">
        <v>206</v>
      </c>
      <c r="E20" s="400"/>
      <c r="F20" s="400" t="s">
        <v>206</v>
      </c>
      <c r="G20" s="400" t="s">
        <v>293</v>
      </c>
      <c r="H20" s="400"/>
      <c r="I20" s="445" t="s">
        <v>293</v>
      </c>
      <c r="K20" s="446"/>
      <c r="L20" s="400"/>
      <c r="M20" s="400" t="s">
        <v>208</v>
      </c>
      <c r="N20" s="400"/>
      <c r="O20" s="400" t="s">
        <v>208</v>
      </c>
      <c r="P20" s="400" t="s">
        <v>291</v>
      </c>
      <c r="Q20" s="400"/>
      <c r="R20" s="445" t="s">
        <v>291</v>
      </c>
    </row>
    <row r="21" spans="2:18" ht="15.75">
      <c r="B21" s="427" t="s">
        <v>365</v>
      </c>
      <c r="C21" s="208" t="s">
        <v>202</v>
      </c>
      <c r="D21" s="218"/>
      <c r="E21" s="218"/>
      <c r="F21" s="272">
        <f>+SUMIFS('Summary Table'!$M:$M,'Summary Table'!$D:$D,B21,'Summary Table'!$E:$E,'Modal split'!C21)</f>
        <v>0</v>
      </c>
      <c r="G21" s="218"/>
      <c r="H21" s="218"/>
      <c r="I21" s="362" t="str">
        <f>+IFERROR(SUMIFS('Summary Table'!$I:$I,'Summary Table'!$D:$D,B21,'Summary Table'!$E:$E,'Modal split'!C21,'Summary Table'!$F:$F,'Modal split'!$B$18)/SUMIFS('Summary Table'!$M:$M,'Summary Table'!$D:$D,B21,'Summary Table'!$E:$E,'Modal split'!C21,'Summary Table'!$F:$F,'Modal split'!$B$18)*1000,"n.a.")</f>
        <v>n.a.</v>
      </c>
      <c r="K21" s="427" t="s">
        <v>365</v>
      </c>
      <c r="L21" s="208" t="s">
        <v>202</v>
      </c>
      <c r="M21" s="218"/>
      <c r="N21" s="218"/>
      <c r="O21" s="272">
        <f>+SUMIFS('Summary Table'!$N:$N,'Summary Table'!$D:$D,K21,'Summary Table'!$E:$E,'Modal split'!L21)</f>
        <v>0</v>
      </c>
      <c r="P21" s="218"/>
      <c r="Q21" s="218"/>
      <c r="R21" s="362"/>
    </row>
    <row r="22" spans="2:18" ht="15.75">
      <c r="B22" s="427" t="s">
        <v>366</v>
      </c>
      <c r="C22" s="208" t="s">
        <v>323</v>
      </c>
      <c r="D22" s="218"/>
      <c r="E22" s="218"/>
      <c r="F22" s="272">
        <f>+SUMIFS('Summary Table'!$M:$M,'Summary Table'!$D:$D,B22,'Summary Table'!$E:$E,'Modal split'!C22)</f>
        <v>0</v>
      </c>
      <c r="G22" s="218"/>
      <c r="H22" s="218"/>
      <c r="I22" s="362" t="str">
        <f>+IFERROR(SUMIFS('Summary Table'!$I:$I,'Summary Table'!$D:$D,B22,'Summary Table'!$E:$E,'Modal split'!C22,'Summary Table'!$F:$F,'Modal split'!$B$18)/SUMIFS('Summary Table'!$M:$M,'Summary Table'!$D:$D,B22,'Summary Table'!$E:$E,'Modal split'!C22,'Summary Table'!$F:$F,'Modal split'!$B$18)*1000,"n.a.")</f>
        <v>n.a.</v>
      </c>
      <c r="K22" s="427" t="s">
        <v>366</v>
      </c>
      <c r="L22" s="208" t="s">
        <v>327</v>
      </c>
      <c r="M22" s="209"/>
      <c r="N22" s="218"/>
      <c r="O22" s="272">
        <f>+SUMIFS('Summary Table'!$N:$N,'Summary Table'!$D:$D,K22,'Summary Table'!$E:$E,'Modal split'!L22)</f>
        <v>0</v>
      </c>
      <c r="P22" s="218"/>
      <c r="Q22" s="218"/>
      <c r="R22" s="362"/>
    </row>
    <row r="23" spans="2:18" ht="15.75">
      <c r="B23" s="427" t="s">
        <v>366</v>
      </c>
      <c r="C23" s="208" t="s">
        <v>82</v>
      </c>
      <c r="D23" s="209"/>
      <c r="E23" s="218"/>
      <c r="F23" s="272">
        <f>+SUMIFS('Summary Table'!$M:$M,'Summary Table'!$D:$D,B23,'Summary Table'!$E:$E,'Modal split'!C23)</f>
        <v>0</v>
      </c>
      <c r="G23" s="209"/>
      <c r="H23" s="218"/>
      <c r="I23" s="362" t="str">
        <f>+IFERROR(SUMIFS('Summary Table'!$I:$I,'Summary Table'!$D:$D,B23,'Summary Table'!$E:$E,'Modal split'!C23,'Summary Table'!$F:$F,'Modal split'!$B$18)/SUMIFS('Summary Table'!$M:$M,'Summary Table'!$D:$D,B23,'Summary Table'!$E:$E,'Modal split'!C23,'Summary Table'!$F:$F,'Modal split'!$B$18)*1000,"n.a.")</f>
        <v>n.a.</v>
      </c>
      <c r="K23" s="427" t="s">
        <v>366</v>
      </c>
      <c r="L23" s="208" t="s">
        <v>328</v>
      </c>
      <c r="M23" s="218"/>
      <c r="N23" s="218"/>
      <c r="O23" s="272">
        <f>+SUMIFS('Summary Table'!$N:$N,'Summary Table'!$D:$D,K23,'Summary Table'!$E:$E,'Modal split'!L23)</f>
        <v>0</v>
      </c>
      <c r="P23" s="218"/>
      <c r="Q23" s="218"/>
      <c r="R23" s="362"/>
    </row>
    <row r="24" spans="2:18" ht="15.75">
      <c r="B24" s="427" t="s">
        <v>366</v>
      </c>
      <c r="C24" s="208" t="s">
        <v>329</v>
      </c>
      <c r="D24" s="218"/>
      <c r="E24" s="218"/>
      <c r="F24" s="272">
        <f>+SUMIFS('Summary Table'!$M:$M,'Summary Table'!$D:$D,B24,'Summary Table'!$E:$E,'Modal split'!C24)</f>
        <v>0</v>
      </c>
      <c r="G24" s="218"/>
      <c r="H24" s="218"/>
      <c r="I24" s="276" t="str">
        <f>+IFERROR(SUMIFS('Summary Table'!$I:$I,'Summary Table'!$D:$D,B24,'Summary Table'!$E:$E,'Modal split'!C24,'Summary Table'!$F:$F,'Modal split'!$B$18)/SUMIFS('Summary Table'!$M:$M,'Summary Table'!$D:$D,B24,'Summary Table'!$E:$E,'Modal split'!C24,'Summary Table'!$F:$F,'Modal split'!$B$18)*1000,"n.a.")</f>
        <v>n.a.</v>
      </c>
      <c r="K24" s="207" t="s">
        <v>333</v>
      </c>
      <c r="L24" s="208" t="s">
        <v>333</v>
      </c>
      <c r="M24" s="218"/>
      <c r="N24" s="218"/>
      <c r="O24" s="272">
        <f>+SUMIFS('Summary Table'!$N:$N,'Summary Table'!$D:$D,K24,'Summary Table'!$E:$E,'Modal split'!L24)</f>
        <v>0</v>
      </c>
      <c r="P24" s="218"/>
      <c r="Q24" s="218"/>
      <c r="R24" s="276"/>
    </row>
    <row r="25" spans="2:18" ht="15.75">
      <c r="B25" s="277" t="s">
        <v>333</v>
      </c>
      <c r="C25" s="208" t="s">
        <v>333</v>
      </c>
      <c r="D25" s="209"/>
      <c r="E25" s="218"/>
      <c r="F25" s="272">
        <f>+SUMIFS('Summary Table'!$M:$M,'Summary Table'!$D:$D,B25,'Summary Table'!$E:$E,'Modal split'!C25)</f>
        <v>0</v>
      </c>
      <c r="G25" s="209"/>
      <c r="H25" s="218"/>
      <c r="I25" s="276" t="str">
        <f>+IFERROR(SUMIFS('Summary Table'!$I:$I,'Summary Table'!$D:$D,B25,'Summary Table'!$E:$E,'Modal split'!C25,'Summary Table'!$F:$F,'Modal split'!$B$18)/SUMIFS('Summary Table'!$M:$M,'Summary Table'!$D:$D,B25,'Summary Table'!$E:$E,'Modal split'!C25,'Summary Table'!$F:$F,'Modal split'!$B$18)*1000,"n.a.")</f>
        <v>n.a.</v>
      </c>
      <c r="K25" s="427" t="s">
        <v>373</v>
      </c>
      <c r="L25" s="208" t="s">
        <v>331</v>
      </c>
      <c r="M25" s="209"/>
      <c r="N25" s="218"/>
      <c r="O25" s="272">
        <f>+SUMIFS('Summary Table'!$N:$N,'Summary Table'!$D:$D,K25,'Summary Table'!$E:$E,'Modal split'!L25)</f>
        <v>0</v>
      </c>
      <c r="P25" s="209"/>
      <c r="Q25" s="218"/>
      <c r="R25" s="276"/>
    </row>
    <row r="26" spans="2:18" ht="15.75">
      <c r="B26" s="427" t="s">
        <v>373</v>
      </c>
      <c r="C26" s="208" t="s">
        <v>331</v>
      </c>
      <c r="D26" s="209"/>
      <c r="E26" s="218"/>
      <c r="F26" s="272">
        <f>+SUMIFS('Summary Table'!$M:$M,'Summary Table'!$D:$D,B26,'Summary Table'!$E:$E,'Modal split'!C26)</f>
        <v>0</v>
      </c>
      <c r="G26" s="209"/>
      <c r="H26" s="218"/>
      <c r="I26" s="276" t="str">
        <f>+IFERROR(SUMIFS('Summary Table'!$I:$I,'Summary Table'!$D:$D,B26,'Summary Table'!$E:$E,'Modal split'!C26,'Summary Table'!$F:$F,'Modal split'!$B$18)/SUMIFS('Summary Table'!$M:$M,'Summary Table'!$D:$D,B26,'Summary Table'!$E:$E,'Modal split'!C26,'Summary Table'!$F:$F,'Modal split'!$B$18)*1000,"n.a.")</f>
        <v>n.a.</v>
      </c>
      <c r="K26" s="427" t="s">
        <v>373</v>
      </c>
      <c r="L26" s="208" t="s">
        <v>335</v>
      </c>
      <c r="M26" s="209"/>
      <c r="N26" s="218"/>
      <c r="O26" s="272">
        <f>+SUMIFS('Summary Table'!$N:$N,'Summary Table'!$D:$D,K26,'Summary Table'!$E:$E,'Modal split'!L26)</f>
        <v>0</v>
      </c>
      <c r="P26" s="209"/>
      <c r="Q26" s="218"/>
      <c r="R26" s="276"/>
    </row>
    <row r="27" spans="2:18" ht="15.75">
      <c r="B27" s="427" t="s">
        <v>365</v>
      </c>
      <c r="C27" s="208" t="s">
        <v>335</v>
      </c>
      <c r="D27" s="209"/>
      <c r="E27" s="218"/>
      <c r="F27" s="272">
        <f>+SUMIFS('Summary Table'!$M:$M,'Summary Table'!$D:$D,B27,'Summary Table'!$E:$E,'Modal split'!C27)</f>
        <v>0</v>
      </c>
      <c r="G27" s="209"/>
      <c r="H27" s="218"/>
      <c r="I27" s="362" t="str">
        <f>+IFERROR(SUMIFS('Summary Table'!$I:$I,'Summary Table'!$D:$D,B27,'Summary Table'!$E:$E,'Modal split'!C27,'Summary Table'!$F:$F,'Modal split'!$B$18)/SUMIFS('Summary Table'!$M:$M,'Summary Table'!$D:$D,B27,'Summary Table'!$E:$E,'Modal split'!C27,'Summary Table'!$F:$F,'Modal split'!$B$18)*1000,"n.a.")</f>
        <v>n.a.</v>
      </c>
      <c r="K27" s="427" t="s">
        <v>365</v>
      </c>
      <c r="L27" s="208" t="s">
        <v>335</v>
      </c>
      <c r="M27" s="209"/>
      <c r="N27" s="218"/>
      <c r="O27" s="272">
        <f>+SUMIFS('Summary Table'!$N:$N,'Summary Table'!$D:$D,K27,'Summary Table'!$E:$E,'Modal split'!L27)</f>
        <v>0</v>
      </c>
      <c r="P27" s="218"/>
      <c r="Q27" s="218"/>
      <c r="R27" s="362"/>
    </row>
    <row r="28" spans="2:18">
      <c r="B28" s="372"/>
      <c r="C28" s="61"/>
      <c r="D28" s="61"/>
      <c r="E28" s="61"/>
      <c r="F28" s="61"/>
      <c r="G28" s="61"/>
      <c r="H28" s="61"/>
      <c r="I28" s="373"/>
      <c r="K28" s="372"/>
      <c r="L28" s="61"/>
      <c r="M28" s="61"/>
      <c r="N28" s="61"/>
      <c r="O28" s="61"/>
      <c r="P28" s="61"/>
      <c r="Q28" s="61"/>
      <c r="R28" s="373"/>
    </row>
    <row r="29" spans="2:18">
      <c r="B29" s="372"/>
      <c r="C29" s="61"/>
      <c r="D29" s="61"/>
      <c r="E29" s="61"/>
      <c r="F29" s="61"/>
      <c r="G29" s="61"/>
      <c r="H29" s="61"/>
      <c r="I29" s="373"/>
      <c r="K29" s="372"/>
      <c r="L29" s="61"/>
      <c r="M29" s="61"/>
      <c r="N29" s="61"/>
      <c r="O29" s="61"/>
      <c r="P29" s="61"/>
      <c r="Q29" s="61"/>
      <c r="R29" s="373"/>
    </row>
    <row r="30" spans="2:18">
      <c r="B30" s="372"/>
      <c r="C30" s="61"/>
      <c r="D30" s="61"/>
      <c r="E30" s="61"/>
      <c r="F30" s="61"/>
      <c r="G30" s="61"/>
      <c r="H30" s="61"/>
      <c r="I30" s="373"/>
      <c r="K30" s="372"/>
      <c r="L30" s="61"/>
      <c r="M30" s="61"/>
      <c r="N30" s="61"/>
      <c r="O30" s="61"/>
      <c r="P30" s="61"/>
      <c r="Q30" s="61"/>
      <c r="R30" s="373"/>
    </row>
    <row r="31" spans="2:18">
      <c r="B31" s="372"/>
      <c r="C31" s="61"/>
      <c r="D31" s="61"/>
      <c r="E31" s="61"/>
      <c r="F31" s="61"/>
      <c r="G31" s="61"/>
      <c r="H31" s="61"/>
      <c r="I31" s="373"/>
      <c r="K31" s="372"/>
      <c r="L31" s="61"/>
      <c r="M31" s="61"/>
      <c r="N31" s="61"/>
      <c r="O31" s="61"/>
      <c r="P31" s="61"/>
      <c r="Q31" s="61"/>
      <c r="R31" s="373"/>
    </row>
    <row r="32" spans="2:18">
      <c r="B32" s="372"/>
      <c r="C32" s="61"/>
      <c r="D32" s="61"/>
      <c r="E32" s="61"/>
      <c r="F32" s="61"/>
      <c r="G32" s="61"/>
      <c r="H32" s="61"/>
      <c r="I32" s="373"/>
      <c r="K32" s="372"/>
      <c r="L32" s="61"/>
      <c r="M32" s="61"/>
      <c r="N32" s="61"/>
      <c r="O32" s="61"/>
      <c r="P32" s="61"/>
      <c r="Q32" s="61"/>
      <c r="R32" s="373"/>
    </row>
    <row r="33" spans="2:18">
      <c r="B33" s="372"/>
      <c r="C33" s="61"/>
      <c r="D33" s="61"/>
      <c r="E33" s="61"/>
      <c r="F33" s="61"/>
      <c r="G33" s="61"/>
      <c r="H33" s="61"/>
      <c r="I33" s="373"/>
      <c r="K33" s="372"/>
      <c r="L33" s="61"/>
      <c r="M33" s="61"/>
      <c r="N33" s="61"/>
      <c r="O33" s="61"/>
      <c r="P33" s="61"/>
      <c r="Q33" s="61"/>
      <c r="R33" s="373"/>
    </row>
    <row r="34" spans="2:18">
      <c r="B34" s="372"/>
      <c r="C34" s="61"/>
      <c r="D34" s="61"/>
      <c r="E34" s="61"/>
      <c r="F34" s="61"/>
      <c r="G34" s="61"/>
      <c r="H34" s="61"/>
      <c r="I34" s="373"/>
      <c r="K34" s="372"/>
      <c r="L34" s="61"/>
      <c r="M34" s="61"/>
      <c r="N34" s="61"/>
      <c r="O34" s="61"/>
      <c r="P34" s="61"/>
      <c r="Q34" s="61"/>
      <c r="R34" s="373"/>
    </row>
    <row r="35" spans="2:18">
      <c r="B35" s="372"/>
      <c r="C35" s="61"/>
      <c r="D35" s="61"/>
      <c r="E35" s="61"/>
      <c r="F35" s="61"/>
      <c r="G35" s="61"/>
      <c r="H35" s="61"/>
      <c r="I35" s="373"/>
      <c r="K35" s="372"/>
      <c r="L35" s="61"/>
      <c r="M35" s="61"/>
      <c r="N35" s="61"/>
      <c r="O35" s="61"/>
      <c r="P35" s="61"/>
      <c r="Q35" s="61"/>
      <c r="R35" s="373"/>
    </row>
    <row r="36" spans="2:18">
      <c r="B36" s="372"/>
      <c r="C36" s="61"/>
      <c r="D36" s="61"/>
      <c r="E36" s="61"/>
      <c r="F36" s="61"/>
      <c r="G36" s="61"/>
      <c r="H36" s="61"/>
      <c r="I36" s="373"/>
      <c r="K36" s="372"/>
      <c r="L36" s="61"/>
      <c r="M36" s="61"/>
      <c r="N36" s="61"/>
      <c r="O36" s="61"/>
      <c r="P36" s="61"/>
      <c r="Q36" s="61"/>
      <c r="R36" s="373"/>
    </row>
    <row r="37" spans="2:18">
      <c r="B37" s="372"/>
      <c r="C37" s="61"/>
      <c r="D37" s="61"/>
      <c r="E37" s="61"/>
      <c r="F37" s="61"/>
      <c r="G37" s="61"/>
      <c r="H37" s="61"/>
      <c r="I37" s="373"/>
      <c r="K37" s="372"/>
      <c r="L37" s="61"/>
      <c r="M37" s="61"/>
      <c r="N37" s="61"/>
      <c r="O37" s="61"/>
      <c r="P37" s="61"/>
      <c r="Q37" s="61"/>
      <c r="R37" s="373"/>
    </row>
    <row r="38" spans="2:18">
      <c r="B38" s="372"/>
      <c r="C38" s="61"/>
      <c r="D38" s="61"/>
      <c r="E38" s="61"/>
      <c r="F38" s="61"/>
      <c r="G38" s="61"/>
      <c r="H38" s="61"/>
      <c r="I38" s="373"/>
      <c r="K38" s="372"/>
      <c r="L38" s="61"/>
      <c r="M38" s="61"/>
      <c r="N38" s="61"/>
      <c r="O38" s="61"/>
      <c r="P38" s="61"/>
      <c r="Q38" s="61"/>
      <c r="R38" s="373"/>
    </row>
    <row r="39" spans="2:18">
      <c r="B39" s="372"/>
      <c r="C39" s="61"/>
      <c r="D39" s="61"/>
      <c r="E39" s="61"/>
      <c r="F39" s="61"/>
      <c r="G39" s="61"/>
      <c r="H39" s="61"/>
      <c r="I39" s="373"/>
      <c r="K39" s="372"/>
      <c r="L39" s="61"/>
      <c r="M39" s="61"/>
      <c r="N39" s="61"/>
      <c r="O39" s="61"/>
      <c r="P39" s="61"/>
      <c r="Q39" s="61"/>
      <c r="R39" s="373"/>
    </row>
    <row r="40" spans="2:18">
      <c r="B40" s="372"/>
      <c r="C40" s="61"/>
      <c r="D40" s="61"/>
      <c r="E40" s="61"/>
      <c r="F40" s="61"/>
      <c r="G40" s="61"/>
      <c r="H40" s="61"/>
      <c r="I40" s="373"/>
      <c r="K40" s="372"/>
      <c r="L40" s="61"/>
      <c r="M40" s="61"/>
      <c r="N40" s="61"/>
      <c r="O40" s="61"/>
      <c r="P40" s="61"/>
      <c r="Q40" s="61"/>
      <c r="R40" s="373"/>
    </row>
    <row r="41" spans="2:18">
      <c r="B41" s="372"/>
      <c r="C41" s="61"/>
      <c r="D41" s="61"/>
      <c r="E41" s="61"/>
      <c r="F41" s="61"/>
      <c r="G41" s="61"/>
      <c r="H41" s="61"/>
      <c r="I41" s="373"/>
      <c r="K41" s="372"/>
      <c r="L41" s="61"/>
      <c r="M41" s="61"/>
      <c r="N41" s="61"/>
      <c r="O41" s="61"/>
      <c r="P41" s="61"/>
      <c r="Q41" s="61"/>
      <c r="R41" s="373"/>
    </row>
    <row r="42" spans="2:18">
      <c r="B42" s="372"/>
      <c r="C42" s="61"/>
      <c r="D42" s="61"/>
      <c r="E42" s="61"/>
      <c r="F42" s="61"/>
      <c r="G42" s="61"/>
      <c r="H42" s="61"/>
      <c r="I42" s="373"/>
      <c r="K42" s="372"/>
      <c r="L42" s="61"/>
      <c r="M42" s="61"/>
      <c r="N42" s="61"/>
      <c r="O42" s="61"/>
      <c r="P42" s="61"/>
      <c r="Q42" s="61"/>
      <c r="R42" s="373"/>
    </row>
    <row r="43" spans="2:18">
      <c r="B43" s="372"/>
      <c r="C43" s="61"/>
      <c r="D43" s="61"/>
      <c r="E43" s="61"/>
      <c r="F43" s="61"/>
      <c r="G43" s="61"/>
      <c r="H43" s="61"/>
      <c r="I43" s="373"/>
      <c r="K43" s="372"/>
      <c r="L43" s="61"/>
      <c r="M43" s="61"/>
      <c r="N43" s="61"/>
      <c r="O43" s="61"/>
      <c r="P43" s="61"/>
      <c r="Q43" s="61"/>
      <c r="R43" s="373"/>
    </row>
    <row r="44" spans="2:18">
      <c r="B44" s="372"/>
      <c r="C44" s="61"/>
      <c r="D44" s="61"/>
      <c r="E44" s="61"/>
      <c r="F44" s="61"/>
      <c r="G44" s="61"/>
      <c r="H44" s="61"/>
      <c r="I44" s="373"/>
      <c r="K44" s="372"/>
      <c r="L44" s="61"/>
      <c r="M44" s="61"/>
      <c r="N44" s="61"/>
      <c r="O44" s="61"/>
      <c r="P44" s="61"/>
      <c r="Q44" s="61"/>
      <c r="R44" s="373"/>
    </row>
    <row r="45" spans="2:18">
      <c r="B45" s="372"/>
      <c r="C45" s="61"/>
      <c r="D45" s="61"/>
      <c r="E45" s="61"/>
      <c r="F45" s="61"/>
      <c r="G45" s="61"/>
      <c r="H45" s="61"/>
      <c r="I45" s="373"/>
      <c r="K45" s="372"/>
      <c r="L45" s="61"/>
      <c r="M45" s="61"/>
      <c r="N45" s="61"/>
      <c r="O45" s="61"/>
      <c r="P45" s="61"/>
      <c r="Q45" s="61"/>
      <c r="R45" s="373"/>
    </row>
    <row r="46" spans="2:18">
      <c r="B46" s="372"/>
      <c r="C46" s="61"/>
      <c r="D46" s="61"/>
      <c r="E46" s="61"/>
      <c r="F46" s="61"/>
      <c r="G46" s="61"/>
      <c r="H46" s="61"/>
      <c r="I46" s="373"/>
      <c r="K46" s="372"/>
      <c r="L46" s="61"/>
      <c r="M46" s="61"/>
      <c r="N46" s="61"/>
      <c r="O46" s="61"/>
      <c r="P46" s="61"/>
      <c r="Q46" s="61"/>
      <c r="R46" s="373"/>
    </row>
    <row r="47" spans="2:18">
      <c r="B47" s="372"/>
      <c r="C47" s="61"/>
      <c r="D47" s="61"/>
      <c r="E47" s="61"/>
      <c r="F47" s="61"/>
      <c r="G47" s="61"/>
      <c r="H47" s="61"/>
      <c r="I47" s="373"/>
      <c r="K47" s="372"/>
      <c r="L47" s="61"/>
      <c r="M47" s="61"/>
      <c r="N47" s="61"/>
      <c r="O47" s="61"/>
      <c r="P47" s="61"/>
      <c r="Q47" s="61"/>
      <c r="R47" s="373"/>
    </row>
    <row r="48" spans="2:18">
      <c r="B48" s="372"/>
      <c r="C48" s="61"/>
      <c r="D48" s="61"/>
      <c r="E48" s="61"/>
      <c r="F48" s="61"/>
      <c r="G48" s="61"/>
      <c r="H48" s="61"/>
      <c r="I48" s="373"/>
      <c r="K48" s="372"/>
      <c r="L48" s="61"/>
      <c r="M48" s="61"/>
      <c r="N48" s="61"/>
      <c r="O48" s="61"/>
      <c r="P48" s="61"/>
      <c r="Q48" s="61"/>
      <c r="R48" s="373"/>
    </row>
    <row r="49" spans="2:18">
      <c r="B49" s="372"/>
      <c r="C49" s="61"/>
      <c r="D49" s="61"/>
      <c r="E49" s="61"/>
      <c r="F49" s="61"/>
      <c r="G49" s="61"/>
      <c r="H49" s="61"/>
      <c r="I49" s="373"/>
      <c r="K49" s="372"/>
      <c r="L49" s="61"/>
      <c r="M49" s="61"/>
      <c r="N49" s="61"/>
      <c r="O49" s="61"/>
      <c r="P49" s="61"/>
      <c r="Q49" s="61"/>
      <c r="R49" s="373"/>
    </row>
    <row r="50" spans="2:18">
      <c r="B50" s="372"/>
      <c r="C50" s="61"/>
      <c r="D50" s="61"/>
      <c r="E50" s="61"/>
      <c r="F50" s="61"/>
      <c r="G50" s="61"/>
      <c r="H50" s="61"/>
      <c r="I50" s="373"/>
      <c r="K50" s="372"/>
      <c r="L50" s="61"/>
      <c r="M50" s="61"/>
      <c r="N50" s="61"/>
      <c r="O50" s="61"/>
      <c r="P50" s="61"/>
      <c r="Q50" s="61"/>
      <c r="R50" s="373"/>
    </row>
    <row r="51" spans="2:18">
      <c r="B51" s="372"/>
      <c r="C51" s="61"/>
      <c r="D51" s="61"/>
      <c r="E51" s="61"/>
      <c r="F51" s="61"/>
      <c r="G51" s="61"/>
      <c r="H51" s="61"/>
      <c r="I51" s="373"/>
      <c r="K51" s="372"/>
      <c r="L51" s="61"/>
      <c r="M51" s="61"/>
      <c r="N51" s="61"/>
      <c r="O51" s="61"/>
      <c r="P51" s="61"/>
      <c r="Q51" s="61"/>
      <c r="R51" s="373"/>
    </row>
    <row r="52" spans="2:18">
      <c r="B52" s="372"/>
      <c r="C52" s="61"/>
      <c r="D52" s="61"/>
      <c r="E52" s="61"/>
      <c r="F52" s="61"/>
      <c r="G52" s="61"/>
      <c r="H52" s="61"/>
      <c r="I52" s="373"/>
      <c r="K52" s="372"/>
      <c r="L52" s="61"/>
      <c r="M52" s="61"/>
      <c r="N52" s="61"/>
      <c r="O52" s="61"/>
      <c r="P52" s="61"/>
      <c r="Q52" s="61"/>
      <c r="R52" s="373"/>
    </row>
    <row r="53" spans="2:18">
      <c r="B53" s="372"/>
      <c r="C53" s="61"/>
      <c r="D53" s="61"/>
      <c r="E53" s="61"/>
      <c r="F53" s="61"/>
      <c r="G53" s="61"/>
      <c r="H53" s="61"/>
      <c r="I53" s="373"/>
      <c r="K53" s="372"/>
      <c r="L53" s="61"/>
      <c r="M53" s="61"/>
      <c r="N53" s="61"/>
      <c r="O53" s="61"/>
      <c r="P53" s="61"/>
      <c r="Q53" s="61"/>
      <c r="R53" s="373"/>
    </row>
    <row r="54" spans="2:18">
      <c r="B54" s="372"/>
      <c r="C54" s="61"/>
      <c r="D54" s="61"/>
      <c r="E54" s="61"/>
      <c r="F54" s="61"/>
      <c r="G54" s="61"/>
      <c r="H54" s="61"/>
      <c r="I54" s="373"/>
      <c r="K54" s="372"/>
      <c r="L54" s="61"/>
      <c r="M54" s="61"/>
      <c r="N54" s="61"/>
      <c r="O54" s="61"/>
      <c r="P54" s="61"/>
      <c r="Q54" s="61"/>
      <c r="R54" s="373"/>
    </row>
    <row r="55" spans="2:18">
      <c r="B55" s="372"/>
      <c r="C55" s="61"/>
      <c r="D55" s="61"/>
      <c r="E55" s="61"/>
      <c r="F55" s="61"/>
      <c r="G55" s="61"/>
      <c r="H55" s="61"/>
      <c r="I55" s="373"/>
      <c r="K55" s="372"/>
      <c r="L55" s="61"/>
      <c r="M55" s="61"/>
      <c r="N55" s="61"/>
      <c r="O55" s="61"/>
      <c r="P55" s="61"/>
      <c r="Q55" s="61"/>
      <c r="R55" s="373"/>
    </row>
    <row r="56" spans="2:18">
      <c r="B56" s="372"/>
      <c r="C56" s="61"/>
      <c r="D56" s="61"/>
      <c r="E56" s="61"/>
      <c r="F56" s="61"/>
      <c r="G56" s="61"/>
      <c r="H56" s="61"/>
      <c r="I56" s="373"/>
      <c r="K56" s="372"/>
      <c r="L56" s="61"/>
      <c r="M56" s="61"/>
      <c r="N56" s="61"/>
      <c r="O56" s="61"/>
      <c r="P56" s="61"/>
      <c r="Q56" s="61"/>
      <c r="R56" s="373"/>
    </row>
    <row r="57" spans="2:18">
      <c r="B57" s="372"/>
      <c r="C57" s="61"/>
      <c r="D57" s="61"/>
      <c r="E57" s="61"/>
      <c r="F57" s="61"/>
      <c r="G57" s="61"/>
      <c r="H57" s="61"/>
      <c r="I57" s="373"/>
      <c r="K57" s="372"/>
      <c r="L57" s="61"/>
      <c r="M57" s="61"/>
      <c r="N57" s="61"/>
      <c r="O57" s="61"/>
      <c r="P57" s="61"/>
      <c r="Q57" s="61"/>
      <c r="R57" s="373"/>
    </row>
    <row r="58" spans="2:18">
      <c r="B58" s="372"/>
      <c r="C58" s="61"/>
      <c r="D58" s="61"/>
      <c r="E58" s="61"/>
      <c r="F58" s="61"/>
      <c r="G58" s="61"/>
      <c r="H58" s="61"/>
      <c r="I58" s="373"/>
      <c r="K58" s="372"/>
      <c r="L58" s="61"/>
      <c r="M58" s="61"/>
      <c r="N58" s="61"/>
      <c r="O58" s="61"/>
      <c r="P58" s="61"/>
      <c r="Q58" s="61"/>
      <c r="R58" s="373"/>
    </row>
    <row r="59" spans="2:18">
      <c r="B59" s="372"/>
      <c r="C59" s="61"/>
      <c r="D59" s="61"/>
      <c r="E59" s="61"/>
      <c r="F59" s="61"/>
      <c r="G59" s="61"/>
      <c r="H59" s="61"/>
      <c r="I59" s="373"/>
      <c r="K59" s="372"/>
      <c r="L59" s="61"/>
      <c r="M59" s="61"/>
      <c r="N59" s="61"/>
      <c r="O59" s="61"/>
      <c r="P59" s="61"/>
      <c r="Q59" s="61"/>
      <c r="R59" s="373"/>
    </row>
    <row r="60" spans="2:18">
      <c r="B60" s="372"/>
      <c r="C60" s="61"/>
      <c r="D60" s="61"/>
      <c r="E60" s="61"/>
      <c r="F60" s="61"/>
      <c r="G60" s="61"/>
      <c r="H60" s="61"/>
      <c r="I60" s="373"/>
      <c r="K60" s="372"/>
      <c r="L60" s="61"/>
      <c r="M60" s="61"/>
      <c r="N60" s="61"/>
      <c r="O60" s="61"/>
      <c r="P60" s="61"/>
      <c r="Q60" s="61"/>
      <c r="R60" s="373"/>
    </row>
    <row r="61" spans="2:18">
      <c r="B61" s="372"/>
      <c r="C61" s="61"/>
      <c r="D61" s="61"/>
      <c r="E61" s="61"/>
      <c r="F61" s="61"/>
      <c r="G61" s="61"/>
      <c r="H61" s="61"/>
      <c r="I61" s="373"/>
      <c r="K61" s="372"/>
      <c r="L61" s="61"/>
      <c r="M61" s="61"/>
      <c r="N61" s="61"/>
      <c r="O61" s="61"/>
      <c r="P61" s="61"/>
      <c r="Q61" s="61"/>
      <c r="R61" s="373"/>
    </row>
    <row r="62" spans="2:18">
      <c r="B62" s="372"/>
      <c r="C62" s="61"/>
      <c r="D62" s="61"/>
      <c r="E62" s="61"/>
      <c r="F62" s="61"/>
      <c r="G62" s="61"/>
      <c r="H62" s="61"/>
      <c r="I62" s="373"/>
      <c r="K62" s="372"/>
      <c r="L62" s="61"/>
      <c r="M62" s="61"/>
      <c r="N62" s="61"/>
      <c r="O62" s="61"/>
      <c r="P62" s="61"/>
      <c r="Q62" s="61"/>
      <c r="R62" s="373"/>
    </row>
    <row r="63" spans="2:18">
      <c r="B63" s="372"/>
      <c r="C63" s="61"/>
      <c r="D63" s="61"/>
      <c r="E63" s="61"/>
      <c r="F63" s="61"/>
      <c r="G63" s="61"/>
      <c r="H63" s="61"/>
      <c r="I63" s="373"/>
      <c r="K63" s="372"/>
      <c r="L63" s="61"/>
      <c r="M63" s="61"/>
      <c r="N63" s="61"/>
      <c r="O63" s="61"/>
      <c r="P63" s="61"/>
      <c r="Q63" s="61"/>
      <c r="R63" s="373"/>
    </row>
    <row r="64" spans="2:18">
      <c r="B64" s="372"/>
      <c r="C64" s="61"/>
      <c r="D64" s="61"/>
      <c r="E64" s="61"/>
      <c r="F64" s="61"/>
      <c r="G64" s="61"/>
      <c r="H64" s="61"/>
      <c r="I64" s="373"/>
      <c r="K64" s="372"/>
      <c r="L64" s="61"/>
      <c r="M64" s="61"/>
      <c r="N64" s="61"/>
      <c r="O64" s="61"/>
      <c r="P64" s="61"/>
      <c r="Q64" s="61"/>
      <c r="R64" s="373"/>
    </row>
    <row r="65" spans="2:18">
      <c r="B65" s="372"/>
      <c r="C65" s="61"/>
      <c r="D65" s="61"/>
      <c r="E65" s="61"/>
      <c r="F65" s="61"/>
      <c r="G65" s="61"/>
      <c r="H65" s="61"/>
      <c r="I65" s="373"/>
      <c r="K65" s="372"/>
      <c r="L65" s="61"/>
      <c r="M65" s="61"/>
      <c r="N65" s="61"/>
      <c r="O65" s="61"/>
      <c r="P65" s="61"/>
      <c r="Q65" s="61"/>
      <c r="R65" s="373"/>
    </row>
    <row r="66" spans="2:18">
      <c r="B66" s="372"/>
      <c r="C66" s="61"/>
      <c r="D66" s="61"/>
      <c r="E66" s="61"/>
      <c r="F66" s="61"/>
      <c r="G66" s="61"/>
      <c r="H66" s="61"/>
      <c r="I66" s="373"/>
      <c r="K66" s="372"/>
      <c r="L66" s="61"/>
      <c r="M66" s="61"/>
      <c r="N66" s="61"/>
      <c r="O66" s="61"/>
      <c r="P66" s="61"/>
      <c r="Q66" s="61"/>
      <c r="R66" s="373"/>
    </row>
    <row r="67" spans="2:18">
      <c r="B67" s="372"/>
      <c r="C67" s="61"/>
      <c r="D67" s="61"/>
      <c r="E67" s="61"/>
      <c r="F67" s="61"/>
      <c r="G67" s="61"/>
      <c r="H67" s="61"/>
      <c r="I67" s="373"/>
      <c r="K67" s="372"/>
      <c r="L67" s="61"/>
      <c r="M67" s="61"/>
      <c r="N67" s="61"/>
      <c r="O67" s="61"/>
      <c r="P67" s="61"/>
      <c r="Q67" s="61"/>
      <c r="R67" s="373"/>
    </row>
    <row r="68" spans="2:18">
      <c r="B68" s="372"/>
      <c r="C68" s="61"/>
      <c r="D68" s="61"/>
      <c r="E68" s="61"/>
      <c r="F68" s="61"/>
      <c r="G68" s="61"/>
      <c r="H68" s="61"/>
      <c r="I68" s="373"/>
      <c r="K68" s="372"/>
      <c r="L68" s="61"/>
      <c r="M68" s="61"/>
      <c r="N68" s="61"/>
      <c r="O68" s="61"/>
      <c r="P68" s="61"/>
      <c r="Q68" s="61"/>
      <c r="R68" s="373"/>
    </row>
    <row r="69" spans="2:18">
      <c r="B69" s="372"/>
      <c r="C69" s="61"/>
      <c r="D69" s="61"/>
      <c r="E69" s="61"/>
      <c r="F69" s="61"/>
      <c r="G69" s="61"/>
      <c r="H69" s="61"/>
      <c r="I69" s="373"/>
      <c r="K69" s="372"/>
      <c r="L69" s="61"/>
      <c r="M69" s="61"/>
      <c r="N69" s="61"/>
      <c r="O69" s="61"/>
      <c r="P69" s="61"/>
      <c r="Q69" s="61"/>
      <c r="R69" s="373"/>
    </row>
    <row r="70" spans="2:18">
      <c r="B70" s="372"/>
      <c r="C70" s="61"/>
      <c r="D70" s="61"/>
      <c r="E70" s="61"/>
      <c r="F70" s="61"/>
      <c r="G70" s="61"/>
      <c r="H70" s="61"/>
      <c r="I70" s="373"/>
      <c r="K70" s="372"/>
      <c r="L70" s="61"/>
      <c r="M70" s="61"/>
      <c r="N70" s="61"/>
      <c r="O70" s="61"/>
      <c r="P70" s="61"/>
      <c r="Q70" s="61"/>
      <c r="R70" s="373"/>
    </row>
    <row r="71" spans="2:18">
      <c r="B71" s="372"/>
      <c r="C71" s="61"/>
      <c r="D71" s="61"/>
      <c r="E71" s="61"/>
      <c r="F71" s="61"/>
      <c r="G71" s="61"/>
      <c r="H71" s="61"/>
      <c r="I71" s="373"/>
      <c r="K71" s="372"/>
      <c r="L71" s="61"/>
      <c r="M71" s="61"/>
      <c r="N71" s="61"/>
      <c r="O71" s="61"/>
      <c r="P71" s="61"/>
      <c r="Q71" s="61"/>
      <c r="R71" s="373"/>
    </row>
    <row r="72" spans="2:18">
      <c r="B72" s="372"/>
      <c r="C72" s="61"/>
      <c r="D72" s="61"/>
      <c r="E72" s="61"/>
      <c r="F72" s="61"/>
      <c r="G72" s="61"/>
      <c r="H72" s="61"/>
      <c r="I72" s="373"/>
      <c r="K72" s="372"/>
      <c r="L72" s="61"/>
      <c r="M72" s="61"/>
      <c r="N72" s="61"/>
      <c r="O72" s="61"/>
      <c r="P72" s="61"/>
      <c r="Q72" s="61"/>
      <c r="R72" s="373"/>
    </row>
    <row r="73" spans="2:18">
      <c r="B73" s="372"/>
      <c r="C73" s="61"/>
      <c r="D73" s="61"/>
      <c r="E73" s="61"/>
      <c r="F73" s="61"/>
      <c r="G73" s="61"/>
      <c r="H73" s="61"/>
      <c r="I73" s="373"/>
      <c r="K73" s="372"/>
      <c r="L73" s="61"/>
      <c r="M73" s="61"/>
      <c r="N73" s="61"/>
      <c r="O73" s="61"/>
      <c r="P73" s="61"/>
      <c r="Q73" s="61"/>
      <c r="R73" s="373"/>
    </row>
    <row r="74" spans="2:18">
      <c r="B74" s="372"/>
      <c r="C74" s="61"/>
      <c r="D74" s="61"/>
      <c r="E74" s="61"/>
      <c r="F74" s="61"/>
      <c r="G74" s="61"/>
      <c r="H74" s="61"/>
      <c r="I74" s="373"/>
      <c r="K74" s="372"/>
      <c r="L74" s="61"/>
      <c r="M74" s="61"/>
      <c r="N74" s="61"/>
      <c r="O74" s="61"/>
      <c r="P74" s="61"/>
      <c r="Q74" s="61"/>
      <c r="R74" s="373"/>
    </row>
    <row r="75" spans="2:18">
      <c r="B75" s="372"/>
      <c r="C75" s="61"/>
      <c r="D75" s="61"/>
      <c r="E75" s="61"/>
      <c r="F75" s="61"/>
      <c r="G75" s="61"/>
      <c r="H75" s="61"/>
      <c r="I75" s="373"/>
      <c r="K75" s="372"/>
      <c r="L75" s="61"/>
      <c r="M75" s="61"/>
      <c r="N75" s="61"/>
      <c r="O75" s="61"/>
      <c r="P75" s="61"/>
      <c r="Q75" s="61"/>
      <c r="R75" s="373"/>
    </row>
    <row r="76" spans="2:18">
      <c r="B76" s="372"/>
      <c r="C76" s="61"/>
      <c r="D76" s="61"/>
      <c r="E76" s="61"/>
      <c r="F76" s="61"/>
      <c r="G76" s="61"/>
      <c r="H76" s="61"/>
      <c r="I76" s="373"/>
      <c r="K76" s="372"/>
      <c r="L76" s="61"/>
      <c r="M76" s="61"/>
      <c r="N76" s="61"/>
      <c r="O76" s="61"/>
      <c r="P76" s="61"/>
      <c r="Q76" s="61"/>
      <c r="R76" s="373"/>
    </row>
    <row r="77" spans="2:18">
      <c r="B77" s="372"/>
      <c r="C77" s="61"/>
      <c r="D77" s="61"/>
      <c r="E77" s="61"/>
      <c r="F77" s="61"/>
      <c r="G77" s="61"/>
      <c r="H77" s="61"/>
      <c r="I77" s="373"/>
      <c r="K77" s="372"/>
      <c r="L77" s="61"/>
      <c r="M77" s="61"/>
      <c r="N77" s="61"/>
      <c r="O77" s="61"/>
      <c r="P77" s="61"/>
      <c r="Q77" s="61"/>
      <c r="R77" s="373"/>
    </row>
    <row r="78" spans="2:18">
      <c r="B78" s="372"/>
      <c r="C78" s="61"/>
      <c r="D78" s="61"/>
      <c r="E78" s="61"/>
      <c r="F78" s="61"/>
      <c r="G78" s="61"/>
      <c r="H78" s="61"/>
      <c r="I78" s="373"/>
      <c r="K78" s="372"/>
      <c r="L78" s="61"/>
      <c r="M78" s="61"/>
      <c r="N78" s="61"/>
      <c r="O78" s="61"/>
      <c r="P78" s="61"/>
      <c r="Q78" s="61"/>
      <c r="R78" s="373"/>
    </row>
    <row r="79" spans="2:18">
      <c r="B79" s="372"/>
      <c r="C79" s="61"/>
      <c r="D79" s="61"/>
      <c r="E79" s="61"/>
      <c r="F79" s="61"/>
      <c r="G79" s="61"/>
      <c r="H79" s="61"/>
      <c r="I79" s="373"/>
      <c r="K79" s="372"/>
      <c r="L79" s="61"/>
      <c r="M79" s="61"/>
      <c r="N79" s="61"/>
      <c r="O79" s="61"/>
      <c r="P79" s="61"/>
      <c r="Q79" s="61"/>
      <c r="R79" s="373"/>
    </row>
    <row r="80" spans="2:18">
      <c r="B80" s="372"/>
      <c r="C80" s="61"/>
      <c r="D80" s="61"/>
      <c r="E80" s="61"/>
      <c r="F80" s="61"/>
      <c r="G80" s="61"/>
      <c r="H80" s="61"/>
      <c r="I80" s="373"/>
      <c r="K80" s="372"/>
      <c r="L80" s="61"/>
      <c r="M80" s="61"/>
      <c r="N80" s="61"/>
      <c r="O80" s="61"/>
      <c r="P80" s="61"/>
      <c r="Q80" s="61"/>
      <c r="R80" s="373"/>
    </row>
    <row r="81" spans="2:18">
      <c r="B81" s="372"/>
      <c r="C81" s="61"/>
      <c r="D81" s="61"/>
      <c r="E81" s="61"/>
      <c r="F81" s="61"/>
      <c r="G81" s="61"/>
      <c r="H81" s="61"/>
      <c r="I81" s="373"/>
      <c r="K81" s="372"/>
      <c r="L81" s="61"/>
      <c r="M81" s="61"/>
      <c r="N81" s="61"/>
      <c r="O81" s="61"/>
      <c r="P81" s="61"/>
      <c r="Q81" s="61"/>
      <c r="R81" s="373"/>
    </row>
    <row r="82" spans="2:18">
      <c r="B82" s="372"/>
      <c r="C82" s="61"/>
      <c r="D82" s="61"/>
      <c r="E82" s="61"/>
      <c r="F82" s="61"/>
      <c r="G82" s="61"/>
      <c r="H82" s="61"/>
      <c r="I82" s="373"/>
      <c r="K82" s="372"/>
      <c r="L82" s="61"/>
      <c r="M82" s="61"/>
      <c r="N82" s="61"/>
      <c r="O82" s="61"/>
      <c r="P82" s="61"/>
      <c r="Q82" s="61"/>
      <c r="R82" s="373"/>
    </row>
    <row r="83" spans="2:18">
      <c r="B83" s="372"/>
      <c r="C83" s="61"/>
      <c r="D83" s="61"/>
      <c r="E83" s="61"/>
      <c r="F83" s="61"/>
      <c r="G83" s="61"/>
      <c r="H83" s="61"/>
      <c r="I83" s="373"/>
      <c r="K83" s="372"/>
      <c r="L83" s="61"/>
      <c r="M83" s="61"/>
      <c r="N83" s="61"/>
      <c r="O83" s="61"/>
      <c r="P83" s="61"/>
      <c r="Q83" s="61"/>
      <c r="R83" s="373"/>
    </row>
    <row r="84" spans="2:18">
      <c r="B84" s="372"/>
      <c r="C84" s="61"/>
      <c r="D84" s="61"/>
      <c r="E84" s="61"/>
      <c r="F84" s="61"/>
      <c r="G84" s="61"/>
      <c r="H84" s="61"/>
      <c r="I84" s="373"/>
      <c r="K84" s="372"/>
      <c r="L84" s="61"/>
      <c r="M84" s="61"/>
      <c r="N84" s="61"/>
      <c r="O84" s="61"/>
      <c r="P84" s="61"/>
      <c r="Q84" s="61"/>
      <c r="R84" s="373"/>
    </row>
    <row r="85" spans="2:18">
      <c r="B85" s="372"/>
      <c r="C85" s="61"/>
      <c r="D85" s="61"/>
      <c r="E85" s="61"/>
      <c r="F85" s="61"/>
      <c r="G85" s="61"/>
      <c r="H85" s="61"/>
      <c r="I85" s="373"/>
      <c r="K85" s="372"/>
      <c r="L85" s="61"/>
      <c r="M85" s="61"/>
      <c r="N85" s="61"/>
      <c r="O85" s="61"/>
      <c r="P85" s="61"/>
      <c r="Q85" s="61"/>
      <c r="R85" s="373"/>
    </row>
    <row r="86" spans="2:18" ht="15.75" thickBot="1">
      <c r="B86" s="397"/>
      <c r="C86" s="398"/>
      <c r="D86" s="398"/>
      <c r="E86" s="398"/>
      <c r="F86" s="398"/>
      <c r="G86" s="398"/>
      <c r="H86" s="398"/>
      <c r="I86" s="399"/>
      <c r="K86" s="397"/>
      <c r="L86" s="398"/>
      <c r="M86" s="398"/>
      <c r="N86" s="398"/>
      <c r="O86" s="398"/>
      <c r="P86" s="398"/>
      <c r="Q86" s="398"/>
      <c r="R86" s="399"/>
    </row>
  </sheetData>
  <mergeCells count="2">
    <mergeCell ref="K18:R18"/>
    <mergeCell ref="B18:I18"/>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249977111117893"/>
  </sheetPr>
  <dimension ref="A1:W69"/>
  <sheetViews>
    <sheetView showGridLines="0" topLeftCell="A4" zoomScale="85" zoomScaleNormal="85" zoomScalePageLayoutView="90" workbookViewId="0">
      <selection activeCell="D10" sqref="D10"/>
    </sheetView>
  </sheetViews>
  <sheetFormatPr defaultColWidth="10.28515625" defaultRowHeight="12.75" customHeight="1"/>
  <cols>
    <col min="1" max="1" width="26.28515625" style="108" customWidth="1"/>
    <col min="2" max="2" width="31.85546875" style="108" customWidth="1"/>
    <col min="3" max="3" width="15.7109375" style="108" customWidth="1"/>
    <col min="4" max="4" width="15.140625" style="108" customWidth="1"/>
    <col min="5" max="13" width="12.140625" style="108" customWidth="1"/>
    <col min="14" max="23" width="10.28515625" style="106"/>
    <col min="24" max="16384" width="10.28515625" style="108"/>
  </cols>
  <sheetData>
    <row r="1" spans="1:13" ht="77.25" customHeight="1">
      <c r="A1" s="106"/>
      <c r="B1" s="106"/>
      <c r="C1" s="106"/>
      <c r="D1" s="107"/>
      <c r="E1" s="106"/>
      <c r="F1" s="106"/>
      <c r="G1" s="106"/>
      <c r="H1" s="106"/>
      <c r="I1" s="106"/>
      <c r="J1" s="106"/>
      <c r="K1" s="106"/>
      <c r="L1" s="106"/>
      <c r="M1" s="106"/>
    </row>
    <row r="2" spans="1:13" ht="21" customHeight="1"/>
    <row r="3" spans="1:13" ht="26.25" customHeight="1"/>
    <row r="4" spans="1:13" ht="26.45" customHeight="1" thickBot="1">
      <c r="A4" s="451"/>
      <c r="B4" s="451"/>
      <c r="C4" s="451"/>
      <c r="E4" s="451"/>
      <c r="F4" s="451"/>
      <c r="G4" s="451"/>
    </row>
    <row r="5" spans="1:13" ht="71.25" customHeight="1">
      <c r="A5" s="639" t="s">
        <v>11</v>
      </c>
      <c r="B5" s="641"/>
      <c r="C5" s="461" t="s">
        <v>388</v>
      </c>
      <c r="D5" s="461" t="s">
        <v>164</v>
      </c>
      <c r="E5" s="642" t="s">
        <v>161</v>
      </c>
      <c r="F5" s="640"/>
      <c r="G5" s="641"/>
      <c r="H5" s="642" t="s">
        <v>162</v>
      </c>
      <c r="I5" s="640"/>
      <c r="J5" s="641"/>
      <c r="K5" s="642" t="s">
        <v>163</v>
      </c>
      <c r="L5" s="640"/>
      <c r="M5" s="643"/>
    </row>
    <row r="6" spans="1:13" customFormat="1" ht="66.75" customHeight="1">
      <c r="A6" s="690" t="s">
        <v>30</v>
      </c>
      <c r="B6" s="691"/>
      <c r="C6" s="482" t="s">
        <v>389</v>
      </c>
      <c r="D6" s="482" t="s">
        <v>393</v>
      </c>
      <c r="E6" s="692" t="s">
        <v>390</v>
      </c>
      <c r="F6" s="692"/>
      <c r="G6" s="692"/>
      <c r="H6" s="687" t="s">
        <v>392</v>
      </c>
      <c r="I6" s="688"/>
      <c r="J6" s="688"/>
      <c r="K6" s="688"/>
      <c r="L6" s="688"/>
      <c r="M6" s="689"/>
    </row>
    <row r="7" spans="1:13" ht="32.25" customHeight="1">
      <c r="A7" s="479" t="s">
        <v>264</v>
      </c>
      <c r="B7" s="480" t="s">
        <v>165</v>
      </c>
      <c r="C7" s="480" t="s">
        <v>34</v>
      </c>
      <c r="D7" s="480" t="s">
        <v>171</v>
      </c>
      <c r="E7" s="480" t="s">
        <v>166</v>
      </c>
      <c r="F7" s="480" t="s">
        <v>167</v>
      </c>
      <c r="G7" s="480" t="s">
        <v>168</v>
      </c>
      <c r="H7" s="480" t="s">
        <v>169</v>
      </c>
      <c r="I7" s="480" t="s">
        <v>170</v>
      </c>
      <c r="J7" s="480" t="s">
        <v>168</v>
      </c>
      <c r="K7" s="480" t="s">
        <v>169</v>
      </c>
      <c r="L7" s="480" t="s">
        <v>170</v>
      </c>
      <c r="M7" s="481" t="s">
        <v>168</v>
      </c>
    </row>
    <row r="8" spans="1:13" ht="12.75" customHeight="1">
      <c r="A8" s="280" t="s">
        <v>275</v>
      </c>
      <c r="B8" s="281" t="s">
        <v>172</v>
      </c>
      <c r="C8" s="463">
        <v>44.3</v>
      </c>
      <c r="D8" s="465">
        <v>0.7407407407407407</v>
      </c>
      <c r="E8" s="463">
        <v>69300</v>
      </c>
      <c r="F8" s="463">
        <v>67500</v>
      </c>
      <c r="G8" s="463">
        <v>73000</v>
      </c>
      <c r="H8" s="462">
        <v>33</v>
      </c>
      <c r="I8" s="462">
        <v>9.6</v>
      </c>
      <c r="J8" s="462">
        <v>110</v>
      </c>
      <c r="K8" s="462">
        <v>3.2</v>
      </c>
      <c r="L8" s="462">
        <v>0.96</v>
      </c>
      <c r="M8" s="468">
        <v>11</v>
      </c>
    </row>
    <row r="9" spans="1:13" ht="12.75" customHeight="1">
      <c r="A9" s="280" t="s">
        <v>285</v>
      </c>
      <c r="B9" s="281" t="s">
        <v>173</v>
      </c>
      <c r="C9" s="463">
        <v>44.3</v>
      </c>
      <c r="D9" s="465">
        <v>0.7407407407407407</v>
      </c>
      <c r="E9" s="463">
        <v>69300</v>
      </c>
      <c r="F9" s="463">
        <v>67500</v>
      </c>
      <c r="G9" s="463">
        <v>73000</v>
      </c>
      <c r="H9" s="462">
        <v>25</v>
      </c>
      <c r="I9" s="462">
        <v>7.5</v>
      </c>
      <c r="J9" s="462">
        <v>86</v>
      </c>
      <c r="K9" s="462">
        <v>8</v>
      </c>
      <c r="L9" s="462">
        <v>2.6</v>
      </c>
      <c r="M9" s="468">
        <v>24</v>
      </c>
    </row>
    <row r="10" spans="1:13" ht="39" customHeight="1">
      <c r="A10" s="280" t="s">
        <v>285</v>
      </c>
      <c r="B10" s="281" t="s">
        <v>174</v>
      </c>
      <c r="C10" s="463">
        <v>44.3</v>
      </c>
      <c r="D10" s="465">
        <v>0.7407407407407407</v>
      </c>
      <c r="E10" s="463">
        <v>69300</v>
      </c>
      <c r="F10" s="463">
        <v>67500</v>
      </c>
      <c r="G10" s="463">
        <v>73000</v>
      </c>
      <c r="H10" s="462">
        <v>3.8</v>
      </c>
      <c r="I10" s="462">
        <v>1.1000000000000001</v>
      </c>
      <c r="J10" s="462">
        <v>13</v>
      </c>
      <c r="K10" s="462">
        <v>5.7</v>
      </c>
      <c r="L10" s="462">
        <v>1.9</v>
      </c>
      <c r="M10" s="468">
        <v>17</v>
      </c>
    </row>
    <row r="11" spans="1:13" ht="12.75" customHeight="1">
      <c r="A11" s="280" t="s">
        <v>277</v>
      </c>
      <c r="B11" s="281" t="s">
        <v>175</v>
      </c>
      <c r="C11" s="463">
        <v>43</v>
      </c>
      <c r="D11" s="465">
        <v>0.84388185654008396</v>
      </c>
      <c r="E11" s="463">
        <v>74100</v>
      </c>
      <c r="F11" s="463">
        <v>72600</v>
      </c>
      <c r="G11" s="463">
        <v>74800</v>
      </c>
      <c r="H11" s="462">
        <v>3.9</v>
      </c>
      <c r="I11" s="462">
        <v>1.6</v>
      </c>
      <c r="J11" s="462">
        <v>9.5</v>
      </c>
      <c r="K11" s="462">
        <v>3.9</v>
      </c>
      <c r="L11" s="462">
        <v>1.3</v>
      </c>
      <c r="M11" s="468">
        <v>12</v>
      </c>
    </row>
    <row r="12" spans="1:13" ht="12.75" customHeight="1">
      <c r="A12" s="280" t="s">
        <v>278</v>
      </c>
      <c r="B12" s="281" t="s">
        <v>176</v>
      </c>
      <c r="C12" s="463">
        <v>48</v>
      </c>
      <c r="D12" s="465">
        <v>1</v>
      </c>
      <c r="E12" s="463">
        <v>56100</v>
      </c>
      <c r="F12" s="463">
        <v>54300</v>
      </c>
      <c r="G12" s="463">
        <v>58300</v>
      </c>
      <c r="H12" s="462">
        <v>92</v>
      </c>
      <c r="I12" s="462">
        <v>50</v>
      </c>
      <c r="J12" s="462">
        <v>1540</v>
      </c>
      <c r="K12" s="462">
        <v>3</v>
      </c>
      <c r="L12" s="462">
        <v>1</v>
      </c>
      <c r="M12" s="468">
        <v>77</v>
      </c>
    </row>
    <row r="13" spans="1:13" ht="12.75" customHeight="1">
      <c r="A13" s="280" t="s">
        <v>279</v>
      </c>
      <c r="B13" s="281" t="s">
        <v>177</v>
      </c>
      <c r="C13" s="463">
        <v>47.3</v>
      </c>
      <c r="D13" s="465">
        <v>0.52219321148825071</v>
      </c>
      <c r="E13" s="463">
        <v>63100</v>
      </c>
      <c r="F13" s="463">
        <v>61600</v>
      </c>
      <c r="G13" s="463">
        <v>65600</v>
      </c>
      <c r="H13" s="462">
        <v>62</v>
      </c>
      <c r="I13" s="462" t="s">
        <v>178</v>
      </c>
      <c r="J13" s="462" t="s">
        <v>178</v>
      </c>
      <c r="K13" s="462">
        <v>0.2</v>
      </c>
      <c r="L13" s="462" t="s">
        <v>391</v>
      </c>
      <c r="M13" s="468" t="s">
        <v>391</v>
      </c>
    </row>
    <row r="14" spans="1:13" ht="12.75" customHeight="1">
      <c r="A14" s="280" t="s">
        <v>276</v>
      </c>
      <c r="B14" s="281" t="s">
        <v>179</v>
      </c>
      <c r="C14" s="471"/>
      <c r="D14" s="472"/>
      <c r="E14" s="463">
        <v>71900</v>
      </c>
      <c r="F14" s="463">
        <v>70800</v>
      </c>
      <c r="G14" s="463">
        <v>73700</v>
      </c>
      <c r="H14" s="462"/>
      <c r="I14" s="473"/>
      <c r="J14" s="473"/>
      <c r="K14" s="462"/>
      <c r="L14" s="473"/>
      <c r="M14" s="475"/>
    </row>
    <row r="15" spans="1:13" ht="12.75" customHeight="1">
      <c r="A15" s="280" t="s">
        <v>276</v>
      </c>
      <c r="B15" s="281" t="s">
        <v>180</v>
      </c>
      <c r="C15" s="474"/>
      <c r="D15" s="472"/>
      <c r="E15" s="463">
        <v>73300</v>
      </c>
      <c r="F15" s="463">
        <v>71900</v>
      </c>
      <c r="G15" s="463">
        <v>75200</v>
      </c>
      <c r="H15" s="462"/>
      <c r="I15" s="472"/>
      <c r="J15" s="473"/>
      <c r="K15" s="462"/>
      <c r="L15" s="472"/>
      <c r="M15" s="475"/>
    </row>
    <row r="16" spans="1:13" ht="12.75" customHeight="1">
      <c r="A16" s="280" t="s">
        <v>276</v>
      </c>
      <c r="B16" s="281" t="s">
        <v>181</v>
      </c>
      <c r="C16" s="471"/>
      <c r="D16" s="472"/>
      <c r="E16" s="472"/>
      <c r="F16" s="474"/>
      <c r="G16" s="474"/>
      <c r="H16" s="462">
        <v>260</v>
      </c>
      <c r="I16" s="462">
        <v>77</v>
      </c>
      <c r="J16" s="462">
        <v>880</v>
      </c>
      <c r="K16" s="462">
        <v>41</v>
      </c>
      <c r="L16" s="462">
        <v>13</v>
      </c>
      <c r="M16" s="468">
        <v>123</v>
      </c>
    </row>
    <row r="17" spans="1:13" ht="12.75" customHeight="1">
      <c r="A17" s="280" t="s">
        <v>276</v>
      </c>
      <c r="B17" s="281" t="s">
        <v>182</v>
      </c>
      <c r="C17" s="474"/>
      <c r="D17" s="473"/>
      <c r="E17" s="474"/>
      <c r="F17" s="474"/>
      <c r="G17" s="474"/>
      <c r="H17" s="462">
        <v>18</v>
      </c>
      <c r="I17" s="462">
        <v>13</v>
      </c>
      <c r="J17" s="462">
        <v>84</v>
      </c>
      <c r="K17" s="462" t="s">
        <v>391</v>
      </c>
      <c r="L17" s="462" t="s">
        <v>391</v>
      </c>
      <c r="M17" s="468" t="s">
        <v>391</v>
      </c>
    </row>
    <row r="18" spans="1:13" ht="12.75" customHeight="1">
      <c r="A18" s="280" t="s">
        <v>280</v>
      </c>
      <c r="B18" s="281" t="s">
        <v>386</v>
      </c>
      <c r="C18" s="463">
        <v>44.1</v>
      </c>
      <c r="D18" s="473"/>
      <c r="E18" s="463">
        <v>71500</v>
      </c>
      <c r="F18" s="463">
        <v>69800</v>
      </c>
      <c r="G18" s="463">
        <v>74400</v>
      </c>
      <c r="H18" s="462">
        <v>0.5</v>
      </c>
      <c r="I18" s="462">
        <f>H18*(1-0.57)</f>
        <v>0.21500000000000002</v>
      </c>
      <c r="J18" s="462">
        <f>H18*(1+1)</f>
        <v>1</v>
      </c>
      <c r="K18" s="462">
        <v>2</v>
      </c>
      <c r="L18" s="462">
        <f>K18*(1-0.7)</f>
        <v>0.60000000000000009</v>
      </c>
      <c r="M18" s="468">
        <f>K18*(1+1.5)</f>
        <v>5</v>
      </c>
    </row>
    <row r="19" spans="1:13" ht="12.75" customHeight="1">
      <c r="A19" s="280" t="s">
        <v>281</v>
      </c>
      <c r="B19" s="281" t="s">
        <v>205</v>
      </c>
      <c r="C19" s="463">
        <v>44.3</v>
      </c>
      <c r="D19" s="473"/>
      <c r="E19" s="463">
        <v>70000</v>
      </c>
      <c r="F19" s="463">
        <v>67500</v>
      </c>
      <c r="G19" s="463">
        <v>73000</v>
      </c>
      <c r="H19" s="462">
        <v>0.5</v>
      </c>
      <c r="I19" s="462">
        <f>I18</f>
        <v>0.21500000000000002</v>
      </c>
      <c r="J19" s="462">
        <f>J18</f>
        <v>1</v>
      </c>
      <c r="K19" s="462">
        <v>2</v>
      </c>
      <c r="L19" s="462">
        <f>L18</f>
        <v>0.60000000000000009</v>
      </c>
      <c r="M19" s="468">
        <f>M18</f>
        <v>5</v>
      </c>
    </row>
    <row r="20" spans="1:13" ht="12.75" customHeight="1">
      <c r="A20" s="280" t="s">
        <v>336</v>
      </c>
      <c r="B20" s="281" t="s">
        <v>53</v>
      </c>
      <c r="C20" s="463">
        <v>43</v>
      </c>
      <c r="D20" s="473"/>
      <c r="E20" s="463">
        <v>74100</v>
      </c>
      <c r="F20" s="463">
        <f>F11</f>
        <v>72600</v>
      </c>
      <c r="G20" s="463">
        <f>G11</f>
        <v>74800</v>
      </c>
      <c r="H20" s="462">
        <v>4.1500000000000004</v>
      </c>
      <c r="I20" s="462">
        <v>1.67</v>
      </c>
      <c r="J20" s="462">
        <v>10.4</v>
      </c>
      <c r="K20" s="462">
        <v>28.6</v>
      </c>
      <c r="L20" s="462">
        <v>14.3</v>
      </c>
      <c r="M20" s="468">
        <v>85.8</v>
      </c>
    </row>
    <row r="21" spans="1:13" s="109" customFormat="1" ht="12.75" customHeight="1">
      <c r="A21" s="280" t="s">
        <v>282</v>
      </c>
      <c r="B21" s="281" t="s">
        <v>387</v>
      </c>
      <c r="C21" s="463">
        <v>40.4</v>
      </c>
      <c r="D21" s="473"/>
      <c r="E21" s="463">
        <v>77400</v>
      </c>
      <c r="F21" s="463">
        <v>75500</v>
      </c>
      <c r="G21" s="463">
        <v>78800</v>
      </c>
      <c r="H21" s="462">
        <v>7</v>
      </c>
      <c r="I21" s="462">
        <f>H21*(1-0.5)</f>
        <v>3.5</v>
      </c>
      <c r="J21" s="462">
        <f>H21*(1+0.5)</f>
        <v>10.5</v>
      </c>
      <c r="K21" s="462">
        <v>2</v>
      </c>
      <c r="L21" s="462">
        <f>K21*(1+1.4)</f>
        <v>4.8</v>
      </c>
      <c r="M21" s="468">
        <f>K21*(1-0.4)</f>
        <v>1.2</v>
      </c>
    </row>
    <row r="22" spans="1:13" ht="12.75" customHeight="1">
      <c r="A22" s="280" t="s">
        <v>283</v>
      </c>
      <c r="B22" s="281" t="s">
        <v>53</v>
      </c>
      <c r="C22" s="463">
        <v>43</v>
      </c>
      <c r="D22" s="473"/>
      <c r="E22" s="463">
        <v>74100</v>
      </c>
      <c r="F22" s="463">
        <f t="shared" ref="F22:G24" si="0">F20</f>
        <v>72600</v>
      </c>
      <c r="G22" s="463">
        <f t="shared" si="0"/>
        <v>74800</v>
      </c>
      <c r="H22" s="462">
        <f t="shared" ref="H22:M22" si="1">H11</f>
        <v>3.9</v>
      </c>
      <c r="I22" s="462">
        <f t="shared" si="1"/>
        <v>1.6</v>
      </c>
      <c r="J22" s="462">
        <f t="shared" si="1"/>
        <v>9.5</v>
      </c>
      <c r="K22" s="462">
        <f t="shared" si="1"/>
        <v>3.9</v>
      </c>
      <c r="L22" s="462">
        <f t="shared" si="1"/>
        <v>1.3</v>
      </c>
      <c r="M22" s="468">
        <f t="shared" si="1"/>
        <v>12</v>
      </c>
    </row>
    <row r="23" spans="1:13" ht="12.75" customHeight="1">
      <c r="A23" s="280" t="s">
        <v>337</v>
      </c>
      <c r="B23" s="281" t="s">
        <v>387</v>
      </c>
      <c r="C23" s="463">
        <v>40.4</v>
      </c>
      <c r="D23" s="473"/>
      <c r="E23" s="463">
        <v>77400</v>
      </c>
      <c r="F23" s="463">
        <f t="shared" si="0"/>
        <v>75500</v>
      </c>
      <c r="G23" s="463">
        <f t="shared" si="0"/>
        <v>78800</v>
      </c>
      <c r="H23" s="462">
        <v>7</v>
      </c>
      <c r="I23" s="462">
        <f>H23*0.5</f>
        <v>3.5</v>
      </c>
      <c r="J23" s="462">
        <f>H23*1.5</f>
        <v>10.5</v>
      </c>
      <c r="K23" s="462">
        <v>2</v>
      </c>
      <c r="L23" s="462">
        <f>K23*2.4</f>
        <v>4.8</v>
      </c>
      <c r="M23" s="468">
        <f>K23*0.6</f>
        <v>1.2</v>
      </c>
    </row>
    <row r="24" spans="1:13" ht="12.75" customHeight="1">
      <c r="A24" s="280" t="s">
        <v>338</v>
      </c>
      <c r="B24" s="281" t="s">
        <v>53</v>
      </c>
      <c r="C24" s="463">
        <v>43</v>
      </c>
      <c r="D24" s="473"/>
      <c r="E24" s="463">
        <v>74100</v>
      </c>
      <c r="F24" s="463">
        <f t="shared" si="0"/>
        <v>72600</v>
      </c>
      <c r="G24" s="463">
        <f t="shared" si="0"/>
        <v>74800</v>
      </c>
      <c r="H24" s="462">
        <f t="shared" ref="H24:M24" si="2">H11</f>
        <v>3.9</v>
      </c>
      <c r="I24" s="462">
        <f t="shared" si="2"/>
        <v>1.6</v>
      </c>
      <c r="J24" s="462">
        <f t="shared" si="2"/>
        <v>9.5</v>
      </c>
      <c r="K24" s="462">
        <f t="shared" si="2"/>
        <v>3.9</v>
      </c>
      <c r="L24" s="462">
        <f t="shared" si="2"/>
        <v>1.3</v>
      </c>
      <c r="M24" s="468">
        <f t="shared" si="2"/>
        <v>12</v>
      </c>
    </row>
    <row r="25" spans="1:13" ht="12.75" customHeight="1" thickBot="1">
      <c r="A25" s="469" t="s">
        <v>339</v>
      </c>
      <c r="B25" s="221" t="s">
        <v>49</v>
      </c>
      <c r="C25" s="464">
        <v>44.3</v>
      </c>
      <c r="D25" s="476"/>
      <c r="E25" s="464">
        <v>69300</v>
      </c>
      <c r="F25" s="464">
        <f>F10</f>
        <v>67500</v>
      </c>
      <c r="G25" s="464">
        <f>G10</f>
        <v>73000</v>
      </c>
      <c r="H25" s="477"/>
      <c r="I25" s="477"/>
      <c r="J25" s="477"/>
      <c r="K25" s="478"/>
      <c r="L25" s="477"/>
      <c r="M25" s="470"/>
    </row>
    <row r="43" spans="11:11" ht="12.75" customHeight="1">
      <c r="K43" s="108" t="s">
        <v>286</v>
      </c>
    </row>
    <row r="67" spans="1:7" s="109" customFormat="1" ht="12.75" customHeight="1">
      <c r="A67" s="108"/>
      <c r="B67" s="108"/>
      <c r="C67" s="108"/>
      <c r="E67" s="108"/>
      <c r="F67" s="108"/>
      <c r="G67" s="108"/>
    </row>
    <row r="68" spans="1:7" ht="12.75" customHeight="1">
      <c r="F68" s="109"/>
    </row>
    <row r="69" spans="1:7" ht="12.75" customHeight="1">
      <c r="A69" s="109"/>
      <c r="B69" s="109"/>
      <c r="C69" s="109"/>
      <c r="E69" s="109"/>
      <c r="G69" s="109"/>
    </row>
  </sheetData>
  <mergeCells count="7">
    <mergeCell ref="K5:M5"/>
    <mergeCell ref="H6:M6"/>
    <mergeCell ref="A6:B6"/>
    <mergeCell ref="A5:B5"/>
    <mergeCell ref="E6:G6"/>
    <mergeCell ref="E5:G5"/>
    <mergeCell ref="H5:J5"/>
  </mergeCells>
  <dataValidations disablePrompts="1" count="1">
    <dataValidation type="list" allowBlank="1" showInputMessage="1" showErrorMessage="1" sqref="B30 A14:A17 A8:A10" xr:uid="{00000000-0002-0000-0A00-000000000000}">
      <formula1>"Motor Gasoline,not used"</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249977111117893"/>
  </sheetPr>
  <dimension ref="A1:V163"/>
  <sheetViews>
    <sheetView showGridLines="0" zoomScale="60" zoomScaleNormal="60" zoomScalePageLayoutView="85" workbookViewId="0">
      <pane xSplit="7" ySplit="4" topLeftCell="H5" activePane="bottomRight" state="frozen"/>
      <selection activeCell="I5" sqref="I5"/>
      <selection pane="topRight" activeCell="I5" sqref="I5"/>
      <selection pane="bottomLeft" activeCell="I5" sqref="I5"/>
      <selection pane="bottomRight" activeCell="P10" sqref="P10"/>
    </sheetView>
  </sheetViews>
  <sheetFormatPr defaultColWidth="12.5703125" defaultRowHeight="15.75"/>
  <cols>
    <col min="1" max="1" width="15.42578125" style="106" customWidth="1"/>
    <col min="2" max="2" width="23.42578125" style="106" customWidth="1"/>
    <col min="3" max="3" width="28.42578125" style="106" customWidth="1"/>
    <col min="4" max="4" width="18.85546875" style="106" customWidth="1"/>
    <col min="5" max="5" width="19" style="106" customWidth="1"/>
    <col min="6" max="6" width="25.42578125" style="106" customWidth="1"/>
    <col min="7" max="7" width="24.28515625" style="106" bestFit="1" customWidth="1"/>
    <col min="8" max="8" width="12.5703125" style="106"/>
    <col min="9" max="9" width="11.85546875" style="106" customWidth="1"/>
    <col min="10" max="10" width="20.28515625" style="106" customWidth="1"/>
    <col min="11" max="11" width="12.7109375" style="110" customWidth="1"/>
    <col min="12" max="12" width="9.42578125" style="106" customWidth="1"/>
    <col min="13" max="14" width="7.42578125" style="106" bestFit="1" customWidth="1"/>
    <col min="15" max="15" width="8.7109375" style="106" customWidth="1"/>
    <col min="16" max="16" width="12.28515625" style="106" bestFit="1" customWidth="1"/>
    <col min="17" max="17" width="22.7109375" style="106" customWidth="1"/>
    <col min="18" max="18" width="29" style="106" customWidth="1"/>
    <col min="19" max="19" width="30.140625" style="106" customWidth="1"/>
    <col min="20" max="20" width="26.7109375" style="106" customWidth="1"/>
    <col min="21" max="16384" width="12.5703125" style="106"/>
  </cols>
  <sheetData>
    <row r="1" spans="1:20" ht="77.25" customHeight="1">
      <c r="K1" s="106"/>
    </row>
    <row r="2" spans="1:20" ht="60" customHeight="1" thickBot="1">
      <c r="A2" s="693"/>
      <c r="B2" s="693"/>
      <c r="C2" s="693"/>
      <c r="D2" s="693"/>
      <c r="E2" s="693"/>
    </row>
    <row r="3" spans="1:20" ht="56.25" customHeight="1">
      <c r="A3" s="495" t="s">
        <v>98</v>
      </c>
      <c r="B3" s="496" t="s">
        <v>395</v>
      </c>
      <c r="C3" s="496" t="s">
        <v>99</v>
      </c>
      <c r="D3" s="496" t="s">
        <v>317</v>
      </c>
      <c r="E3" s="496" t="s">
        <v>318</v>
      </c>
      <c r="F3" s="496" t="s">
        <v>100</v>
      </c>
      <c r="G3" s="496" t="s">
        <v>319</v>
      </c>
      <c r="H3" s="496" t="s">
        <v>101</v>
      </c>
      <c r="I3" s="496" t="s">
        <v>102</v>
      </c>
      <c r="J3" s="497" t="s">
        <v>30</v>
      </c>
      <c r="K3" s="283"/>
      <c r="L3" s="495" t="s">
        <v>103</v>
      </c>
      <c r="M3" s="496" t="s">
        <v>104</v>
      </c>
      <c r="N3" s="496" t="s">
        <v>105</v>
      </c>
      <c r="O3" s="497" t="s">
        <v>106</v>
      </c>
    </row>
    <row r="4" spans="1:20">
      <c r="A4" s="284" t="str">
        <f>+CONCATENATE(L4,M4,N4,O4)</f>
        <v>PG10</v>
      </c>
      <c r="B4" s="285" t="s">
        <v>107</v>
      </c>
      <c r="C4" s="285" t="s">
        <v>108</v>
      </c>
      <c r="D4" s="285" t="s">
        <v>45</v>
      </c>
      <c r="E4" s="285" t="s">
        <v>49</v>
      </c>
      <c r="F4" s="285" t="s">
        <v>109</v>
      </c>
      <c r="G4" s="285" t="s">
        <v>50</v>
      </c>
      <c r="H4" s="511">
        <f t="shared" ref="H4:H10" si="0">+$S$8</f>
        <v>57.688312138246914</v>
      </c>
      <c r="I4" s="286">
        <f>+H4/VLOOKUP("Road - "&amp;E4,'Default Parameter'!$A$8:$M$17,4,FALSE)/1000*100</f>
        <v>7.7879221386633333</v>
      </c>
      <c r="J4" s="287" t="s">
        <v>463</v>
      </c>
      <c r="K4" s="288"/>
      <c r="L4" s="14" t="s">
        <v>110</v>
      </c>
      <c r="M4" s="15" t="s">
        <v>111</v>
      </c>
      <c r="N4" s="15">
        <v>1</v>
      </c>
      <c r="O4" s="16">
        <v>0</v>
      </c>
      <c r="S4" s="694" t="s">
        <v>438</v>
      </c>
      <c r="T4" s="695"/>
    </row>
    <row r="5" spans="1:20">
      <c r="A5" s="284" t="str">
        <f t="shared" ref="A5:A72" si="1">+CONCATENATE(L5,M5,N5,O5)</f>
        <v>PG11</v>
      </c>
      <c r="B5" s="285" t="s">
        <v>107</v>
      </c>
      <c r="C5" s="285" t="s">
        <v>108</v>
      </c>
      <c r="D5" s="285" t="s">
        <v>45</v>
      </c>
      <c r="E5" s="285" t="s">
        <v>49</v>
      </c>
      <c r="F5" s="285" t="s">
        <v>112</v>
      </c>
      <c r="G5" s="285" t="s">
        <v>54</v>
      </c>
      <c r="H5" s="511">
        <f t="shared" si="0"/>
        <v>57.688312138246914</v>
      </c>
      <c r="I5" s="286">
        <f>+H5/VLOOKUP("Road - "&amp;E5,'Default Parameter'!$A$8:$M$17,4,FALSE)/1000*100</f>
        <v>7.7879221386633333</v>
      </c>
      <c r="J5" s="287" t="s">
        <v>463</v>
      </c>
      <c r="K5" s="288"/>
      <c r="L5" s="14" t="s">
        <v>110</v>
      </c>
      <c r="M5" s="15" t="s">
        <v>111</v>
      </c>
      <c r="N5" s="15">
        <v>1</v>
      </c>
      <c r="O5" s="16">
        <v>1</v>
      </c>
      <c r="S5" s="508" t="s">
        <v>437</v>
      </c>
      <c r="T5" s="508" t="s">
        <v>439</v>
      </c>
    </row>
    <row r="6" spans="1:20">
      <c r="A6" s="284" t="str">
        <f t="shared" si="1"/>
        <v>PG12</v>
      </c>
      <c r="B6" s="285" t="s">
        <v>107</v>
      </c>
      <c r="C6" s="285" t="s">
        <v>108</v>
      </c>
      <c r="D6" s="285" t="s">
        <v>45</v>
      </c>
      <c r="E6" s="285" t="s">
        <v>49</v>
      </c>
      <c r="F6" s="285" t="s">
        <v>112</v>
      </c>
      <c r="G6" s="285" t="s">
        <v>57</v>
      </c>
      <c r="H6" s="511">
        <f t="shared" si="0"/>
        <v>57.688312138246914</v>
      </c>
      <c r="I6" s="286">
        <f>+H6/VLOOKUP("Road - "&amp;E6,'Default Parameter'!$A$8:$M$17,4,FALSE)/1000*100</f>
        <v>7.7879221386633333</v>
      </c>
      <c r="J6" s="287" t="s">
        <v>463</v>
      </c>
      <c r="K6" s="288"/>
      <c r="L6" s="14" t="s">
        <v>110</v>
      </c>
      <c r="M6" s="15" t="s">
        <v>111</v>
      </c>
      <c r="N6" s="15">
        <v>1</v>
      </c>
      <c r="O6" s="16">
        <v>2</v>
      </c>
      <c r="R6" s="499" t="s">
        <v>412</v>
      </c>
      <c r="S6" s="500">
        <v>2015</v>
      </c>
      <c r="T6" s="500">
        <v>2015</v>
      </c>
    </row>
    <row r="7" spans="1:20">
      <c r="A7" s="284" t="str">
        <f t="shared" si="1"/>
        <v>PG13</v>
      </c>
      <c r="B7" s="285" t="s">
        <v>107</v>
      </c>
      <c r="C7" s="285" t="s">
        <v>108</v>
      </c>
      <c r="D7" s="285" t="s">
        <v>45</v>
      </c>
      <c r="E7" s="285" t="s">
        <v>49</v>
      </c>
      <c r="F7" s="285" t="s">
        <v>112</v>
      </c>
      <c r="G7" s="285" t="s">
        <v>58</v>
      </c>
      <c r="H7" s="511">
        <f t="shared" si="0"/>
        <v>57.688312138246914</v>
      </c>
      <c r="I7" s="286">
        <f>+H7/VLOOKUP("Road - "&amp;E7,'Default Parameter'!$A$8:$M$17,4,FALSE)/1000*100</f>
        <v>7.7879221386633333</v>
      </c>
      <c r="J7" s="287" t="s">
        <v>463</v>
      </c>
      <c r="K7" s="288"/>
      <c r="L7" s="14" t="s">
        <v>110</v>
      </c>
      <c r="M7" s="15" t="s">
        <v>111</v>
      </c>
      <c r="N7" s="15">
        <v>1</v>
      </c>
      <c r="O7" s="17">
        <v>3</v>
      </c>
      <c r="R7" s="501" t="s">
        <v>413</v>
      </c>
      <c r="S7" s="502"/>
      <c r="T7" s="502">
        <v>9.1999493027478678</v>
      </c>
    </row>
    <row r="8" spans="1:20">
      <c r="A8" s="284" t="str">
        <f t="shared" si="1"/>
        <v>PG14</v>
      </c>
      <c r="B8" s="285" t="s">
        <v>107</v>
      </c>
      <c r="C8" s="285" t="s">
        <v>108</v>
      </c>
      <c r="D8" s="285" t="s">
        <v>45</v>
      </c>
      <c r="E8" s="285" t="s">
        <v>49</v>
      </c>
      <c r="F8" s="285" t="s">
        <v>112</v>
      </c>
      <c r="G8" s="285" t="s">
        <v>59</v>
      </c>
      <c r="H8" s="511">
        <f t="shared" si="0"/>
        <v>57.688312138246914</v>
      </c>
      <c r="I8" s="286">
        <f>+H8/VLOOKUP("Road - "&amp;E8,'Default Parameter'!$A$8:$M$17,4,FALSE)/1000*100</f>
        <v>7.7879221386633333</v>
      </c>
      <c r="J8" s="287" t="s">
        <v>463</v>
      </c>
      <c r="K8" s="288"/>
      <c r="L8" s="14" t="s">
        <v>110</v>
      </c>
      <c r="M8" s="15" t="s">
        <v>111</v>
      </c>
      <c r="N8" s="15">
        <v>1</v>
      </c>
      <c r="O8" s="17">
        <v>4</v>
      </c>
      <c r="R8" s="503" t="s">
        <v>414</v>
      </c>
      <c r="S8" s="504">
        <v>57.688312138246914</v>
      </c>
      <c r="T8" s="504">
        <v>7.7879221386633306</v>
      </c>
    </row>
    <row r="9" spans="1:20">
      <c r="A9" s="284" t="s">
        <v>61</v>
      </c>
      <c r="B9" s="285" t="s">
        <v>107</v>
      </c>
      <c r="C9" s="285" t="s">
        <v>108</v>
      </c>
      <c r="D9" s="285" t="s">
        <v>45</v>
      </c>
      <c r="E9" s="285" t="s">
        <v>49</v>
      </c>
      <c r="F9" s="285" t="s">
        <v>112</v>
      </c>
      <c r="G9" s="285" t="s">
        <v>60</v>
      </c>
      <c r="H9" s="511">
        <f t="shared" si="0"/>
        <v>57.688312138246914</v>
      </c>
      <c r="I9" s="286">
        <f>+H9/VLOOKUP("Road - "&amp;E9,'Default Parameter'!$A$8:$M$17,4,FALSE)/1000*100</f>
        <v>7.7879221386633333</v>
      </c>
      <c r="J9" s="287" t="s">
        <v>463</v>
      </c>
      <c r="K9" s="288"/>
      <c r="L9" s="14" t="s">
        <v>110</v>
      </c>
      <c r="M9" s="15" t="s">
        <v>111</v>
      </c>
      <c r="N9" s="15">
        <v>1</v>
      </c>
      <c r="O9" s="17">
        <v>5</v>
      </c>
      <c r="R9" s="503" t="s">
        <v>415</v>
      </c>
      <c r="S9" s="504">
        <v>68.682600935154753</v>
      </c>
      <c r="T9" s="504">
        <v>9.2721511262458876</v>
      </c>
    </row>
    <row r="10" spans="1:20">
      <c r="A10" s="284" t="s">
        <v>63</v>
      </c>
      <c r="B10" s="285" t="s">
        <v>107</v>
      </c>
      <c r="C10" s="285" t="s">
        <v>108</v>
      </c>
      <c r="D10" s="285" t="s">
        <v>45</v>
      </c>
      <c r="E10" s="285" t="s">
        <v>49</v>
      </c>
      <c r="F10" s="285" t="s">
        <v>112</v>
      </c>
      <c r="G10" s="285" t="s">
        <v>62</v>
      </c>
      <c r="H10" s="511">
        <f t="shared" si="0"/>
        <v>57.688312138246914</v>
      </c>
      <c r="I10" s="286">
        <f>+H10/VLOOKUP("Road - "&amp;E10,'Default Parameter'!$A$8:$M$17,4,FALSE)/1000*100</f>
        <v>7.7879221386633333</v>
      </c>
      <c r="J10" s="287" t="s">
        <v>463</v>
      </c>
      <c r="K10" s="288"/>
      <c r="L10" s="14" t="s">
        <v>110</v>
      </c>
      <c r="M10" s="15" t="s">
        <v>111</v>
      </c>
      <c r="N10" s="15">
        <v>1</v>
      </c>
      <c r="O10" s="17">
        <v>6</v>
      </c>
      <c r="R10" s="503" t="s">
        <v>416</v>
      </c>
      <c r="S10" s="504">
        <v>88.464777100134881</v>
      </c>
      <c r="T10" s="504">
        <v>11.942744908518204</v>
      </c>
    </row>
    <row r="11" spans="1:20">
      <c r="A11" s="284" t="str">
        <f t="shared" si="1"/>
        <v>PG20</v>
      </c>
      <c r="B11" s="285" t="s">
        <v>107</v>
      </c>
      <c r="C11" s="285" t="s">
        <v>113</v>
      </c>
      <c r="D11" s="285" t="s">
        <v>45</v>
      </c>
      <c r="E11" s="285" t="s">
        <v>49</v>
      </c>
      <c r="F11" s="285" t="s">
        <v>109</v>
      </c>
      <c r="G11" s="285" t="s">
        <v>50</v>
      </c>
      <c r="H11" s="511">
        <f>+$S$9</f>
        <v>68.682600935154753</v>
      </c>
      <c r="I11" s="286">
        <f>+H11/VLOOKUP("Road - "&amp;E11,'Default Parameter'!$A$8:$M$17,4,FALSE)/1000*100</f>
        <v>9.2721511262458929</v>
      </c>
      <c r="J11" s="287" t="s">
        <v>463</v>
      </c>
      <c r="K11" s="288"/>
      <c r="L11" s="14" t="s">
        <v>110</v>
      </c>
      <c r="M11" s="15" t="s">
        <v>111</v>
      </c>
      <c r="N11" s="15">
        <v>2</v>
      </c>
      <c r="O11" s="16">
        <v>0</v>
      </c>
      <c r="R11" s="503" t="s">
        <v>417</v>
      </c>
      <c r="S11" s="504">
        <v>44.773022080641468</v>
      </c>
      <c r="T11" s="504">
        <v>5.3056031165560169</v>
      </c>
    </row>
    <row r="12" spans="1:20">
      <c r="A12" s="284" t="str">
        <f t="shared" si="1"/>
        <v>PG21</v>
      </c>
      <c r="B12" s="285" t="s">
        <v>107</v>
      </c>
      <c r="C12" s="285" t="s">
        <v>113</v>
      </c>
      <c r="D12" s="285" t="s">
        <v>45</v>
      </c>
      <c r="E12" s="285" t="s">
        <v>49</v>
      </c>
      <c r="F12" s="285" t="s">
        <v>112</v>
      </c>
      <c r="G12" s="285" t="s">
        <v>54</v>
      </c>
      <c r="H12" s="511">
        <f t="shared" ref="H12:H17" si="2">+$S$9</f>
        <v>68.682600935154753</v>
      </c>
      <c r="I12" s="286">
        <f>+H12/VLOOKUP("Road - "&amp;E12,'Default Parameter'!$A$8:$M$17,4,FALSE)/1000*100</f>
        <v>9.2721511262458929</v>
      </c>
      <c r="J12" s="287" t="s">
        <v>463</v>
      </c>
      <c r="K12" s="288"/>
      <c r="L12" s="14" t="s">
        <v>110</v>
      </c>
      <c r="M12" s="15" t="s">
        <v>111</v>
      </c>
      <c r="N12" s="15">
        <v>2</v>
      </c>
      <c r="O12" s="16">
        <v>1</v>
      </c>
      <c r="R12" s="503" t="s">
        <v>418</v>
      </c>
      <c r="S12" s="504">
        <v>57.675499752824692</v>
      </c>
      <c r="T12" s="504">
        <v>6.8345467207097288</v>
      </c>
    </row>
    <row r="13" spans="1:20">
      <c r="A13" s="284" t="str">
        <f t="shared" si="1"/>
        <v>PG22</v>
      </c>
      <c r="B13" s="285" t="s">
        <v>107</v>
      </c>
      <c r="C13" s="285" t="s">
        <v>113</v>
      </c>
      <c r="D13" s="285" t="s">
        <v>45</v>
      </c>
      <c r="E13" s="285" t="s">
        <v>49</v>
      </c>
      <c r="F13" s="285" t="s">
        <v>112</v>
      </c>
      <c r="G13" s="285" t="s">
        <v>57</v>
      </c>
      <c r="H13" s="511">
        <f t="shared" si="2"/>
        <v>68.682600935154753</v>
      </c>
      <c r="I13" s="286">
        <f>+H13/VLOOKUP("Road - "&amp;E13,'Default Parameter'!$A$8:$M$17,4,FALSE)/1000*100</f>
        <v>9.2721511262458929</v>
      </c>
      <c r="J13" s="287" t="s">
        <v>463</v>
      </c>
      <c r="K13" s="288"/>
      <c r="L13" s="14" t="s">
        <v>110</v>
      </c>
      <c r="M13" s="15" t="s">
        <v>111</v>
      </c>
      <c r="N13" s="15">
        <v>2</v>
      </c>
      <c r="O13" s="16">
        <v>2</v>
      </c>
      <c r="R13" s="503" t="s">
        <v>419</v>
      </c>
      <c r="S13" s="504">
        <v>75.810569689864167</v>
      </c>
      <c r="T13" s="504">
        <v>8.9835525082489074</v>
      </c>
    </row>
    <row r="14" spans="1:20">
      <c r="A14" s="284" t="str">
        <f t="shared" si="1"/>
        <v>PG23</v>
      </c>
      <c r="B14" s="285" t="s">
        <v>107</v>
      </c>
      <c r="C14" s="285" t="s">
        <v>113</v>
      </c>
      <c r="D14" s="285" t="s">
        <v>45</v>
      </c>
      <c r="E14" s="285" t="s">
        <v>49</v>
      </c>
      <c r="F14" s="285" t="s">
        <v>112</v>
      </c>
      <c r="G14" s="285" t="s">
        <v>58</v>
      </c>
      <c r="H14" s="511">
        <f t="shared" si="2"/>
        <v>68.682600935154753</v>
      </c>
      <c r="I14" s="286">
        <f>+H14/VLOOKUP("Road - "&amp;E14,'Default Parameter'!$A$8:$M$17,4,FALSE)/1000*100</f>
        <v>9.2721511262458929</v>
      </c>
      <c r="J14" s="287" t="s">
        <v>463</v>
      </c>
      <c r="K14" s="288"/>
      <c r="L14" s="14" t="s">
        <v>110</v>
      </c>
      <c r="M14" s="15" t="s">
        <v>111</v>
      </c>
      <c r="N14" s="15">
        <v>2</v>
      </c>
      <c r="O14" s="17">
        <v>3</v>
      </c>
      <c r="R14" s="503"/>
      <c r="S14" s="505"/>
      <c r="T14" s="505"/>
    </row>
    <row r="15" spans="1:20">
      <c r="A15" s="284" t="str">
        <f>+CONCATENATE(L15,M15,N15,O15)</f>
        <v>PG24</v>
      </c>
      <c r="B15" s="285" t="s">
        <v>107</v>
      </c>
      <c r="C15" s="285" t="s">
        <v>113</v>
      </c>
      <c r="D15" s="285" t="s">
        <v>45</v>
      </c>
      <c r="E15" s="285" t="s">
        <v>49</v>
      </c>
      <c r="F15" s="285" t="s">
        <v>112</v>
      </c>
      <c r="G15" s="285" t="s">
        <v>59</v>
      </c>
      <c r="H15" s="511">
        <f t="shared" si="2"/>
        <v>68.682600935154753</v>
      </c>
      <c r="I15" s="286">
        <f>+H15/VLOOKUP("Road - "&amp;E15,'Default Parameter'!$A$8:$M$17,4,FALSE)/1000*100</f>
        <v>9.2721511262458929</v>
      </c>
      <c r="J15" s="287" t="s">
        <v>463</v>
      </c>
      <c r="K15" s="288"/>
      <c r="L15" s="14" t="s">
        <v>110</v>
      </c>
      <c r="M15" s="15" t="s">
        <v>111</v>
      </c>
      <c r="N15" s="15">
        <v>2</v>
      </c>
      <c r="O15" s="17">
        <v>4</v>
      </c>
      <c r="R15" s="501" t="s">
        <v>420</v>
      </c>
      <c r="S15" s="502"/>
      <c r="T15" s="502"/>
    </row>
    <row r="16" spans="1:20">
      <c r="A16" s="284" t="str">
        <f>+CONCATENATE(L16,M16,N16,O16)</f>
        <v>PG25</v>
      </c>
      <c r="B16" s="285" t="s">
        <v>107</v>
      </c>
      <c r="C16" s="285" t="s">
        <v>113</v>
      </c>
      <c r="D16" s="285" t="s">
        <v>45</v>
      </c>
      <c r="E16" s="285" t="s">
        <v>49</v>
      </c>
      <c r="F16" s="285" t="s">
        <v>112</v>
      </c>
      <c r="G16" s="285" t="s">
        <v>60</v>
      </c>
      <c r="H16" s="511">
        <f t="shared" si="2"/>
        <v>68.682600935154753</v>
      </c>
      <c r="I16" s="286">
        <f>+H16/VLOOKUP("Road - "&amp;E16,'Default Parameter'!$A$8:$M$17,4,FALSE)/1000*100</f>
        <v>9.2721511262458929</v>
      </c>
      <c r="J16" s="287" t="s">
        <v>463</v>
      </c>
      <c r="K16" s="288"/>
      <c r="L16" s="14" t="s">
        <v>110</v>
      </c>
      <c r="M16" s="15" t="s">
        <v>111</v>
      </c>
      <c r="N16" s="15">
        <v>2</v>
      </c>
      <c r="O16" s="17">
        <v>5</v>
      </c>
      <c r="Q16" s="509" t="s">
        <v>49</v>
      </c>
      <c r="R16" s="156" t="s">
        <v>427</v>
      </c>
      <c r="S16" s="504">
        <v>53.387883775649833</v>
      </c>
      <c r="T16" s="504">
        <v>7.207364309712724</v>
      </c>
    </row>
    <row r="17" spans="1:22">
      <c r="A17" s="284" t="str">
        <f>+CONCATENATE(L17,M17,N17,O17)</f>
        <v>PG26</v>
      </c>
      <c r="B17" s="285" t="s">
        <v>107</v>
      </c>
      <c r="C17" s="285" t="s">
        <v>113</v>
      </c>
      <c r="D17" s="285" t="s">
        <v>45</v>
      </c>
      <c r="E17" s="285" t="s">
        <v>49</v>
      </c>
      <c r="F17" s="285" t="s">
        <v>112</v>
      </c>
      <c r="G17" s="285" t="s">
        <v>62</v>
      </c>
      <c r="H17" s="511">
        <f t="shared" si="2"/>
        <v>68.682600935154753</v>
      </c>
      <c r="I17" s="286">
        <f>+H17/VLOOKUP("Road - "&amp;E17,'Default Parameter'!$A$8:$M$17,4,FALSE)/1000*100</f>
        <v>9.2721511262458929</v>
      </c>
      <c r="J17" s="287" t="s">
        <v>463</v>
      </c>
      <c r="K17" s="288"/>
      <c r="L17" s="14" t="s">
        <v>110</v>
      </c>
      <c r="M17" s="15" t="s">
        <v>111</v>
      </c>
      <c r="N17" s="15">
        <v>2</v>
      </c>
      <c r="O17" s="17">
        <v>6</v>
      </c>
      <c r="Q17" s="509" t="s">
        <v>49</v>
      </c>
      <c r="R17" s="156" t="s">
        <v>400</v>
      </c>
      <c r="S17" s="504">
        <v>66.615164298959755</v>
      </c>
      <c r="T17" s="504">
        <v>8.9930471803595626</v>
      </c>
    </row>
    <row r="18" spans="1:22">
      <c r="A18" s="284" t="str">
        <f t="shared" si="1"/>
        <v>PG30</v>
      </c>
      <c r="B18" s="285" t="s">
        <v>107</v>
      </c>
      <c r="C18" s="285" t="s">
        <v>114</v>
      </c>
      <c r="D18" s="285" t="s">
        <v>45</v>
      </c>
      <c r="E18" s="285" t="s">
        <v>49</v>
      </c>
      <c r="F18" s="285" t="s">
        <v>109</v>
      </c>
      <c r="G18" s="285" t="s">
        <v>50</v>
      </c>
      <c r="H18" s="511">
        <f>+$S$10</f>
        <v>88.464777100134881</v>
      </c>
      <c r="I18" s="286">
        <f>+H18/VLOOKUP("Road - "&amp;E18,'Default Parameter'!$A$8:$M$17,4,FALSE)/1000*100</f>
        <v>11.942744908518209</v>
      </c>
      <c r="J18" s="287" t="s">
        <v>463</v>
      </c>
      <c r="K18" s="288"/>
      <c r="L18" s="14" t="s">
        <v>110</v>
      </c>
      <c r="M18" s="15" t="s">
        <v>111</v>
      </c>
      <c r="N18" s="15">
        <v>3</v>
      </c>
      <c r="O18" s="16">
        <v>0</v>
      </c>
      <c r="Q18" s="509" t="s">
        <v>49</v>
      </c>
      <c r="R18" s="156" t="s">
        <v>401</v>
      </c>
      <c r="S18" s="504">
        <v>89.960150043234876</v>
      </c>
      <c r="T18" s="504">
        <v>12.144620255836704</v>
      </c>
    </row>
    <row r="19" spans="1:22">
      <c r="A19" s="284" t="str">
        <f t="shared" si="1"/>
        <v>PG31</v>
      </c>
      <c r="B19" s="285" t="s">
        <v>107</v>
      </c>
      <c r="C19" s="285" t="s">
        <v>114</v>
      </c>
      <c r="D19" s="285" t="s">
        <v>45</v>
      </c>
      <c r="E19" s="285" t="s">
        <v>49</v>
      </c>
      <c r="F19" s="285" t="s">
        <v>112</v>
      </c>
      <c r="G19" s="285" t="s">
        <v>54</v>
      </c>
      <c r="H19" s="511">
        <f t="shared" ref="H19:H24" si="3">+$S$10</f>
        <v>88.464777100134881</v>
      </c>
      <c r="I19" s="286">
        <f>+H19/VLOOKUP("Road - "&amp;E19,'Default Parameter'!$A$8:$M$17,4,FALSE)/1000*100</f>
        <v>11.942744908518209</v>
      </c>
      <c r="J19" s="287" t="s">
        <v>463</v>
      </c>
      <c r="K19" s="288"/>
      <c r="L19" s="14" t="s">
        <v>110</v>
      </c>
      <c r="M19" s="15" t="s">
        <v>111</v>
      </c>
      <c r="N19" s="15">
        <v>3</v>
      </c>
      <c r="O19" s="16">
        <v>1</v>
      </c>
      <c r="Q19" s="509" t="s">
        <v>428</v>
      </c>
      <c r="R19" s="156" t="s">
        <v>399</v>
      </c>
      <c r="S19" s="504">
        <v>46.531026829377822</v>
      </c>
      <c r="T19" s="504">
        <v>5.5139266792812744</v>
      </c>
      <c r="V19" s="106">
        <f>+S19*$T$11/$S$11</f>
        <v>5.5139266792812744</v>
      </c>
    </row>
    <row r="20" spans="1:22">
      <c r="A20" s="284" t="str">
        <f t="shared" si="1"/>
        <v>PG32</v>
      </c>
      <c r="B20" s="285" t="s">
        <v>107</v>
      </c>
      <c r="C20" s="285" t="s">
        <v>114</v>
      </c>
      <c r="D20" s="285" t="s">
        <v>45</v>
      </c>
      <c r="E20" s="285" t="s">
        <v>49</v>
      </c>
      <c r="F20" s="285" t="s">
        <v>112</v>
      </c>
      <c r="G20" s="285" t="s">
        <v>57</v>
      </c>
      <c r="H20" s="511">
        <f t="shared" si="3"/>
        <v>88.464777100134881</v>
      </c>
      <c r="I20" s="286">
        <f>+H20/VLOOKUP("Road - "&amp;E20,'Default Parameter'!$A$8:$M$17,4,FALSE)/1000*100</f>
        <v>11.942744908518209</v>
      </c>
      <c r="J20" s="287" t="s">
        <v>463</v>
      </c>
      <c r="K20" s="288"/>
      <c r="L20" s="14" t="s">
        <v>110</v>
      </c>
      <c r="M20" s="15" t="s">
        <v>111</v>
      </c>
      <c r="N20" s="15">
        <v>3</v>
      </c>
      <c r="O20" s="16">
        <v>2</v>
      </c>
      <c r="Q20" s="509" t="s">
        <v>428</v>
      </c>
      <c r="R20" s="156" t="s">
        <v>400</v>
      </c>
      <c r="S20" s="504">
        <v>61.202445838448426</v>
      </c>
      <c r="T20" s="504">
        <v>7.2524898318561419</v>
      </c>
      <c r="V20" s="106">
        <f>+S20*$T$11/$S$11</f>
        <v>7.2524898318561419</v>
      </c>
    </row>
    <row r="21" spans="1:22">
      <c r="A21" s="284" t="str">
        <f t="shared" si="1"/>
        <v>PG33</v>
      </c>
      <c r="B21" s="285" t="s">
        <v>107</v>
      </c>
      <c r="C21" s="285" t="s">
        <v>114</v>
      </c>
      <c r="D21" s="285" t="s">
        <v>45</v>
      </c>
      <c r="E21" s="285" t="s">
        <v>49</v>
      </c>
      <c r="F21" s="285" t="s">
        <v>112</v>
      </c>
      <c r="G21" s="285" t="s">
        <v>58</v>
      </c>
      <c r="H21" s="511">
        <f t="shared" si="3"/>
        <v>88.464777100134881</v>
      </c>
      <c r="I21" s="286">
        <f>+H21/VLOOKUP("Road - "&amp;E21,'Default Parameter'!$A$8:$M$17,4,FALSE)/1000*100</f>
        <v>11.942744908518209</v>
      </c>
      <c r="J21" s="287" t="s">
        <v>463</v>
      </c>
      <c r="K21" s="288"/>
      <c r="L21" s="14" t="s">
        <v>110</v>
      </c>
      <c r="M21" s="15" t="s">
        <v>111</v>
      </c>
      <c r="N21" s="15">
        <v>3</v>
      </c>
      <c r="O21" s="17">
        <v>3</v>
      </c>
      <c r="Q21" s="509" t="s">
        <v>428</v>
      </c>
      <c r="R21" s="156" t="s">
        <v>401</v>
      </c>
      <c r="S21" s="504">
        <v>78.71977508614512</v>
      </c>
      <c r="T21" s="504">
        <v>9.3282933477082022</v>
      </c>
      <c r="V21" s="106">
        <f>+S21*$T$11/$S$11</f>
        <v>9.3282933477082022</v>
      </c>
    </row>
    <row r="22" spans="1:22">
      <c r="A22" s="284" t="str">
        <f t="shared" si="1"/>
        <v>PG34</v>
      </c>
      <c r="B22" s="285" t="s">
        <v>107</v>
      </c>
      <c r="C22" s="285" t="s">
        <v>114</v>
      </c>
      <c r="D22" s="285" t="s">
        <v>45</v>
      </c>
      <c r="E22" s="285" t="s">
        <v>49</v>
      </c>
      <c r="F22" s="285" t="s">
        <v>112</v>
      </c>
      <c r="G22" s="285" t="s">
        <v>59</v>
      </c>
      <c r="H22" s="511">
        <f t="shared" si="3"/>
        <v>88.464777100134881</v>
      </c>
      <c r="I22" s="286">
        <f>+H22/VLOOKUP("Road - "&amp;E22,'Default Parameter'!$A$8:$M$17,4,FALSE)/1000*100</f>
        <v>11.942744908518209</v>
      </c>
      <c r="J22" s="287" t="s">
        <v>463</v>
      </c>
      <c r="K22" s="288"/>
      <c r="L22" s="14" t="s">
        <v>110</v>
      </c>
      <c r="M22" s="15" t="s">
        <v>111</v>
      </c>
      <c r="N22" s="15">
        <v>3</v>
      </c>
      <c r="O22" s="17">
        <v>4</v>
      </c>
      <c r="R22" s="503"/>
      <c r="S22" s="506"/>
      <c r="T22" s="506"/>
    </row>
    <row r="23" spans="1:22">
      <c r="A23" s="284" t="str">
        <f t="shared" si="1"/>
        <v>PG35</v>
      </c>
      <c r="B23" s="285" t="s">
        <v>107</v>
      </c>
      <c r="C23" s="285" t="s">
        <v>114</v>
      </c>
      <c r="D23" s="285" t="s">
        <v>45</v>
      </c>
      <c r="E23" s="285" t="s">
        <v>49</v>
      </c>
      <c r="F23" s="285" t="s">
        <v>112</v>
      </c>
      <c r="G23" s="285" t="s">
        <v>60</v>
      </c>
      <c r="H23" s="511">
        <f t="shared" si="3"/>
        <v>88.464777100134881</v>
      </c>
      <c r="I23" s="286">
        <f>+H23/VLOOKUP("Road - "&amp;E23,'Default Parameter'!$A$8:$M$17,4,FALSE)/1000*100</f>
        <v>11.942744908518209</v>
      </c>
      <c r="J23" s="287" t="s">
        <v>463</v>
      </c>
      <c r="K23" s="288"/>
      <c r="L23" s="14" t="s">
        <v>110</v>
      </c>
      <c r="M23" s="15" t="s">
        <v>111</v>
      </c>
      <c r="N23" s="15">
        <v>3</v>
      </c>
      <c r="O23" s="17">
        <v>5</v>
      </c>
      <c r="R23" s="501" t="s">
        <v>421</v>
      </c>
      <c r="S23" s="502"/>
      <c r="T23" s="502"/>
    </row>
    <row r="24" spans="1:22">
      <c r="A24" s="284" t="str">
        <f t="shared" si="1"/>
        <v>PG36</v>
      </c>
      <c r="B24" s="285" t="s">
        <v>107</v>
      </c>
      <c r="C24" s="285" t="s">
        <v>114</v>
      </c>
      <c r="D24" s="285" t="s">
        <v>45</v>
      </c>
      <c r="E24" s="285" t="s">
        <v>49</v>
      </c>
      <c r="F24" s="285" t="s">
        <v>112</v>
      </c>
      <c r="G24" s="285" t="s">
        <v>62</v>
      </c>
      <c r="H24" s="511">
        <f t="shared" si="3"/>
        <v>88.464777100134881</v>
      </c>
      <c r="I24" s="286">
        <f>+H24/VLOOKUP("Road - "&amp;E24,'Default Parameter'!$A$8:$M$17,4,FALSE)/1000*100</f>
        <v>11.942744908518209</v>
      </c>
      <c r="J24" s="287" t="s">
        <v>463</v>
      </c>
      <c r="K24" s="288"/>
      <c r="L24" s="14" t="s">
        <v>110</v>
      </c>
      <c r="M24" s="15" t="s">
        <v>111</v>
      </c>
      <c r="N24" s="15">
        <v>3</v>
      </c>
      <c r="O24" s="17">
        <v>6</v>
      </c>
      <c r="R24" s="503" t="s">
        <v>422</v>
      </c>
      <c r="S24" s="504">
        <v>265.59319022890622</v>
      </c>
      <c r="T24" s="504">
        <v>31.472793042125403</v>
      </c>
    </row>
    <row r="25" spans="1:22">
      <c r="A25" s="284" t="str">
        <f t="shared" si="1"/>
        <v>PD10</v>
      </c>
      <c r="B25" s="285" t="s">
        <v>107</v>
      </c>
      <c r="C25" s="285" t="s">
        <v>115</v>
      </c>
      <c r="D25" s="285" t="s">
        <v>45</v>
      </c>
      <c r="E25" s="285" t="s">
        <v>53</v>
      </c>
      <c r="F25" s="285" t="s">
        <v>116</v>
      </c>
      <c r="G25" s="285" t="s">
        <v>50</v>
      </c>
      <c r="H25" s="511">
        <f>+$S$11</f>
        <v>44.773022080641468</v>
      </c>
      <c r="I25" s="286">
        <f>+H25/VLOOKUP("Road - "&amp;E25,'Default Parameter'!$A$8:$M$17,4,FALSE)/1000*100</f>
        <v>5.3056031165560169</v>
      </c>
      <c r="J25" s="287" t="s">
        <v>463</v>
      </c>
      <c r="K25" s="288"/>
      <c r="L25" s="14" t="s">
        <v>110</v>
      </c>
      <c r="M25" s="15" t="s">
        <v>117</v>
      </c>
      <c r="N25" s="15">
        <v>1</v>
      </c>
      <c r="O25" s="17">
        <v>0</v>
      </c>
      <c r="R25" s="503"/>
      <c r="S25" s="506"/>
      <c r="T25" s="506"/>
    </row>
    <row r="26" spans="1:22">
      <c r="A26" s="284" t="str">
        <f t="shared" si="1"/>
        <v>PD11</v>
      </c>
      <c r="B26" s="285" t="s">
        <v>107</v>
      </c>
      <c r="C26" s="285" t="s">
        <v>115</v>
      </c>
      <c r="D26" s="285" t="s">
        <v>45</v>
      </c>
      <c r="E26" s="285" t="s">
        <v>53</v>
      </c>
      <c r="F26" s="285" t="s">
        <v>116</v>
      </c>
      <c r="G26" s="285" t="s">
        <v>54</v>
      </c>
      <c r="H26" s="511">
        <f t="shared" ref="H26:H31" si="4">+$S$11</f>
        <v>44.773022080641468</v>
      </c>
      <c r="I26" s="286">
        <f>+H26/VLOOKUP("Road - "&amp;E26,'Default Parameter'!$A$8:$M$17,4,FALSE)/1000*100</f>
        <v>5.3056031165560169</v>
      </c>
      <c r="J26" s="287" t="s">
        <v>463</v>
      </c>
      <c r="K26" s="288"/>
      <c r="L26" s="14" t="s">
        <v>110</v>
      </c>
      <c r="M26" s="15" t="s">
        <v>117</v>
      </c>
      <c r="N26" s="15">
        <v>1</v>
      </c>
      <c r="O26" s="17">
        <v>1</v>
      </c>
      <c r="R26" s="501" t="s">
        <v>423</v>
      </c>
      <c r="S26" s="502"/>
      <c r="T26" s="502"/>
    </row>
    <row r="27" spans="1:22">
      <c r="A27" s="284" t="str">
        <f t="shared" si="1"/>
        <v>PD12</v>
      </c>
      <c r="B27" s="285" t="s">
        <v>107</v>
      </c>
      <c r="C27" s="285" t="s">
        <v>115</v>
      </c>
      <c r="D27" s="285" t="s">
        <v>45</v>
      </c>
      <c r="E27" s="285" t="s">
        <v>53</v>
      </c>
      <c r="F27" s="285" t="s">
        <v>116</v>
      </c>
      <c r="G27" s="285" t="s">
        <v>57</v>
      </c>
      <c r="H27" s="511">
        <f t="shared" si="4"/>
        <v>44.773022080641468</v>
      </c>
      <c r="I27" s="286">
        <f>+H27/VLOOKUP("Road - "&amp;E27,'Default Parameter'!$A$8:$M$17,4,FALSE)/1000*100</f>
        <v>5.3056031165560169</v>
      </c>
      <c r="J27" s="287" t="s">
        <v>463</v>
      </c>
      <c r="K27" s="288"/>
      <c r="L27" s="14" t="s">
        <v>110</v>
      </c>
      <c r="M27" s="15" t="s">
        <v>117</v>
      </c>
      <c r="N27" s="15">
        <v>1</v>
      </c>
      <c r="O27" s="17">
        <v>2</v>
      </c>
      <c r="R27" s="503" t="s">
        <v>404</v>
      </c>
      <c r="S27" s="504">
        <v>110.94862077753139</v>
      </c>
      <c r="T27" s="504">
        <v>13.147411562137476</v>
      </c>
      <c r="V27" s="106">
        <f>+S27*$T$11/$S$11</f>
        <v>13.147411562137478</v>
      </c>
    </row>
    <row r="28" spans="1:22">
      <c r="A28" s="284" t="str">
        <f t="shared" si="1"/>
        <v>PD13</v>
      </c>
      <c r="B28" s="285" t="s">
        <v>107</v>
      </c>
      <c r="C28" s="285" t="s">
        <v>115</v>
      </c>
      <c r="D28" s="285" t="s">
        <v>45</v>
      </c>
      <c r="E28" s="285" t="s">
        <v>53</v>
      </c>
      <c r="F28" s="285" t="s">
        <v>116</v>
      </c>
      <c r="G28" s="285" t="s">
        <v>58</v>
      </c>
      <c r="H28" s="511">
        <f t="shared" si="4"/>
        <v>44.773022080641468</v>
      </c>
      <c r="I28" s="286">
        <f>+H28/VLOOKUP("Road - "&amp;E28,'Default Parameter'!$A$8:$M$17,4,FALSE)/1000*100</f>
        <v>5.3056031165560169</v>
      </c>
      <c r="J28" s="287" t="s">
        <v>463</v>
      </c>
      <c r="K28" s="288"/>
      <c r="L28" s="14" t="s">
        <v>110</v>
      </c>
      <c r="M28" s="15" t="s">
        <v>117</v>
      </c>
      <c r="N28" s="15">
        <v>1</v>
      </c>
      <c r="O28" s="17">
        <v>3</v>
      </c>
      <c r="R28" s="503" t="s">
        <v>405</v>
      </c>
      <c r="S28" s="504">
        <v>167.87331394073667</v>
      </c>
      <c r="T28" s="504">
        <v>19.892987701977301</v>
      </c>
      <c r="V28" s="106">
        <f>+S28*$T$11/$S$11</f>
        <v>19.892987701977304</v>
      </c>
    </row>
    <row r="29" spans="1:22">
      <c r="A29" s="284" t="str">
        <f t="shared" si="1"/>
        <v>PD14</v>
      </c>
      <c r="B29" s="285" t="s">
        <v>107</v>
      </c>
      <c r="C29" s="285" t="s">
        <v>115</v>
      </c>
      <c r="D29" s="285" t="s">
        <v>45</v>
      </c>
      <c r="E29" s="285" t="s">
        <v>53</v>
      </c>
      <c r="F29" s="285" t="s">
        <v>116</v>
      </c>
      <c r="G29" s="285" t="s">
        <v>59</v>
      </c>
      <c r="H29" s="511">
        <f t="shared" si="4"/>
        <v>44.773022080641468</v>
      </c>
      <c r="I29" s="286">
        <f>+H29/VLOOKUP("Road - "&amp;E29,'Default Parameter'!$A$8:$M$17,4,FALSE)/1000*100</f>
        <v>5.3056031165560169</v>
      </c>
      <c r="J29" s="287" t="s">
        <v>463</v>
      </c>
      <c r="K29" s="288"/>
      <c r="L29" s="14" t="s">
        <v>110</v>
      </c>
      <c r="M29" s="15" t="s">
        <v>117</v>
      </c>
      <c r="N29" s="15">
        <v>1</v>
      </c>
      <c r="O29" s="17">
        <v>4</v>
      </c>
      <c r="R29" s="503" t="s">
        <v>406</v>
      </c>
      <c r="S29" s="504">
        <v>183.03777927405517</v>
      </c>
      <c r="T29" s="504">
        <v>21.68997684397555</v>
      </c>
    </row>
    <row r="30" spans="1:22">
      <c r="A30" s="284" t="str">
        <f t="shared" si="1"/>
        <v>PD15</v>
      </c>
      <c r="B30" s="285" t="s">
        <v>107</v>
      </c>
      <c r="C30" s="285" t="s">
        <v>115</v>
      </c>
      <c r="D30" s="285" t="s">
        <v>45</v>
      </c>
      <c r="E30" s="285" t="s">
        <v>53</v>
      </c>
      <c r="F30" s="285" t="s">
        <v>116</v>
      </c>
      <c r="G30" s="285" t="s">
        <v>60</v>
      </c>
      <c r="H30" s="511">
        <f t="shared" si="4"/>
        <v>44.773022080641468</v>
      </c>
      <c r="I30" s="286">
        <f>+H30/VLOOKUP("Road - "&amp;E30,'Default Parameter'!$A$8:$M$17,4,FALSE)/1000*100</f>
        <v>5.3056031165560169</v>
      </c>
      <c r="J30" s="287" t="s">
        <v>463</v>
      </c>
      <c r="K30" s="288"/>
      <c r="L30" s="14" t="s">
        <v>110</v>
      </c>
      <c r="M30" s="15" t="s">
        <v>117</v>
      </c>
      <c r="N30" s="15">
        <v>1</v>
      </c>
      <c r="O30" s="17">
        <v>5</v>
      </c>
      <c r="R30" s="503" t="s">
        <v>407</v>
      </c>
      <c r="S30" s="504">
        <v>222.27915870976321</v>
      </c>
      <c r="T30" s="504">
        <v>26.340080307106952</v>
      </c>
    </row>
    <row r="31" spans="1:22">
      <c r="A31" s="284" t="str">
        <f t="shared" si="1"/>
        <v>PD16</v>
      </c>
      <c r="B31" s="285" t="s">
        <v>107</v>
      </c>
      <c r="C31" s="285" t="s">
        <v>115</v>
      </c>
      <c r="D31" s="285" t="s">
        <v>45</v>
      </c>
      <c r="E31" s="285" t="s">
        <v>53</v>
      </c>
      <c r="F31" s="285" t="s">
        <v>116</v>
      </c>
      <c r="G31" s="285" t="s">
        <v>62</v>
      </c>
      <c r="H31" s="511">
        <f t="shared" si="4"/>
        <v>44.773022080641468</v>
      </c>
      <c r="I31" s="286">
        <f>+H31/VLOOKUP("Road - "&amp;E31,'Default Parameter'!$A$8:$M$17,4,FALSE)/1000*100</f>
        <v>5.3056031165560169</v>
      </c>
      <c r="J31" s="287" t="s">
        <v>463</v>
      </c>
      <c r="K31" s="288"/>
      <c r="L31" s="14" t="s">
        <v>110</v>
      </c>
      <c r="M31" s="15" t="s">
        <v>117</v>
      </c>
      <c r="N31" s="15">
        <v>1</v>
      </c>
      <c r="O31" s="17">
        <v>6</v>
      </c>
      <c r="R31" s="503" t="s">
        <v>408</v>
      </c>
      <c r="S31" s="504">
        <v>282.25487110797127</v>
      </c>
      <c r="T31" s="504">
        <v>33.447202226294607</v>
      </c>
    </row>
    <row r="32" spans="1:22">
      <c r="A32" s="284" t="str">
        <f t="shared" si="1"/>
        <v>PD20</v>
      </c>
      <c r="B32" s="285" t="s">
        <v>107</v>
      </c>
      <c r="C32" s="285" t="s">
        <v>118</v>
      </c>
      <c r="D32" s="285" t="s">
        <v>45</v>
      </c>
      <c r="E32" s="285" t="s">
        <v>53</v>
      </c>
      <c r="F32" s="285" t="s">
        <v>119</v>
      </c>
      <c r="G32" s="285" t="s">
        <v>50</v>
      </c>
      <c r="H32" s="511">
        <f>+$S$12</f>
        <v>57.675499752824692</v>
      </c>
      <c r="I32" s="286">
        <f>+H32/VLOOKUP("Road - "&amp;E32,'Default Parameter'!$A$8:$M$17,4,FALSE)/1000*100</f>
        <v>6.8345467207097306</v>
      </c>
      <c r="J32" s="287" t="s">
        <v>463</v>
      </c>
      <c r="K32" s="288"/>
      <c r="L32" s="14" t="s">
        <v>110</v>
      </c>
      <c r="M32" s="15" t="s">
        <v>117</v>
      </c>
      <c r="N32" s="15">
        <v>2</v>
      </c>
      <c r="O32" s="16">
        <v>0</v>
      </c>
      <c r="R32" s="503" t="s">
        <v>409</v>
      </c>
      <c r="S32" s="504">
        <v>280.98538845699119</v>
      </c>
      <c r="T32" s="504">
        <v>33.296768532153472</v>
      </c>
    </row>
    <row r="33" spans="1:20">
      <c r="A33" s="284" t="str">
        <f t="shared" si="1"/>
        <v>PD21</v>
      </c>
      <c r="B33" s="285" t="s">
        <v>107</v>
      </c>
      <c r="C33" s="285" t="s">
        <v>118</v>
      </c>
      <c r="D33" s="285" t="s">
        <v>45</v>
      </c>
      <c r="E33" s="285" t="s">
        <v>53</v>
      </c>
      <c r="F33" s="285" t="s">
        <v>112</v>
      </c>
      <c r="G33" s="285" t="s">
        <v>54</v>
      </c>
      <c r="H33" s="511">
        <f t="shared" ref="H33:H38" si="5">+$S$12</f>
        <v>57.675499752824692</v>
      </c>
      <c r="I33" s="286">
        <f>+H33/VLOOKUP("Road - "&amp;E33,'Default Parameter'!$A$8:$M$17,4,FALSE)/1000*100</f>
        <v>6.8345467207097306</v>
      </c>
      <c r="J33" s="287" t="s">
        <v>463</v>
      </c>
      <c r="K33" s="288"/>
      <c r="L33" s="14" t="s">
        <v>110</v>
      </c>
      <c r="M33" s="15" t="s">
        <v>117</v>
      </c>
      <c r="N33" s="15">
        <v>2</v>
      </c>
      <c r="O33" s="16">
        <v>1</v>
      </c>
      <c r="R33" s="503" t="s">
        <v>410</v>
      </c>
      <c r="S33" s="504">
        <v>298.13224893218552</v>
      </c>
      <c r="T33" s="504">
        <v>35.328671498464004</v>
      </c>
    </row>
    <row r="34" spans="1:20">
      <c r="A34" s="284" t="str">
        <f t="shared" si="1"/>
        <v>PD22</v>
      </c>
      <c r="B34" s="285" t="s">
        <v>107</v>
      </c>
      <c r="C34" s="285" t="s">
        <v>118</v>
      </c>
      <c r="D34" s="285" t="s">
        <v>45</v>
      </c>
      <c r="E34" s="285" t="s">
        <v>53</v>
      </c>
      <c r="F34" s="285" t="s">
        <v>112</v>
      </c>
      <c r="G34" s="285" t="s">
        <v>57</v>
      </c>
      <c r="H34" s="511">
        <f t="shared" si="5"/>
        <v>57.675499752824692</v>
      </c>
      <c r="I34" s="286">
        <f>+H34/VLOOKUP("Road - "&amp;E34,'Default Parameter'!$A$8:$M$17,4,FALSE)/1000*100</f>
        <v>6.8345467207097306</v>
      </c>
      <c r="J34" s="287" t="s">
        <v>463</v>
      </c>
      <c r="K34" s="288"/>
      <c r="L34" s="14" t="s">
        <v>110</v>
      </c>
      <c r="M34" s="15" t="s">
        <v>117</v>
      </c>
      <c r="N34" s="15">
        <v>2</v>
      </c>
      <c r="O34" s="16">
        <v>2</v>
      </c>
      <c r="R34" s="503" t="s">
        <v>411</v>
      </c>
      <c r="S34" s="504">
        <v>346.33884306801804</v>
      </c>
      <c r="T34" s="504">
        <v>41.04115290356016</v>
      </c>
    </row>
    <row r="35" spans="1:20">
      <c r="A35" s="284" t="str">
        <f t="shared" si="1"/>
        <v>PD23</v>
      </c>
      <c r="B35" s="285" t="s">
        <v>107</v>
      </c>
      <c r="C35" s="285" t="s">
        <v>118</v>
      </c>
      <c r="D35" s="285" t="s">
        <v>45</v>
      </c>
      <c r="E35" s="285" t="s">
        <v>53</v>
      </c>
      <c r="F35" s="285" t="s">
        <v>112</v>
      </c>
      <c r="G35" s="285" t="s">
        <v>58</v>
      </c>
      <c r="H35" s="511">
        <f t="shared" si="5"/>
        <v>57.675499752824692</v>
      </c>
      <c r="I35" s="286">
        <f>+H35/VLOOKUP("Road - "&amp;E35,'Default Parameter'!$A$8:$M$17,4,FALSE)/1000*100</f>
        <v>6.8345467207097306</v>
      </c>
      <c r="J35" s="287" t="s">
        <v>463</v>
      </c>
      <c r="K35" s="288"/>
      <c r="L35" s="14" t="s">
        <v>110</v>
      </c>
      <c r="M35" s="15" t="s">
        <v>117</v>
      </c>
      <c r="N35" s="15">
        <v>2</v>
      </c>
      <c r="O35" s="17">
        <v>3</v>
      </c>
      <c r="R35" s="503"/>
      <c r="S35" s="506"/>
      <c r="T35" s="506"/>
    </row>
    <row r="36" spans="1:20">
      <c r="A36" s="284" t="str">
        <f t="shared" si="1"/>
        <v>PD24</v>
      </c>
      <c r="B36" s="285" t="s">
        <v>107</v>
      </c>
      <c r="C36" s="285" t="s">
        <v>118</v>
      </c>
      <c r="D36" s="285" t="s">
        <v>45</v>
      </c>
      <c r="E36" s="285" t="s">
        <v>53</v>
      </c>
      <c r="F36" s="285" t="s">
        <v>112</v>
      </c>
      <c r="G36" s="285" t="s">
        <v>59</v>
      </c>
      <c r="H36" s="511">
        <f t="shared" si="5"/>
        <v>57.675499752824692</v>
      </c>
      <c r="I36" s="286">
        <f>+H36/VLOOKUP("Road - "&amp;E36,'Default Parameter'!$A$8:$M$17,4,FALSE)/1000*100</f>
        <v>6.8345467207097306</v>
      </c>
      <c r="J36" s="287" t="s">
        <v>463</v>
      </c>
      <c r="K36" s="288"/>
      <c r="L36" s="14" t="s">
        <v>110</v>
      </c>
      <c r="M36" s="15" t="s">
        <v>117</v>
      </c>
      <c r="N36" s="15">
        <v>2</v>
      </c>
      <c r="O36" s="17">
        <v>4</v>
      </c>
      <c r="R36" s="501" t="s">
        <v>329</v>
      </c>
      <c r="S36" s="502"/>
      <c r="T36" s="502"/>
    </row>
    <row r="37" spans="1:20">
      <c r="A37" s="284" t="str">
        <f t="shared" si="1"/>
        <v>PD25</v>
      </c>
      <c r="B37" s="285" t="s">
        <v>107</v>
      </c>
      <c r="C37" s="285" t="s">
        <v>118</v>
      </c>
      <c r="D37" s="285" t="s">
        <v>45</v>
      </c>
      <c r="E37" s="285" t="s">
        <v>53</v>
      </c>
      <c r="F37" s="285" t="s">
        <v>112</v>
      </c>
      <c r="G37" s="285" t="s">
        <v>60</v>
      </c>
      <c r="H37" s="511">
        <f t="shared" si="5"/>
        <v>57.675499752824692</v>
      </c>
      <c r="I37" s="286">
        <f>+H37/VLOOKUP("Road - "&amp;E37,'Default Parameter'!$A$8:$M$17,4,FALSE)/1000*100</f>
        <v>6.8345467207097306</v>
      </c>
      <c r="J37" s="287" t="s">
        <v>463</v>
      </c>
      <c r="K37" s="288"/>
      <c r="L37" s="14" t="s">
        <v>110</v>
      </c>
      <c r="M37" s="15" t="s">
        <v>117</v>
      </c>
      <c r="N37" s="15">
        <v>2</v>
      </c>
      <c r="O37" s="17">
        <v>5</v>
      </c>
      <c r="R37" s="503" t="s">
        <v>424</v>
      </c>
      <c r="S37" s="504">
        <v>21.111302713648815</v>
      </c>
      <c r="T37" s="504">
        <v>2.8500258663425893</v>
      </c>
    </row>
    <row r="38" spans="1:20">
      <c r="A38" s="284" t="str">
        <f t="shared" si="1"/>
        <v>PD26</v>
      </c>
      <c r="B38" s="285" t="s">
        <v>107</v>
      </c>
      <c r="C38" s="285" t="s">
        <v>118</v>
      </c>
      <c r="D38" s="285" t="s">
        <v>45</v>
      </c>
      <c r="E38" s="285" t="s">
        <v>53</v>
      </c>
      <c r="F38" s="285" t="s">
        <v>112</v>
      </c>
      <c r="G38" s="285" t="s">
        <v>62</v>
      </c>
      <c r="H38" s="511">
        <f t="shared" si="5"/>
        <v>57.675499752824692</v>
      </c>
      <c r="I38" s="286">
        <f>+H38/VLOOKUP("Road - "&amp;E38,'Default Parameter'!$A$8:$M$17,4,FALSE)/1000*100</f>
        <v>6.8345467207097306</v>
      </c>
      <c r="J38" s="287" t="s">
        <v>463</v>
      </c>
      <c r="K38" s="288"/>
      <c r="L38" s="14" t="s">
        <v>110</v>
      </c>
      <c r="M38" s="15" t="s">
        <v>117</v>
      </c>
      <c r="N38" s="15">
        <v>2</v>
      </c>
      <c r="O38" s="17">
        <v>6</v>
      </c>
      <c r="R38" s="503" t="s">
        <v>425</v>
      </c>
      <c r="S38" s="504">
        <v>23.877397912788581</v>
      </c>
      <c r="T38" s="504">
        <v>3.2234487182264573</v>
      </c>
    </row>
    <row r="39" spans="1:20">
      <c r="A39" s="284" t="str">
        <f t="shared" si="1"/>
        <v>PD30</v>
      </c>
      <c r="B39" s="285" t="s">
        <v>107</v>
      </c>
      <c r="C39" s="285" t="s">
        <v>120</v>
      </c>
      <c r="D39" s="285" t="s">
        <v>45</v>
      </c>
      <c r="E39" s="285" t="s">
        <v>53</v>
      </c>
      <c r="F39" s="285" t="s">
        <v>119</v>
      </c>
      <c r="G39" s="285" t="s">
        <v>50</v>
      </c>
      <c r="H39" s="511">
        <f>+$S$13</f>
        <v>75.810569689864167</v>
      </c>
      <c r="I39" s="286">
        <f>+H39/VLOOKUP("Road - "&amp;E39,'Default Parameter'!$A$8:$M$17,4,FALSE)/1000*100</f>
        <v>8.9835525082489092</v>
      </c>
      <c r="J39" s="287" t="s">
        <v>463</v>
      </c>
      <c r="K39" s="288"/>
      <c r="L39" s="14" t="s">
        <v>110</v>
      </c>
      <c r="M39" s="15" t="s">
        <v>117</v>
      </c>
      <c r="N39" s="15">
        <v>3</v>
      </c>
      <c r="O39" s="16">
        <v>0</v>
      </c>
      <c r="R39" s="503" t="s">
        <v>426</v>
      </c>
      <c r="S39" s="504">
        <v>35.544732894897351</v>
      </c>
      <c r="T39" s="504">
        <v>4.7985389408111407</v>
      </c>
    </row>
    <row r="40" spans="1:20">
      <c r="A40" s="284" t="str">
        <f t="shared" si="1"/>
        <v>PD31</v>
      </c>
      <c r="B40" s="285" t="s">
        <v>107</v>
      </c>
      <c r="C40" s="285" t="s">
        <v>120</v>
      </c>
      <c r="D40" s="285" t="s">
        <v>45</v>
      </c>
      <c r="E40" s="285" t="s">
        <v>53</v>
      </c>
      <c r="F40" s="285" t="s">
        <v>112</v>
      </c>
      <c r="G40" s="285" t="s">
        <v>54</v>
      </c>
      <c r="H40" s="511">
        <f t="shared" ref="H40:H45" si="6">+$S$13</f>
        <v>75.810569689864167</v>
      </c>
      <c r="I40" s="286">
        <f>+H40/VLOOKUP("Road - "&amp;E40,'Default Parameter'!$A$8:$M$17,4,FALSE)/1000*100</f>
        <v>8.9835525082489092</v>
      </c>
      <c r="J40" s="287" t="s">
        <v>463</v>
      </c>
      <c r="K40" s="288"/>
      <c r="L40" s="14" t="s">
        <v>110</v>
      </c>
      <c r="M40" s="15" t="s">
        <v>117</v>
      </c>
      <c r="N40" s="15">
        <v>3</v>
      </c>
      <c r="O40" s="16">
        <v>1</v>
      </c>
    </row>
    <row r="41" spans="1:20">
      <c r="A41" s="284" t="str">
        <f t="shared" si="1"/>
        <v>PD32</v>
      </c>
      <c r="B41" s="285" t="s">
        <v>107</v>
      </c>
      <c r="C41" s="285" t="s">
        <v>120</v>
      </c>
      <c r="D41" s="285" t="s">
        <v>45</v>
      </c>
      <c r="E41" s="285" t="s">
        <v>53</v>
      </c>
      <c r="F41" s="285" t="s">
        <v>112</v>
      </c>
      <c r="G41" s="285" t="s">
        <v>57</v>
      </c>
      <c r="H41" s="511">
        <f t="shared" si="6"/>
        <v>75.810569689864167</v>
      </c>
      <c r="I41" s="286">
        <f>+H41/VLOOKUP("Road - "&amp;E41,'Default Parameter'!$A$8:$M$17,4,FALSE)/1000*100</f>
        <v>8.9835525082489092</v>
      </c>
      <c r="J41" s="287" t="s">
        <v>463</v>
      </c>
      <c r="K41" s="288"/>
      <c r="L41" s="14" t="s">
        <v>110</v>
      </c>
      <c r="M41" s="15" t="s">
        <v>117</v>
      </c>
      <c r="N41" s="15">
        <v>3</v>
      </c>
      <c r="O41" s="16">
        <v>2</v>
      </c>
      <c r="R41" s="106" t="s">
        <v>468</v>
      </c>
    </row>
    <row r="42" spans="1:20">
      <c r="A42" s="284" t="str">
        <f t="shared" si="1"/>
        <v>PD33</v>
      </c>
      <c r="B42" s="285" t="s">
        <v>107</v>
      </c>
      <c r="C42" s="285" t="s">
        <v>120</v>
      </c>
      <c r="D42" s="285" t="s">
        <v>45</v>
      </c>
      <c r="E42" s="285" t="s">
        <v>53</v>
      </c>
      <c r="F42" s="285" t="s">
        <v>112</v>
      </c>
      <c r="G42" s="285" t="s">
        <v>58</v>
      </c>
      <c r="H42" s="511">
        <f t="shared" si="6"/>
        <v>75.810569689864167</v>
      </c>
      <c r="I42" s="286">
        <f>+H42/VLOOKUP("Road - "&amp;E42,'Default Parameter'!$A$8:$M$17,4,FALSE)/1000*100</f>
        <v>8.9835525082489092</v>
      </c>
      <c r="J42" s="287" t="s">
        <v>463</v>
      </c>
      <c r="K42" s="288"/>
      <c r="L42" s="14" t="s">
        <v>110</v>
      </c>
      <c r="M42" s="15" t="s">
        <v>117</v>
      </c>
      <c r="N42" s="15">
        <v>3</v>
      </c>
      <c r="O42" s="17">
        <v>3</v>
      </c>
    </row>
    <row r="43" spans="1:20">
      <c r="A43" s="284" t="str">
        <f t="shared" si="1"/>
        <v>PD34</v>
      </c>
      <c r="B43" s="285" t="s">
        <v>107</v>
      </c>
      <c r="C43" s="285" t="s">
        <v>120</v>
      </c>
      <c r="D43" s="285" t="s">
        <v>45</v>
      </c>
      <c r="E43" s="285" t="s">
        <v>53</v>
      </c>
      <c r="F43" s="285" t="s">
        <v>112</v>
      </c>
      <c r="G43" s="285" t="s">
        <v>59</v>
      </c>
      <c r="H43" s="511">
        <f t="shared" si="6"/>
        <v>75.810569689864167</v>
      </c>
      <c r="I43" s="286">
        <f>+H43/VLOOKUP("Road - "&amp;E43,'Default Parameter'!$A$8:$M$17,4,FALSE)/1000*100</f>
        <v>8.9835525082489092</v>
      </c>
      <c r="J43" s="287" t="s">
        <v>463</v>
      </c>
      <c r="K43" s="288"/>
      <c r="L43" s="15" t="s">
        <v>110</v>
      </c>
      <c r="M43" s="15" t="s">
        <v>117</v>
      </c>
      <c r="N43" s="15">
        <v>3</v>
      </c>
      <c r="O43" s="111">
        <v>4</v>
      </c>
    </row>
    <row r="44" spans="1:20">
      <c r="A44" s="284" t="str">
        <f>+CONCATENATE(L44,M44,N44,O44)</f>
        <v>PD35</v>
      </c>
      <c r="B44" s="285" t="s">
        <v>107</v>
      </c>
      <c r="C44" s="285" t="s">
        <v>120</v>
      </c>
      <c r="D44" s="285" t="s">
        <v>45</v>
      </c>
      <c r="E44" s="285" t="s">
        <v>53</v>
      </c>
      <c r="F44" s="285" t="s">
        <v>112</v>
      </c>
      <c r="G44" s="285" t="s">
        <v>60</v>
      </c>
      <c r="H44" s="511">
        <f t="shared" si="6"/>
        <v>75.810569689864167</v>
      </c>
      <c r="I44" s="286">
        <f>+H44/VLOOKUP("Road - "&amp;E44,'Default Parameter'!$A$8:$M$17,4,FALSE)/1000*100</f>
        <v>8.9835525082489092</v>
      </c>
      <c r="J44" s="287" t="s">
        <v>463</v>
      </c>
      <c r="K44" s="288"/>
      <c r="L44" s="15" t="s">
        <v>110</v>
      </c>
      <c r="M44" s="15" t="s">
        <v>117</v>
      </c>
      <c r="N44" s="15">
        <v>3</v>
      </c>
      <c r="O44" s="111">
        <v>5</v>
      </c>
    </row>
    <row r="45" spans="1:20">
      <c r="A45" s="284" t="str">
        <f>+CONCATENATE(L45,M45,N45,O45)</f>
        <v>PD36</v>
      </c>
      <c r="B45" s="285" t="s">
        <v>107</v>
      </c>
      <c r="C45" s="285" t="s">
        <v>120</v>
      </c>
      <c r="D45" s="285" t="s">
        <v>45</v>
      </c>
      <c r="E45" s="285" t="s">
        <v>53</v>
      </c>
      <c r="F45" s="285" t="s">
        <v>112</v>
      </c>
      <c r="G45" s="285" t="s">
        <v>62</v>
      </c>
      <c r="H45" s="511">
        <f t="shared" si="6"/>
        <v>75.810569689864167</v>
      </c>
      <c r="I45" s="286">
        <f>+H45/VLOOKUP("Road - "&amp;E45,'Default Parameter'!$A$8:$M$17,4,FALSE)/1000*100</f>
        <v>8.9835525082489092</v>
      </c>
      <c r="J45" s="287" t="s">
        <v>463</v>
      </c>
      <c r="K45" s="288"/>
      <c r="L45" s="15" t="s">
        <v>110</v>
      </c>
      <c r="M45" s="15" t="s">
        <v>117</v>
      </c>
      <c r="N45" s="15">
        <v>3</v>
      </c>
      <c r="O45" s="111">
        <v>6</v>
      </c>
    </row>
    <row r="46" spans="1:20">
      <c r="A46" s="284" t="s">
        <v>71</v>
      </c>
      <c r="B46" s="285" t="s">
        <v>107</v>
      </c>
      <c r="C46" s="285" t="s">
        <v>70</v>
      </c>
      <c r="D46" s="285" t="s">
        <v>45</v>
      </c>
      <c r="E46" s="285" t="s">
        <v>70</v>
      </c>
      <c r="F46" s="285" t="s">
        <v>119</v>
      </c>
      <c r="G46" s="285" t="s">
        <v>50</v>
      </c>
      <c r="H46" s="163">
        <v>59</v>
      </c>
      <c r="I46" s="286">
        <f>+H46/VLOOKUP("Road - "&amp;E46,'Default Parameter'!$A$8:$M$17,4,FALSE)/1000*100</f>
        <v>11.298499999999999</v>
      </c>
      <c r="J46" s="287" t="s">
        <v>320</v>
      </c>
      <c r="K46" s="288"/>
      <c r="L46" s="15" t="s">
        <v>110</v>
      </c>
      <c r="M46" s="111" t="s">
        <v>121</v>
      </c>
      <c r="N46" s="111">
        <v>0</v>
      </c>
      <c r="O46" s="15">
        <v>0</v>
      </c>
    </row>
    <row r="47" spans="1:20">
      <c r="A47" s="284" t="s">
        <v>72</v>
      </c>
      <c r="B47" s="285" t="s">
        <v>107</v>
      </c>
      <c r="C47" s="285" t="s">
        <v>70</v>
      </c>
      <c r="D47" s="285" t="s">
        <v>45</v>
      </c>
      <c r="E47" s="285" t="s">
        <v>70</v>
      </c>
      <c r="F47" s="285" t="s">
        <v>112</v>
      </c>
      <c r="G47" s="285" t="s">
        <v>54</v>
      </c>
      <c r="H47" s="163">
        <v>57</v>
      </c>
      <c r="I47" s="286">
        <f>+H47/VLOOKUP("Road - "&amp;E47,'Default Parameter'!$A$8:$M$17,4,FALSE)/1000*100</f>
        <v>10.915499999999998</v>
      </c>
      <c r="J47" s="287" t="s">
        <v>320</v>
      </c>
      <c r="K47" s="288"/>
      <c r="L47" s="15" t="s">
        <v>110</v>
      </c>
      <c r="M47" s="111" t="s">
        <v>121</v>
      </c>
      <c r="N47" s="111">
        <v>0</v>
      </c>
      <c r="O47" s="15">
        <v>1</v>
      </c>
    </row>
    <row r="48" spans="1:20">
      <c r="A48" s="284" t="s">
        <v>73</v>
      </c>
      <c r="B48" s="285" t="s">
        <v>107</v>
      </c>
      <c r="C48" s="285" t="s">
        <v>70</v>
      </c>
      <c r="D48" s="285" t="s">
        <v>45</v>
      </c>
      <c r="E48" s="285" t="s">
        <v>70</v>
      </c>
      <c r="F48" s="285" t="s">
        <v>112</v>
      </c>
      <c r="G48" s="285" t="s">
        <v>57</v>
      </c>
      <c r="H48" s="163">
        <v>57</v>
      </c>
      <c r="I48" s="286">
        <f>+H48/VLOOKUP("Road - "&amp;E48,'Default Parameter'!$A$8:$M$17,4,FALSE)/1000*100</f>
        <v>10.915499999999998</v>
      </c>
      <c r="J48" s="287" t="s">
        <v>320</v>
      </c>
      <c r="K48" s="288"/>
      <c r="L48" s="15" t="s">
        <v>110</v>
      </c>
      <c r="M48" s="111" t="s">
        <v>121</v>
      </c>
      <c r="N48" s="111">
        <v>0</v>
      </c>
      <c r="O48" s="15">
        <v>2</v>
      </c>
    </row>
    <row r="49" spans="1:15">
      <c r="A49" s="284" t="s">
        <v>74</v>
      </c>
      <c r="B49" s="285" t="s">
        <v>107</v>
      </c>
      <c r="C49" s="285" t="s">
        <v>70</v>
      </c>
      <c r="D49" s="285" t="s">
        <v>45</v>
      </c>
      <c r="E49" s="285" t="s">
        <v>70</v>
      </c>
      <c r="F49" s="285" t="s">
        <v>112</v>
      </c>
      <c r="G49" s="285" t="s">
        <v>58</v>
      </c>
      <c r="H49" s="163">
        <v>57</v>
      </c>
      <c r="I49" s="286">
        <f>+H49/VLOOKUP("Road - "&amp;E49,'Default Parameter'!$A$8:$M$17,4,FALSE)/1000*100</f>
        <v>10.915499999999998</v>
      </c>
      <c r="J49" s="287" t="s">
        <v>320</v>
      </c>
      <c r="K49" s="288"/>
      <c r="L49" s="15" t="s">
        <v>110</v>
      </c>
      <c r="M49" s="111" t="s">
        <v>121</v>
      </c>
      <c r="N49" s="111">
        <v>0</v>
      </c>
      <c r="O49" s="111">
        <v>3</v>
      </c>
    </row>
    <row r="50" spans="1:15">
      <c r="A50" s="284" t="s">
        <v>75</v>
      </c>
      <c r="B50" s="285" t="s">
        <v>107</v>
      </c>
      <c r="C50" s="285" t="s">
        <v>70</v>
      </c>
      <c r="D50" s="285" t="s">
        <v>45</v>
      </c>
      <c r="E50" s="285" t="s">
        <v>70</v>
      </c>
      <c r="F50" s="285" t="s">
        <v>112</v>
      </c>
      <c r="G50" s="285" t="s">
        <v>59</v>
      </c>
      <c r="H50" s="163">
        <v>57</v>
      </c>
      <c r="I50" s="286">
        <f>+H50/VLOOKUP("Road - "&amp;E50,'Default Parameter'!$A$8:$M$17,4,FALSE)/1000*100</f>
        <v>10.915499999999998</v>
      </c>
      <c r="J50" s="287" t="s">
        <v>320</v>
      </c>
      <c r="K50" s="288"/>
      <c r="L50" s="15" t="s">
        <v>110</v>
      </c>
      <c r="M50" s="111" t="s">
        <v>121</v>
      </c>
      <c r="N50" s="111">
        <v>0</v>
      </c>
      <c r="O50" s="111">
        <v>4</v>
      </c>
    </row>
    <row r="51" spans="1:15">
      <c r="A51" s="284" t="s">
        <v>76</v>
      </c>
      <c r="B51" s="285" t="s">
        <v>107</v>
      </c>
      <c r="C51" s="285" t="s">
        <v>70</v>
      </c>
      <c r="D51" s="285" t="s">
        <v>45</v>
      </c>
      <c r="E51" s="285" t="s">
        <v>70</v>
      </c>
      <c r="F51" s="285" t="s">
        <v>112</v>
      </c>
      <c r="G51" s="285" t="s">
        <v>60</v>
      </c>
      <c r="H51" s="163">
        <v>57</v>
      </c>
      <c r="I51" s="286">
        <f>+H51/VLOOKUP("Road - "&amp;E51,'Default Parameter'!$A$8:$M$17,4,FALSE)/1000*100</f>
        <v>10.915499999999998</v>
      </c>
      <c r="J51" s="287" t="s">
        <v>320</v>
      </c>
      <c r="K51" s="288"/>
      <c r="L51" s="15" t="s">
        <v>110</v>
      </c>
      <c r="M51" s="111" t="s">
        <v>121</v>
      </c>
      <c r="N51" s="111">
        <v>0</v>
      </c>
      <c r="O51" s="111">
        <v>5</v>
      </c>
    </row>
    <row r="52" spans="1:15">
      <c r="A52" s="284" t="s">
        <v>77</v>
      </c>
      <c r="B52" s="285" t="s">
        <v>107</v>
      </c>
      <c r="C52" s="285" t="s">
        <v>70</v>
      </c>
      <c r="D52" s="285" t="s">
        <v>45</v>
      </c>
      <c r="E52" s="285" t="s">
        <v>70</v>
      </c>
      <c r="F52" s="285" t="s">
        <v>112</v>
      </c>
      <c r="G52" s="285" t="s">
        <v>62</v>
      </c>
      <c r="H52" s="163">
        <v>57</v>
      </c>
      <c r="I52" s="286">
        <f>+H52/VLOOKUP("Road - "&amp;E52,'Default Parameter'!$A$8:$M$17,4,FALSE)/1000*100</f>
        <v>10.915499999999998</v>
      </c>
      <c r="J52" s="287" t="s">
        <v>320</v>
      </c>
      <c r="K52" s="288"/>
      <c r="L52" s="15" t="s">
        <v>110</v>
      </c>
      <c r="M52" s="111" t="s">
        <v>121</v>
      </c>
      <c r="N52" s="111">
        <v>0</v>
      </c>
      <c r="O52" s="111">
        <v>6</v>
      </c>
    </row>
    <row r="53" spans="1:15">
      <c r="A53" s="284" t="s">
        <v>79</v>
      </c>
      <c r="B53" s="285" t="s">
        <v>107</v>
      </c>
      <c r="C53" s="285" t="s">
        <v>78</v>
      </c>
      <c r="D53" s="285" t="s">
        <v>45</v>
      </c>
      <c r="E53" s="285" t="s">
        <v>78</v>
      </c>
      <c r="F53" s="285" t="s">
        <v>122</v>
      </c>
      <c r="G53" s="285" t="s">
        <v>59</v>
      </c>
      <c r="H53" s="163">
        <v>63</v>
      </c>
      <c r="I53" s="286">
        <f>+H53/VLOOKUP("Road - "&amp;E53,'Default Parameter'!$A$8:$M$17,4,FALSE)/1000*100</f>
        <v>6.3</v>
      </c>
      <c r="J53" s="287" t="s">
        <v>320</v>
      </c>
      <c r="K53" s="288"/>
      <c r="L53" s="15" t="s">
        <v>110</v>
      </c>
      <c r="M53" s="111" t="s">
        <v>123</v>
      </c>
      <c r="N53" s="111">
        <v>0</v>
      </c>
      <c r="O53" s="111">
        <v>4</v>
      </c>
    </row>
    <row r="54" spans="1:15">
      <c r="A54" s="284" t="s">
        <v>80</v>
      </c>
      <c r="B54" s="285" t="s">
        <v>107</v>
      </c>
      <c r="C54" s="285" t="s">
        <v>78</v>
      </c>
      <c r="D54" s="285" t="s">
        <v>45</v>
      </c>
      <c r="E54" s="285" t="s">
        <v>78</v>
      </c>
      <c r="F54" s="285" t="s">
        <v>122</v>
      </c>
      <c r="G54" s="285" t="s">
        <v>60</v>
      </c>
      <c r="H54" s="163">
        <v>63</v>
      </c>
      <c r="I54" s="286">
        <f>+H54/VLOOKUP("Road - "&amp;E54,'Default Parameter'!$A$8:$M$17,4,FALSE)/1000*100</f>
        <v>6.3</v>
      </c>
      <c r="J54" s="287" t="s">
        <v>320</v>
      </c>
      <c r="K54" s="288"/>
      <c r="L54" s="15" t="s">
        <v>110</v>
      </c>
      <c r="M54" s="111" t="s">
        <v>123</v>
      </c>
      <c r="N54" s="111">
        <v>0</v>
      </c>
      <c r="O54" s="111">
        <v>5</v>
      </c>
    </row>
    <row r="55" spans="1:15">
      <c r="A55" s="284" t="s">
        <v>81</v>
      </c>
      <c r="B55" s="285" t="s">
        <v>107</v>
      </c>
      <c r="C55" s="285" t="s">
        <v>78</v>
      </c>
      <c r="D55" s="285" t="s">
        <v>45</v>
      </c>
      <c r="E55" s="285" t="s">
        <v>78</v>
      </c>
      <c r="F55" s="285" t="s">
        <v>122</v>
      </c>
      <c r="G55" s="285" t="s">
        <v>62</v>
      </c>
      <c r="H55" s="163">
        <v>63</v>
      </c>
      <c r="I55" s="286">
        <f>+H55/VLOOKUP("Road - "&amp;E55,'Default Parameter'!$A$8:$M$17,4,FALSE)/1000*100</f>
        <v>6.3</v>
      </c>
      <c r="J55" s="287" t="s">
        <v>320</v>
      </c>
      <c r="K55" s="288"/>
      <c r="L55" s="15" t="s">
        <v>110</v>
      </c>
      <c r="M55" s="111" t="s">
        <v>123</v>
      </c>
      <c r="N55" s="111">
        <v>0</v>
      </c>
      <c r="O55" s="111">
        <v>6</v>
      </c>
    </row>
    <row r="56" spans="1:15">
      <c r="A56" s="284" t="str">
        <f>+CONCATENATE(L56,M56,N56,O56)</f>
        <v>PH14</v>
      </c>
      <c r="B56" s="285" t="s">
        <v>107</v>
      </c>
      <c r="C56" s="285" t="s">
        <v>124</v>
      </c>
      <c r="D56" s="285" t="s">
        <v>45</v>
      </c>
      <c r="E56" s="285"/>
      <c r="F56" s="285" t="s">
        <v>125</v>
      </c>
      <c r="G56" s="285"/>
      <c r="H56" s="163">
        <v>34</v>
      </c>
      <c r="I56" s="286" t="e">
        <f>+H56/VLOOKUP("Road - "&amp;E56,'Default Parameter'!$A$8:$M$17,4,FALSE)/1000*100</f>
        <v>#N/A</v>
      </c>
      <c r="J56" s="287" t="s">
        <v>320</v>
      </c>
      <c r="K56" s="288"/>
      <c r="L56" s="15" t="s">
        <v>110</v>
      </c>
      <c r="M56" s="111" t="s">
        <v>126</v>
      </c>
      <c r="N56" s="111">
        <v>1</v>
      </c>
      <c r="O56" s="111">
        <v>4</v>
      </c>
    </row>
    <row r="57" spans="1:15">
      <c r="A57" s="284" t="str">
        <f>+CONCATENATE(L57,M57,N57,O57)</f>
        <v>PH24</v>
      </c>
      <c r="B57" s="285" t="s">
        <v>107</v>
      </c>
      <c r="C57" s="285" t="s">
        <v>127</v>
      </c>
      <c r="D57" s="285" t="s">
        <v>45</v>
      </c>
      <c r="E57" s="285"/>
      <c r="F57" s="285" t="s">
        <v>125</v>
      </c>
      <c r="G57" s="285"/>
      <c r="H57" s="163">
        <v>34</v>
      </c>
      <c r="I57" s="286" t="e">
        <f>+H57/VLOOKUP("Road - "&amp;E57,'Default Parameter'!$A$8:$M$17,4,FALSE)/1000*100</f>
        <v>#N/A</v>
      </c>
      <c r="J57" s="287" t="s">
        <v>320</v>
      </c>
      <c r="K57" s="288"/>
      <c r="L57" s="15" t="s">
        <v>110</v>
      </c>
      <c r="M57" s="111" t="s">
        <v>126</v>
      </c>
      <c r="N57" s="111">
        <v>2</v>
      </c>
      <c r="O57" s="111">
        <v>4</v>
      </c>
    </row>
    <row r="58" spans="1:15">
      <c r="A58" s="284" t="str">
        <f>+CONCATENATE(L58,M58,N58,O58)</f>
        <v>PH34</v>
      </c>
      <c r="B58" s="285" t="s">
        <v>107</v>
      </c>
      <c r="C58" s="285" t="s">
        <v>128</v>
      </c>
      <c r="D58" s="285" t="s">
        <v>45</v>
      </c>
      <c r="E58" s="285"/>
      <c r="F58" s="285" t="s">
        <v>125</v>
      </c>
      <c r="G58" s="285"/>
      <c r="H58" s="163">
        <v>34</v>
      </c>
      <c r="I58" s="286" t="e">
        <f>+H58/VLOOKUP("Road - "&amp;E58,'Default Parameter'!$A$8:$M$17,4,FALSE)/1000*100</f>
        <v>#N/A</v>
      </c>
      <c r="J58" s="287" t="s">
        <v>320</v>
      </c>
      <c r="K58" s="288"/>
      <c r="L58" s="15" t="s">
        <v>110</v>
      </c>
      <c r="M58" s="111" t="s">
        <v>126</v>
      </c>
      <c r="N58" s="111">
        <v>3</v>
      </c>
      <c r="O58" s="111">
        <v>4</v>
      </c>
    </row>
    <row r="59" spans="1:15">
      <c r="A59" s="284" t="str">
        <f t="shared" si="1"/>
        <v>TG10</v>
      </c>
      <c r="B59" s="285" t="s">
        <v>129</v>
      </c>
      <c r="C59" s="285" t="s">
        <v>130</v>
      </c>
      <c r="D59" s="285" t="s">
        <v>85</v>
      </c>
      <c r="E59" s="285" t="s">
        <v>49</v>
      </c>
      <c r="F59" s="285" t="s">
        <v>119</v>
      </c>
      <c r="G59" s="285" t="s">
        <v>50</v>
      </c>
      <c r="H59" s="163">
        <f>+$S$16</f>
        <v>53.387883775649833</v>
      </c>
      <c r="I59" s="286">
        <f>+H59/VLOOKUP("Road - "&amp;E59,'Default Parameter'!$A$8:$M$17,4,FALSE)/1000*100</f>
        <v>7.2073643097127267</v>
      </c>
      <c r="J59" s="287" t="s">
        <v>320</v>
      </c>
      <c r="K59" s="288"/>
      <c r="L59" s="15" t="s">
        <v>131</v>
      </c>
      <c r="M59" s="15" t="s">
        <v>111</v>
      </c>
      <c r="N59" s="15">
        <v>1</v>
      </c>
      <c r="O59" s="15">
        <v>0</v>
      </c>
    </row>
    <row r="60" spans="1:15">
      <c r="A60" s="284" t="str">
        <f t="shared" si="1"/>
        <v>TG11</v>
      </c>
      <c r="B60" s="285" t="s">
        <v>129</v>
      </c>
      <c r="C60" s="510" t="s">
        <v>440</v>
      </c>
      <c r="D60" s="285" t="s">
        <v>85</v>
      </c>
      <c r="E60" s="285" t="s">
        <v>49</v>
      </c>
      <c r="F60" s="285" t="s">
        <v>112</v>
      </c>
      <c r="G60" s="285" t="s">
        <v>54</v>
      </c>
      <c r="H60" s="511">
        <f>+$S$16</f>
        <v>53.387883775649833</v>
      </c>
      <c r="I60" s="286">
        <f>+H60/VLOOKUP("Road - "&amp;E60,'Default Parameter'!$A$8:$M$17,4,FALSE)/1000*100</f>
        <v>7.2073643097127267</v>
      </c>
      <c r="J60" s="287" t="s">
        <v>463</v>
      </c>
      <c r="K60" s="288"/>
      <c r="L60" s="15" t="s">
        <v>131</v>
      </c>
      <c r="M60" s="15" t="s">
        <v>111</v>
      </c>
      <c r="N60" s="15">
        <v>1</v>
      </c>
      <c r="O60" s="15">
        <v>1</v>
      </c>
    </row>
    <row r="61" spans="1:15">
      <c r="A61" s="284" t="str">
        <f>+CONCATENATE(L61,M61,N61,O61)</f>
        <v>TG21</v>
      </c>
      <c r="B61" s="285" t="s">
        <v>129</v>
      </c>
      <c r="C61" s="510" t="s">
        <v>441</v>
      </c>
      <c r="D61" s="285" t="s">
        <v>85</v>
      </c>
      <c r="E61" s="285" t="s">
        <v>49</v>
      </c>
      <c r="F61" s="285" t="s">
        <v>112</v>
      </c>
      <c r="G61" s="285" t="s">
        <v>54</v>
      </c>
      <c r="H61" s="511">
        <f>+S17</f>
        <v>66.615164298959755</v>
      </c>
      <c r="I61" s="286">
        <f>+H61/VLOOKUP("Road - "&amp;E61,'Default Parameter'!$A$8:$M$17,4,FALSE)/1000*100</f>
        <v>8.993047180359568</v>
      </c>
      <c r="J61" s="287" t="s">
        <v>463</v>
      </c>
      <c r="K61" s="288"/>
      <c r="L61" s="15" t="s">
        <v>131</v>
      </c>
      <c r="M61" s="15" t="s">
        <v>111</v>
      </c>
      <c r="N61" s="15">
        <v>2</v>
      </c>
      <c r="O61" s="15">
        <v>1</v>
      </c>
    </row>
    <row r="62" spans="1:15">
      <c r="A62" s="284" t="str">
        <f>+CONCATENATE(L62,M62,N62,O62)</f>
        <v>TG31</v>
      </c>
      <c r="B62" s="285" t="s">
        <v>129</v>
      </c>
      <c r="C62" s="510" t="s">
        <v>442</v>
      </c>
      <c r="D62" s="285" t="s">
        <v>85</v>
      </c>
      <c r="E62" s="285" t="s">
        <v>49</v>
      </c>
      <c r="F62" s="285" t="s">
        <v>112</v>
      </c>
      <c r="G62" s="285" t="s">
        <v>54</v>
      </c>
      <c r="H62" s="511">
        <f>+S18</f>
        <v>89.960150043234876</v>
      </c>
      <c r="I62" s="286">
        <f>+H62/VLOOKUP("Road - "&amp;E62,'Default Parameter'!$A$8:$M$17,4,FALSE)/1000*100</f>
        <v>12.14462025583671</v>
      </c>
      <c r="J62" s="287" t="s">
        <v>463</v>
      </c>
      <c r="K62" s="288"/>
      <c r="L62" s="15" t="s">
        <v>131</v>
      </c>
      <c r="M62" s="15" t="s">
        <v>111</v>
      </c>
      <c r="N62" s="15">
        <v>3</v>
      </c>
      <c r="O62" s="15">
        <v>1</v>
      </c>
    </row>
    <row r="63" spans="1:15">
      <c r="A63" s="284" t="str">
        <f t="shared" si="1"/>
        <v>TG12</v>
      </c>
      <c r="B63" s="285" t="s">
        <v>129</v>
      </c>
      <c r="C63" s="285" t="s">
        <v>130</v>
      </c>
      <c r="D63" s="285" t="s">
        <v>85</v>
      </c>
      <c r="E63" s="285" t="s">
        <v>49</v>
      </c>
      <c r="F63" s="285" t="s">
        <v>112</v>
      </c>
      <c r="G63" s="285" t="s">
        <v>57</v>
      </c>
      <c r="H63" s="163">
        <v>70</v>
      </c>
      <c r="I63" s="286">
        <f>+H63/VLOOKUP("Road - "&amp;E63,'Default Parameter'!$A$8:$M$17,4,FALSE)/1000*100</f>
        <v>9.4499999999999993</v>
      </c>
      <c r="J63" s="287" t="s">
        <v>320</v>
      </c>
      <c r="K63" s="288"/>
      <c r="L63" s="15" t="s">
        <v>131</v>
      </c>
      <c r="M63" s="15" t="s">
        <v>111</v>
      </c>
      <c r="N63" s="15">
        <v>1</v>
      </c>
      <c r="O63" s="15">
        <v>2</v>
      </c>
    </row>
    <row r="64" spans="1:15">
      <c r="A64" s="284" t="str">
        <f t="shared" si="1"/>
        <v>TG13</v>
      </c>
      <c r="B64" s="285" t="s">
        <v>129</v>
      </c>
      <c r="C64" s="285" t="s">
        <v>130</v>
      </c>
      <c r="D64" s="285" t="s">
        <v>85</v>
      </c>
      <c r="E64" s="285" t="s">
        <v>49</v>
      </c>
      <c r="F64" s="285" t="s">
        <v>112</v>
      </c>
      <c r="G64" s="285" t="s">
        <v>58</v>
      </c>
      <c r="H64" s="163">
        <v>70</v>
      </c>
      <c r="I64" s="286">
        <f>+H64/VLOOKUP("Road - "&amp;E64,'Default Parameter'!$A$8:$M$17,4,FALSE)/1000*100</f>
        <v>9.4499999999999993</v>
      </c>
      <c r="J64" s="287" t="s">
        <v>320</v>
      </c>
      <c r="K64" s="288"/>
      <c r="L64" s="15" t="s">
        <v>131</v>
      </c>
      <c r="M64" s="15" t="s">
        <v>111</v>
      </c>
      <c r="N64" s="15">
        <v>1</v>
      </c>
      <c r="O64" s="111">
        <v>3</v>
      </c>
    </row>
    <row r="65" spans="1:15">
      <c r="A65" s="284" t="str">
        <f t="shared" si="1"/>
        <v>TG14</v>
      </c>
      <c r="B65" s="285" t="s">
        <v>129</v>
      </c>
      <c r="C65" s="285" t="s">
        <v>130</v>
      </c>
      <c r="D65" s="285" t="s">
        <v>85</v>
      </c>
      <c r="E65" s="285" t="s">
        <v>49</v>
      </c>
      <c r="F65" s="285" t="s">
        <v>112</v>
      </c>
      <c r="G65" s="285" t="s">
        <v>59</v>
      </c>
      <c r="H65" s="163">
        <v>70</v>
      </c>
      <c r="I65" s="286">
        <f>+H65/VLOOKUP("Road - "&amp;E65,'Default Parameter'!$A$8:$M$17,4,FALSE)/1000*100</f>
        <v>9.4499999999999993</v>
      </c>
      <c r="J65" s="287" t="s">
        <v>320</v>
      </c>
      <c r="K65" s="288"/>
      <c r="L65" s="15" t="s">
        <v>131</v>
      </c>
      <c r="M65" s="15" t="s">
        <v>111</v>
      </c>
      <c r="N65" s="15">
        <v>1</v>
      </c>
      <c r="O65" s="111">
        <v>4</v>
      </c>
    </row>
    <row r="66" spans="1:15">
      <c r="A66" s="284" t="str">
        <f t="shared" si="1"/>
        <v>TG15</v>
      </c>
      <c r="B66" s="285" t="s">
        <v>129</v>
      </c>
      <c r="C66" s="285" t="s">
        <v>130</v>
      </c>
      <c r="D66" s="285" t="s">
        <v>85</v>
      </c>
      <c r="E66" s="285" t="s">
        <v>49</v>
      </c>
      <c r="F66" s="285" t="s">
        <v>112</v>
      </c>
      <c r="G66" s="285" t="s">
        <v>59</v>
      </c>
      <c r="H66" s="163">
        <v>70</v>
      </c>
      <c r="I66" s="286">
        <f>+H66/VLOOKUP("Road - "&amp;E66,'Default Parameter'!$A$8:$M$17,4,FALSE)/1000*100</f>
        <v>9.4499999999999993</v>
      </c>
      <c r="J66" s="287" t="s">
        <v>320</v>
      </c>
      <c r="K66" s="288"/>
      <c r="L66" s="15" t="s">
        <v>131</v>
      </c>
      <c r="M66" s="15" t="s">
        <v>111</v>
      </c>
      <c r="N66" s="15">
        <v>1</v>
      </c>
      <c r="O66" s="111">
        <v>5</v>
      </c>
    </row>
    <row r="67" spans="1:15">
      <c r="A67" s="284" t="str">
        <f t="shared" si="1"/>
        <v>TG16</v>
      </c>
      <c r="B67" s="285" t="s">
        <v>129</v>
      </c>
      <c r="C67" s="285" t="s">
        <v>130</v>
      </c>
      <c r="D67" s="285" t="s">
        <v>85</v>
      </c>
      <c r="E67" s="285" t="s">
        <v>49</v>
      </c>
      <c r="F67" s="285" t="s">
        <v>112</v>
      </c>
      <c r="G67" s="285" t="s">
        <v>59</v>
      </c>
      <c r="H67" s="163">
        <v>70</v>
      </c>
      <c r="I67" s="286">
        <f>+H67/VLOOKUP("Road - "&amp;E67,'Default Parameter'!$A$8:$M$17,4,FALSE)/1000*100</f>
        <v>9.4499999999999993</v>
      </c>
      <c r="J67" s="287" t="s">
        <v>320</v>
      </c>
      <c r="K67" s="288"/>
      <c r="L67" s="15" t="s">
        <v>131</v>
      </c>
      <c r="M67" s="15" t="s">
        <v>111</v>
      </c>
      <c r="N67" s="15">
        <v>1</v>
      </c>
      <c r="O67" s="111">
        <v>6</v>
      </c>
    </row>
    <row r="68" spans="1:15">
      <c r="A68" s="284" t="str">
        <f t="shared" si="1"/>
        <v>TD10</v>
      </c>
      <c r="B68" s="285" t="s">
        <v>129</v>
      </c>
      <c r="C68" s="285" t="s">
        <v>132</v>
      </c>
      <c r="D68" s="285" t="s">
        <v>85</v>
      </c>
      <c r="E68" s="285" t="s">
        <v>53</v>
      </c>
      <c r="F68" s="285" t="s">
        <v>119</v>
      </c>
      <c r="G68" s="285" t="s">
        <v>50</v>
      </c>
      <c r="H68" s="163">
        <v>89</v>
      </c>
      <c r="I68" s="286">
        <f>+H68/VLOOKUP("Road - "&amp;E68,'Default Parameter'!$A$8:$M$17,4,FALSE)/1000*100</f>
        <v>10.546500000000005</v>
      </c>
      <c r="J68" s="287" t="s">
        <v>320</v>
      </c>
      <c r="K68" s="288"/>
      <c r="L68" s="15" t="s">
        <v>131</v>
      </c>
      <c r="M68" s="15" t="s">
        <v>117</v>
      </c>
      <c r="N68" s="15">
        <v>1</v>
      </c>
      <c r="O68" s="15">
        <v>0</v>
      </c>
    </row>
    <row r="69" spans="1:15">
      <c r="A69" s="284" t="str">
        <f t="shared" si="1"/>
        <v>TD11</v>
      </c>
      <c r="B69" s="285" t="s">
        <v>129</v>
      </c>
      <c r="C69" s="510" t="s">
        <v>443</v>
      </c>
      <c r="D69" s="285" t="s">
        <v>85</v>
      </c>
      <c r="E69" s="285" t="s">
        <v>53</v>
      </c>
      <c r="F69" s="285" t="s">
        <v>112</v>
      </c>
      <c r="G69" s="285" t="s">
        <v>54</v>
      </c>
      <c r="H69" s="511">
        <f>+S19</f>
        <v>46.531026829377822</v>
      </c>
      <c r="I69" s="286">
        <f>+H69/VLOOKUP("Road - "&amp;E69,'Default Parameter'!$A$8:$M$17,4,FALSE)/1000*100</f>
        <v>5.5139266792812744</v>
      </c>
      <c r="J69" s="287" t="s">
        <v>463</v>
      </c>
      <c r="K69" s="288"/>
      <c r="L69" s="14" t="s">
        <v>131</v>
      </c>
      <c r="M69" s="15" t="s">
        <v>117</v>
      </c>
      <c r="N69" s="15">
        <v>1</v>
      </c>
      <c r="O69" s="16">
        <v>1</v>
      </c>
    </row>
    <row r="70" spans="1:15">
      <c r="A70" s="284" t="str">
        <f>+CONCATENATE(L70,M70,N70,O70)</f>
        <v>TD21</v>
      </c>
      <c r="B70" s="285" t="s">
        <v>129</v>
      </c>
      <c r="C70" s="510" t="s">
        <v>444</v>
      </c>
      <c r="D70" s="285" t="s">
        <v>85</v>
      </c>
      <c r="E70" s="285" t="s">
        <v>53</v>
      </c>
      <c r="F70" s="285" t="s">
        <v>112</v>
      </c>
      <c r="G70" s="285" t="s">
        <v>54</v>
      </c>
      <c r="H70" s="511">
        <f>+S20</f>
        <v>61.202445838448426</v>
      </c>
      <c r="I70" s="286">
        <f>+H70/VLOOKUP("Road - "&amp;E70,'Default Parameter'!$A$8:$M$17,4,FALSE)/1000*100</f>
        <v>7.2524898318561428</v>
      </c>
      <c r="J70" s="287" t="s">
        <v>463</v>
      </c>
      <c r="K70" s="288"/>
      <c r="L70" s="14" t="s">
        <v>131</v>
      </c>
      <c r="M70" s="15" t="s">
        <v>117</v>
      </c>
      <c r="N70" s="15">
        <v>2</v>
      </c>
      <c r="O70" s="16">
        <v>1</v>
      </c>
    </row>
    <row r="71" spans="1:15">
      <c r="A71" s="284" t="str">
        <f>+CONCATENATE(L71,M71,N71,O71)</f>
        <v>TD31</v>
      </c>
      <c r="B71" s="285" t="s">
        <v>129</v>
      </c>
      <c r="C71" s="510" t="s">
        <v>445</v>
      </c>
      <c r="D71" s="285" t="s">
        <v>85</v>
      </c>
      <c r="E71" s="285" t="s">
        <v>53</v>
      </c>
      <c r="F71" s="285" t="s">
        <v>112</v>
      </c>
      <c r="G71" s="285" t="s">
        <v>54</v>
      </c>
      <c r="H71" s="511">
        <f>+S21</f>
        <v>78.71977508614512</v>
      </c>
      <c r="I71" s="286">
        <f>+H71/VLOOKUP("Road - "&amp;E71,'Default Parameter'!$A$8:$M$17,4,FALSE)/1000*100</f>
        <v>9.3282933477082004</v>
      </c>
      <c r="J71" s="287" t="s">
        <v>463</v>
      </c>
      <c r="K71" s="288"/>
      <c r="L71" s="14" t="s">
        <v>131</v>
      </c>
      <c r="M71" s="15" t="s">
        <v>117</v>
      </c>
      <c r="N71" s="15">
        <v>3</v>
      </c>
      <c r="O71" s="16">
        <v>1</v>
      </c>
    </row>
    <row r="72" spans="1:15">
      <c r="A72" s="284" t="str">
        <f t="shared" si="1"/>
        <v>TD12</v>
      </c>
      <c r="B72" s="285" t="s">
        <v>129</v>
      </c>
      <c r="C72" s="285" t="s">
        <v>132</v>
      </c>
      <c r="D72" s="285" t="s">
        <v>85</v>
      </c>
      <c r="E72" s="285" t="s">
        <v>53</v>
      </c>
      <c r="F72" s="285" t="s">
        <v>112</v>
      </c>
      <c r="G72" s="285" t="s">
        <v>57</v>
      </c>
      <c r="H72" s="163">
        <v>80</v>
      </c>
      <c r="I72" s="286">
        <f>+H72/VLOOKUP("Road - "&amp;E72,'Default Parameter'!$A$8:$M$17,4,FALSE)/1000*100</f>
        <v>9.4800000000000058</v>
      </c>
      <c r="J72" s="287" t="s">
        <v>320</v>
      </c>
      <c r="K72" s="288"/>
      <c r="L72" s="14" t="s">
        <v>131</v>
      </c>
      <c r="M72" s="15" t="s">
        <v>117</v>
      </c>
      <c r="N72" s="15">
        <v>1</v>
      </c>
      <c r="O72" s="16">
        <v>2</v>
      </c>
    </row>
    <row r="73" spans="1:15">
      <c r="A73" s="284" t="str">
        <f t="shared" ref="A73:A136" si="7">+CONCATENATE(L73,M73,N73,O73)</f>
        <v>TD13</v>
      </c>
      <c r="B73" s="285" t="s">
        <v>129</v>
      </c>
      <c r="C73" s="285" t="s">
        <v>132</v>
      </c>
      <c r="D73" s="285" t="s">
        <v>85</v>
      </c>
      <c r="E73" s="285" t="s">
        <v>53</v>
      </c>
      <c r="F73" s="285" t="s">
        <v>112</v>
      </c>
      <c r="G73" s="285" t="s">
        <v>58</v>
      </c>
      <c r="H73" s="163">
        <v>80</v>
      </c>
      <c r="I73" s="286">
        <f>+H73/VLOOKUP("Road - "&amp;E73,'Default Parameter'!$A$8:$M$17,4,FALSE)/1000*100</f>
        <v>9.4800000000000058</v>
      </c>
      <c r="J73" s="287" t="s">
        <v>320</v>
      </c>
      <c r="K73" s="288"/>
      <c r="L73" s="14" t="s">
        <v>131</v>
      </c>
      <c r="M73" s="15" t="s">
        <v>117</v>
      </c>
      <c r="N73" s="15">
        <v>1</v>
      </c>
      <c r="O73" s="17">
        <v>3</v>
      </c>
    </row>
    <row r="74" spans="1:15">
      <c r="A74" s="284" t="str">
        <f t="shared" si="7"/>
        <v>TD14</v>
      </c>
      <c r="B74" s="285" t="s">
        <v>129</v>
      </c>
      <c r="C74" s="285" t="s">
        <v>132</v>
      </c>
      <c r="D74" s="285" t="s">
        <v>85</v>
      </c>
      <c r="E74" s="285" t="s">
        <v>53</v>
      </c>
      <c r="F74" s="285" t="s">
        <v>112</v>
      </c>
      <c r="G74" s="285" t="s">
        <v>59</v>
      </c>
      <c r="H74" s="163">
        <v>80</v>
      </c>
      <c r="I74" s="286">
        <f>+H74/VLOOKUP("Road - "&amp;E74,'Default Parameter'!$A$8:$M$17,4,FALSE)/1000*100</f>
        <v>9.4800000000000058</v>
      </c>
      <c r="J74" s="287" t="s">
        <v>320</v>
      </c>
      <c r="K74" s="288"/>
      <c r="L74" s="14" t="s">
        <v>131</v>
      </c>
      <c r="M74" s="15" t="s">
        <v>117</v>
      </c>
      <c r="N74" s="15">
        <v>1</v>
      </c>
      <c r="O74" s="17">
        <v>4</v>
      </c>
    </row>
    <row r="75" spans="1:15">
      <c r="A75" s="284" t="str">
        <f t="shared" si="7"/>
        <v>TD15</v>
      </c>
      <c r="B75" s="285" t="s">
        <v>129</v>
      </c>
      <c r="C75" s="285" t="s">
        <v>132</v>
      </c>
      <c r="D75" s="285" t="s">
        <v>85</v>
      </c>
      <c r="E75" s="285" t="s">
        <v>53</v>
      </c>
      <c r="F75" s="285" t="s">
        <v>112</v>
      </c>
      <c r="G75" s="285" t="s">
        <v>59</v>
      </c>
      <c r="H75" s="163">
        <v>80</v>
      </c>
      <c r="I75" s="286">
        <f>+H75/VLOOKUP("Road - "&amp;E75,'Default Parameter'!$A$8:$M$17,4,FALSE)/1000*100</f>
        <v>9.4800000000000058</v>
      </c>
      <c r="J75" s="287" t="s">
        <v>320</v>
      </c>
      <c r="K75" s="288"/>
      <c r="L75" s="14" t="s">
        <v>131</v>
      </c>
      <c r="M75" s="15" t="s">
        <v>117</v>
      </c>
      <c r="N75" s="15">
        <v>1</v>
      </c>
      <c r="O75" s="17">
        <v>5</v>
      </c>
    </row>
    <row r="76" spans="1:15">
      <c r="A76" s="284" t="str">
        <f t="shared" si="7"/>
        <v>TD16</v>
      </c>
      <c r="B76" s="285" t="s">
        <v>129</v>
      </c>
      <c r="C76" s="285" t="s">
        <v>132</v>
      </c>
      <c r="D76" s="285" t="s">
        <v>85</v>
      </c>
      <c r="E76" s="285" t="s">
        <v>53</v>
      </c>
      <c r="F76" s="285" t="s">
        <v>112</v>
      </c>
      <c r="G76" s="285" t="s">
        <v>59</v>
      </c>
      <c r="H76" s="163">
        <v>80</v>
      </c>
      <c r="I76" s="286">
        <f>+H76/VLOOKUP("Road - "&amp;E76,'Default Parameter'!$A$8:$M$17,4,FALSE)/1000*100</f>
        <v>9.4800000000000058</v>
      </c>
      <c r="J76" s="287" t="s">
        <v>320</v>
      </c>
      <c r="K76" s="288"/>
      <c r="L76" s="14" t="s">
        <v>131</v>
      </c>
      <c r="M76" s="15" t="s">
        <v>117</v>
      </c>
      <c r="N76" s="15">
        <v>1</v>
      </c>
      <c r="O76" s="17">
        <v>6</v>
      </c>
    </row>
    <row r="77" spans="1:15">
      <c r="A77" s="284" t="str">
        <f t="shared" si="7"/>
        <v>TG40</v>
      </c>
      <c r="B77" s="285" t="s">
        <v>133</v>
      </c>
      <c r="C77" s="285" t="s">
        <v>134</v>
      </c>
      <c r="D77" s="285" t="s">
        <v>85</v>
      </c>
      <c r="E77" s="285" t="s">
        <v>49</v>
      </c>
      <c r="F77" s="285" t="s">
        <v>119</v>
      </c>
      <c r="G77" s="285" t="s">
        <v>50</v>
      </c>
      <c r="H77" s="163">
        <v>177</v>
      </c>
      <c r="I77" s="286">
        <f>+H77/VLOOKUP("Road - "&amp;E77,'Default Parameter'!$A$8:$M$17,4,FALSE)/1000*100</f>
        <v>23.895000000000003</v>
      </c>
      <c r="J77" s="287" t="s">
        <v>320</v>
      </c>
      <c r="K77" s="289"/>
      <c r="L77" s="14" t="s">
        <v>131</v>
      </c>
      <c r="M77" s="15" t="s">
        <v>111</v>
      </c>
      <c r="N77" s="15">
        <v>4</v>
      </c>
      <c r="O77" s="17">
        <v>0</v>
      </c>
    </row>
    <row r="78" spans="1:15">
      <c r="A78" s="284" t="str">
        <f t="shared" si="7"/>
        <v>TD40</v>
      </c>
      <c r="B78" s="285" t="s">
        <v>133</v>
      </c>
      <c r="C78" s="285" t="s">
        <v>135</v>
      </c>
      <c r="D78" s="285" t="s">
        <v>85</v>
      </c>
      <c r="E78" s="285" t="s">
        <v>53</v>
      </c>
      <c r="F78" s="285" t="s">
        <v>119</v>
      </c>
      <c r="G78" s="285" t="s">
        <v>50</v>
      </c>
      <c r="H78" s="511">
        <f t="shared" ref="H78:H84" si="8">+$S$27</f>
        <v>110.94862077753139</v>
      </c>
      <c r="I78" s="286">
        <f>+H78/VLOOKUP("Road - "&amp;E78,'Default Parameter'!$A$8:$M$17,4,FALSE)/1000*100</f>
        <v>13.147411562137476</v>
      </c>
      <c r="J78" s="287" t="s">
        <v>463</v>
      </c>
      <c r="K78" s="288"/>
      <c r="L78" s="14" t="s">
        <v>131</v>
      </c>
      <c r="M78" s="15" t="s">
        <v>117</v>
      </c>
      <c r="N78" s="15">
        <v>4</v>
      </c>
      <c r="O78" s="16">
        <v>0</v>
      </c>
    </row>
    <row r="79" spans="1:15">
      <c r="A79" s="284" t="str">
        <f t="shared" si="7"/>
        <v>TD41</v>
      </c>
      <c r="B79" s="285" t="s">
        <v>133</v>
      </c>
      <c r="C79" s="510" t="s">
        <v>135</v>
      </c>
      <c r="D79" s="285" t="s">
        <v>85</v>
      </c>
      <c r="E79" s="285" t="s">
        <v>53</v>
      </c>
      <c r="F79" s="285" t="s">
        <v>136</v>
      </c>
      <c r="G79" s="285" t="s">
        <v>54</v>
      </c>
      <c r="H79" s="511">
        <f t="shared" si="8"/>
        <v>110.94862077753139</v>
      </c>
      <c r="I79" s="286">
        <f>+H79/VLOOKUP("Road - "&amp;E79,'Default Parameter'!$A$8:$M$17,4,FALSE)/1000*100</f>
        <v>13.147411562137476</v>
      </c>
      <c r="J79" s="287" t="s">
        <v>463</v>
      </c>
      <c r="K79" s="288"/>
      <c r="L79" s="14" t="s">
        <v>131</v>
      </c>
      <c r="M79" s="15" t="s">
        <v>117</v>
      </c>
      <c r="N79" s="15">
        <v>4</v>
      </c>
      <c r="O79" s="16">
        <v>1</v>
      </c>
    </row>
    <row r="80" spans="1:15">
      <c r="A80" s="284" t="str">
        <f>+CONCATENATE(L80,M80,N80,O80)</f>
        <v>TD42</v>
      </c>
      <c r="B80" s="285" t="s">
        <v>133</v>
      </c>
      <c r="C80" s="285" t="s">
        <v>135</v>
      </c>
      <c r="D80" s="285" t="s">
        <v>85</v>
      </c>
      <c r="E80" s="285" t="s">
        <v>53</v>
      </c>
      <c r="F80" s="285" t="s">
        <v>136</v>
      </c>
      <c r="G80" s="285" t="s">
        <v>57</v>
      </c>
      <c r="H80" s="511">
        <f t="shared" si="8"/>
        <v>110.94862077753139</v>
      </c>
      <c r="I80" s="286">
        <f>+H80/VLOOKUP("Road - "&amp;E80,'Default Parameter'!$A$8:$M$17,4,FALSE)/1000*100</f>
        <v>13.147411562137476</v>
      </c>
      <c r="J80" s="287" t="s">
        <v>463</v>
      </c>
      <c r="K80" s="288"/>
      <c r="L80" s="14" t="s">
        <v>131</v>
      </c>
      <c r="M80" s="15" t="s">
        <v>117</v>
      </c>
      <c r="N80" s="15">
        <v>4</v>
      </c>
      <c r="O80" s="16">
        <v>2</v>
      </c>
    </row>
    <row r="81" spans="1:15">
      <c r="A81" s="284" t="str">
        <f t="shared" si="7"/>
        <v>TD43</v>
      </c>
      <c r="B81" s="285" t="s">
        <v>133</v>
      </c>
      <c r="C81" s="285" t="s">
        <v>135</v>
      </c>
      <c r="D81" s="285" t="s">
        <v>85</v>
      </c>
      <c r="E81" s="285" t="s">
        <v>53</v>
      </c>
      <c r="F81" s="285" t="s">
        <v>136</v>
      </c>
      <c r="G81" s="285" t="s">
        <v>58</v>
      </c>
      <c r="H81" s="511">
        <f t="shared" si="8"/>
        <v>110.94862077753139</v>
      </c>
      <c r="I81" s="286">
        <f>+H81/VLOOKUP("Road - "&amp;E81,'Default Parameter'!$A$8:$M$17,4,FALSE)/1000*100</f>
        <v>13.147411562137476</v>
      </c>
      <c r="J81" s="287" t="s">
        <v>463</v>
      </c>
      <c r="K81" s="288"/>
      <c r="L81" s="14" t="s">
        <v>131</v>
      </c>
      <c r="M81" s="15" t="s">
        <v>117</v>
      </c>
      <c r="N81" s="15">
        <v>4</v>
      </c>
      <c r="O81" s="17">
        <v>3</v>
      </c>
    </row>
    <row r="82" spans="1:15">
      <c r="A82" s="284" t="str">
        <f t="shared" si="7"/>
        <v>TD44</v>
      </c>
      <c r="B82" s="285" t="s">
        <v>133</v>
      </c>
      <c r="C82" s="285" t="s">
        <v>135</v>
      </c>
      <c r="D82" s="285" t="s">
        <v>85</v>
      </c>
      <c r="E82" s="285" t="s">
        <v>53</v>
      </c>
      <c r="F82" s="285" t="s">
        <v>136</v>
      </c>
      <c r="G82" s="285" t="s">
        <v>59</v>
      </c>
      <c r="H82" s="511">
        <f t="shared" si="8"/>
        <v>110.94862077753139</v>
      </c>
      <c r="I82" s="286">
        <f>+H82/VLOOKUP("Road - "&amp;E82,'Default Parameter'!$A$8:$M$17,4,FALSE)/1000*100</f>
        <v>13.147411562137476</v>
      </c>
      <c r="J82" s="287" t="s">
        <v>463</v>
      </c>
      <c r="K82" s="288"/>
      <c r="L82" s="14" t="s">
        <v>131</v>
      </c>
      <c r="M82" s="15" t="s">
        <v>117</v>
      </c>
      <c r="N82" s="15">
        <v>4</v>
      </c>
      <c r="O82" s="17">
        <v>4</v>
      </c>
    </row>
    <row r="83" spans="1:15">
      <c r="A83" s="284" t="str">
        <f t="shared" si="7"/>
        <v>TD45</v>
      </c>
      <c r="B83" s="285" t="s">
        <v>133</v>
      </c>
      <c r="C83" s="285" t="s">
        <v>135</v>
      </c>
      <c r="D83" s="285" t="s">
        <v>85</v>
      </c>
      <c r="E83" s="285" t="s">
        <v>53</v>
      </c>
      <c r="F83" s="285" t="s">
        <v>136</v>
      </c>
      <c r="G83" s="285" t="s">
        <v>59</v>
      </c>
      <c r="H83" s="511">
        <f t="shared" si="8"/>
        <v>110.94862077753139</v>
      </c>
      <c r="I83" s="286">
        <f>+H83/VLOOKUP("Road - "&amp;E83,'Default Parameter'!$A$8:$M$17,4,FALSE)/1000*100</f>
        <v>13.147411562137476</v>
      </c>
      <c r="J83" s="287" t="s">
        <v>463</v>
      </c>
      <c r="K83" s="288"/>
      <c r="L83" s="14" t="s">
        <v>131</v>
      </c>
      <c r="M83" s="15" t="s">
        <v>117</v>
      </c>
      <c r="N83" s="15">
        <v>4</v>
      </c>
      <c r="O83" s="17">
        <v>5</v>
      </c>
    </row>
    <row r="84" spans="1:15">
      <c r="A84" s="284" t="str">
        <f t="shared" si="7"/>
        <v>TD46</v>
      </c>
      <c r="B84" s="285" t="s">
        <v>133</v>
      </c>
      <c r="C84" s="285" t="s">
        <v>135</v>
      </c>
      <c r="D84" s="285" t="s">
        <v>85</v>
      </c>
      <c r="E84" s="285" t="s">
        <v>53</v>
      </c>
      <c r="F84" s="285" t="s">
        <v>136</v>
      </c>
      <c r="G84" s="285" t="s">
        <v>59</v>
      </c>
      <c r="H84" s="511">
        <f t="shared" si="8"/>
        <v>110.94862077753139</v>
      </c>
      <c r="I84" s="286">
        <f>+H84/VLOOKUP("Road - "&amp;E84,'Default Parameter'!$A$8:$M$17,4,FALSE)/1000*100</f>
        <v>13.147411562137476</v>
      </c>
      <c r="J84" s="287" t="s">
        <v>463</v>
      </c>
      <c r="K84" s="288"/>
      <c r="L84" s="14" t="s">
        <v>131</v>
      </c>
      <c r="M84" s="15" t="s">
        <v>117</v>
      </c>
      <c r="N84" s="15">
        <v>4</v>
      </c>
      <c r="O84" s="17">
        <v>6</v>
      </c>
    </row>
    <row r="85" spans="1:15">
      <c r="A85" s="284" t="str">
        <f t="shared" si="7"/>
        <v>TD50</v>
      </c>
      <c r="B85" s="285" t="s">
        <v>133</v>
      </c>
      <c r="C85" s="510" t="s">
        <v>446</v>
      </c>
      <c r="D85" s="285" t="s">
        <v>85</v>
      </c>
      <c r="E85" s="285" t="s">
        <v>53</v>
      </c>
      <c r="F85" s="285" t="s">
        <v>119</v>
      </c>
      <c r="G85" s="285" t="s">
        <v>50</v>
      </c>
      <c r="H85" s="511">
        <f t="shared" ref="H85:H91" si="9">+$S$28</f>
        <v>167.87331394073667</v>
      </c>
      <c r="I85" s="286">
        <f>+H85/VLOOKUP("Road - "&amp;E85,'Default Parameter'!$A$8:$M$17,4,FALSE)/1000*100</f>
        <v>19.892987701977304</v>
      </c>
      <c r="J85" s="287" t="s">
        <v>463</v>
      </c>
      <c r="K85" s="8"/>
      <c r="L85" s="14" t="s">
        <v>131</v>
      </c>
      <c r="M85" s="15" t="s">
        <v>117</v>
      </c>
      <c r="N85" s="15">
        <v>5</v>
      </c>
      <c r="O85" s="16">
        <v>0</v>
      </c>
    </row>
    <row r="86" spans="1:15">
      <c r="A86" s="284" t="str">
        <f t="shared" si="7"/>
        <v>TD51</v>
      </c>
      <c r="B86" s="285" t="s">
        <v>133</v>
      </c>
      <c r="C86" s="510" t="s">
        <v>446</v>
      </c>
      <c r="D86" s="285" t="s">
        <v>85</v>
      </c>
      <c r="E86" s="285" t="s">
        <v>53</v>
      </c>
      <c r="F86" s="285" t="s">
        <v>136</v>
      </c>
      <c r="G86" s="285" t="s">
        <v>54</v>
      </c>
      <c r="H86" s="511">
        <f t="shared" si="9"/>
        <v>167.87331394073667</v>
      </c>
      <c r="I86" s="286">
        <f>+H86/VLOOKUP("Road - "&amp;E86,'Default Parameter'!$A$8:$M$17,4,FALSE)/1000*100</f>
        <v>19.892987701977304</v>
      </c>
      <c r="J86" s="287" t="s">
        <v>463</v>
      </c>
      <c r="K86" s="8"/>
      <c r="L86" s="14" t="s">
        <v>131</v>
      </c>
      <c r="M86" s="15" t="s">
        <v>117</v>
      </c>
      <c r="N86" s="15">
        <v>5</v>
      </c>
      <c r="O86" s="16">
        <v>1</v>
      </c>
    </row>
    <row r="87" spans="1:15">
      <c r="A87" s="284" t="str">
        <f t="shared" si="7"/>
        <v>TD52</v>
      </c>
      <c r="B87" s="285" t="s">
        <v>133</v>
      </c>
      <c r="C87" s="510" t="s">
        <v>446</v>
      </c>
      <c r="D87" s="285" t="s">
        <v>85</v>
      </c>
      <c r="E87" s="285" t="s">
        <v>53</v>
      </c>
      <c r="F87" s="285" t="s">
        <v>136</v>
      </c>
      <c r="G87" s="285" t="s">
        <v>57</v>
      </c>
      <c r="H87" s="511">
        <f t="shared" si="9"/>
        <v>167.87331394073667</v>
      </c>
      <c r="I87" s="286">
        <f>+H87/VLOOKUP("Road - "&amp;E87,'Default Parameter'!$A$8:$M$17,4,FALSE)/1000*100</f>
        <v>19.892987701977304</v>
      </c>
      <c r="J87" s="287" t="s">
        <v>463</v>
      </c>
      <c r="K87" s="8"/>
      <c r="L87" s="14" t="s">
        <v>131</v>
      </c>
      <c r="M87" s="15" t="s">
        <v>117</v>
      </c>
      <c r="N87" s="15">
        <v>5</v>
      </c>
      <c r="O87" s="16">
        <v>2</v>
      </c>
    </row>
    <row r="88" spans="1:15">
      <c r="A88" s="284" t="str">
        <f t="shared" si="7"/>
        <v>TD53</v>
      </c>
      <c r="B88" s="285" t="s">
        <v>133</v>
      </c>
      <c r="C88" s="510" t="s">
        <v>446</v>
      </c>
      <c r="D88" s="285" t="s">
        <v>85</v>
      </c>
      <c r="E88" s="285" t="s">
        <v>53</v>
      </c>
      <c r="F88" s="285" t="s">
        <v>136</v>
      </c>
      <c r="G88" s="285" t="s">
        <v>58</v>
      </c>
      <c r="H88" s="511">
        <f t="shared" si="9"/>
        <v>167.87331394073667</v>
      </c>
      <c r="I88" s="286">
        <f>+H88/VLOOKUP("Road - "&amp;E88,'Default Parameter'!$A$8:$M$17,4,FALSE)/1000*100</f>
        <v>19.892987701977304</v>
      </c>
      <c r="J88" s="287" t="s">
        <v>463</v>
      </c>
      <c r="K88" s="8"/>
      <c r="L88" s="14" t="s">
        <v>131</v>
      </c>
      <c r="M88" s="15" t="s">
        <v>117</v>
      </c>
      <c r="N88" s="15">
        <v>5</v>
      </c>
      <c r="O88" s="17">
        <v>3</v>
      </c>
    </row>
    <row r="89" spans="1:15">
      <c r="A89" s="284" t="str">
        <f t="shared" si="7"/>
        <v>TD54</v>
      </c>
      <c r="B89" s="285" t="s">
        <v>133</v>
      </c>
      <c r="C89" s="510" t="s">
        <v>446</v>
      </c>
      <c r="D89" s="285" t="s">
        <v>85</v>
      </c>
      <c r="E89" s="285" t="s">
        <v>53</v>
      </c>
      <c r="F89" s="285" t="s">
        <v>136</v>
      </c>
      <c r="G89" s="285" t="s">
        <v>59</v>
      </c>
      <c r="H89" s="511">
        <f t="shared" si="9"/>
        <v>167.87331394073667</v>
      </c>
      <c r="I89" s="286">
        <f>+H89/VLOOKUP("Road - "&amp;E89,'Default Parameter'!$A$8:$M$17,4,FALSE)/1000*100</f>
        <v>19.892987701977304</v>
      </c>
      <c r="J89" s="287" t="s">
        <v>463</v>
      </c>
      <c r="K89" s="8"/>
      <c r="L89" s="14" t="s">
        <v>131</v>
      </c>
      <c r="M89" s="15" t="s">
        <v>117</v>
      </c>
      <c r="N89" s="15">
        <v>5</v>
      </c>
      <c r="O89" s="17">
        <v>4</v>
      </c>
    </row>
    <row r="90" spans="1:15">
      <c r="A90" s="284" t="str">
        <f t="shared" si="7"/>
        <v>TD55</v>
      </c>
      <c r="B90" s="285" t="s">
        <v>133</v>
      </c>
      <c r="C90" s="510" t="s">
        <v>446</v>
      </c>
      <c r="D90" s="285" t="s">
        <v>85</v>
      </c>
      <c r="E90" s="285" t="s">
        <v>53</v>
      </c>
      <c r="F90" s="285" t="s">
        <v>136</v>
      </c>
      <c r="G90" s="285" t="s">
        <v>59</v>
      </c>
      <c r="H90" s="511">
        <f t="shared" si="9"/>
        <v>167.87331394073667</v>
      </c>
      <c r="I90" s="286">
        <f>+H90/VLOOKUP("Road - "&amp;E90,'Default Parameter'!$A$8:$M$17,4,FALSE)/1000*100</f>
        <v>19.892987701977304</v>
      </c>
      <c r="J90" s="287" t="s">
        <v>463</v>
      </c>
      <c r="K90" s="8"/>
      <c r="L90" s="14" t="s">
        <v>131</v>
      </c>
      <c r="M90" s="15" t="s">
        <v>117</v>
      </c>
      <c r="N90" s="15">
        <v>5</v>
      </c>
      <c r="O90" s="17">
        <v>5</v>
      </c>
    </row>
    <row r="91" spans="1:15">
      <c r="A91" s="284" t="str">
        <f t="shared" si="7"/>
        <v>TD56</v>
      </c>
      <c r="B91" s="285" t="s">
        <v>133</v>
      </c>
      <c r="C91" s="510" t="s">
        <v>446</v>
      </c>
      <c r="D91" s="285" t="s">
        <v>85</v>
      </c>
      <c r="E91" s="285" t="s">
        <v>53</v>
      </c>
      <c r="F91" s="285" t="s">
        <v>136</v>
      </c>
      <c r="G91" s="285" t="s">
        <v>59</v>
      </c>
      <c r="H91" s="511">
        <f t="shared" si="9"/>
        <v>167.87331394073667</v>
      </c>
      <c r="I91" s="286">
        <f>+H91/VLOOKUP("Road - "&amp;E91,'Default Parameter'!$A$8:$M$17,4,FALSE)/1000*100</f>
        <v>19.892987701977304</v>
      </c>
      <c r="J91" s="287" t="s">
        <v>463</v>
      </c>
      <c r="K91" s="8"/>
      <c r="L91" s="14" t="s">
        <v>131</v>
      </c>
      <c r="M91" s="15" t="s">
        <v>117</v>
      </c>
      <c r="N91" s="15">
        <v>5</v>
      </c>
      <c r="O91" s="17">
        <v>6</v>
      </c>
    </row>
    <row r="92" spans="1:15">
      <c r="A92" s="284" t="str">
        <f t="shared" si="7"/>
        <v>TD60</v>
      </c>
      <c r="B92" s="285" t="s">
        <v>133</v>
      </c>
      <c r="C92" s="510" t="s">
        <v>447</v>
      </c>
      <c r="D92" s="285" t="s">
        <v>85</v>
      </c>
      <c r="E92" s="285" t="s">
        <v>53</v>
      </c>
      <c r="F92" s="285" t="s">
        <v>119</v>
      </c>
      <c r="G92" s="285" t="s">
        <v>50</v>
      </c>
      <c r="H92" s="511">
        <f>+$S$29</f>
        <v>183.03777927405517</v>
      </c>
      <c r="I92" s="286">
        <f>+H92/VLOOKUP("Road - "&amp;E92,'Default Parameter'!$A$8:$M$17,4,FALSE)/1000*100</f>
        <v>21.68997684397555</v>
      </c>
      <c r="J92" s="287" t="s">
        <v>463</v>
      </c>
      <c r="K92" s="8"/>
      <c r="L92" s="14" t="s">
        <v>131</v>
      </c>
      <c r="M92" s="15" t="s">
        <v>117</v>
      </c>
      <c r="N92" s="15">
        <v>6</v>
      </c>
      <c r="O92" s="16">
        <v>0</v>
      </c>
    </row>
    <row r="93" spans="1:15">
      <c r="A93" s="284" t="str">
        <f t="shared" si="7"/>
        <v>TD61</v>
      </c>
      <c r="B93" s="285" t="s">
        <v>133</v>
      </c>
      <c r="C93" s="510" t="s">
        <v>447</v>
      </c>
      <c r="D93" s="285" t="s">
        <v>85</v>
      </c>
      <c r="E93" s="285" t="s">
        <v>53</v>
      </c>
      <c r="F93" s="285" t="s">
        <v>136</v>
      </c>
      <c r="G93" s="285" t="s">
        <v>54</v>
      </c>
      <c r="H93" s="511">
        <f t="shared" ref="H93:H98" si="10">+$S$29</f>
        <v>183.03777927405517</v>
      </c>
      <c r="I93" s="286">
        <f>+H93/VLOOKUP("Road - "&amp;E93,'Default Parameter'!$A$8:$M$17,4,FALSE)/1000*100</f>
        <v>21.68997684397555</v>
      </c>
      <c r="J93" s="287" t="s">
        <v>463</v>
      </c>
      <c r="K93" s="8"/>
      <c r="L93" s="14" t="s">
        <v>131</v>
      </c>
      <c r="M93" s="15" t="s">
        <v>117</v>
      </c>
      <c r="N93" s="15">
        <v>6</v>
      </c>
      <c r="O93" s="16">
        <v>1</v>
      </c>
    </row>
    <row r="94" spans="1:15">
      <c r="A94" s="284" t="str">
        <f t="shared" si="7"/>
        <v>TD62</v>
      </c>
      <c r="B94" s="285" t="s">
        <v>133</v>
      </c>
      <c r="C94" s="510" t="s">
        <v>447</v>
      </c>
      <c r="D94" s="285" t="s">
        <v>85</v>
      </c>
      <c r="E94" s="285" t="s">
        <v>53</v>
      </c>
      <c r="F94" s="285" t="s">
        <v>136</v>
      </c>
      <c r="G94" s="285" t="s">
        <v>57</v>
      </c>
      <c r="H94" s="511">
        <f t="shared" si="10"/>
        <v>183.03777927405517</v>
      </c>
      <c r="I94" s="286">
        <f>+H94/VLOOKUP("Road - "&amp;E94,'Default Parameter'!$A$8:$M$17,4,FALSE)/1000*100</f>
        <v>21.68997684397555</v>
      </c>
      <c r="J94" s="287" t="s">
        <v>463</v>
      </c>
      <c r="K94" s="8"/>
      <c r="L94" s="14" t="s">
        <v>131</v>
      </c>
      <c r="M94" s="15" t="s">
        <v>117</v>
      </c>
      <c r="N94" s="15">
        <v>6</v>
      </c>
      <c r="O94" s="16">
        <v>2</v>
      </c>
    </row>
    <row r="95" spans="1:15">
      <c r="A95" s="284" t="str">
        <f t="shared" si="7"/>
        <v>TD63</v>
      </c>
      <c r="B95" s="285" t="s">
        <v>133</v>
      </c>
      <c r="C95" s="510" t="s">
        <v>447</v>
      </c>
      <c r="D95" s="285" t="s">
        <v>85</v>
      </c>
      <c r="E95" s="285" t="s">
        <v>53</v>
      </c>
      <c r="F95" s="285" t="s">
        <v>136</v>
      </c>
      <c r="G95" s="285" t="s">
        <v>58</v>
      </c>
      <c r="H95" s="511">
        <f t="shared" si="10"/>
        <v>183.03777927405517</v>
      </c>
      <c r="I95" s="286">
        <f>+H95/VLOOKUP("Road - "&amp;E95,'Default Parameter'!$A$8:$M$17,4,FALSE)/1000*100</f>
        <v>21.68997684397555</v>
      </c>
      <c r="J95" s="287" t="s">
        <v>463</v>
      </c>
      <c r="K95" s="8"/>
      <c r="L95" s="14" t="s">
        <v>131</v>
      </c>
      <c r="M95" s="15" t="s">
        <v>117</v>
      </c>
      <c r="N95" s="15">
        <v>6</v>
      </c>
      <c r="O95" s="17">
        <v>3</v>
      </c>
    </row>
    <row r="96" spans="1:15">
      <c r="A96" s="284" t="str">
        <f t="shared" si="7"/>
        <v>TD64</v>
      </c>
      <c r="B96" s="285" t="s">
        <v>133</v>
      </c>
      <c r="C96" s="510" t="s">
        <v>447</v>
      </c>
      <c r="D96" s="285" t="s">
        <v>85</v>
      </c>
      <c r="E96" s="285" t="s">
        <v>53</v>
      </c>
      <c r="F96" s="285" t="s">
        <v>136</v>
      </c>
      <c r="G96" s="285" t="s">
        <v>59</v>
      </c>
      <c r="H96" s="511">
        <f t="shared" si="10"/>
        <v>183.03777927405517</v>
      </c>
      <c r="I96" s="286">
        <f>+H96/VLOOKUP("Road - "&amp;E96,'Default Parameter'!$A$8:$M$17,4,FALSE)/1000*100</f>
        <v>21.68997684397555</v>
      </c>
      <c r="J96" s="287" t="s">
        <v>463</v>
      </c>
      <c r="K96" s="8"/>
      <c r="L96" s="14" t="s">
        <v>131</v>
      </c>
      <c r="M96" s="15" t="s">
        <v>117</v>
      </c>
      <c r="N96" s="15">
        <v>6</v>
      </c>
      <c r="O96" s="17">
        <v>4</v>
      </c>
    </row>
    <row r="97" spans="1:15">
      <c r="A97" s="284" t="str">
        <f t="shared" si="7"/>
        <v>TD65</v>
      </c>
      <c r="B97" s="285" t="s">
        <v>133</v>
      </c>
      <c r="C97" s="510" t="s">
        <v>447</v>
      </c>
      <c r="D97" s="285" t="s">
        <v>85</v>
      </c>
      <c r="E97" s="285" t="s">
        <v>53</v>
      </c>
      <c r="F97" s="285" t="s">
        <v>136</v>
      </c>
      <c r="G97" s="285" t="s">
        <v>59</v>
      </c>
      <c r="H97" s="511">
        <f t="shared" si="10"/>
        <v>183.03777927405517</v>
      </c>
      <c r="I97" s="286">
        <f>+H97/VLOOKUP("Road - "&amp;E97,'Default Parameter'!$A$8:$M$17,4,FALSE)/1000*100</f>
        <v>21.68997684397555</v>
      </c>
      <c r="J97" s="287" t="s">
        <v>463</v>
      </c>
      <c r="K97" s="8"/>
      <c r="L97" s="14" t="s">
        <v>131</v>
      </c>
      <c r="M97" s="15" t="s">
        <v>117</v>
      </c>
      <c r="N97" s="15">
        <v>6</v>
      </c>
      <c r="O97" s="17">
        <v>5</v>
      </c>
    </row>
    <row r="98" spans="1:15">
      <c r="A98" s="284" t="str">
        <f t="shared" si="7"/>
        <v>TD66</v>
      </c>
      <c r="B98" s="285" t="s">
        <v>133</v>
      </c>
      <c r="C98" s="510" t="s">
        <v>447</v>
      </c>
      <c r="D98" s="285" t="s">
        <v>85</v>
      </c>
      <c r="E98" s="285" t="s">
        <v>53</v>
      </c>
      <c r="F98" s="285" t="s">
        <v>136</v>
      </c>
      <c r="G98" s="285" t="s">
        <v>59</v>
      </c>
      <c r="H98" s="511">
        <f t="shared" si="10"/>
        <v>183.03777927405517</v>
      </c>
      <c r="I98" s="286">
        <f>+H98/VLOOKUP("Road - "&amp;E98,'Default Parameter'!$A$8:$M$17,4,FALSE)/1000*100</f>
        <v>21.68997684397555</v>
      </c>
      <c r="J98" s="287" t="s">
        <v>463</v>
      </c>
      <c r="K98" s="8"/>
      <c r="L98" s="14" t="s">
        <v>131</v>
      </c>
      <c r="M98" s="15" t="s">
        <v>117</v>
      </c>
      <c r="N98" s="15">
        <v>6</v>
      </c>
      <c r="O98" s="17">
        <v>6</v>
      </c>
    </row>
    <row r="99" spans="1:15">
      <c r="A99" s="284" t="str">
        <f t="shared" si="7"/>
        <v>TD70</v>
      </c>
      <c r="B99" s="285" t="s">
        <v>133</v>
      </c>
      <c r="C99" s="510" t="s">
        <v>452</v>
      </c>
      <c r="D99" s="285" t="s">
        <v>85</v>
      </c>
      <c r="E99" s="285" t="s">
        <v>53</v>
      </c>
      <c r="F99" s="285" t="s">
        <v>119</v>
      </c>
      <c r="G99" s="285" t="s">
        <v>50</v>
      </c>
      <c r="H99" s="511">
        <f>+$S$30</f>
        <v>222.27915870976321</v>
      </c>
      <c r="I99" s="286">
        <f>+H99/VLOOKUP("Road - "&amp;E99,'Default Parameter'!$A$8:$M$17,4,FALSE)/1000*100</f>
        <v>26.340080307106955</v>
      </c>
      <c r="J99" s="287" t="s">
        <v>463</v>
      </c>
      <c r="K99" s="8"/>
      <c r="L99" s="14" t="s">
        <v>131</v>
      </c>
      <c r="M99" s="15" t="s">
        <v>117</v>
      </c>
      <c r="N99" s="15">
        <v>7</v>
      </c>
      <c r="O99" s="16">
        <v>0</v>
      </c>
    </row>
    <row r="100" spans="1:15">
      <c r="A100" s="512" t="str">
        <f t="shared" si="7"/>
        <v>TD71</v>
      </c>
      <c r="B100" s="285" t="s">
        <v>133</v>
      </c>
      <c r="C100" s="510" t="s">
        <v>452</v>
      </c>
      <c r="D100" s="285" t="s">
        <v>85</v>
      </c>
      <c r="E100" s="285" t="s">
        <v>53</v>
      </c>
      <c r="F100" s="285" t="s">
        <v>136</v>
      </c>
      <c r="G100" s="285" t="s">
        <v>54</v>
      </c>
      <c r="H100" s="511">
        <f>+$S$30</f>
        <v>222.27915870976321</v>
      </c>
      <c r="I100" s="286">
        <f>+H100/VLOOKUP("Road - "&amp;E100,'Default Parameter'!$A$8:$M$17,4,FALSE)/1000*100</f>
        <v>26.340080307106955</v>
      </c>
      <c r="J100" s="287" t="s">
        <v>463</v>
      </c>
      <c r="K100" s="8"/>
      <c r="L100" s="14" t="s">
        <v>131</v>
      </c>
      <c r="M100" s="15" t="s">
        <v>117</v>
      </c>
      <c r="N100" s="15">
        <v>7</v>
      </c>
      <c r="O100" s="16">
        <v>1</v>
      </c>
    </row>
    <row r="101" spans="1:15">
      <c r="A101" s="512" t="str">
        <f t="shared" si="7"/>
        <v>TD81</v>
      </c>
      <c r="B101" s="285" t="s">
        <v>133</v>
      </c>
      <c r="C101" s="510" t="s">
        <v>453</v>
      </c>
      <c r="D101" s="285" t="s">
        <v>85</v>
      </c>
      <c r="E101" s="285" t="s">
        <v>53</v>
      </c>
      <c r="F101" s="285" t="s">
        <v>136</v>
      </c>
      <c r="G101" s="285" t="s">
        <v>57</v>
      </c>
      <c r="H101" s="511">
        <f>+S31</f>
        <v>282.25487110797127</v>
      </c>
      <c r="I101" s="286">
        <f>+H101/VLOOKUP("Road - "&amp;E101,'Default Parameter'!$A$8:$M$17,4,FALSE)/1000*100</f>
        <v>33.447202226294607</v>
      </c>
      <c r="J101" s="287" t="s">
        <v>463</v>
      </c>
      <c r="K101" s="8"/>
      <c r="L101" s="14" t="s">
        <v>131</v>
      </c>
      <c r="M101" s="15" t="s">
        <v>117</v>
      </c>
      <c r="N101" s="15">
        <v>8</v>
      </c>
      <c r="O101" s="16">
        <v>1</v>
      </c>
    </row>
    <row r="102" spans="1:15">
      <c r="A102" s="512" t="str">
        <f t="shared" si="7"/>
        <v>TD91</v>
      </c>
      <c r="B102" s="285" t="s">
        <v>133</v>
      </c>
      <c r="C102" s="510" t="s">
        <v>454</v>
      </c>
      <c r="D102" s="285" t="s">
        <v>85</v>
      </c>
      <c r="E102" s="285" t="s">
        <v>53</v>
      </c>
      <c r="F102" s="285" t="s">
        <v>136</v>
      </c>
      <c r="G102" s="285" t="s">
        <v>58</v>
      </c>
      <c r="H102" s="511">
        <f>+S32</f>
        <v>280.98538845699119</v>
      </c>
      <c r="I102" s="286">
        <f>+H102/VLOOKUP("Road - "&amp;E102,'Default Parameter'!$A$8:$M$17,4,FALSE)/1000*100</f>
        <v>33.296768532153472</v>
      </c>
      <c r="J102" s="287" t="s">
        <v>463</v>
      </c>
      <c r="K102" s="8"/>
      <c r="L102" s="14" t="s">
        <v>131</v>
      </c>
      <c r="M102" s="15" t="s">
        <v>117</v>
      </c>
      <c r="N102" s="15">
        <v>9</v>
      </c>
      <c r="O102" s="17">
        <v>1</v>
      </c>
    </row>
    <row r="103" spans="1:15">
      <c r="A103" s="512" t="str">
        <f t="shared" si="7"/>
        <v>TD101</v>
      </c>
      <c r="B103" s="285" t="s">
        <v>133</v>
      </c>
      <c r="C103" s="510" t="s">
        <v>455</v>
      </c>
      <c r="D103" s="285" t="s">
        <v>85</v>
      </c>
      <c r="E103" s="285" t="s">
        <v>53</v>
      </c>
      <c r="F103" s="285" t="s">
        <v>136</v>
      </c>
      <c r="G103" s="285" t="s">
        <v>59</v>
      </c>
      <c r="H103" s="511">
        <f>+S33</f>
        <v>298.13224893218552</v>
      </c>
      <c r="I103" s="286">
        <f>+H103/VLOOKUP("Road - "&amp;E103,'Default Parameter'!$A$8:$M$17,4,FALSE)/1000*100</f>
        <v>35.328671498464004</v>
      </c>
      <c r="J103" s="287" t="s">
        <v>463</v>
      </c>
      <c r="K103" s="8"/>
      <c r="L103" s="14" t="s">
        <v>131</v>
      </c>
      <c r="M103" s="15" t="s">
        <v>117</v>
      </c>
      <c r="N103" s="15">
        <v>10</v>
      </c>
      <c r="O103" s="17">
        <v>1</v>
      </c>
    </row>
    <row r="104" spans="1:15">
      <c r="A104" s="512" t="str">
        <f t="shared" si="7"/>
        <v>TD111</v>
      </c>
      <c r="B104" s="285" t="s">
        <v>133</v>
      </c>
      <c r="C104" s="510" t="s">
        <v>456</v>
      </c>
      <c r="D104" s="285" t="s">
        <v>85</v>
      </c>
      <c r="E104" s="285" t="s">
        <v>53</v>
      </c>
      <c r="F104" s="285" t="s">
        <v>136</v>
      </c>
      <c r="G104" s="285" t="s">
        <v>60</v>
      </c>
      <c r="H104" s="511">
        <f>+S34</f>
        <v>346.33884306801804</v>
      </c>
      <c r="I104" s="286">
        <f>+H104/VLOOKUP("Road - "&amp;E104,'Default Parameter'!$A$8:$M$17,4,FALSE)/1000*100</f>
        <v>41.04115290356016</v>
      </c>
      <c r="J104" s="287" t="s">
        <v>463</v>
      </c>
      <c r="K104" s="8"/>
      <c r="L104" s="15" t="s">
        <v>131</v>
      </c>
      <c r="M104" s="15" t="s">
        <v>117</v>
      </c>
      <c r="N104" s="15">
        <v>11</v>
      </c>
      <c r="O104" s="111">
        <v>1</v>
      </c>
    </row>
    <row r="105" spans="1:15">
      <c r="A105" s="284" t="str">
        <f t="shared" si="7"/>
        <v>TD56</v>
      </c>
      <c r="B105" s="285" t="s">
        <v>133</v>
      </c>
      <c r="C105" s="510" t="s">
        <v>137</v>
      </c>
      <c r="D105" s="285" t="s">
        <v>85</v>
      </c>
      <c r="E105" s="285" t="s">
        <v>53</v>
      </c>
      <c r="F105" s="285" t="s">
        <v>136</v>
      </c>
      <c r="G105" s="285" t="s">
        <v>62</v>
      </c>
      <c r="H105" s="163">
        <v>251</v>
      </c>
      <c r="I105" s="286">
        <f>+H105/VLOOKUP("Road - "&amp;E105,'Default Parameter'!$A$8:$M$17,4,FALSE)/1000*100</f>
        <v>29.743500000000019</v>
      </c>
      <c r="J105" s="287" t="s">
        <v>320</v>
      </c>
      <c r="K105" s="8"/>
      <c r="L105" s="15" t="s">
        <v>131</v>
      </c>
      <c r="M105" s="15" t="s">
        <v>117</v>
      </c>
      <c r="N105" s="15">
        <v>5</v>
      </c>
      <c r="O105" s="111">
        <v>6</v>
      </c>
    </row>
    <row r="106" spans="1:15">
      <c r="A106" s="284" t="str">
        <f t="shared" si="7"/>
        <v>BC31</v>
      </c>
      <c r="B106" s="285" t="s">
        <v>138</v>
      </c>
      <c r="C106" s="285" t="s">
        <v>139</v>
      </c>
      <c r="D106" s="285" t="s">
        <v>140</v>
      </c>
      <c r="E106" s="285" t="s">
        <v>78</v>
      </c>
      <c r="F106" s="285" t="s">
        <v>141</v>
      </c>
      <c r="G106" s="285" t="s">
        <v>54</v>
      </c>
      <c r="H106" s="163">
        <v>555</v>
      </c>
      <c r="I106" s="286">
        <f>+H106/VLOOKUP("Road - "&amp;E106,'Default Parameter'!$A$8:$M$17,4,FALSE)/1000*100</f>
        <v>55.500000000000007</v>
      </c>
      <c r="J106" s="287" t="s">
        <v>320</v>
      </c>
      <c r="K106" s="8"/>
      <c r="L106" s="111" t="s">
        <v>142</v>
      </c>
      <c r="M106" s="111" t="s">
        <v>123</v>
      </c>
      <c r="N106" s="111">
        <v>3</v>
      </c>
      <c r="O106" s="15">
        <v>1</v>
      </c>
    </row>
    <row r="107" spans="1:15">
      <c r="A107" s="284" t="str">
        <f t="shared" si="7"/>
        <v>BC32</v>
      </c>
      <c r="B107" s="285" t="s">
        <v>138</v>
      </c>
      <c r="C107" s="285" t="s">
        <v>139</v>
      </c>
      <c r="D107" s="285" t="s">
        <v>140</v>
      </c>
      <c r="E107" s="285" t="s">
        <v>78</v>
      </c>
      <c r="F107" s="285" t="s">
        <v>143</v>
      </c>
      <c r="G107" s="285" t="s">
        <v>57</v>
      </c>
      <c r="H107" s="163">
        <v>515</v>
      </c>
      <c r="I107" s="286">
        <f>+H107/VLOOKUP("Road - "&amp;E107,'Default Parameter'!$A$8:$M$17,4,FALSE)/1000*100</f>
        <v>51.5</v>
      </c>
      <c r="J107" s="287" t="s">
        <v>320</v>
      </c>
      <c r="K107" s="8"/>
      <c r="L107" s="111" t="s">
        <v>142</v>
      </c>
      <c r="M107" s="111" t="s">
        <v>123</v>
      </c>
      <c r="N107" s="111">
        <v>3</v>
      </c>
      <c r="O107" s="15">
        <v>2</v>
      </c>
    </row>
    <row r="108" spans="1:15">
      <c r="A108" s="284" t="str">
        <f t="shared" si="7"/>
        <v>BC33</v>
      </c>
      <c r="B108" s="285" t="s">
        <v>138</v>
      </c>
      <c r="C108" s="285" t="s">
        <v>139</v>
      </c>
      <c r="D108" s="285" t="s">
        <v>140</v>
      </c>
      <c r="E108" s="285" t="s">
        <v>78</v>
      </c>
      <c r="F108" s="285" t="s">
        <v>144</v>
      </c>
      <c r="G108" s="285" t="s">
        <v>58</v>
      </c>
      <c r="H108" s="163">
        <v>455</v>
      </c>
      <c r="I108" s="286">
        <f>+H108/VLOOKUP("Road - "&amp;E108,'Default Parameter'!$A$8:$M$17,4,FALSE)/1000*100</f>
        <v>45.5</v>
      </c>
      <c r="J108" s="287" t="s">
        <v>320</v>
      </c>
      <c r="K108" s="8"/>
      <c r="L108" s="111" t="s">
        <v>142</v>
      </c>
      <c r="M108" s="111" t="s">
        <v>123</v>
      </c>
      <c r="N108" s="111">
        <v>3</v>
      </c>
      <c r="O108" s="111">
        <v>3</v>
      </c>
    </row>
    <row r="109" spans="1:15">
      <c r="A109" s="284" t="str">
        <f t="shared" si="7"/>
        <v>BC34</v>
      </c>
      <c r="B109" s="285" t="s">
        <v>138</v>
      </c>
      <c r="C109" s="285" t="s">
        <v>139</v>
      </c>
      <c r="D109" s="285" t="s">
        <v>140</v>
      </c>
      <c r="E109" s="285" t="s">
        <v>78</v>
      </c>
      <c r="F109" s="285" t="s">
        <v>145</v>
      </c>
      <c r="G109" s="285" t="s">
        <v>59</v>
      </c>
      <c r="H109" s="163">
        <v>455</v>
      </c>
      <c r="I109" s="286">
        <f>+H109/VLOOKUP("Road - "&amp;E109,'Default Parameter'!$A$8:$M$17,4,FALSE)/1000*100</f>
        <v>45.5</v>
      </c>
      <c r="J109" s="287" t="s">
        <v>320</v>
      </c>
      <c r="K109" s="8"/>
      <c r="L109" s="111" t="s">
        <v>142</v>
      </c>
      <c r="M109" s="111" t="s">
        <v>123</v>
      </c>
      <c r="N109" s="111">
        <v>3</v>
      </c>
      <c r="O109" s="111">
        <v>4</v>
      </c>
    </row>
    <row r="110" spans="1:15">
      <c r="A110" s="284" t="str">
        <f t="shared" si="7"/>
        <v>BC35</v>
      </c>
      <c r="B110" s="285" t="s">
        <v>138</v>
      </c>
      <c r="C110" s="285" t="s">
        <v>139</v>
      </c>
      <c r="D110" s="285" t="s">
        <v>140</v>
      </c>
      <c r="E110" s="285" t="s">
        <v>78</v>
      </c>
      <c r="F110" s="285" t="s">
        <v>145</v>
      </c>
      <c r="G110" s="285" t="s">
        <v>60</v>
      </c>
      <c r="H110" s="163">
        <v>455</v>
      </c>
      <c r="I110" s="286">
        <f>+H110/VLOOKUP("Road - "&amp;E110,'Default Parameter'!$A$8:$M$17,4,FALSE)/1000*100</f>
        <v>45.5</v>
      </c>
      <c r="J110" s="287" t="s">
        <v>320</v>
      </c>
      <c r="K110" s="8"/>
      <c r="L110" s="111" t="s">
        <v>142</v>
      </c>
      <c r="M110" s="111" t="s">
        <v>123</v>
      </c>
      <c r="N110" s="111">
        <v>3</v>
      </c>
      <c r="O110" s="111">
        <v>5</v>
      </c>
    </row>
    <row r="111" spans="1:15">
      <c r="A111" s="284" t="str">
        <f t="shared" si="7"/>
        <v>BC36</v>
      </c>
      <c r="B111" s="285" t="s">
        <v>138</v>
      </c>
      <c r="C111" s="285" t="s">
        <v>139</v>
      </c>
      <c r="D111" s="285" t="s">
        <v>140</v>
      </c>
      <c r="E111" s="285" t="s">
        <v>78</v>
      </c>
      <c r="F111" s="285" t="s">
        <v>145</v>
      </c>
      <c r="G111" s="285" t="s">
        <v>62</v>
      </c>
      <c r="H111" s="163">
        <v>455</v>
      </c>
      <c r="I111" s="286">
        <f>+H111/VLOOKUP("Road - "&amp;E111,'Default Parameter'!$A$8:$M$17,4,FALSE)/1000*100</f>
        <v>45.5</v>
      </c>
      <c r="J111" s="287" t="s">
        <v>320</v>
      </c>
      <c r="K111" s="8"/>
      <c r="L111" s="111" t="s">
        <v>142</v>
      </c>
      <c r="M111" s="111" t="s">
        <v>123</v>
      </c>
      <c r="N111" s="111">
        <v>3</v>
      </c>
      <c r="O111" s="111">
        <v>6</v>
      </c>
    </row>
    <row r="112" spans="1:15">
      <c r="A112" s="284" t="str">
        <f t="shared" si="7"/>
        <v>BD20</v>
      </c>
      <c r="B112" s="285" t="s">
        <v>138</v>
      </c>
      <c r="C112" s="285" t="s">
        <v>146</v>
      </c>
      <c r="D112" s="285" t="s">
        <v>140</v>
      </c>
      <c r="E112" s="285" t="s">
        <v>53</v>
      </c>
      <c r="F112" s="285" t="s">
        <v>119</v>
      </c>
      <c r="G112" s="285" t="s">
        <v>50</v>
      </c>
      <c r="H112" s="163">
        <v>270</v>
      </c>
      <c r="I112" s="286">
        <f>+H112/VLOOKUP("Road - "&amp;E112,'Default Parameter'!$A$8:$M$17,4,FALSE)/1000*100</f>
        <v>31.995000000000019</v>
      </c>
      <c r="J112" s="287" t="s">
        <v>51</v>
      </c>
      <c r="K112" s="8"/>
      <c r="L112" s="15" t="s">
        <v>142</v>
      </c>
      <c r="M112" s="15" t="s">
        <v>117</v>
      </c>
      <c r="N112" s="15">
        <v>2</v>
      </c>
      <c r="O112" s="15">
        <v>0</v>
      </c>
    </row>
    <row r="113" spans="1:15">
      <c r="A113" s="284" t="str">
        <f t="shared" si="7"/>
        <v>BD21</v>
      </c>
      <c r="B113" s="285" t="s">
        <v>138</v>
      </c>
      <c r="C113" s="285" t="s">
        <v>146</v>
      </c>
      <c r="D113" s="285" t="s">
        <v>140</v>
      </c>
      <c r="E113" s="285" t="s">
        <v>53</v>
      </c>
      <c r="F113" s="285" t="s">
        <v>136</v>
      </c>
      <c r="G113" s="285" t="s">
        <v>54</v>
      </c>
      <c r="H113" s="163">
        <v>219</v>
      </c>
      <c r="I113" s="286">
        <f>+H113/VLOOKUP("Road - "&amp;E113,'Default Parameter'!$A$8:$M$17,4,FALSE)/1000*100</f>
        <v>25.951500000000017</v>
      </c>
      <c r="J113" s="287" t="s">
        <v>51</v>
      </c>
      <c r="K113" s="8"/>
      <c r="L113" s="15" t="s">
        <v>142</v>
      </c>
      <c r="M113" s="15" t="s">
        <v>117</v>
      </c>
      <c r="N113" s="15">
        <v>2</v>
      </c>
      <c r="O113" s="15">
        <v>1</v>
      </c>
    </row>
    <row r="114" spans="1:15">
      <c r="A114" s="284" t="str">
        <f t="shared" si="7"/>
        <v>BD22</v>
      </c>
      <c r="B114" s="285" t="s">
        <v>138</v>
      </c>
      <c r="C114" s="285" t="s">
        <v>146</v>
      </c>
      <c r="D114" s="285" t="s">
        <v>140</v>
      </c>
      <c r="E114" s="285" t="s">
        <v>53</v>
      </c>
      <c r="F114" s="285" t="s">
        <v>136</v>
      </c>
      <c r="G114" s="285" t="s">
        <v>57</v>
      </c>
      <c r="H114" s="163">
        <v>211</v>
      </c>
      <c r="I114" s="286">
        <f>+H114/VLOOKUP("Road - "&amp;E114,'Default Parameter'!$A$8:$M$17,4,FALSE)/1000*100</f>
        <v>25.003500000000013</v>
      </c>
      <c r="J114" s="287" t="s">
        <v>51</v>
      </c>
      <c r="K114" s="8"/>
      <c r="L114" s="15" t="s">
        <v>142</v>
      </c>
      <c r="M114" s="15" t="s">
        <v>117</v>
      </c>
      <c r="N114" s="15">
        <v>2</v>
      </c>
      <c r="O114" s="15">
        <v>2</v>
      </c>
    </row>
    <row r="115" spans="1:15">
      <c r="A115" s="284" t="str">
        <f t="shared" si="7"/>
        <v>BD23</v>
      </c>
      <c r="B115" s="285" t="s">
        <v>138</v>
      </c>
      <c r="C115" s="285" t="s">
        <v>146</v>
      </c>
      <c r="D115" s="285" t="s">
        <v>140</v>
      </c>
      <c r="E115" s="285" t="s">
        <v>53</v>
      </c>
      <c r="F115" s="285" t="s">
        <v>136</v>
      </c>
      <c r="G115" s="285" t="s">
        <v>58</v>
      </c>
      <c r="H115" s="163">
        <v>224</v>
      </c>
      <c r="I115" s="286">
        <f>+H115/VLOOKUP("Road - "&amp;E115,'Default Parameter'!$A$8:$M$17,4,FALSE)/1000*100</f>
        <v>26.544000000000011</v>
      </c>
      <c r="J115" s="287" t="s">
        <v>51</v>
      </c>
      <c r="K115" s="8"/>
      <c r="L115" s="15" t="s">
        <v>142</v>
      </c>
      <c r="M115" s="15" t="s">
        <v>117</v>
      </c>
      <c r="N115" s="15">
        <v>2</v>
      </c>
      <c r="O115" s="111">
        <v>3</v>
      </c>
    </row>
    <row r="116" spans="1:15">
      <c r="A116" s="284" t="str">
        <f t="shared" si="7"/>
        <v>BD24</v>
      </c>
      <c r="B116" s="285" t="s">
        <v>138</v>
      </c>
      <c r="C116" s="285" t="s">
        <v>146</v>
      </c>
      <c r="D116" s="285" t="s">
        <v>140</v>
      </c>
      <c r="E116" s="285" t="s">
        <v>53</v>
      </c>
      <c r="F116" s="285" t="s">
        <v>136</v>
      </c>
      <c r="G116" s="285" t="s">
        <v>59</v>
      </c>
      <c r="H116" s="163">
        <v>207</v>
      </c>
      <c r="I116" s="286">
        <f>+H116/VLOOKUP("Road - "&amp;E116,'Default Parameter'!$A$8:$M$17,4,FALSE)/1000*100</f>
        <v>24.529500000000013</v>
      </c>
      <c r="J116" s="287" t="s">
        <v>51</v>
      </c>
      <c r="K116" s="8"/>
      <c r="L116" s="15" t="s">
        <v>142</v>
      </c>
      <c r="M116" s="15" t="s">
        <v>117</v>
      </c>
      <c r="N116" s="15">
        <v>2</v>
      </c>
      <c r="O116" s="111">
        <v>4</v>
      </c>
    </row>
    <row r="117" spans="1:15">
      <c r="A117" s="284" t="str">
        <f t="shared" si="7"/>
        <v>BD25</v>
      </c>
      <c r="B117" s="285" t="s">
        <v>138</v>
      </c>
      <c r="C117" s="285" t="s">
        <v>146</v>
      </c>
      <c r="D117" s="285" t="s">
        <v>140</v>
      </c>
      <c r="E117" s="285" t="s">
        <v>53</v>
      </c>
      <c r="F117" s="285" t="s">
        <v>136</v>
      </c>
      <c r="G117" s="285" t="s">
        <v>59</v>
      </c>
      <c r="H117" s="163">
        <v>207</v>
      </c>
      <c r="I117" s="286">
        <f>+H117/VLOOKUP("Road - "&amp;E117,'Default Parameter'!$A$8:$M$17,4,FALSE)/1000*100</f>
        <v>24.529500000000013</v>
      </c>
      <c r="J117" s="287" t="s">
        <v>51</v>
      </c>
      <c r="K117" s="8"/>
      <c r="L117" s="14" t="s">
        <v>142</v>
      </c>
      <c r="M117" s="15" t="s">
        <v>117</v>
      </c>
      <c r="N117" s="15">
        <v>2</v>
      </c>
      <c r="O117" s="17">
        <v>5</v>
      </c>
    </row>
    <row r="118" spans="1:15">
      <c r="A118" s="284" t="str">
        <f t="shared" si="7"/>
        <v>BD26</v>
      </c>
      <c r="B118" s="285" t="s">
        <v>138</v>
      </c>
      <c r="C118" s="285" t="s">
        <v>146</v>
      </c>
      <c r="D118" s="285" t="s">
        <v>140</v>
      </c>
      <c r="E118" s="285" t="s">
        <v>53</v>
      </c>
      <c r="F118" s="285" t="s">
        <v>136</v>
      </c>
      <c r="G118" s="285" t="s">
        <v>59</v>
      </c>
      <c r="H118" s="163">
        <v>207</v>
      </c>
      <c r="I118" s="286">
        <f>+H118/VLOOKUP("Road - "&amp;E118,'Default Parameter'!$A$8:$M$17,4,FALSE)/1000*100</f>
        <v>24.529500000000013</v>
      </c>
      <c r="J118" s="287" t="s">
        <v>51</v>
      </c>
      <c r="K118" s="8"/>
      <c r="L118" s="14" t="s">
        <v>142</v>
      </c>
      <c r="M118" s="15" t="s">
        <v>117</v>
      </c>
      <c r="N118" s="15">
        <v>2</v>
      </c>
      <c r="O118" s="17">
        <v>6</v>
      </c>
    </row>
    <row r="119" spans="1:15">
      <c r="A119" s="284" t="str">
        <f t="shared" si="7"/>
        <v>BD30</v>
      </c>
      <c r="B119" s="285" t="s">
        <v>138</v>
      </c>
      <c r="C119" s="285" t="s">
        <v>147</v>
      </c>
      <c r="D119" s="285" t="s">
        <v>140</v>
      </c>
      <c r="E119" s="285" t="s">
        <v>53</v>
      </c>
      <c r="F119" s="285" t="s">
        <v>119</v>
      </c>
      <c r="G119" s="285" t="s">
        <v>50</v>
      </c>
      <c r="H119" s="163">
        <v>366</v>
      </c>
      <c r="I119" s="286">
        <f>+H119/VLOOKUP("Road - "&amp;E119,'Default Parameter'!$A$8:$M$17,4,FALSE)/1000*100</f>
        <v>43.371000000000024</v>
      </c>
      <c r="J119" s="287" t="s">
        <v>320</v>
      </c>
      <c r="K119" s="8"/>
      <c r="L119" s="14" t="s">
        <v>142</v>
      </c>
      <c r="M119" s="15" t="s">
        <v>117</v>
      </c>
      <c r="N119" s="15">
        <v>3</v>
      </c>
      <c r="O119" s="16">
        <v>0</v>
      </c>
    </row>
    <row r="120" spans="1:15">
      <c r="A120" s="284" t="str">
        <f t="shared" si="7"/>
        <v>BD31</v>
      </c>
      <c r="B120" s="285" t="s">
        <v>138</v>
      </c>
      <c r="C120" s="285" t="s">
        <v>147</v>
      </c>
      <c r="D120" s="285" t="s">
        <v>140</v>
      </c>
      <c r="E120" s="285" t="s">
        <v>53</v>
      </c>
      <c r="F120" s="285" t="s">
        <v>136</v>
      </c>
      <c r="G120" s="285" t="s">
        <v>54</v>
      </c>
      <c r="H120" s="511">
        <f>+$S$24</f>
        <v>265.59319022890622</v>
      </c>
      <c r="I120" s="286">
        <f>+H120/VLOOKUP("Road - "&amp;E120,'Default Parameter'!$A$8:$M$17,4,FALSE)/1000*100</f>
        <v>31.472793042125403</v>
      </c>
      <c r="J120" s="287" t="s">
        <v>463</v>
      </c>
      <c r="K120" s="8"/>
      <c r="L120" s="14" t="s">
        <v>142</v>
      </c>
      <c r="M120" s="15" t="s">
        <v>117</v>
      </c>
      <c r="N120" s="15">
        <v>3</v>
      </c>
      <c r="O120" s="16">
        <v>1</v>
      </c>
    </row>
    <row r="121" spans="1:15">
      <c r="A121" s="284" t="str">
        <f t="shared" si="7"/>
        <v>BD32</v>
      </c>
      <c r="B121" s="285" t="s">
        <v>138</v>
      </c>
      <c r="C121" s="285" t="s">
        <v>147</v>
      </c>
      <c r="D121" s="285" t="s">
        <v>140</v>
      </c>
      <c r="E121" s="285" t="s">
        <v>53</v>
      </c>
      <c r="F121" s="285" t="s">
        <v>136</v>
      </c>
      <c r="G121" s="285" t="s">
        <v>57</v>
      </c>
      <c r="H121" s="163">
        <v>301</v>
      </c>
      <c r="I121" s="286">
        <f>+H121/VLOOKUP("Road - "&amp;E121,'Default Parameter'!$A$8:$M$17,4,FALSE)/1000*100</f>
        <v>35.668500000000023</v>
      </c>
      <c r="J121" s="287" t="s">
        <v>320</v>
      </c>
      <c r="K121" s="8"/>
      <c r="L121" s="14" t="s">
        <v>142</v>
      </c>
      <c r="M121" s="15" t="s">
        <v>117</v>
      </c>
      <c r="N121" s="15">
        <v>3</v>
      </c>
      <c r="O121" s="16">
        <v>2</v>
      </c>
    </row>
    <row r="122" spans="1:15">
      <c r="A122" s="284" t="str">
        <f t="shared" si="7"/>
        <v>BD33</v>
      </c>
      <c r="B122" s="285" t="s">
        <v>138</v>
      </c>
      <c r="C122" s="285" t="s">
        <v>147</v>
      </c>
      <c r="D122" s="285" t="s">
        <v>140</v>
      </c>
      <c r="E122" s="285" t="s">
        <v>53</v>
      </c>
      <c r="F122" s="285" t="s">
        <v>136</v>
      </c>
      <c r="G122" s="285" t="s">
        <v>58</v>
      </c>
      <c r="H122" s="163">
        <v>301</v>
      </c>
      <c r="I122" s="286">
        <f>+H122/VLOOKUP("Road - "&amp;E122,'Default Parameter'!$A$8:$M$17,4,FALSE)/1000*100</f>
        <v>35.668500000000023</v>
      </c>
      <c r="J122" s="287" t="s">
        <v>320</v>
      </c>
      <c r="K122" s="8"/>
      <c r="L122" s="14" t="s">
        <v>142</v>
      </c>
      <c r="M122" s="15" t="s">
        <v>117</v>
      </c>
      <c r="N122" s="15">
        <v>3</v>
      </c>
      <c r="O122" s="17">
        <v>3</v>
      </c>
    </row>
    <row r="123" spans="1:15">
      <c r="A123" s="284" t="str">
        <f t="shared" si="7"/>
        <v>BD34</v>
      </c>
      <c r="B123" s="285" t="s">
        <v>138</v>
      </c>
      <c r="C123" s="285" t="s">
        <v>147</v>
      </c>
      <c r="D123" s="285" t="s">
        <v>140</v>
      </c>
      <c r="E123" s="285" t="s">
        <v>53</v>
      </c>
      <c r="F123" s="285" t="s">
        <v>136</v>
      </c>
      <c r="G123" s="285" t="s">
        <v>59</v>
      </c>
      <c r="H123" s="163">
        <v>301</v>
      </c>
      <c r="I123" s="286">
        <f>+H123/VLOOKUP("Road - "&amp;E123,'Default Parameter'!$A$8:$M$17,4,FALSE)/1000*100</f>
        <v>35.668500000000023</v>
      </c>
      <c r="J123" s="287" t="s">
        <v>320</v>
      </c>
      <c r="K123" s="8"/>
      <c r="L123" s="14" t="s">
        <v>142</v>
      </c>
      <c r="M123" s="15" t="s">
        <v>117</v>
      </c>
      <c r="N123" s="15">
        <v>3</v>
      </c>
      <c r="O123" s="17">
        <v>4</v>
      </c>
    </row>
    <row r="124" spans="1:15">
      <c r="A124" s="284" t="str">
        <f t="shared" si="7"/>
        <v>BD35</v>
      </c>
      <c r="B124" s="285" t="s">
        <v>138</v>
      </c>
      <c r="C124" s="285" t="s">
        <v>147</v>
      </c>
      <c r="D124" s="285" t="s">
        <v>140</v>
      </c>
      <c r="E124" s="285" t="s">
        <v>53</v>
      </c>
      <c r="F124" s="285" t="s">
        <v>136</v>
      </c>
      <c r="G124" s="285" t="s">
        <v>59</v>
      </c>
      <c r="H124" s="163">
        <v>301</v>
      </c>
      <c r="I124" s="286">
        <f>+H124/VLOOKUP("Road - "&amp;E124,'Default Parameter'!$A$8:$M$17,4,FALSE)/1000*100</f>
        <v>35.668500000000023</v>
      </c>
      <c r="J124" s="287" t="s">
        <v>320</v>
      </c>
      <c r="K124" s="8"/>
      <c r="L124" s="14" t="s">
        <v>142</v>
      </c>
      <c r="M124" s="15" t="s">
        <v>117</v>
      </c>
      <c r="N124" s="15">
        <v>3</v>
      </c>
      <c r="O124" s="17">
        <v>5</v>
      </c>
    </row>
    <row r="125" spans="1:15">
      <c r="A125" s="284" t="str">
        <f t="shared" si="7"/>
        <v>BD36</v>
      </c>
      <c r="B125" s="285" t="s">
        <v>138</v>
      </c>
      <c r="C125" s="285" t="s">
        <v>147</v>
      </c>
      <c r="D125" s="285" t="s">
        <v>140</v>
      </c>
      <c r="E125" s="285" t="s">
        <v>53</v>
      </c>
      <c r="F125" s="285" t="s">
        <v>136</v>
      </c>
      <c r="G125" s="285" t="s">
        <v>59</v>
      </c>
      <c r="H125" s="163">
        <v>301</v>
      </c>
      <c r="I125" s="286">
        <f>+H125/VLOOKUP("Road - "&amp;E125,'Default Parameter'!$A$8:$M$17,4,FALSE)/1000*100</f>
        <v>35.668500000000023</v>
      </c>
      <c r="J125" s="287" t="s">
        <v>320</v>
      </c>
      <c r="K125" s="8"/>
      <c r="L125" s="14" t="s">
        <v>142</v>
      </c>
      <c r="M125" s="15" t="s">
        <v>117</v>
      </c>
      <c r="N125" s="15">
        <v>3</v>
      </c>
      <c r="O125" s="17">
        <v>6</v>
      </c>
    </row>
    <row r="126" spans="1:15">
      <c r="A126" s="284" t="str">
        <f t="shared" si="7"/>
        <v>BD40</v>
      </c>
      <c r="B126" s="285" t="s">
        <v>138</v>
      </c>
      <c r="C126" s="285" t="s">
        <v>148</v>
      </c>
      <c r="D126" s="285" t="s">
        <v>140</v>
      </c>
      <c r="E126" s="285" t="s">
        <v>53</v>
      </c>
      <c r="F126" s="285" t="s">
        <v>119</v>
      </c>
      <c r="G126" s="285" t="s">
        <v>50</v>
      </c>
      <c r="H126" s="163">
        <v>263</v>
      </c>
      <c r="I126" s="286">
        <f>+H126/VLOOKUP("Road - "&amp;E126,'Default Parameter'!$A$8:$M$17,4,FALSE)/1000*100</f>
        <v>31.165500000000012</v>
      </c>
      <c r="J126" s="287" t="s">
        <v>320</v>
      </c>
      <c r="K126" s="8"/>
      <c r="L126" s="14" t="s">
        <v>142</v>
      </c>
      <c r="M126" s="15" t="s">
        <v>117</v>
      </c>
      <c r="N126" s="15">
        <v>4</v>
      </c>
      <c r="O126" s="16">
        <v>0</v>
      </c>
    </row>
    <row r="127" spans="1:15">
      <c r="A127" s="284" t="str">
        <f t="shared" si="7"/>
        <v>BD41</v>
      </c>
      <c r="B127" s="285" t="s">
        <v>138</v>
      </c>
      <c r="C127" s="285" t="s">
        <v>148</v>
      </c>
      <c r="D127" s="285" t="s">
        <v>140</v>
      </c>
      <c r="E127" s="285" t="s">
        <v>53</v>
      </c>
      <c r="F127" s="285" t="s">
        <v>136</v>
      </c>
      <c r="G127" s="285" t="s">
        <v>54</v>
      </c>
      <c r="H127" s="163">
        <v>247</v>
      </c>
      <c r="I127" s="286">
        <f>+H127/VLOOKUP("Road - "&amp;E127,'Default Parameter'!$A$8:$M$17,4,FALSE)/1000*100</f>
        <v>29.269500000000015</v>
      </c>
      <c r="J127" s="287" t="s">
        <v>320</v>
      </c>
      <c r="K127" s="8"/>
      <c r="L127" s="14" t="s">
        <v>142</v>
      </c>
      <c r="M127" s="15" t="s">
        <v>117</v>
      </c>
      <c r="N127" s="15">
        <v>4</v>
      </c>
      <c r="O127" s="16">
        <v>1</v>
      </c>
    </row>
    <row r="128" spans="1:15">
      <c r="A128" s="284" t="str">
        <f t="shared" si="7"/>
        <v>BD42</v>
      </c>
      <c r="B128" s="285" t="s">
        <v>138</v>
      </c>
      <c r="C128" s="285" t="s">
        <v>148</v>
      </c>
      <c r="D128" s="285" t="s">
        <v>140</v>
      </c>
      <c r="E128" s="285" t="s">
        <v>53</v>
      </c>
      <c r="F128" s="285" t="s">
        <v>136</v>
      </c>
      <c r="G128" s="285" t="s">
        <v>57</v>
      </c>
      <c r="H128" s="163">
        <v>247</v>
      </c>
      <c r="I128" s="286">
        <f>+H128/VLOOKUP("Road - "&amp;E128,'Default Parameter'!$A$8:$M$17,4,FALSE)/1000*100</f>
        <v>29.269500000000015</v>
      </c>
      <c r="J128" s="287" t="s">
        <v>320</v>
      </c>
      <c r="K128" s="8"/>
      <c r="L128" s="14" t="s">
        <v>142</v>
      </c>
      <c r="M128" s="15" t="s">
        <v>117</v>
      </c>
      <c r="N128" s="15">
        <v>4</v>
      </c>
      <c r="O128" s="16">
        <v>2</v>
      </c>
    </row>
    <row r="129" spans="1:15">
      <c r="A129" s="284" t="str">
        <f t="shared" si="7"/>
        <v>BD43</v>
      </c>
      <c r="B129" s="285" t="s">
        <v>138</v>
      </c>
      <c r="C129" s="285" t="s">
        <v>148</v>
      </c>
      <c r="D129" s="285" t="s">
        <v>140</v>
      </c>
      <c r="E129" s="285" t="s">
        <v>53</v>
      </c>
      <c r="F129" s="285" t="s">
        <v>136</v>
      </c>
      <c r="G129" s="285" t="s">
        <v>58</v>
      </c>
      <c r="H129" s="163">
        <v>247</v>
      </c>
      <c r="I129" s="286">
        <f>+H129/VLOOKUP("Road - "&amp;E129,'Default Parameter'!$A$8:$M$17,4,FALSE)/1000*100</f>
        <v>29.269500000000015</v>
      </c>
      <c r="J129" s="287" t="s">
        <v>320</v>
      </c>
      <c r="K129" s="8"/>
      <c r="L129" s="14" t="s">
        <v>142</v>
      </c>
      <c r="M129" s="15" t="s">
        <v>117</v>
      </c>
      <c r="N129" s="15">
        <v>4</v>
      </c>
      <c r="O129" s="17">
        <v>3</v>
      </c>
    </row>
    <row r="130" spans="1:15">
      <c r="A130" s="284" t="str">
        <f t="shared" si="7"/>
        <v>BD44</v>
      </c>
      <c r="B130" s="285" t="s">
        <v>138</v>
      </c>
      <c r="C130" s="285" t="s">
        <v>148</v>
      </c>
      <c r="D130" s="285" t="s">
        <v>140</v>
      </c>
      <c r="E130" s="285" t="s">
        <v>53</v>
      </c>
      <c r="F130" s="285" t="s">
        <v>136</v>
      </c>
      <c r="G130" s="285" t="s">
        <v>59</v>
      </c>
      <c r="H130" s="163">
        <v>247</v>
      </c>
      <c r="I130" s="286">
        <f>+H130/VLOOKUP("Road - "&amp;E130,'Default Parameter'!$A$8:$M$17,4,FALSE)/1000*100</f>
        <v>29.269500000000015</v>
      </c>
      <c r="J130" s="287" t="s">
        <v>320</v>
      </c>
      <c r="K130" s="8"/>
      <c r="L130" s="14" t="s">
        <v>142</v>
      </c>
      <c r="M130" s="15" t="s">
        <v>117</v>
      </c>
      <c r="N130" s="15">
        <v>4</v>
      </c>
      <c r="O130" s="17">
        <v>4</v>
      </c>
    </row>
    <row r="131" spans="1:15">
      <c r="A131" s="284" t="str">
        <f t="shared" si="7"/>
        <v>BD55</v>
      </c>
      <c r="B131" s="285" t="s">
        <v>138</v>
      </c>
      <c r="C131" s="285" t="s">
        <v>148</v>
      </c>
      <c r="D131" s="285" t="s">
        <v>140</v>
      </c>
      <c r="E131" s="285" t="s">
        <v>53</v>
      </c>
      <c r="F131" s="285" t="s">
        <v>136</v>
      </c>
      <c r="G131" s="285" t="s">
        <v>59</v>
      </c>
      <c r="H131" s="163">
        <v>247</v>
      </c>
      <c r="I131" s="286">
        <f>+H131/VLOOKUP("Road - "&amp;E131,'Default Parameter'!$A$8:$M$17,4,FALSE)/1000*100</f>
        <v>29.269500000000015</v>
      </c>
      <c r="J131" s="287" t="s">
        <v>320</v>
      </c>
      <c r="K131" s="8"/>
      <c r="L131" s="14" t="s">
        <v>142</v>
      </c>
      <c r="M131" s="15" t="s">
        <v>117</v>
      </c>
      <c r="N131" s="15">
        <v>5</v>
      </c>
      <c r="O131" s="17">
        <v>5</v>
      </c>
    </row>
    <row r="132" spans="1:15">
      <c r="A132" s="284" t="str">
        <f t="shared" si="7"/>
        <v>BD56</v>
      </c>
      <c r="B132" s="285" t="s">
        <v>138</v>
      </c>
      <c r="C132" s="285" t="s">
        <v>148</v>
      </c>
      <c r="D132" s="285" t="s">
        <v>140</v>
      </c>
      <c r="E132" s="285" t="s">
        <v>53</v>
      </c>
      <c r="F132" s="285" t="s">
        <v>136</v>
      </c>
      <c r="G132" s="285" t="s">
        <v>59</v>
      </c>
      <c r="H132" s="163">
        <v>247</v>
      </c>
      <c r="I132" s="286">
        <f>+H132/VLOOKUP("Road - "&amp;E132,'Default Parameter'!$A$8:$M$17,4,FALSE)/1000*100</f>
        <v>29.269500000000015</v>
      </c>
      <c r="J132" s="287" t="s">
        <v>320</v>
      </c>
      <c r="K132" s="8"/>
      <c r="L132" s="14" t="s">
        <v>142</v>
      </c>
      <c r="M132" s="15" t="s">
        <v>117</v>
      </c>
      <c r="N132" s="15">
        <v>5</v>
      </c>
      <c r="O132" s="17">
        <v>6</v>
      </c>
    </row>
    <row r="133" spans="1:15">
      <c r="A133" s="284" t="str">
        <f t="shared" si="7"/>
        <v/>
      </c>
      <c r="B133" s="285" t="s">
        <v>90</v>
      </c>
      <c r="C133" s="285" t="s">
        <v>46</v>
      </c>
      <c r="D133" s="285" t="s">
        <v>90</v>
      </c>
      <c r="E133" s="285" t="s">
        <v>49</v>
      </c>
      <c r="F133" s="285" t="s">
        <v>119</v>
      </c>
      <c r="G133" s="285"/>
      <c r="H133" s="163"/>
      <c r="I133" s="286">
        <f>+H133/VLOOKUP("Road - "&amp;E133,'Default Parameter'!$A$8:$M$17,4,FALSE)/1000*100</f>
        <v>0</v>
      </c>
      <c r="J133" s="287" t="s">
        <v>320</v>
      </c>
      <c r="K133" s="8"/>
      <c r="L133" s="14"/>
      <c r="M133" s="15"/>
      <c r="N133" s="15"/>
      <c r="O133" s="17"/>
    </row>
    <row r="134" spans="1:15">
      <c r="A134" s="284" t="str">
        <f t="shared" si="7"/>
        <v>MG10</v>
      </c>
      <c r="B134" s="285" t="s">
        <v>149</v>
      </c>
      <c r="C134" s="285" t="s">
        <v>150</v>
      </c>
      <c r="D134" s="285" t="s">
        <v>90</v>
      </c>
      <c r="E134" s="285" t="s">
        <v>49</v>
      </c>
      <c r="F134" s="285" t="s">
        <v>119</v>
      </c>
      <c r="G134" s="285" t="s">
        <v>50</v>
      </c>
      <c r="H134" s="163">
        <v>25</v>
      </c>
      <c r="I134" s="286">
        <f>+H134/VLOOKUP("Road - "&amp;E134,'Default Parameter'!$A$8:$M$17,4,FALSE)/1000*100</f>
        <v>3.375</v>
      </c>
      <c r="J134" s="287" t="s">
        <v>320</v>
      </c>
      <c r="K134" s="8"/>
      <c r="L134" s="14" t="s">
        <v>151</v>
      </c>
      <c r="M134" s="15" t="s">
        <v>111</v>
      </c>
      <c r="N134" s="15">
        <v>1</v>
      </c>
      <c r="O134" s="17">
        <v>0</v>
      </c>
    </row>
    <row r="135" spans="1:15">
      <c r="A135" s="284" t="str">
        <f t="shared" si="7"/>
        <v>MG11</v>
      </c>
      <c r="B135" s="285" t="s">
        <v>149</v>
      </c>
      <c r="C135" s="285" t="s">
        <v>150</v>
      </c>
      <c r="D135" s="285" t="s">
        <v>90</v>
      </c>
      <c r="E135" s="285" t="s">
        <v>49</v>
      </c>
      <c r="F135" s="285" t="s">
        <v>54</v>
      </c>
      <c r="G135" s="285" t="s">
        <v>54</v>
      </c>
      <c r="H135" s="163">
        <v>20</v>
      </c>
      <c r="I135" s="286">
        <f>+H135/VLOOKUP("Road - "&amp;E135,'Default Parameter'!$A$8:$M$17,4,FALSE)/1000*100</f>
        <v>2.7</v>
      </c>
      <c r="J135" s="287" t="s">
        <v>320</v>
      </c>
      <c r="K135" s="8"/>
      <c r="L135" s="14" t="s">
        <v>151</v>
      </c>
      <c r="M135" s="15" t="s">
        <v>111</v>
      </c>
      <c r="N135" s="15">
        <v>1</v>
      </c>
      <c r="O135" s="17">
        <v>1</v>
      </c>
    </row>
    <row r="136" spans="1:15">
      <c r="A136" s="284" t="str">
        <f t="shared" si="7"/>
        <v>MG12</v>
      </c>
      <c r="B136" s="285" t="s">
        <v>149</v>
      </c>
      <c r="C136" s="285" t="s">
        <v>150</v>
      </c>
      <c r="D136" s="285" t="s">
        <v>90</v>
      </c>
      <c r="E136" s="285" t="s">
        <v>49</v>
      </c>
      <c r="F136" s="285" t="s">
        <v>152</v>
      </c>
      <c r="G136" s="285" t="s">
        <v>57</v>
      </c>
      <c r="H136" s="163">
        <v>20</v>
      </c>
      <c r="I136" s="286">
        <f>+H136/VLOOKUP("Road - "&amp;E136,'Default Parameter'!$A$8:$M$17,4,FALSE)/1000*100</f>
        <v>2.7</v>
      </c>
      <c r="J136" s="287" t="s">
        <v>320</v>
      </c>
      <c r="K136" s="8"/>
      <c r="L136" s="14" t="s">
        <v>151</v>
      </c>
      <c r="M136" s="15" t="s">
        <v>111</v>
      </c>
      <c r="N136" s="15">
        <v>1</v>
      </c>
      <c r="O136" s="17">
        <v>2</v>
      </c>
    </row>
    <row r="137" spans="1:15">
      <c r="A137" s="284" t="str">
        <f t="shared" ref="A137:A163" si="11">+CONCATENATE(L137,M137,N137,O137)</f>
        <v>MG13</v>
      </c>
      <c r="B137" s="285" t="s">
        <v>149</v>
      </c>
      <c r="C137" s="285" t="s">
        <v>150</v>
      </c>
      <c r="D137" s="285" t="s">
        <v>90</v>
      </c>
      <c r="E137" s="285" t="s">
        <v>49</v>
      </c>
      <c r="F137" s="285" t="s">
        <v>153</v>
      </c>
      <c r="G137" s="285" t="s">
        <v>58</v>
      </c>
      <c r="H137" s="163">
        <v>20</v>
      </c>
      <c r="I137" s="286">
        <f>+H137/VLOOKUP("Road - "&amp;E137,'Default Parameter'!$A$8:$M$17,4,FALSE)/1000*100</f>
        <v>2.7</v>
      </c>
      <c r="J137" s="287" t="s">
        <v>320</v>
      </c>
      <c r="K137" s="8"/>
      <c r="L137" s="14" t="s">
        <v>151</v>
      </c>
      <c r="M137" s="15" t="s">
        <v>111</v>
      </c>
      <c r="N137" s="15">
        <v>1</v>
      </c>
      <c r="O137" s="17">
        <v>3</v>
      </c>
    </row>
    <row r="138" spans="1:15">
      <c r="A138" s="284" t="str">
        <f t="shared" si="11"/>
        <v>MG14</v>
      </c>
      <c r="B138" s="285" t="s">
        <v>149</v>
      </c>
      <c r="C138" s="285" t="s">
        <v>150</v>
      </c>
      <c r="D138" s="285" t="s">
        <v>90</v>
      </c>
      <c r="E138" s="285" t="s">
        <v>49</v>
      </c>
      <c r="F138" s="285" t="s">
        <v>153</v>
      </c>
      <c r="G138" s="285" t="s">
        <v>59</v>
      </c>
      <c r="H138" s="163">
        <v>20</v>
      </c>
      <c r="I138" s="286">
        <f>+H138/VLOOKUP("Road - "&amp;E138,'Default Parameter'!$A$8:$M$17,4,FALSE)/1000*100</f>
        <v>2.7</v>
      </c>
      <c r="J138" s="287" t="s">
        <v>320</v>
      </c>
      <c r="K138" s="8"/>
      <c r="L138" s="14" t="s">
        <v>151</v>
      </c>
      <c r="M138" s="15" t="s">
        <v>111</v>
      </c>
      <c r="N138" s="15">
        <v>1</v>
      </c>
      <c r="O138" s="17">
        <v>4</v>
      </c>
    </row>
    <row r="139" spans="1:15">
      <c r="A139" s="284" t="str">
        <f t="shared" si="11"/>
        <v>MG20</v>
      </c>
      <c r="B139" s="285" t="s">
        <v>149</v>
      </c>
      <c r="C139" s="285" t="s">
        <v>154</v>
      </c>
      <c r="D139" s="285" t="s">
        <v>90</v>
      </c>
      <c r="E139" s="285" t="s">
        <v>49</v>
      </c>
      <c r="F139" s="285" t="s">
        <v>119</v>
      </c>
      <c r="G139" s="285" t="s">
        <v>50</v>
      </c>
      <c r="H139" s="163">
        <v>25</v>
      </c>
      <c r="I139" s="286">
        <f>+H139/VLOOKUP("Road - "&amp;E139,'Default Parameter'!$A$8:$M$17,4,FALSE)/1000*100</f>
        <v>3.375</v>
      </c>
      <c r="J139" s="287" t="s">
        <v>320</v>
      </c>
      <c r="K139" s="8"/>
      <c r="L139" s="14" t="s">
        <v>151</v>
      </c>
      <c r="M139" s="15" t="s">
        <v>111</v>
      </c>
      <c r="N139" s="15">
        <v>2</v>
      </c>
      <c r="O139" s="17">
        <v>0</v>
      </c>
    </row>
    <row r="140" spans="1:15">
      <c r="A140" s="284" t="str">
        <f t="shared" si="11"/>
        <v>MG21</v>
      </c>
      <c r="B140" s="285" t="s">
        <v>149</v>
      </c>
      <c r="C140" s="285" t="s">
        <v>154</v>
      </c>
      <c r="D140" s="285" t="s">
        <v>90</v>
      </c>
      <c r="E140" s="285" t="s">
        <v>49</v>
      </c>
      <c r="F140" s="285" t="s">
        <v>54</v>
      </c>
      <c r="G140" s="285" t="s">
        <v>54</v>
      </c>
      <c r="H140" s="163">
        <v>20</v>
      </c>
      <c r="I140" s="286">
        <f>+H140/VLOOKUP("Road - "&amp;E140,'Default Parameter'!$A$8:$M$17,4,FALSE)/1000*100</f>
        <v>2.7</v>
      </c>
      <c r="J140" s="287" t="s">
        <v>320</v>
      </c>
      <c r="K140" s="8"/>
      <c r="L140" s="14" t="s">
        <v>151</v>
      </c>
      <c r="M140" s="15" t="s">
        <v>111</v>
      </c>
      <c r="N140" s="15">
        <v>2</v>
      </c>
      <c r="O140" s="17">
        <v>1</v>
      </c>
    </row>
    <row r="141" spans="1:15">
      <c r="A141" s="284" t="str">
        <f t="shared" si="11"/>
        <v>MG22</v>
      </c>
      <c r="B141" s="285" t="s">
        <v>149</v>
      </c>
      <c r="C141" s="285" t="s">
        <v>154</v>
      </c>
      <c r="D141" s="285" t="s">
        <v>90</v>
      </c>
      <c r="E141" s="285" t="s">
        <v>49</v>
      </c>
      <c r="F141" s="285" t="s">
        <v>152</v>
      </c>
      <c r="G141" s="285" t="s">
        <v>57</v>
      </c>
      <c r="H141" s="163">
        <v>20</v>
      </c>
      <c r="I141" s="286">
        <f>+H141/VLOOKUP("Road - "&amp;E141,'Default Parameter'!$A$8:$M$17,4,FALSE)/1000*100</f>
        <v>2.7</v>
      </c>
      <c r="J141" s="287" t="s">
        <v>320</v>
      </c>
      <c r="K141" s="8"/>
      <c r="L141" s="14" t="s">
        <v>151</v>
      </c>
      <c r="M141" s="15" t="s">
        <v>111</v>
      </c>
      <c r="N141" s="15">
        <v>2</v>
      </c>
      <c r="O141" s="17">
        <v>2</v>
      </c>
    </row>
    <row r="142" spans="1:15">
      <c r="A142" s="284" t="str">
        <f t="shared" si="11"/>
        <v>MG23</v>
      </c>
      <c r="B142" s="285" t="s">
        <v>149</v>
      </c>
      <c r="C142" s="285" t="s">
        <v>154</v>
      </c>
      <c r="D142" s="285" t="s">
        <v>90</v>
      </c>
      <c r="E142" s="285" t="s">
        <v>49</v>
      </c>
      <c r="F142" s="285" t="s">
        <v>153</v>
      </c>
      <c r="G142" s="285" t="s">
        <v>58</v>
      </c>
      <c r="H142" s="163">
        <v>20</v>
      </c>
      <c r="I142" s="286">
        <f>+H142/VLOOKUP("Road - "&amp;E142,'Default Parameter'!$A$8:$M$17,4,FALSE)/1000*100</f>
        <v>2.7</v>
      </c>
      <c r="J142" s="287" t="s">
        <v>320</v>
      </c>
      <c r="K142" s="8"/>
      <c r="L142" s="14" t="s">
        <v>151</v>
      </c>
      <c r="M142" s="15" t="s">
        <v>111</v>
      </c>
      <c r="N142" s="15">
        <v>2</v>
      </c>
      <c r="O142" s="17">
        <v>3</v>
      </c>
    </row>
    <row r="143" spans="1:15">
      <c r="A143" s="284" t="str">
        <f t="shared" si="11"/>
        <v>MG24</v>
      </c>
      <c r="B143" s="285" t="s">
        <v>149</v>
      </c>
      <c r="C143" s="285" t="s">
        <v>154</v>
      </c>
      <c r="D143" s="285" t="s">
        <v>90</v>
      </c>
      <c r="E143" s="285" t="s">
        <v>49</v>
      </c>
      <c r="F143" s="285" t="s">
        <v>153</v>
      </c>
      <c r="G143" s="285" t="s">
        <v>59</v>
      </c>
      <c r="H143" s="163">
        <v>20</v>
      </c>
      <c r="I143" s="286">
        <f>+H143/VLOOKUP("Road - "&amp;E143,'Default Parameter'!$A$8:$M$17,4,FALSE)/1000*100</f>
        <v>2.7</v>
      </c>
      <c r="J143" s="287" t="s">
        <v>320</v>
      </c>
      <c r="K143" s="8"/>
      <c r="L143" s="14" t="s">
        <v>151</v>
      </c>
      <c r="M143" s="15" t="s">
        <v>111</v>
      </c>
      <c r="N143" s="15">
        <v>2</v>
      </c>
      <c r="O143" s="17">
        <v>4</v>
      </c>
    </row>
    <row r="144" spans="1:15">
      <c r="A144" s="284" t="str">
        <f t="shared" si="11"/>
        <v>MG30</v>
      </c>
      <c r="B144" s="285" t="s">
        <v>155</v>
      </c>
      <c r="C144" s="285" t="s">
        <v>156</v>
      </c>
      <c r="D144" s="285" t="s">
        <v>90</v>
      </c>
      <c r="E144" s="285" t="s">
        <v>49</v>
      </c>
      <c r="F144" s="285" t="s">
        <v>119</v>
      </c>
      <c r="G144" s="285" t="s">
        <v>50</v>
      </c>
      <c r="H144" s="163">
        <v>33</v>
      </c>
      <c r="I144" s="286">
        <f>+H144/VLOOKUP("Road - "&amp;E144,'Default Parameter'!$A$8:$M$17,4,FALSE)/1000*100</f>
        <v>4.455000000000001</v>
      </c>
      <c r="J144" s="287" t="s">
        <v>320</v>
      </c>
      <c r="K144" s="8"/>
      <c r="L144" s="14" t="s">
        <v>151</v>
      </c>
      <c r="M144" s="15" t="s">
        <v>111</v>
      </c>
      <c r="N144" s="15">
        <v>3</v>
      </c>
      <c r="O144" s="17">
        <v>0</v>
      </c>
    </row>
    <row r="145" spans="1:15">
      <c r="A145" s="284" t="str">
        <f t="shared" si="11"/>
        <v>MG31</v>
      </c>
      <c r="B145" s="285" t="s">
        <v>155</v>
      </c>
      <c r="C145" s="285" t="s">
        <v>156</v>
      </c>
      <c r="D145" s="285" t="s">
        <v>90</v>
      </c>
      <c r="E145" s="285" t="s">
        <v>49</v>
      </c>
      <c r="F145" s="285" t="s">
        <v>54</v>
      </c>
      <c r="G145" s="285" t="s">
        <v>54</v>
      </c>
      <c r="H145" s="163">
        <v>25</v>
      </c>
      <c r="I145" s="286">
        <f>+H145/VLOOKUP("Road - "&amp;E145,'Default Parameter'!$A$8:$M$17,4,FALSE)/1000*100</f>
        <v>3.375</v>
      </c>
      <c r="J145" s="287" t="s">
        <v>320</v>
      </c>
      <c r="K145" s="8"/>
      <c r="L145" s="14" t="s">
        <v>151</v>
      </c>
      <c r="M145" s="15" t="s">
        <v>111</v>
      </c>
      <c r="N145" s="15">
        <v>3</v>
      </c>
      <c r="O145" s="17">
        <v>1</v>
      </c>
    </row>
    <row r="146" spans="1:15">
      <c r="A146" s="284" t="str">
        <f t="shared" si="11"/>
        <v>MG32</v>
      </c>
      <c r="B146" s="285" t="s">
        <v>155</v>
      </c>
      <c r="C146" s="285" t="s">
        <v>156</v>
      </c>
      <c r="D146" s="285" t="s">
        <v>90</v>
      </c>
      <c r="E146" s="285" t="s">
        <v>49</v>
      </c>
      <c r="F146" s="285" t="s">
        <v>152</v>
      </c>
      <c r="G146" s="285" t="s">
        <v>57</v>
      </c>
      <c r="H146" s="163">
        <v>23</v>
      </c>
      <c r="I146" s="286">
        <f>+H146/VLOOKUP("Road - "&amp;E146,'Default Parameter'!$A$8:$M$17,4,FALSE)/1000*100</f>
        <v>3.105</v>
      </c>
      <c r="J146" s="287" t="s">
        <v>320</v>
      </c>
      <c r="K146" s="8"/>
      <c r="L146" s="14" t="s">
        <v>151</v>
      </c>
      <c r="M146" s="15" t="s">
        <v>111</v>
      </c>
      <c r="N146" s="15">
        <v>3</v>
      </c>
      <c r="O146" s="17">
        <v>2</v>
      </c>
    </row>
    <row r="147" spans="1:15">
      <c r="A147" s="284" t="str">
        <f t="shared" si="11"/>
        <v>MG33</v>
      </c>
      <c r="B147" s="285" t="s">
        <v>155</v>
      </c>
      <c r="C147" s="285" t="s">
        <v>156</v>
      </c>
      <c r="D147" s="285" t="s">
        <v>90</v>
      </c>
      <c r="E147" s="285" t="s">
        <v>49</v>
      </c>
      <c r="F147" s="285" t="s">
        <v>153</v>
      </c>
      <c r="G147" s="285" t="s">
        <v>58</v>
      </c>
      <c r="H147" s="163">
        <v>17</v>
      </c>
      <c r="I147" s="286">
        <f>+H147/VLOOKUP("Road - "&amp;E147,'Default Parameter'!$A$8:$M$17,4,FALSE)/1000*100</f>
        <v>2.2950000000000004</v>
      </c>
      <c r="J147" s="287" t="s">
        <v>320</v>
      </c>
      <c r="K147" s="8"/>
      <c r="L147" s="14" t="s">
        <v>151</v>
      </c>
      <c r="M147" s="15" t="s">
        <v>111</v>
      </c>
      <c r="N147" s="15">
        <v>3</v>
      </c>
      <c r="O147" s="17">
        <v>3</v>
      </c>
    </row>
    <row r="148" spans="1:15">
      <c r="A148" s="284" t="str">
        <f t="shared" si="11"/>
        <v>MG34</v>
      </c>
      <c r="B148" s="285" t="s">
        <v>155</v>
      </c>
      <c r="C148" s="285" t="s">
        <v>156</v>
      </c>
      <c r="D148" s="285" t="s">
        <v>90</v>
      </c>
      <c r="E148" s="285" t="s">
        <v>49</v>
      </c>
      <c r="F148" s="285" t="s">
        <v>153</v>
      </c>
      <c r="G148" s="285" t="s">
        <v>59</v>
      </c>
      <c r="H148" s="163">
        <v>17</v>
      </c>
      <c r="I148" s="286">
        <f>+H148/VLOOKUP("Road - "&amp;E148,'Default Parameter'!$A$8:$M$17,4,FALSE)/1000*100</f>
        <v>2.2950000000000004</v>
      </c>
      <c r="J148" s="287" t="s">
        <v>320</v>
      </c>
      <c r="K148" s="8"/>
      <c r="L148" s="14" t="s">
        <v>151</v>
      </c>
      <c r="M148" s="15" t="s">
        <v>111</v>
      </c>
      <c r="N148" s="15">
        <v>3</v>
      </c>
      <c r="O148" s="17">
        <v>4</v>
      </c>
    </row>
    <row r="149" spans="1:15">
      <c r="A149" s="284" t="str">
        <f t="shared" si="11"/>
        <v>MG40</v>
      </c>
      <c r="B149" s="285" t="s">
        <v>155</v>
      </c>
      <c r="C149" s="285" t="s">
        <v>157</v>
      </c>
      <c r="D149" s="285" t="s">
        <v>90</v>
      </c>
      <c r="E149" s="285" t="s">
        <v>49</v>
      </c>
      <c r="F149" s="285" t="s">
        <v>119</v>
      </c>
      <c r="G149" s="285" t="s">
        <v>50</v>
      </c>
      <c r="H149" s="511">
        <f>+$S$38</f>
        <v>23.877397912788581</v>
      </c>
      <c r="I149" s="286">
        <f>+H149/VLOOKUP("Road - "&amp;E149,'Default Parameter'!$A$8:$M$17,4,FALSE)/1000*100</f>
        <v>3.2234487182264586</v>
      </c>
      <c r="J149" s="287" t="s">
        <v>463</v>
      </c>
      <c r="K149" s="8"/>
      <c r="L149" s="14" t="s">
        <v>151</v>
      </c>
      <c r="M149" s="15" t="s">
        <v>111</v>
      </c>
      <c r="N149" s="15">
        <v>4</v>
      </c>
      <c r="O149" s="16">
        <v>0</v>
      </c>
    </row>
    <row r="150" spans="1:15">
      <c r="A150" s="284" t="str">
        <f t="shared" si="11"/>
        <v>MG41</v>
      </c>
      <c r="B150" s="285" t="s">
        <v>155</v>
      </c>
      <c r="C150" s="285" t="s">
        <v>157</v>
      </c>
      <c r="D150" s="285" t="s">
        <v>90</v>
      </c>
      <c r="E150" s="285" t="s">
        <v>49</v>
      </c>
      <c r="F150" s="285" t="s">
        <v>112</v>
      </c>
      <c r="G150" s="285" t="s">
        <v>54</v>
      </c>
      <c r="H150" s="511">
        <f>+$S$38</f>
        <v>23.877397912788581</v>
      </c>
      <c r="I150" s="286">
        <f>+H150/VLOOKUP("Road - "&amp;E150,'Default Parameter'!$A$8:$M$17,4,FALSE)/1000*100</f>
        <v>3.2234487182264586</v>
      </c>
      <c r="J150" s="287" t="s">
        <v>463</v>
      </c>
      <c r="K150" s="8"/>
      <c r="L150" s="14" t="s">
        <v>151</v>
      </c>
      <c r="M150" s="15" t="s">
        <v>111</v>
      </c>
      <c r="N150" s="15">
        <v>4</v>
      </c>
      <c r="O150" s="16">
        <v>1</v>
      </c>
    </row>
    <row r="151" spans="1:15">
      <c r="A151" s="284" t="str">
        <f t="shared" si="11"/>
        <v>MG42</v>
      </c>
      <c r="B151" s="285" t="s">
        <v>155</v>
      </c>
      <c r="C151" s="285" t="s">
        <v>157</v>
      </c>
      <c r="D151" s="285" t="s">
        <v>90</v>
      </c>
      <c r="E151" s="285" t="s">
        <v>49</v>
      </c>
      <c r="F151" s="285" t="s">
        <v>112</v>
      </c>
      <c r="G151" s="285" t="s">
        <v>57</v>
      </c>
      <c r="H151" s="511">
        <f>+$S$38</f>
        <v>23.877397912788581</v>
      </c>
      <c r="I151" s="286">
        <f>+H151/VLOOKUP("Road - "&amp;E151,'Default Parameter'!$A$8:$M$17,4,FALSE)/1000*100</f>
        <v>3.2234487182264586</v>
      </c>
      <c r="J151" s="287" t="s">
        <v>463</v>
      </c>
      <c r="K151" s="8"/>
      <c r="L151" s="14" t="s">
        <v>151</v>
      </c>
      <c r="M151" s="15" t="s">
        <v>111</v>
      </c>
      <c r="N151" s="15">
        <v>4</v>
      </c>
      <c r="O151" s="16">
        <v>2</v>
      </c>
    </row>
    <row r="152" spans="1:15">
      <c r="A152" s="284" t="str">
        <f t="shared" si="11"/>
        <v>MG43</v>
      </c>
      <c r="B152" s="285" t="s">
        <v>155</v>
      </c>
      <c r="C152" s="285" t="s">
        <v>157</v>
      </c>
      <c r="D152" s="285" t="s">
        <v>90</v>
      </c>
      <c r="E152" s="285" t="s">
        <v>49</v>
      </c>
      <c r="F152" s="285" t="s">
        <v>112</v>
      </c>
      <c r="G152" s="285" t="s">
        <v>58</v>
      </c>
      <c r="H152" s="511">
        <f>+$S$38</f>
        <v>23.877397912788581</v>
      </c>
      <c r="I152" s="286">
        <f>+H152/VLOOKUP("Road - "&amp;E152,'Default Parameter'!$A$8:$M$17,4,FALSE)/1000*100</f>
        <v>3.2234487182264586</v>
      </c>
      <c r="J152" s="287" t="s">
        <v>463</v>
      </c>
      <c r="K152" s="8"/>
      <c r="L152" s="14" t="s">
        <v>151</v>
      </c>
      <c r="M152" s="15" t="s">
        <v>111</v>
      </c>
      <c r="N152" s="15">
        <v>4</v>
      </c>
      <c r="O152" s="16">
        <v>3</v>
      </c>
    </row>
    <row r="153" spans="1:15">
      <c r="A153" s="284" t="str">
        <f t="shared" si="11"/>
        <v>MG44</v>
      </c>
      <c r="B153" s="285" t="s">
        <v>155</v>
      </c>
      <c r="C153" s="285" t="s">
        <v>157</v>
      </c>
      <c r="D153" s="285" t="s">
        <v>90</v>
      </c>
      <c r="E153" s="285" t="s">
        <v>49</v>
      </c>
      <c r="F153" s="285" t="s">
        <v>112</v>
      </c>
      <c r="G153" s="285" t="s">
        <v>59</v>
      </c>
      <c r="H153" s="511">
        <f>+$S$38</f>
        <v>23.877397912788581</v>
      </c>
      <c r="I153" s="286">
        <f>+H153/VLOOKUP("Road - "&amp;E153,'Default Parameter'!$A$8:$M$17,4,FALSE)/1000*100</f>
        <v>3.2234487182264586</v>
      </c>
      <c r="J153" s="287" t="s">
        <v>463</v>
      </c>
      <c r="K153" s="8"/>
      <c r="L153" s="14" t="s">
        <v>151</v>
      </c>
      <c r="M153" s="15" t="s">
        <v>111</v>
      </c>
      <c r="N153" s="15">
        <v>4</v>
      </c>
      <c r="O153" s="16">
        <v>4</v>
      </c>
    </row>
    <row r="154" spans="1:15">
      <c r="A154" s="284" t="str">
        <f t="shared" si="11"/>
        <v>MG50</v>
      </c>
      <c r="B154" s="285" t="s">
        <v>155</v>
      </c>
      <c r="C154" s="285" t="s">
        <v>158</v>
      </c>
      <c r="D154" s="285" t="s">
        <v>90</v>
      </c>
      <c r="E154" s="285" t="s">
        <v>49</v>
      </c>
      <c r="F154" s="285" t="s">
        <v>119</v>
      </c>
      <c r="G154" s="285" t="s">
        <v>50</v>
      </c>
      <c r="H154" s="511">
        <f>+$S$39</f>
        <v>35.544732894897351</v>
      </c>
      <c r="I154" s="286">
        <f>+H154/VLOOKUP("Road - "&amp;E154,'Default Parameter'!$A$8:$M$17,4,FALSE)/1000*100</f>
        <v>4.7985389408111425</v>
      </c>
      <c r="J154" s="287" t="s">
        <v>463</v>
      </c>
      <c r="K154" s="8"/>
      <c r="L154" s="14" t="s">
        <v>151</v>
      </c>
      <c r="M154" s="15" t="s">
        <v>111</v>
      </c>
      <c r="N154" s="15">
        <v>5</v>
      </c>
      <c r="O154" s="17">
        <v>0</v>
      </c>
    </row>
    <row r="155" spans="1:15">
      <c r="A155" s="284" t="str">
        <f t="shared" si="11"/>
        <v>MG51</v>
      </c>
      <c r="B155" s="285" t="s">
        <v>155</v>
      </c>
      <c r="C155" s="285" t="s">
        <v>158</v>
      </c>
      <c r="D155" s="285" t="s">
        <v>90</v>
      </c>
      <c r="E155" s="285" t="s">
        <v>49</v>
      </c>
      <c r="F155" s="285" t="s">
        <v>112</v>
      </c>
      <c r="G155" s="285" t="s">
        <v>54</v>
      </c>
      <c r="H155" s="511">
        <f t="shared" ref="H155:H160" si="12">+$S$39</f>
        <v>35.544732894897351</v>
      </c>
      <c r="I155" s="286">
        <f>+H155/VLOOKUP("Road - "&amp;E155,'Default Parameter'!$A$8:$M$17,4,FALSE)/1000*100</f>
        <v>4.7985389408111425</v>
      </c>
      <c r="J155" s="287" t="s">
        <v>463</v>
      </c>
      <c r="K155" s="8"/>
      <c r="L155" s="14" t="s">
        <v>151</v>
      </c>
      <c r="M155" s="15" t="s">
        <v>111</v>
      </c>
      <c r="N155" s="15">
        <v>5</v>
      </c>
      <c r="O155" s="17">
        <v>1</v>
      </c>
    </row>
    <row r="156" spans="1:15">
      <c r="A156" s="284" t="str">
        <f t="shared" si="11"/>
        <v>MG52</v>
      </c>
      <c r="B156" s="285" t="s">
        <v>155</v>
      </c>
      <c r="C156" s="285" t="s">
        <v>158</v>
      </c>
      <c r="D156" s="285" t="s">
        <v>90</v>
      </c>
      <c r="E156" s="285" t="s">
        <v>49</v>
      </c>
      <c r="F156" s="285" t="s">
        <v>112</v>
      </c>
      <c r="G156" s="285" t="s">
        <v>57</v>
      </c>
      <c r="H156" s="511">
        <f t="shared" si="12"/>
        <v>35.544732894897351</v>
      </c>
      <c r="I156" s="286">
        <f>+H156/VLOOKUP("Road - "&amp;E156,'Default Parameter'!$A$8:$M$17,4,FALSE)/1000*100</f>
        <v>4.7985389408111425</v>
      </c>
      <c r="J156" s="287" t="s">
        <v>463</v>
      </c>
      <c r="K156" s="8"/>
      <c r="L156" s="14" t="s">
        <v>151</v>
      </c>
      <c r="M156" s="15" t="s">
        <v>111</v>
      </c>
      <c r="N156" s="15">
        <v>5</v>
      </c>
      <c r="O156" s="17">
        <v>2</v>
      </c>
    </row>
    <row r="157" spans="1:15">
      <c r="A157" s="284" t="str">
        <f t="shared" si="11"/>
        <v>MG53</v>
      </c>
      <c r="B157" s="285" t="s">
        <v>155</v>
      </c>
      <c r="C157" s="285" t="s">
        <v>158</v>
      </c>
      <c r="D157" s="285" t="s">
        <v>90</v>
      </c>
      <c r="E157" s="285" t="s">
        <v>49</v>
      </c>
      <c r="F157" s="285" t="s">
        <v>112</v>
      </c>
      <c r="G157" s="285" t="s">
        <v>58</v>
      </c>
      <c r="H157" s="511">
        <f t="shared" si="12"/>
        <v>35.544732894897351</v>
      </c>
      <c r="I157" s="286">
        <f>+H157/VLOOKUP("Road - "&amp;E157,'Default Parameter'!$A$8:$M$17,4,FALSE)/1000*100</f>
        <v>4.7985389408111425</v>
      </c>
      <c r="J157" s="287" t="s">
        <v>463</v>
      </c>
      <c r="K157" s="8"/>
      <c r="L157" s="14" t="s">
        <v>151</v>
      </c>
      <c r="M157" s="15" t="s">
        <v>111</v>
      </c>
      <c r="N157" s="15">
        <v>5</v>
      </c>
      <c r="O157" s="17">
        <v>3</v>
      </c>
    </row>
    <row r="158" spans="1:15">
      <c r="A158" s="284" t="str">
        <f t="shared" si="11"/>
        <v>MG54</v>
      </c>
      <c r="B158" s="285" t="s">
        <v>155</v>
      </c>
      <c r="C158" s="285" t="s">
        <v>158</v>
      </c>
      <c r="D158" s="285" t="s">
        <v>90</v>
      </c>
      <c r="E158" s="285" t="s">
        <v>49</v>
      </c>
      <c r="F158" s="285" t="s">
        <v>112</v>
      </c>
      <c r="G158" s="285" t="s">
        <v>59</v>
      </c>
      <c r="H158" s="511">
        <f t="shared" si="12"/>
        <v>35.544732894897351</v>
      </c>
      <c r="I158" s="286">
        <f>+H158/VLOOKUP("Road - "&amp;E158,'Default Parameter'!$A$8:$M$17,4,FALSE)/1000*100</f>
        <v>4.7985389408111425</v>
      </c>
      <c r="J158" s="287" t="s">
        <v>463</v>
      </c>
      <c r="K158" s="8"/>
      <c r="L158" s="14" t="s">
        <v>151</v>
      </c>
      <c r="M158" s="15" t="s">
        <v>111</v>
      </c>
      <c r="N158" s="15">
        <v>5</v>
      </c>
      <c r="O158" s="17">
        <v>4</v>
      </c>
    </row>
    <row r="159" spans="1:15">
      <c r="A159" s="284" t="str">
        <f t="shared" si="11"/>
        <v>MG60</v>
      </c>
      <c r="B159" s="285" t="s">
        <v>155</v>
      </c>
      <c r="C159" s="285" t="s">
        <v>159</v>
      </c>
      <c r="D159" s="285" t="s">
        <v>90</v>
      </c>
      <c r="E159" s="285" t="s">
        <v>49</v>
      </c>
      <c r="F159" s="285" t="s">
        <v>119</v>
      </c>
      <c r="G159" s="285" t="s">
        <v>50</v>
      </c>
      <c r="H159" s="511">
        <f t="shared" si="12"/>
        <v>35.544732894897351</v>
      </c>
      <c r="I159" s="286">
        <f>+H159/VLOOKUP("Road - "&amp;E159,'Default Parameter'!$A$8:$M$17,4,FALSE)/1000*100</f>
        <v>4.7985389408111425</v>
      </c>
      <c r="J159" s="287" t="s">
        <v>463</v>
      </c>
      <c r="K159" s="8"/>
      <c r="L159" s="14" t="s">
        <v>151</v>
      </c>
      <c r="M159" s="15" t="s">
        <v>111</v>
      </c>
      <c r="N159" s="15">
        <v>6</v>
      </c>
      <c r="O159" s="17">
        <v>0</v>
      </c>
    </row>
    <row r="160" spans="1:15">
      <c r="A160" s="284" t="str">
        <f t="shared" si="11"/>
        <v>MG61</v>
      </c>
      <c r="B160" s="285" t="s">
        <v>155</v>
      </c>
      <c r="C160" s="285" t="s">
        <v>159</v>
      </c>
      <c r="D160" s="285" t="s">
        <v>90</v>
      </c>
      <c r="E160" s="285" t="s">
        <v>49</v>
      </c>
      <c r="F160" s="285" t="s">
        <v>112</v>
      </c>
      <c r="G160" s="285" t="s">
        <v>54</v>
      </c>
      <c r="H160" s="511">
        <f t="shared" si="12"/>
        <v>35.544732894897351</v>
      </c>
      <c r="I160" s="286">
        <f>+H160/VLOOKUP("Road - "&amp;E160,'Default Parameter'!$A$8:$M$17,4,FALSE)/1000*100</f>
        <v>4.7985389408111425</v>
      </c>
      <c r="J160" s="287" t="s">
        <v>463</v>
      </c>
      <c r="K160" s="8"/>
      <c r="L160" s="14" t="s">
        <v>151</v>
      </c>
      <c r="M160" s="15" t="s">
        <v>111</v>
      </c>
      <c r="N160" s="15">
        <v>6</v>
      </c>
      <c r="O160" s="17">
        <v>1</v>
      </c>
    </row>
    <row r="161" spans="1:15">
      <c r="A161" s="284" t="str">
        <f t="shared" si="11"/>
        <v>MG62</v>
      </c>
      <c r="B161" s="285" t="s">
        <v>155</v>
      </c>
      <c r="C161" s="285" t="s">
        <v>159</v>
      </c>
      <c r="D161" s="285" t="s">
        <v>90</v>
      </c>
      <c r="E161" s="285" t="s">
        <v>49</v>
      </c>
      <c r="F161" s="285" t="s">
        <v>112</v>
      </c>
      <c r="G161" s="285" t="s">
        <v>57</v>
      </c>
      <c r="H161" s="163">
        <v>46</v>
      </c>
      <c r="I161" s="286">
        <f>+H161/VLOOKUP("Road - "&amp;E161,'Default Parameter'!$A$8:$M$17,4,FALSE)/1000*100</f>
        <v>6.21</v>
      </c>
      <c r="J161" s="287" t="s">
        <v>320</v>
      </c>
      <c r="K161" s="8"/>
      <c r="L161" s="14" t="s">
        <v>151</v>
      </c>
      <c r="M161" s="15" t="s">
        <v>111</v>
      </c>
      <c r="N161" s="15">
        <v>6</v>
      </c>
      <c r="O161" s="17">
        <v>2</v>
      </c>
    </row>
    <row r="162" spans="1:15">
      <c r="A162" s="284" t="str">
        <f t="shared" si="11"/>
        <v>MG63</v>
      </c>
      <c r="B162" s="285" t="s">
        <v>155</v>
      </c>
      <c r="C162" s="285" t="s">
        <v>159</v>
      </c>
      <c r="D162" s="285" t="s">
        <v>90</v>
      </c>
      <c r="E162" s="285" t="s">
        <v>49</v>
      </c>
      <c r="F162" s="285" t="s">
        <v>112</v>
      </c>
      <c r="G162" s="285" t="s">
        <v>58</v>
      </c>
      <c r="H162" s="163">
        <v>46</v>
      </c>
      <c r="I162" s="286">
        <f>+H162/VLOOKUP("Road - "&amp;E162,'Default Parameter'!$A$8:$M$17,4,FALSE)/1000*100</f>
        <v>6.21</v>
      </c>
      <c r="J162" s="287" t="s">
        <v>320</v>
      </c>
      <c r="K162" s="8"/>
      <c r="L162" s="14" t="s">
        <v>151</v>
      </c>
      <c r="M162" s="15" t="s">
        <v>111</v>
      </c>
      <c r="N162" s="15">
        <v>6</v>
      </c>
      <c r="O162" s="17">
        <v>3</v>
      </c>
    </row>
    <row r="163" spans="1:15" ht="16.5" thickBot="1">
      <c r="A163" s="466" t="str">
        <f t="shared" si="11"/>
        <v>MG64</v>
      </c>
      <c r="B163" s="290" t="s">
        <v>155</v>
      </c>
      <c r="C163" s="290" t="s">
        <v>159</v>
      </c>
      <c r="D163" s="290" t="s">
        <v>90</v>
      </c>
      <c r="E163" s="290" t="s">
        <v>49</v>
      </c>
      <c r="F163" s="290" t="s">
        <v>112</v>
      </c>
      <c r="G163" s="290" t="s">
        <v>59</v>
      </c>
      <c r="H163" s="456">
        <v>46</v>
      </c>
      <c r="I163" s="286">
        <f>+H163/VLOOKUP("Road - "&amp;E163,'Default Parameter'!$A$8:$M$17,4,FALSE)/1000*100</f>
        <v>6.21</v>
      </c>
      <c r="J163" s="467" t="s">
        <v>320</v>
      </c>
      <c r="K163" s="8"/>
      <c r="L163" s="18" t="s">
        <v>151</v>
      </c>
      <c r="M163" s="19" t="s">
        <v>111</v>
      </c>
      <c r="N163" s="19">
        <v>6</v>
      </c>
      <c r="O163" s="20">
        <v>4</v>
      </c>
    </row>
  </sheetData>
  <autoFilter ref="A3:J163" xr:uid="{00000000-0009-0000-0000-00000B000000}"/>
  <mergeCells count="2">
    <mergeCell ref="A2:E2"/>
    <mergeCell ref="S4:T4"/>
  </mergeCells>
  <phoneticPr fontId="108" type="noConversion"/>
  <pageMargins left="0.7" right="0.7" top="0.78740157499999996" bottom="0.78740157499999996"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8"/>
  <sheetViews>
    <sheetView showGridLines="0" workbookViewId="0">
      <selection activeCell="C32" sqref="C32"/>
    </sheetView>
  </sheetViews>
  <sheetFormatPr defaultColWidth="11.42578125" defaultRowHeight="15"/>
  <cols>
    <col min="1" max="1" width="14.85546875" style="21" bestFit="1" customWidth="1"/>
    <col min="2" max="2" width="68.28515625" style="21" customWidth="1"/>
    <col min="3" max="9" width="11.42578125" style="21"/>
    <col min="10" max="10" width="5.140625" style="21" customWidth="1"/>
    <col min="11" max="12" width="11.42578125" style="21" hidden="1" customWidth="1"/>
    <col min="13" max="13" width="17.85546875" style="21" customWidth="1"/>
    <col min="14" max="16384" width="11.42578125" style="21"/>
  </cols>
  <sheetData>
    <row r="2" spans="1:13" ht="15.75" thickBot="1"/>
    <row r="3" spans="1:13" ht="15.75">
      <c r="A3" s="207"/>
      <c r="B3" s="291" t="s">
        <v>187</v>
      </c>
      <c r="C3" s="696" t="s">
        <v>188</v>
      </c>
      <c r="D3" s="697"/>
      <c r="E3" s="697"/>
      <c r="F3" s="697"/>
      <c r="G3" s="697"/>
      <c r="H3" s="697"/>
      <c r="I3" s="697"/>
      <c r="J3" s="697"/>
      <c r="K3" s="697"/>
      <c r="L3" s="697"/>
      <c r="M3" s="698"/>
    </row>
    <row r="4" spans="1:13" ht="15.75">
      <c r="A4" s="207" t="s">
        <v>433</v>
      </c>
      <c r="B4" s="292" t="s">
        <v>431</v>
      </c>
      <c r="C4" s="699" t="s">
        <v>436</v>
      </c>
      <c r="D4" s="700"/>
      <c r="E4" s="700"/>
      <c r="F4" s="700"/>
      <c r="G4" s="700"/>
      <c r="H4" s="700"/>
      <c r="I4" s="700"/>
      <c r="J4" s="700"/>
      <c r="K4" s="700"/>
      <c r="L4" s="700"/>
      <c r="M4" s="701"/>
    </row>
    <row r="5" spans="1:13" ht="31.5">
      <c r="A5" s="207" t="s">
        <v>189</v>
      </c>
      <c r="B5" s="292" t="s">
        <v>190</v>
      </c>
      <c r="C5" s="702" t="s">
        <v>191</v>
      </c>
      <c r="D5" s="700"/>
      <c r="E5" s="700"/>
      <c r="F5" s="700"/>
      <c r="G5" s="700"/>
      <c r="H5" s="700"/>
      <c r="I5" s="700"/>
      <c r="J5" s="700"/>
      <c r="K5" s="700"/>
      <c r="L5" s="700"/>
      <c r="M5" s="701"/>
    </row>
    <row r="6" spans="1:13" ht="15.75">
      <c r="A6" s="207" t="s">
        <v>52</v>
      </c>
      <c r="B6" s="292" t="s">
        <v>192</v>
      </c>
      <c r="C6" s="702" t="s">
        <v>193</v>
      </c>
      <c r="D6" s="700"/>
      <c r="E6" s="700"/>
      <c r="F6" s="700"/>
      <c r="G6" s="700"/>
      <c r="H6" s="700"/>
      <c r="I6" s="700"/>
      <c r="J6" s="700"/>
      <c r="K6" s="700"/>
      <c r="L6" s="700"/>
      <c r="M6" s="701"/>
    </row>
    <row r="7" spans="1:13" ht="15.75">
      <c r="A7" s="208" t="s">
        <v>429</v>
      </c>
      <c r="B7" s="292" t="s">
        <v>434</v>
      </c>
      <c r="C7" s="703" t="s">
        <v>435</v>
      </c>
      <c r="D7" s="704"/>
      <c r="E7" s="704"/>
      <c r="F7" s="704"/>
      <c r="G7" s="704"/>
      <c r="H7" s="704"/>
      <c r="I7" s="704"/>
      <c r="J7" s="704"/>
      <c r="K7" s="704"/>
      <c r="L7" s="704"/>
      <c r="M7" s="704"/>
    </row>
    <row r="8" spans="1:13" ht="15.75">
      <c r="A8" s="208" t="s">
        <v>464</v>
      </c>
      <c r="B8" s="513" t="s">
        <v>465</v>
      </c>
      <c r="C8" s="513" t="s">
        <v>466</v>
      </c>
      <c r="D8" s="513"/>
      <c r="E8" s="513"/>
      <c r="F8" s="513"/>
      <c r="G8" s="513"/>
      <c r="H8" s="513"/>
      <c r="I8" s="513"/>
      <c r="J8" s="513"/>
      <c r="K8" s="513"/>
      <c r="L8" s="513"/>
      <c r="M8" s="513"/>
    </row>
  </sheetData>
  <mergeCells count="5">
    <mergeCell ref="C3:M3"/>
    <mergeCell ref="C4:M4"/>
    <mergeCell ref="C5:M5"/>
    <mergeCell ref="C6:M6"/>
    <mergeCell ref="C7:M7"/>
  </mergeCells>
  <hyperlinks>
    <hyperlink ref="C6" r:id="rId1" xr:uid="{00000000-0004-0000-0C00-000000000000}"/>
    <hyperlink ref="C5" r:id="rId2" xr:uid="{00000000-0004-0000-0C00-000001000000}"/>
    <hyperlink ref="C7" r:id="rId3" xr:uid="{00000000-0004-0000-0C00-000002000000}"/>
    <hyperlink ref="C4" r:id="rId4" xr:uid="{00000000-0004-0000-0C00-000003000000}"/>
  </hyperlinks>
  <pageMargins left="0.7" right="0.7" top="0.78740157499999996" bottom="0.78740157499999996"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3"/>
  <sheetViews>
    <sheetView showGridLines="0" zoomScale="70" zoomScaleNormal="70" workbookViewId="0">
      <selection activeCell="E27" sqref="E27"/>
    </sheetView>
  </sheetViews>
  <sheetFormatPr defaultColWidth="12.5703125" defaultRowHeight="15.75"/>
  <cols>
    <col min="1" max="1" width="17.28515625" style="8" customWidth="1"/>
    <col min="2" max="2" width="33.7109375" style="8" customWidth="1"/>
    <col min="3" max="3" width="33.5703125" style="8" customWidth="1"/>
    <col min="4" max="4" width="12.5703125" style="8"/>
    <col min="5" max="5" width="34.5703125" style="8" customWidth="1"/>
    <col min="6" max="16384" width="12.5703125" style="8"/>
  </cols>
  <sheetData>
    <row r="1" spans="1:3" ht="16.5" thickBot="1">
      <c r="A1" s="357"/>
      <c r="C1" s="357"/>
    </row>
    <row r="2" spans="1:3">
      <c r="A2" s="279" t="s">
        <v>12</v>
      </c>
      <c r="B2" s="278" t="s">
        <v>380</v>
      </c>
      <c r="C2" s="282" t="s">
        <v>381</v>
      </c>
    </row>
    <row r="3" spans="1:3">
      <c r="A3" s="427" t="s">
        <v>326</v>
      </c>
      <c r="B3" s="281" t="s">
        <v>365</v>
      </c>
      <c r="C3" s="428" t="s">
        <v>335</v>
      </c>
    </row>
    <row r="4" spans="1:3">
      <c r="A4" s="427" t="s">
        <v>322</v>
      </c>
      <c r="B4" s="281" t="s">
        <v>365</v>
      </c>
      <c r="C4" s="428" t="s">
        <v>202</v>
      </c>
    </row>
    <row r="5" spans="1:3">
      <c r="A5" s="427" t="s">
        <v>183</v>
      </c>
      <c r="B5" s="281" t="s">
        <v>366</v>
      </c>
      <c r="C5" s="428" t="s">
        <v>323</v>
      </c>
    </row>
    <row r="6" spans="1:3">
      <c r="A6" s="427" t="s">
        <v>185</v>
      </c>
      <c r="B6" s="281" t="s">
        <v>366</v>
      </c>
      <c r="C6" s="428" t="s">
        <v>327</v>
      </c>
    </row>
    <row r="7" spans="1:3">
      <c r="A7" s="427" t="s">
        <v>184</v>
      </c>
      <c r="B7" s="281" t="s">
        <v>366</v>
      </c>
      <c r="C7" s="428" t="s">
        <v>328</v>
      </c>
    </row>
    <row r="8" spans="1:3">
      <c r="A8" s="427" t="s">
        <v>184</v>
      </c>
      <c r="B8" s="281" t="s">
        <v>366</v>
      </c>
      <c r="C8" s="428" t="s">
        <v>82</v>
      </c>
    </row>
    <row r="9" spans="1:3">
      <c r="A9" s="427" t="s">
        <v>184</v>
      </c>
      <c r="B9" s="281" t="s">
        <v>366</v>
      </c>
      <c r="C9" s="428" t="s">
        <v>340</v>
      </c>
    </row>
    <row r="10" spans="1:3">
      <c r="A10" s="427" t="s">
        <v>186</v>
      </c>
      <c r="B10" s="281" t="s">
        <v>366</v>
      </c>
      <c r="C10" s="428" t="s">
        <v>329</v>
      </c>
    </row>
    <row r="11" spans="1:3">
      <c r="A11" s="427" t="s">
        <v>209</v>
      </c>
      <c r="B11" s="281" t="s">
        <v>333</v>
      </c>
      <c r="C11" s="428" t="s">
        <v>333</v>
      </c>
    </row>
    <row r="12" spans="1:3">
      <c r="A12" s="427" t="s">
        <v>209</v>
      </c>
      <c r="B12" s="281" t="s">
        <v>333</v>
      </c>
      <c r="C12" s="428" t="s">
        <v>333</v>
      </c>
    </row>
    <row r="13" spans="1:3">
      <c r="A13" s="427" t="s">
        <v>330</v>
      </c>
      <c r="B13" s="281" t="s">
        <v>367</v>
      </c>
      <c r="C13" s="428" t="s">
        <v>335</v>
      </c>
    </row>
    <row r="14" spans="1:3">
      <c r="A14" s="427" t="s">
        <v>332</v>
      </c>
      <c r="B14" s="281" t="s">
        <v>367</v>
      </c>
      <c r="C14" s="428" t="s">
        <v>331</v>
      </c>
    </row>
    <row r="15" spans="1:3">
      <c r="A15" s="427" t="s">
        <v>332</v>
      </c>
      <c r="B15" s="281" t="s">
        <v>367</v>
      </c>
      <c r="C15" s="428" t="s">
        <v>331</v>
      </c>
    </row>
    <row r="16" spans="1:3">
      <c r="A16" s="427" t="s">
        <v>332</v>
      </c>
      <c r="B16" s="281" t="s">
        <v>367</v>
      </c>
      <c r="C16" s="428" t="s">
        <v>331</v>
      </c>
    </row>
    <row r="17" spans="1:3">
      <c r="A17" s="427" t="s">
        <v>332</v>
      </c>
      <c r="B17" s="281" t="s">
        <v>367</v>
      </c>
      <c r="C17" s="428" t="s">
        <v>331</v>
      </c>
    </row>
    <row r="18" spans="1:3">
      <c r="A18" s="427" t="s">
        <v>368</v>
      </c>
      <c r="B18" s="281" t="s">
        <v>369</v>
      </c>
      <c r="C18" s="428" t="s">
        <v>370</v>
      </c>
    </row>
    <row r="19" spans="1:3" ht="16.5" thickBot="1">
      <c r="A19" s="429" t="s">
        <v>382</v>
      </c>
      <c r="B19" s="430" t="s">
        <v>369</v>
      </c>
      <c r="C19" s="431" t="s">
        <v>371</v>
      </c>
    </row>
    <row r="20" spans="1:3">
      <c r="A20" s="459" t="s">
        <v>383</v>
      </c>
      <c r="C20"/>
    </row>
    <row r="21" spans="1:3">
      <c r="A21"/>
      <c r="C21"/>
    </row>
    <row r="22" spans="1:3">
      <c r="A22"/>
      <c r="C22"/>
    </row>
    <row r="23" spans="1:3">
      <c r="A23"/>
      <c r="C23"/>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ColWidth="11.5703125" defaultRowHeight="1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F4B9C8D4E5FB419F9CC5D98855FC2A" ma:contentTypeVersion="14" ma:contentTypeDescription="Create a new document." ma:contentTypeScope="" ma:versionID="9cf8284581602febe1d90350234520ed">
  <xsd:schema xmlns:xsd="http://www.w3.org/2001/XMLSchema" xmlns:xs="http://www.w3.org/2001/XMLSchema" xmlns:p="http://schemas.microsoft.com/office/2006/metadata/properties" xmlns:ns3="5845f703-aefd-4152-9ce7-4004e1ab5465" xmlns:ns4="ec776a2e-aa90-42fe-8c76-cfe3819c2a73" targetNamespace="http://schemas.microsoft.com/office/2006/metadata/properties" ma:root="true" ma:fieldsID="2659a0b3ec877205d003d3b0f3cd6207" ns3:_="" ns4:_="">
    <xsd:import namespace="5845f703-aefd-4152-9ce7-4004e1ab5465"/>
    <xsd:import namespace="ec776a2e-aa90-42fe-8c76-cfe3819c2a7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45f703-aefd-4152-9ce7-4004e1ab54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776a2e-aa90-42fe-8c76-cfe3819c2a73"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C0072D-8C61-41CF-8BA6-9BE56A72138A}">
  <ds:schemaRefs>
    <ds:schemaRef ds:uri="http://schemas.microsoft.com/office/2006/metadata/properties"/>
    <ds:schemaRef ds:uri="5845f703-aefd-4152-9ce7-4004e1ab546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c776a2e-aa90-42fe-8c76-cfe3819c2a73"/>
    <ds:schemaRef ds:uri="http://purl.org/dc/elements/1.1/"/>
    <ds:schemaRef ds:uri="http://www.w3.org/XML/1998/namespace"/>
    <ds:schemaRef ds:uri="http://purl.org/dc/dcmitype/"/>
  </ds:schemaRefs>
</ds:datastoreItem>
</file>

<file path=customXml/itemProps2.xml><?xml version="1.0" encoding="utf-8"?>
<ds:datastoreItem xmlns:ds="http://schemas.openxmlformats.org/officeDocument/2006/customXml" ds:itemID="{474379E8-E25F-4617-90FA-2442CE6DA6E0}">
  <ds:schemaRefs>
    <ds:schemaRef ds:uri="http://schemas.microsoft.com/sharepoint/v3/contenttype/forms"/>
  </ds:schemaRefs>
</ds:datastoreItem>
</file>

<file path=customXml/itemProps3.xml><?xml version="1.0" encoding="utf-8"?>
<ds:datastoreItem xmlns:ds="http://schemas.openxmlformats.org/officeDocument/2006/customXml" ds:itemID="{770C3913-7DCA-4456-B89F-0462D2B560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45f703-aefd-4152-9ce7-4004e1ab5465"/>
    <ds:schemaRef ds:uri="ec776a2e-aa90-42fe-8c76-cfe3819c2a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Info</vt:lpstr>
      <vt:lpstr>1A3a Aviation</vt:lpstr>
      <vt:lpstr>1A3b Road</vt:lpstr>
      <vt:lpstr>1A3c Railways</vt:lpstr>
      <vt:lpstr>1A3di(i) Maritime</vt:lpstr>
      <vt:lpstr>Transport vessels</vt:lpstr>
      <vt:lpstr>Small Cargo (Bottom-up 1)</vt:lpstr>
      <vt:lpstr>KPA Port Call (Bottom-up 2)</vt:lpstr>
      <vt:lpstr>1A3di Maritime</vt:lpstr>
      <vt:lpstr>Top-Down Annual Fuel Cons.</vt:lpstr>
      <vt:lpstr>Summary Table</vt:lpstr>
      <vt:lpstr>Top-Down Validation</vt:lpstr>
      <vt:lpstr>GHG Inventory</vt:lpstr>
      <vt:lpstr>Modal split</vt:lpstr>
      <vt:lpstr>Default Parameter</vt:lpstr>
      <vt:lpstr>(Edited)Spec. Fuel Consumption </vt:lpstr>
      <vt:lpstr>Sources</vt:lpstr>
      <vt:lpstr>Info NFR Codes</vt:lpstr>
      <vt:lpstr>Tabelle1</vt:lpstr>
    </vt:vector>
  </TitlesOfParts>
  <Company>IFEU-FB4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2020_GIZ_TrIGGER_Kenya</dc:title>
  <dc:creator>Christoph Heidt</dc:creator>
  <cp:lastModifiedBy>Anon</cp:lastModifiedBy>
  <dcterms:created xsi:type="dcterms:W3CDTF">2018-03-13T10:52:55Z</dcterms:created>
  <dcterms:modified xsi:type="dcterms:W3CDTF">2023-01-04T15:34:16Z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0x010100C4F4B9C8D4E5FB419F9CC5D98855FC2A</vt:lpwstr>
  </property>
  <property fmtid="{D5CDD505-2E9C-101B-9397-08002B2CF9AE}" pid="3" name="Document Type">
    <vt:lpwstr>1</vt:lpwstr>
  </property>
  <property fmtid="{D5CDD505-2E9C-101B-9397-08002B2CF9AE}" pid="4" name="R-Keywords">
    <vt:lpwstr/>
  </property>
  <property fmtid="{D5CDD505-2E9C-101B-9397-08002B2CF9AE}" pid="5" name="R-DivisionPolicy">
    <vt:lpwstr>3;#Ricardo Energy ＆ Environment|291a8f75-3ce5-4629-b77a-f5136efa727d</vt:lpwstr>
  </property>
  <property fmtid="{D5CDD505-2E9C-101B-9397-08002B2CF9AE}" pid="6" name="R-Division">
    <vt:lpwstr>4;#Ricardo EE|865690f3-738b-419b-b41d-e464f9906df7</vt:lpwstr>
  </property>
  <property fmtid="{D5CDD505-2E9C-101B-9397-08002B2CF9AE}" pid="7" name="BusinessArea">
    <vt:lpwstr>5;#EED-Inventories|9b56db88-a9bb-448a-ac5f-080fe5c9ba47</vt:lpwstr>
  </property>
</Properties>
</file>