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Year 11\"/>
    </mc:Choice>
  </mc:AlternateContent>
  <bookViews>
    <workbookView xWindow="22080" yWindow="0" windowWidth="15150" windowHeight="8250" firstSheet="1" activeTab="1"/>
  </bookViews>
  <sheets>
    <sheet name="Sheet5" sheetId="10" state="hidden" r:id="rId1"/>
    <sheet name="Paper" sheetId="1" r:id="rId2"/>
    <sheet name="Exam 1" sheetId="9" r:id="rId3"/>
    <sheet name="Exam 2" sheetId="7" r:id="rId4"/>
    <sheet name="IT Apps" sheetId="11" r:id="rId5"/>
    <sheet name="Sheet3" sheetId="6" state="hidden" r:id="rId6"/>
    <sheet name="Sheet4" sheetId="8" state="hidden" r:id="rId7"/>
    <sheet name="Sheet1" sheetId="3" state="hidden" r:id="rId8"/>
    <sheet name="Sheet2" sheetId="5" state="hidden" r:id="rId9"/>
  </sheets>
  <calcPr calcId="152511"/>
  <pivotCaches>
    <pivotCache cacheId="0" r:id="rId10"/>
    <pivotCache cacheId="3" r:id="rId11"/>
    <pivotCache cacheId="8" r:id="rId12"/>
    <pivotCache cacheId="12" r:id="rId13"/>
  </pivotCaches>
</workbook>
</file>

<file path=xl/calcChain.xml><?xml version="1.0" encoding="utf-8"?>
<calcChain xmlns="http://schemas.openxmlformats.org/spreadsheetml/2006/main">
  <c r="H13" i="1" l="1"/>
  <c r="G13" i="1"/>
  <c r="F13" i="1"/>
  <c r="H33" i="1" l="1"/>
  <c r="G33" i="1"/>
  <c r="F33" i="1"/>
  <c r="L33" i="1" l="1"/>
  <c r="L49" i="1"/>
  <c r="L23" i="1" l="1"/>
  <c r="R12" i="1"/>
  <c r="Q12" i="1"/>
  <c r="P12" i="1"/>
  <c r="L47" i="1" l="1"/>
  <c r="L57" i="1"/>
  <c r="L12" i="1" l="1"/>
  <c r="L41" i="1" l="1"/>
  <c r="H57" i="1" l="1"/>
  <c r="G57" i="1"/>
  <c r="F57" i="1"/>
  <c r="R25" i="1" l="1"/>
  <c r="Q25" i="1"/>
  <c r="P25" i="1"/>
  <c r="L65" i="1" l="1"/>
  <c r="L30" i="1" l="1"/>
  <c r="L20" i="1" l="1"/>
  <c r="H19" i="1"/>
  <c r="G19" i="1"/>
  <c r="F19" i="1"/>
  <c r="L17" i="1" l="1"/>
  <c r="H31" i="1" l="1"/>
  <c r="G31" i="1"/>
  <c r="F31" i="1"/>
  <c r="L24" i="1" l="1"/>
  <c r="R22" i="1"/>
  <c r="Q22" i="1"/>
  <c r="P22" i="1"/>
  <c r="L38" i="1" l="1"/>
  <c r="H38" i="1" l="1"/>
  <c r="G38" i="1"/>
  <c r="F38" i="1"/>
  <c r="H36" i="1"/>
  <c r="G36" i="1"/>
  <c r="F36" i="1"/>
  <c r="L37" i="1" l="1"/>
  <c r="L25" i="1"/>
  <c r="H34" i="1" l="1"/>
  <c r="G34" i="1"/>
  <c r="F34" i="1"/>
  <c r="H47" i="1"/>
  <c r="G47" i="1"/>
  <c r="F47" i="1"/>
  <c r="L34" i="1"/>
  <c r="F55" i="1" l="1"/>
  <c r="L46" i="1"/>
  <c r="H44" i="1"/>
  <c r="G44" i="1"/>
  <c r="F44" i="1"/>
  <c r="D76" i="1"/>
  <c r="E76" i="1" s="1"/>
  <c r="D75" i="1"/>
  <c r="E75" i="1" s="1"/>
  <c r="O74" i="1"/>
  <c r="N74" i="1"/>
  <c r="K74" i="1"/>
  <c r="J74" i="1"/>
  <c r="S73" i="1"/>
  <c r="O73" i="1"/>
  <c r="N73" i="1"/>
  <c r="M73" i="1"/>
  <c r="K73" i="1"/>
  <c r="J73" i="1"/>
  <c r="I73" i="1"/>
  <c r="E73" i="1"/>
  <c r="D73" i="1"/>
  <c r="L71" i="1"/>
  <c r="H71" i="1"/>
  <c r="G71" i="1"/>
  <c r="F71" i="1"/>
  <c r="L70" i="1"/>
  <c r="H70" i="1"/>
  <c r="G70" i="1"/>
  <c r="F70" i="1"/>
  <c r="L69" i="1"/>
  <c r="H69" i="1"/>
  <c r="G69" i="1"/>
  <c r="F69" i="1"/>
  <c r="L68" i="1"/>
  <c r="H68" i="1"/>
  <c r="G68" i="1"/>
  <c r="F68" i="1"/>
  <c r="H67" i="1"/>
  <c r="G67" i="1"/>
  <c r="F67" i="1"/>
  <c r="H66" i="1"/>
  <c r="G66" i="1"/>
  <c r="F66" i="1"/>
  <c r="L64" i="1"/>
  <c r="H64" i="1"/>
  <c r="G64" i="1"/>
  <c r="F64" i="1"/>
  <c r="L63" i="1"/>
  <c r="H63" i="1"/>
  <c r="G63" i="1"/>
  <c r="F63" i="1"/>
  <c r="L62" i="1"/>
  <c r="H62" i="1"/>
  <c r="G62" i="1"/>
  <c r="F62" i="1"/>
  <c r="L61" i="1"/>
  <c r="H61" i="1"/>
  <c r="G61" i="1"/>
  <c r="F61" i="1"/>
  <c r="L60" i="1"/>
  <c r="L58" i="1"/>
  <c r="H58" i="1"/>
  <c r="G58" i="1"/>
  <c r="F58" i="1"/>
  <c r="L55" i="1"/>
  <c r="H55" i="1"/>
  <c r="G55" i="1"/>
  <c r="L54" i="1"/>
  <c r="H53" i="1"/>
  <c r="G53" i="1"/>
  <c r="F53" i="1"/>
  <c r="L51" i="1"/>
  <c r="H51" i="1"/>
  <c r="G51" i="1"/>
  <c r="F51" i="1"/>
  <c r="L48" i="1"/>
  <c r="H48" i="1"/>
  <c r="G48" i="1"/>
  <c r="F48" i="1"/>
  <c r="H46" i="1"/>
  <c r="G46" i="1"/>
  <c r="F46" i="1"/>
  <c r="L45" i="1"/>
  <c r="H45" i="1"/>
  <c r="G45" i="1"/>
  <c r="F45" i="1"/>
  <c r="L44" i="1"/>
  <c r="L43" i="1"/>
  <c r="H43" i="1"/>
  <c r="G43" i="1"/>
  <c r="F43" i="1"/>
  <c r="L40" i="1"/>
  <c r="H40" i="1"/>
  <c r="G40" i="1"/>
  <c r="F40" i="1"/>
  <c r="L36" i="1"/>
  <c r="L35" i="1"/>
  <c r="L32" i="1"/>
  <c r="H32" i="1"/>
  <c r="G32" i="1"/>
  <c r="F32" i="1"/>
  <c r="L29" i="1"/>
  <c r="L28" i="1"/>
  <c r="L27" i="1"/>
  <c r="L26" i="1"/>
  <c r="Y24" i="1"/>
  <c r="Z24" i="1" s="1"/>
  <c r="AA24" i="1" s="1"/>
  <c r="Y22" i="1"/>
  <c r="Z22" i="1" s="1"/>
  <c r="AA22" i="1" s="1"/>
  <c r="L22" i="1"/>
  <c r="H22" i="1"/>
  <c r="G22" i="1"/>
  <c r="F22" i="1"/>
  <c r="Y21" i="1"/>
  <c r="Z21" i="1" s="1"/>
  <c r="H20" i="1"/>
  <c r="G20" i="1"/>
  <c r="F20" i="1"/>
  <c r="L18" i="1"/>
  <c r="H17" i="1"/>
  <c r="G17" i="1"/>
  <c r="F17" i="1"/>
  <c r="H16" i="1"/>
  <c r="G16" i="1"/>
  <c r="F16" i="1"/>
  <c r="H12" i="1"/>
  <c r="G12" i="1"/>
  <c r="F12" i="1"/>
  <c r="R11" i="1"/>
  <c r="Q11" i="1"/>
  <c r="P11" i="1"/>
  <c r="R10" i="1"/>
  <c r="Q10" i="1"/>
  <c r="P10" i="1"/>
  <c r="W2" i="1"/>
  <c r="X24" i="1" s="1"/>
  <c r="R74" i="1" l="1"/>
  <c r="R73" i="1"/>
  <c r="G73" i="1"/>
  <c r="P74" i="1"/>
  <c r="H73" i="1"/>
  <c r="F73" i="1"/>
  <c r="Q74" i="1"/>
  <c r="F74" i="1"/>
  <c r="L73" i="1"/>
  <c r="AA21" i="1"/>
  <c r="Z25" i="1"/>
  <c r="AA25" i="1" s="1"/>
  <c r="X21" i="1"/>
  <c r="X22" i="1"/>
  <c r="Y25" i="1"/>
  <c r="Q73" i="1"/>
  <c r="G74" i="1"/>
  <c r="L74" i="1"/>
  <c r="D78" i="1"/>
  <c r="E78" i="1" s="1"/>
  <c r="H74" i="1"/>
  <c r="D77" i="1"/>
  <c r="D81" i="1"/>
  <c r="E81" i="1" s="1"/>
  <c r="P73" i="1"/>
  <c r="D80" i="1" l="1"/>
  <c r="E80" i="1" s="1"/>
  <c r="E77" i="1"/>
  <c r="D82" i="1"/>
  <c r="E82" i="1" s="1"/>
  <c r="AB25" i="1"/>
  <c r="AB26" i="1" s="1"/>
  <c r="AA26" i="1"/>
  <c r="D79" i="1"/>
  <c r="E79" i="1" s="1"/>
  <c r="D83" i="1" l="1"/>
  <c r="E83" i="1" s="1"/>
</calcChain>
</file>

<file path=xl/sharedStrings.xml><?xml version="1.0" encoding="utf-8"?>
<sst xmlns="http://schemas.openxmlformats.org/spreadsheetml/2006/main" count="436" uniqueCount="66">
  <si>
    <t>Tech</t>
  </si>
  <si>
    <t>Non Tech</t>
  </si>
  <si>
    <t>IT Apps</t>
  </si>
  <si>
    <t>Today</t>
  </si>
  <si>
    <t>Year</t>
  </si>
  <si>
    <t>Paper</t>
  </si>
  <si>
    <t>Printed Questions</t>
  </si>
  <si>
    <t>Printed Solutions</t>
  </si>
  <si>
    <t>Section 1 Mark</t>
  </si>
  <si>
    <t>Section 2 Mark</t>
  </si>
  <si>
    <t>Total Mark</t>
  </si>
  <si>
    <t>Date Completed</t>
  </si>
  <si>
    <t>Mark</t>
  </si>
  <si>
    <t>VCAA</t>
  </si>
  <si>
    <t>N/A</t>
  </si>
  <si>
    <t>Insight</t>
  </si>
  <si>
    <t>Heffernan</t>
  </si>
  <si>
    <t>Kilbaha</t>
  </si>
  <si>
    <t>MAV</t>
  </si>
  <si>
    <t>NEAP</t>
  </si>
  <si>
    <t>TSSM</t>
  </si>
  <si>
    <t>Engage Education</t>
  </si>
  <si>
    <t>Yes</t>
  </si>
  <si>
    <t>NEAP Book</t>
  </si>
  <si>
    <t>Exam Duration</t>
  </si>
  <si>
    <t>Exam Date</t>
  </si>
  <si>
    <t>Time Till Exams (Days)</t>
  </si>
  <si>
    <t>Exams Remaining</t>
  </si>
  <si>
    <t>Time Required (h)</t>
  </si>
  <si>
    <t>Marking time</t>
  </si>
  <si>
    <t>Maths Tech</t>
  </si>
  <si>
    <t>Maths Non Tech</t>
  </si>
  <si>
    <t>Total</t>
  </si>
  <si>
    <t>School</t>
  </si>
  <si>
    <t>Exams left to print</t>
  </si>
  <si>
    <t>Exams Left to Print</t>
  </si>
  <si>
    <t>Average Section 1 Score</t>
  </si>
  <si>
    <t>Average Section 2 Score</t>
  </si>
  <si>
    <t>Average  Score</t>
  </si>
  <si>
    <t>Exams Completed</t>
  </si>
  <si>
    <t>Average Score</t>
  </si>
  <si>
    <t>Exams Left</t>
  </si>
  <si>
    <t>Average /count</t>
  </si>
  <si>
    <t>max</t>
  </si>
  <si>
    <t>Non- Tech Total Number of hours</t>
  </si>
  <si>
    <t>Tech Total Number of hours</t>
  </si>
  <si>
    <t>Non-Tech Completed  hours</t>
  </si>
  <si>
    <t>Tech Completed  hours</t>
  </si>
  <si>
    <t>Non-Tech remaining  hours</t>
  </si>
  <si>
    <t>Tech remaining  hours</t>
  </si>
  <si>
    <t>Total number of  hours</t>
  </si>
  <si>
    <t>Total completed  hours</t>
  </si>
  <si>
    <t>SUM of Total Mark</t>
  </si>
  <si>
    <t>Column Labels</t>
  </si>
  <si>
    <t>Row Labels</t>
  </si>
  <si>
    <t>Grand Total</t>
  </si>
  <si>
    <t>(blank)</t>
  </si>
  <si>
    <t>SUM of Mark</t>
  </si>
  <si>
    <t>Sum of Total Mark</t>
  </si>
  <si>
    <t>Sum of Mark</t>
  </si>
  <si>
    <t>Sum of Total Mark2</t>
  </si>
  <si>
    <t>`</t>
  </si>
  <si>
    <t>Engadge Education</t>
  </si>
  <si>
    <t>VITTA 1</t>
  </si>
  <si>
    <t>VITTA 2</t>
  </si>
  <si>
    <t>VCAA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</si>
</sst>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yy;@"/>
    <numFmt numFmtId="165" formatCode="h:mm;@"/>
    <numFmt numFmtId="166" formatCode="m/d/yy\ h:mm;@"/>
    <numFmt numFmtId="167" formatCode="0.0000"/>
    <numFmt numFmtId="168" formatCode="dd/mm/yyyy;@"/>
  </numFmts>
  <fonts count="47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</borders>
  <cellStyleXfs count="1">
    <xf numFmtId="0" fontId="0" fillId="0" borderId="0"/>
  </cellStyleXfs>
  <cellXfs count="97">
    <xf numFmtId="0" fontId="0" fillId="0" borderId="0" xfId="0" applyAlignment="1">
      <alignment wrapText="1"/>
    </xf>
    <xf numFmtId="10" fontId="2" fillId="0" borderId="2" xfId="0" applyNumberFormat="1" applyFont="1" applyBorder="1" applyAlignment="1">
      <alignment wrapText="1"/>
    </xf>
    <xf numFmtId="10" fontId="3" fillId="0" borderId="3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6" fillId="0" borderId="7" xfId="0" applyFont="1" applyBorder="1" applyAlignment="1">
      <alignment horizontal="center" vertical="center" wrapText="1"/>
    </xf>
    <xf numFmtId="165" fontId="7" fillId="0" borderId="8" xfId="0" applyNumberFormat="1" applyFont="1" applyBorder="1" applyAlignment="1">
      <alignment wrapText="1"/>
    </xf>
    <xf numFmtId="0" fontId="9" fillId="0" borderId="10" xfId="0" applyFont="1" applyBorder="1" applyAlignment="1">
      <alignment wrapText="1"/>
    </xf>
    <xf numFmtId="164" fontId="10" fillId="0" borderId="11" xfId="0" applyNumberFormat="1" applyFont="1" applyBorder="1" applyAlignment="1">
      <alignment wrapText="1"/>
    </xf>
    <xf numFmtId="0" fontId="12" fillId="0" borderId="13" xfId="0" applyFont="1" applyBorder="1" applyAlignment="1">
      <alignment wrapText="1"/>
    </xf>
    <xf numFmtId="164" fontId="13" fillId="0" borderId="14" xfId="0" applyNumberFormat="1" applyFont="1" applyBorder="1" applyAlignment="1">
      <alignment wrapText="1"/>
    </xf>
    <xf numFmtId="0" fontId="14" fillId="0" borderId="0" xfId="0" applyFont="1" applyAlignment="1">
      <alignment wrapText="1"/>
    </xf>
    <xf numFmtId="0" fontId="16" fillId="0" borderId="16" xfId="0" applyFont="1" applyBorder="1" applyAlignment="1">
      <alignment wrapText="1"/>
    </xf>
    <xf numFmtId="166" fontId="17" fillId="0" borderId="17" xfId="0" applyNumberFormat="1" applyFont="1" applyBorder="1" applyAlignment="1">
      <alignment wrapText="1"/>
    </xf>
    <xf numFmtId="10" fontId="18" fillId="0" borderId="18" xfId="0" applyNumberFormat="1" applyFont="1" applyBorder="1" applyAlignment="1">
      <alignment horizontal="center" vertical="center" wrapText="1"/>
    </xf>
    <xf numFmtId="167" fontId="20" fillId="0" borderId="20" xfId="0" applyNumberFormat="1" applyFont="1" applyBorder="1" applyAlignment="1">
      <alignment wrapText="1"/>
    </xf>
    <xf numFmtId="10" fontId="21" fillId="0" borderId="21" xfId="0" applyNumberFormat="1" applyFont="1" applyBorder="1" applyAlignment="1">
      <alignment wrapText="1"/>
    </xf>
    <xf numFmtId="167" fontId="24" fillId="0" borderId="23" xfId="0" applyNumberFormat="1" applyFont="1" applyBorder="1" applyAlignment="1">
      <alignment wrapText="1"/>
    </xf>
    <xf numFmtId="0" fontId="25" fillId="0" borderId="24" xfId="0" applyFont="1" applyBorder="1" applyAlignment="1">
      <alignment wrapText="1"/>
    </xf>
    <xf numFmtId="0" fontId="26" fillId="0" borderId="25" xfId="0" applyFont="1" applyBorder="1" applyAlignment="1">
      <alignment horizontal="center" wrapText="1"/>
    </xf>
    <xf numFmtId="10" fontId="27" fillId="0" borderId="26" xfId="0" applyNumberFormat="1" applyFont="1" applyBorder="1" applyAlignment="1">
      <alignment horizontal="center" wrapText="1"/>
    </xf>
    <xf numFmtId="0" fontId="28" fillId="0" borderId="28" xfId="0" applyFont="1" applyBorder="1" applyAlignment="1">
      <alignment wrapText="1"/>
    </xf>
    <xf numFmtId="0" fontId="29" fillId="0" borderId="30" xfId="0" applyFont="1" applyBorder="1" applyAlignment="1">
      <alignment horizontal="center" wrapText="1"/>
    </xf>
    <xf numFmtId="0" fontId="30" fillId="0" borderId="32" xfId="0" applyFont="1" applyBorder="1" applyAlignment="1">
      <alignment wrapText="1"/>
    </xf>
    <xf numFmtId="0" fontId="31" fillId="0" borderId="33" xfId="0" applyFont="1" applyBorder="1" applyAlignment="1">
      <alignment wrapText="1"/>
    </xf>
    <xf numFmtId="0" fontId="32" fillId="0" borderId="35" xfId="0" applyFont="1" applyBorder="1" applyAlignment="1">
      <alignment wrapText="1"/>
    </xf>
    <xf numFmtId="0" fontId="33" fillId="0" borderId="36" xfId="0" applyFont="1" applyBorder="1" applyAlignment="1">
      <alignment wrapText="1"/>
    </xf>
    <xf numFmtId="0" fontId="36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9" fontId="38" fillId="0" borderId="0" xfId="0" applyNumberFormat="1" applyFont="1" applyAlignment="1">
      <alignment wrapText="1"/>
    </xf>
    <xf numFmtId="0" fontId="39" fillId="0" borderId="41" xfId="0" applyFont="1" applyBorder="1" applyAlignment="1">
      <alignment wrapText="1"/>
    </xf>
    <xf numFmtId="46" fontId="40" fillId="0" borderId="0" xfId="0" applyNumberFormat="1" applyFont="1" applyAlignment="1">
      <alignment wrapText="1"/>
    </xf>
    <xf numFmtId="0" fontId="41" fillId="0" borderId="43" xfId="0" applyFont="1" applyBorder="1" applyAlignment="1">
      <alignment horizontal="center" wrapText="1"/>
    </xf>
    <xf numFmtId="0" fontId="42" fillId="0" borderId="44" xfId="0" applyFont="1" applyBorder="1" applyAlignment="1">
      <alignment wrapText="1"/>
    </xf>
    <xf numFmtId="10" fontId="44" fillId="0" borderId="0" xfId="0" applyNumberFormat="1" applyFont="1" applyAlignment="1">
      <alignment wrapText="1"/>
    </xf>
    <xf numFmtId="165" fontId="45" fillId="0" borderId="47" xfId="0" applyNumberFormat="1" applyFont="1" applyBorder="1" applyAlignment="1">
      <alignment wrapText="1"/>
    </xf>
    <xf numFmtId="0" fontId="0" fillId="0" borderId="6" xfId="0" pivotButton="1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10" xfId="0" applyNumberFormat="1" applyBorder="1" applyAlignment="1">
      <alignment wrapText="1"/>
    </xf>
    <xf numFmtId="0" fontId="0" fillId="0" borderId="27" xfId="0" applyNumberFormat="1" applyBorder="1" applyAlignment="1">
      <alignment wrapText="1"/>
    </xf>
    <xf numFmtId="0" fontId="0" fillId="0" borderId="45" xfId="0" applyBorder="1" applyAlignment="1">
      <alignment wrapText="1"/>
    </xf>
    <xf numFmtId="0" fontId="0" fillId="0" borderId="45" xfId="0" applyNumberFormat="1" applyBorder="1" applyAlignment="1">
      <alignment wrapText="1"/>
    </xf>
    <xf numFmtId="0" fontId="0" fillId="0" borderId="29" xfId="0" applyNumberFormat="1" applyBorder="1" applyAlignment="1">
      <alignment wrapText="1"/>
    </xf>
    <xf numFmtId="0" fontId="0" fillId="0" borderId="34" xfId="0" applyNumberFormat="1" applyBorder="1" applyAlignment="1">
      <alignment wrapText="1"/>
    </xf>
    <xf numFmtId="0" fontId="0" fillId="0" borderId="34" xfId="0" pivotButton="1" applyBorder="1" applyAlignment="1">
      <alignment wrapText="1"/>
    </xf>
    <xf numFmtId="0" fontId="0" fillId="0" borderId="34" xfId="0" applyBorder="1" applyAlignment="1">
      <alignment wrapText="1"/>
    </xf>
    <xf numFmtId="14" fontId="0" fillId="0" borderId="6" xfId="0" applyNumberFormat="1" applyBorder="1" applyAlignment="1">
      <alignment wrapText="1"/>
    </xf>
    <xf numFmtId="14" fontId="0" fillId="0" borderId="42" xfId="0" applyNumberFormat="1" applyBorder="1" applyAlignment="1">
      <alignment wrapText="1"/>
    </xf>
    <xf numFmtId="0" fontId="0" fillId="0" borderId="42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31" xfId="0" applyNumberFormat="1" applyBorder="1" applyAlignment="1">
      <alignment wrapText="1"/>
    </xf>
    <xf numFmtId="0" fontId="0" fillId="0" borderId="42" xfId="0" applyBorder="1" applyAlignment="1">
      <alignment wrapText="1"/>
    </xf>
    <xf numFmtId="10" fontId="3" fillId="0" borderId="3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8" fillId="0" borderId="9" xfId="0" applyNumberFormat="1" applyFont="1" applyBorder="1" applyAlignment="1">
      <alignment horizontal="center" wrapText="1"/>
    </xf>
    <xf numFmtId="168" fontId="41" fillId="0" borderId="43" xfId="0" applyNumberFormat="1" applyFont="1" applyBorder="1" applyAlignment="1">
      <alignment horizontal="center" wrapText="1"/>
    </xf>
    <xf numFmtId="168" fontId="35" fillId="0" borderId="38" xfId="0" applyNumberFormat="1" applyFont="1" applyBorder="1" applyAlignment="1">
      <alignment horizontal="center" wrapText="1"/>
    </xf>
    <xf numFmtId="168" fontId="12" fillId="0" borderId="13" xfId="0" applyNumberFormat="1" applyFont="1" applyBorder="1" applyAlignment="1">
      <alignment wrapText="1"/>
    </xf>
    <xf numFmtId="168" fontId="22" fillId="0" borderId="22" xfId="0" applyNumberFormat="1" applyFont="1" applyBorder="1" applyAlignment="1">
      <alignment wrapText="1"/>
    </xf>
    <xf numFmtId="0" fontId="0" fillId="0" borderId="0" xfId="0" pivotButton="1" applyAlignment="1">
      <alignment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9" fontId="8" fillId="0" borderId="9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9" fontId="46" fillId="0" borderId="48" xfId="0" applyNumberFormat="1" applyFont="1" applyBorder="1" applyAlignment="1">
      <alignment horizontal="center" vertical="center" wrapText="1"/>
    </xf>
    <xf numFmtId="10" fontId="0" fillId="0" borderId="3" xfId="0" applyNumberFormat="1" applyFont="1" applyBorder="1" applyAlignment="1">
      <alignment horizontal="center" wrapText="1"/>
    </xf>
    <xf numFmtId="0" fontId="41" fillId="0" borderId="48" xfId="0" applyFont="1" applyBorder="1" applyAlignment="1">
      <alignment horizontal="center" wrapText="1"/>
    </xf>
    <xf numFmtId="168" fontId="22" fillId="0" borderId="48" xfId="0" applyNumberFormat="1" applyFont="1" applyBorder="1" applyAlignment="1">
      <alignment wrapText="1"/>
    </xf>
    <xf numFmtId="9" fontId="8" fillId="0" borderId="48" xfId="0" applyNumberFormat="1" applyFont="1" applyBorder="1" applyAlignment="1">
      <alignment horizontal="center" vertical="center" wrapText="1"/>
    </xf>
    <xf numFmtId="0" fontId="30" fillId="0" borderId="46" xfId="0" applyFont="1" applyBorder="1" applyAlignment="1">
      <alignment wrapText="1"/>
    </xf>
    <xf numFmtId="0" fontId="26" fillId="0" borderId="47" xfId="0" applyFont="1" applyBorder="1" applyAlignment="1">
      <alignment horizontal="center" wrapText="1"/>
    </xf>
    <xf numFmtId="0" fontId="0" fillId="0" borderId="32" xfId="0" applyFont="1" applyBorder="1" applyAlignment="1">
      <alignment wrapText="1"/>
    </xf>
    <xf numFmtId="0" fontId="0" fillId="0" borderId="35" xfId="0" applyFont="1" applyBorder="1" applyAlignment="1">
      <alignment wrapText="1"/>
    </xf>
    <xf numFmtId="10" fontId="3" fillId="0" borderId="48" xfId="0" applyNumberFormat="1" applyFont="1" applyBorder="1" applyAlignment="1">
      <alignment horizontal="center" vertical="center" wrapText="1"/>
    </xf>
    <xf numFmtId="10" fontId="3" fillId="0" borderId="48" xfId="0" applyNumberFormat="1" applyFont="1" applyBorder="1" applyAlignment="1">
      <alignment horizontal="center" wrapText="1"/>
    </xf>
    <xf numFmtId="168" fontId="35" fillId="0" borderId="48" xfId="0" applyNumberFormat="1" applyFont="1" applyBorder="1" applyAlignment="1">
      <alignment horizontal="center" wrapText="1"/>
    </xf>
    <xf numFmtId="0" fontId="0" fillId="0" borderId="43" xfId="0" applyFont="1" applyBorder="1" applyAlignment="1">
      <alignment horizontal="center" wrapText="1"/>
    </xf>
    <xf numFmtId="168" fontId="41" fillId="0" borderId="48" xfId="0" applyNumberFormat="1" applyFont="1" applyBorder="1" applyAlignment="1">
      <alignment horizontal="center" wrapText="1"/>
    </xf>
    <xf numFmtId="0" fontId="0" fillId="0" borderId="47" xfId="0" applyFont="1" applyBorder="1" applyAlignment="1">
      <alignment wrapText="1"/>
    </xf>
    <xf numFmtId="0" fontId="32" fillId="0" borderId="47" xfId="0" applyFont="1" applyBorder="1" applyAlignment="1">
      <alignment wrapText="1"/>
    </xf>
    <xf numFmtId="164" fontId="13" fillId="0" borderId="47" xfId="0" applyNumberFormat="1" applyFont="1" applyBorder="1" applyAlignment="1">
      <alignment wrapText="1"/>
    </xf>
    <xf numFmtId="167" fontId="24" fillId="0" borderId="47" xfId="0" applyNumberFormat="1" applyFont="1" applyBorder="1" applyAlignment="1">
      <alignment wrapText="1"/>
    </xf>
    <xf numFmtId="0" fontId="0" fillId="0" borderId="48" xfId="0" applyFont="1" applyBorder="1" applyAlignment="1">
      <alignment horizontal="center" wrapText="1"/>
    </xf>
    <xf numFmtId="0" fontId="6" fillId="0" borderId="4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15" fillId="0" borderId="15" xfId="0" applyFont="1" applyBorder="1" applyAlignment="1">
      <alignment horizontal="center" wrapText="1"/>
    </xf>
    <xf numFmtId="0" fontId="19" fillId="0" borderId="19" xfId="0" applyFont="1" applyBorder="1" applyAlignment="1">
      <alignment horizontal="center" wrapText="1"/>
    </xf>
    <xf numFmtId="0" fontId="34" fillId="0" borderId="37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2" fontId="43" fillId="0" borderId="46" xfId="0" applyNumberFormat="1" applyFont="1" applyBorder="1" applyAlignment="1">
      <alignment horizontal="left" wrapText="1"/>
    </xf>
    <xf numFmtId="2" fontId="23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pivotCacheDefinition" Target="pivotCache/pivotCacheDefinition4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pivotCacheDefinition" Target="pivotCache/pivotCacheDefinition2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3 4 Exam Papers Results - Copy.xlsx]Sheet4!PivotTable2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Engage Education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Sheet4!$A$3:$A$45</c:f>
              <c:strCache>
                <c:ptCount val="42"/>
                <c:pt idx="0">
                  <c:v>25/06/2013</c:v>
                </c:pt>
                <c:pt idx="1">
                  <c:v>29/06/2013</c:v>
                </c:pt>
                <c:pt idx="2">
                  <c:v>1/07/2013</c:v>
                </c:pt>
                <c:pt idx="3">
                  <c:v>4/07/2013</c:v>
                </c:pt>
                <c:pt idx="4">
                  <c:v>8/07/2013</c:v>
                </c:pt>
                <c:pt idx="5">
                  <c:v>13/07/2013</c:v>
                </c:pt>
                <c:pt idx="6">
                  <c:v>16/07/2013</c:v>
                </c:pt>
                <c:pt idx="7">
                  <c:v>18/07/2013</c:v>
                </c:pt>
                <c:pt idx="8">
                  <c:v>21/07/2013</c:v>
                </c:pt>
                <c:pt idx="9">
                  <c:v>23/07/2013</c:v>
                </c:pt>
                <c:pt idx="10">
                  <c:v>28/07/2013</c:v>
                </c:pt>
                <c:pt idx="11">
                  <c:v>29/07/2013</c:v>
                </c:pt>
                <c:pt idx="12">
                  <c:v>30/07/2013</c:v>
                </c:pt>
                <c:pt idx="13">
                  <c:v>6/08/2013</c:v>
                </c:pt>
                <c:pt idx="14">
                  <c:v>7/08/2013</c:v>
                </c:pt>
                <c:pt idx="15">
                  <c:v>14/08/2013</c:v>
                </c:pt>
                <c:pt idx="16">
                  <c:v>15/08/2013</c:v>
                </c:pt>
                <c:pt idx="17">
                  <c:v>18/08/2013</c:v>
                </c:pt>
                <c:pt idx="18">
                  <c:v>20/08/2013</c:v>
                </c:pt>
                <c:pt idx="19">
                  <c:v>30/08/2013</c:v>
                </c:pt>
                <c:pt idx="20">
                  <c:v>31/08/2013</c:v>
                </c:pt>
                <c:pt idx="21">
                  <c:v>1/09/2013</c:v>
                </c:pt>
                <c:pt idx="22">
                  <c:v>6/09/2013</c:v>
                </c:pt>
                <c:pt idx="23">
                  <c:v>10/09/2013</c:v>
                </c:pt>
                <c:pt idx="24">
                  <c:v>16/09/2013</c:v>
                </c:pt>
                <c:pt idx="25">
                  <c:v>19/09/2013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(blank)</c:v>
                </c:pt>
                <c:pt idx="31">
                  <c:v>30/09/2013</c:v>
                </c:pt>
                <c:pt idx="32">
                  <c:v>2/10/2013</c:v>
                </c:pt>
                <c:pt idx="33">
                  <c:v>4/10/2013</c:v>
                </c:pt>
                <c:pt idx="34">
                  <c:v>12/10/2013</c:v>
                </c:pt>
                <c:pt idx="35">
                  <c:v>13/10/2013</c:v>
                </c:pt>
                <c:pt idx="36">
                  <c:v>15/10/2013</c:v>
                </c:pt>
                <c:pt idx="37">
                  <c:v>16/10/2013</c:v>
                </c:pt>
                <c:pt idx="38">
                  <c:v>28/10/2013</c:v>
                </c:pt>
                <c:pt idx="39">
                  <c:v>30/10/2013</c:v>
                </c:pt>
                <c:pt idx="40">
                  <c:v>3/11/2013</c:v>
                </c:pt>
                <c:pt idx="41">
                  <c:v>5/11/2013</c:v>
                </c:pt>
              </c:strCache>
            </c:strRef>
          </c:cat>
          <c:val>
            <c:numRef>
              <c:f>Sheet4!$B$3:$B$45</c:f>
              <c:numCache>
                <c:formatCode>General</c:formatCode>
                <c:ptCount val="42"/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Heffernan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Sheet4!$A$3:$A$45</c:f>
              <c:strCache>
                <c:ptCount val="42"/>
                <c:pt idx="0">
                  <c:v>25/06/2013</c:v>
                </c:pt>
                <c:pt idx="1">
                  <c:v>29/06/2013</c:v>
                </c:pt>
                <c:pt idx="2">
                  <c:v>1/07/2013</c:v>
                </c:pt>
                <c:pt idx="3">
                  <c:v>4/07/2013</c:v>
                </c:pt>
                <c:pt idx="4">
                  <c:v>8/07/2013</c:v>
                </c:pt>
                <c:pt idx="5">
                  <c:v>13/07/2013</c:v>
                </c:pt>
                <c:pt idx="6">
                  <c:v>16/07/2013</c:v>
                </c:pt>
                <c:pt idx="7">
                  <c:v>18/07/2013</c:v>
                </c:pt>
                <c:pt idx="8">
                  <c:v>21/07/2013</c:v>
                </c:pt>
                <c:pt idx="9">
                  <c:v>23/07/2013</c:v>
                </c:pt>
                <c:pt idx="10">
                  <c:v>28/07/2013</c:v>
                </c:pt>
                <c:pt idx="11">
                  <c:v>29/07/2013</c:v>
                </c:pt>
                <c:pt idx="12">
                  <c:v>30/07/2013</c:v>
                </c:pt>
                <c:pt idx="13">
                  <c:v>6/08/2013</c:v>
                </c:pt>
                <c:pt idx="14">
                  <c:v>7/08/2013</c:v>
                </c:pt>
                <c:pt idx="15">
                  <c:v>14/08/2013</c:v>
                </c:pt>
                <c:pt idx="16">
                  <c:v>15/08/2013</c:v>
                </c:pt>
                <c:pt idx="17">
                  <c:v>18/08/2013</c:v>
                </c:pt>
                <c:pt idx="18">
                  <c:v>20/08/2013</c:v>
                </c:pt>
                <c:pt idx="19">
                  <c:v>30/08/2013</c:v>
                </c:pt>
                <c:pt idx="20">
                  <c:v>31/08/2013</c:v>
                </c:pt>
                <c:pt idx="21">
                  <c:v>1/09/2013</c:v>
                </c:pt>
                <c:pt idx="22">
                  <c:v>6/09/2013</c:v>
                </c:pt>
                <c:pt idx="23">
                  <c:v>10/09/2013</c:v>
                </c:pt>
                <c:pt idx="24">
                  <c:v>16/09/2013</c:v>
                </c:pt>
                <c:pt idx="25">
                  <c:v>19/09/2013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(blank)</c:v>
                </c:pt>
                <c:pt idx="31">
                  <c:v>30/09/2013</c:v>
                </c:pt>
                <c:pt idx="32">
                  <c:v>2/10/2013</c:v>
                </c:pt>
                <c:pt idx="33">
                  <c:v>4/10/2013</c:v>
                </c:pt>
                <c:pt idx="34">
                  <c:v>12/10/2013</c:v>
                </c:pt>
                <c:pt idx="35">
                  <c:v>13/10/2013</c:v>
                </c:pt>
                <c:pt idx="36">
                  <c:v>15/10/2013</c:v>
                </c:pt>
                <c:pt idx="37">
                  <c:v>16/10/2013</c:v>
                </c:pt>
                <c:pt idx="38">
                  <c:v>28/10/2013</c:v>
                </c:pt>
                <c:pt idx="39">
                  <c:v>30/10/2013</c:v>
                </c:pt>
                <c:pt idx="40">
                  <c:v>3/11/2013</c:v>
                </c:pt>
                <c:pt idx="41">
                  <c:v>5/11/2013</c:v>
                </c:pt>
              </c:strCache>
            </c:strRef>
          </c:cat>
          <c:val>
            <c:numRef>
              <c:f>Sheet4!$C$3:$C$45</c:f>
              <c:numCache>
                <c:formatCode>General</c:formatCode>
                <c:ptCount val="42"/>
                <c:pt idx="2">
                  <c:v>0.45</c:v>
                </c:pt>
                <c:pt idx="23">
                  <c:v>0.8</c:v>
                </c:pt>
                <c:pt idx="25">
                  <c:v>0.77500000000000002</c:v>
                </c:pt>
                <c:pt idx="31">
                  <c:v>0.72499999999999998</c:v>
                </c:pt>
              </c:numCache>
            </c:numRef>
          </c:val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Insight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Sheet4!$A$3:$A$45</c:f>
              <c:strCache>
                <c:ptCount val="42"/>
                <c:pt idx="0">
                  <c:v>25/06/2013</c:v>
                </c:pt>
                <c:pt idx="1">
                  <c:v>29/06/2013</c:v>
                </c:pt>
                <c:pt idx="2">
                  <c:v>1/07/2013</c:v>
                </c:pt>
                <c:pt idx="3">
                  <c:v>4/07/2013</c:v>
                </c:pt>
                <c:pt idx="4">
                  <c:v>8/07/2013</c:v>
                </c:pt>
                <c:pt idx="5">
                  <c:v>13/07/2013</c:v>
                </c:pt>
                <c:pt idx="6">
                  <c:v>16/07/2013</c:v>
                </c:pt>
                <c:pt idx="7">
                  <c:v>18/07/2013</c:v>
                </c:pt>
                <c:pt idx="8">
                  <c:v>21/07/2013</c:v>
                </c:pt>
                <c:pt idx="9">
                  <c:v>23/07/2013</c:v>
                </c:pt>
                <c:pt idx="10">
                  <c:v>28/07/2013</c:v>
                </c:pt>
                <c:pt idx="11">
                  <c:v>29/07/2013</c:v>
                </c:pt>
                <c:pt idx="12">
                  <c:v>30/07/2013</c:v>
                </c:pt>
                <c:pt idx="13">
                  <c:v>6/08/2013</c:v>
                </c:pt>
                <c:pt idx="14">
                  <c:v>7/08/2013</c:v>
                </c:pt>
                <c:pt idx="15">
                  <c:v>14/08/2013</c:v>
                </c:pt>
                <c:pt idx="16">
                  <c:v>15/08/2013</c:v>
                </c:pt>
                <c:pt idx="17">
                  <c:v>18/08/2013</c:v>
                </c:pt>
                <c:pt idx="18">
                  <c:v>20/08/2013</c:v>
                </c:pt>
                <c:pt idx="19">
                  <c:v>30/08/2013</c:v>
                </c:pt>
                <c:pt idx="20">
                  <c:v>31/08/2013</c:v>
                </c:pt>
                <c:pt idx="21">
                  <c:v>1/09/2013</c:v>
                </c:pt>
                <c:pt idx="22">
                  <c:v>6/09/2013</c:v>
                </c:pt>
                <c:pt idx="23">
                  <c:v>10/09/2013</c:v>
                </c:pt>
                <c:pt idx="24">
                  <c:v>16/09/2013</c:v>
                </c:pt>
                <c:pt idx="25">
                  <c:v>19/09/2013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(blank)</c:v>
                </c:pt>
                <c:pt idx="31">
                  <c:v>30/09/2013</c:v>
                </c:pt>
                <c:pt idx="32">
                  <c:v>2/10/2013</c:v>
                </c:pt>
                <c:pt idx="33">
                  <c:v>4/10/2013</c:v>
                </c:pt>
                <c:pt idx="34">
                  <c:v>12/10/2013</c:v>
                </c:pt>
                <c:pt idx="35">
                  <c:v>13/10/2013</c:v>
                </c:pt>
                <c:pt idx="36">
                  <c:v>15/10/2013</c:v>
                </c:pt>
                <c:pt idx="37">
                  <c:v>16/10/2013</c:v>
                </c:pt>
                <c:pt idx="38">
                  <c:v>28/10/2013</c:v>
                </c:pt>
                <c:pt idx="39">
                  <c:v>30/10/2013</c:v>
                </c:pt>
                <c:pt idx="40">
                  <c:v>3/11/2013</c:v>
                </c:pt>
                <c:pt idx="41">
                  <c:v>5/11/2013</c:v>
                </c:pt>
              </c:strCache>
            </c:strRef>
          </c:cat>
          <c:val>
            <c:numRef>
              <c:f>Sheet4!$D$3:$D$45</c:f>
              <c:numCache>
                <c:formatCode>General</c:formatCode>
                <c:ptCount val="42"/>
                <c:pt idx="0">
                  <c:v>0.25</c:v>
                </c:pt>
                <c:pt idx="1">
                  <c:v>0.25</c:v>
                </c:pt>
                <c:pt idx="18">
                  <c:v>0.52500000000000002</c:v>
                </c:pt>
                <c:pt idx="29">
                  <c:v>0.72499999999999998</c:v>
                </c:pt>
                <c:pt idx="33">
                  <c:v>0.85</c:v>
                </c:pt>
              </c:numCache>
            </c:numRef>
          </c:val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Kilbaha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Sheet4!$A$3:$A$45</c:f>
              <c:strCache>
                <c:ptCount val="42"/>
                <c:pt idx="0">
                  <c:v>25/06/2013</c:v>
                </c:pt>
                <c:pt idx="1">
                  <c:v>29/06/2013</c:v>
                </c:pt>
                <c:pt idx="2">
                  <c:v>1/07/2013</c:v>
                </c:pt>
                <c:pt idx="3">
                  <c:v>4/07/2013</c:v>
                </c:pt>
                <c:pt idx="4">
                  <c:v>8/07/2013</c:v>
                </c:pt>
                <c:pt idx="5">
                  <c:v>13/07/2013</c:v>
                </c:pt>
                <c:pt idx="6">
                  <c:v>16/07/2013</c:v>
                </c:pt>
                <c:pt idx="7">
                  <c:v>18/07/2013</c:v>
                </c:pt>
                <c:pt idx="8">
                  <c:v>21/07/2013</c:v>
                </c:pt>
                <c:pt idx="9">
                  <c:v>23/07/2013</c:v>
                </c:pt>
                <c:pt idx="10">
                  <c:v>28/07/2013</c:v>
                </c:pt>
                <c:pt idx="11">
                  <c:v>29/07/2013</c:v>
                </c:pt>
                <c:pt idx="12">
                  <c:v>30/07/2013</c:v>
                </c:pt>
                <c:pt idx="13">
                  <c:v>6/08/2013</c:v>
                </c:pt>
                <c:pt idx="14">
                  <c:v>7/08/2013</c:v>
                </c:pt>
                <c:pt idx="15">
                  <c:v>14/08/2013</c:v>
                </c:pt>
                <c:pt idx="16">
                  <c:v>15/08/2013</c:v>
                </c:pt>
                <c:pt idx="17">
                  <c:v>18/08/2013</c:v>
                </c:pt>
                <c:pt idx="18">
                  <c:v>20/08/2013</c:v>
                </c:pt>
                <c:pt idx="19">
                  <c:v>30/08/2013</c:v>
                </c:pt>
                <c:pt idx="20">
                  <c:v>31/08/2013</c:v>
                </c:pt>
                <c:pt idx="21">
                  <c:v>1/09/2013</c:v>
                </c:pt>
                <c:pt idx="22">
                  <c:v>6/09/2013</c:v>
                </c:pt>
                <c:pt idx="23">
                  <c:v>10/09/2013</c:v>
                </c:pt>
                <c:pt idx="24">
                  <c:v>16/09/2013</c:v>
                </c:pt>
                <c:pt idx="25">
                  <c:v>19/09/2013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(blank)</c:v>
                </c:pt>
                <c:pt idx="31">
                  <c:v>30/09/2013</c:v>
                </c:pt>
                <c:pt idx="32">
                  <c:v>2/10/2013</c:v>
                </c:pt>
                <c:pt idx="33">
                  <c:v>4/10/2013</c:v>
                </c:pt>
                <c:pt idx="34">
                  <c:v>12/10/2013</c:v>
                </c:pt>
                <c:pt idx="35">
                  <c:v>13/10/2013</c:v>
                </c:pt>
                <c:pt idx="36">
                  <c:v>15/10/2013</c:v>
                </c:pt>
                <c:pt idx="37">
                  <c:v>16/10/2013</c:v>
                </c:pt>
                <c:pt idx="38">
                  <c:v>28/10/2013</c:v>
                </c:pt>
                <c:pt idx="39">
                  <c:v>30/10/2013</c:v>
                </c:pt>
                <c:pt idx="40">
                  <c:v>3/11/2013</c:v>
                </c:pt>
                <c:pt idx="41">
                  <c:v>5/11/2013</c:v>
                </c:pt>
              </c:strCache>
            </c:strRef>
          </c:cat>
          <c:val>
            <c:numRef>
              <c:f>Sheet4!$E$3:$E$45</c:f>
              <c:numCache>
                <c:formatCode>General</c:formatCode>
                <c:ptCount val="42"/>
                <c:pt idx="5">
                  <c:v>0.17499999999999999</c:v>
                </c:pt>
                <c:pt idx="6">
                  <c:v>0.52500000000000002</c:v>
                </c:pt>
                <c:pt idx="13">
                  <c:v>0.42499999999999999</c:v>
                </c:pt>
                <c:pt idx="19">
                  <c:v>0.57499999999999996</c:v>
                </c:pt>
                <c:pt idx="26">
                  <c:v>0.6</c:v>
                </c:pt>
              </c:numCache>
            </c:numRef>
          </c:val>
        </c:ser>
        <c:ser>
          <c:idx val="4"/>
          <c:order val="4"/>
          <c:tx>
            <c:strRef>
              <c:f>Sheet4!$F$1:$F$2</c:f>
              <c:strCache>
                <c:ptCount val="1"/>
                <c:pt idx="0">
                  <c:v>MAV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Sheet4!$A$3:$A$45</c:f>
              <c:strCache>
                <c:ptCount val="42"/>
                <c:pt idx="0">
                  <c:v>25/06/2013</c:v>
                </c:pt>
                <c:pt idx="1">
                  <c:v>29/06/2013</c:v>
                </c:pt>
                <c:pt idx="2">
                  <c:v>1/07/2013</c:v>
                </c:pt>
                <c:pt idx="3">
                  <c:v>4/07/2013</c:v>
                </c:pt>
                <c:pt idx="4">
                  <c:v>8/07/2013</c:v>
                </c:pt>
                <c:pt idx="5">
                  <c:v>13/07/2013</c:v>
                </c:pt>
                <c:pt idx="6">
                  <c:v>16/07/2013</c:v>
                </c:pt>
                <c:pt idx="7">
                  <c:v>18/07/2013</c:v>
                </c:pt>
                <c:pt idx="8">
                  <c:v>21/07/2013</c:v>
                </c:pt>
                <c:pt idx="9">
                  <c:v>23/07/2013</c:v>
                </c:pt>
                <c:pt idx="10">
                  <c:v>28/07/2013</c:v>
                </c:pt>
                <c:pt idx="11">
                  <c:v>29/07/2013</c:v>
                </c:pt>
                <c:pt idx="12">
                  <c:v>30/07/2013</c:v>
                </c:pt>
                <c:pt idx="13">
                  <c:v>6/08/2013</c:v>
                </c:pt>
                <c:pt idx="14">
                  <c:v>7/08/2013</c:v>
                </c:pt>
                <c:pt idx="15">
                  <c:v>14/08/2013</c:v>
                </c:pt>
                <c:pt idx="16">
                  <c:v>15/08/2013</c:v>
                </c:pt>
                <c:pt idx="17">
                  <c:v>18/08/2013</c:v>
                </c:pt>
                <c:pt idx="18">
                  <c:v>20/08/2013</c:v>
                </c:pt>
                <c:pt idx="19">
                  <c:v>30/08/2013</c:v>
                </c:pt>
                <c:pt idx="20">
                  <c:v>31/08/2013</c:v>
                </c:pt>
                <c:pt idx="21">
                  <c:v>1/09/2013</c:v>
                </c:pt>
                <c:pt idx="22">
                  <c:v>6/09/2013</c:v>
                </c:pt>
                <c:pt idx="23">
                  <c:v>10/09/2013</c:v>
                </c:pt>
                <c:pt idx="24">
                  <c:v>16/09/2013</c:v>
                </c:pt>
                <c:pt idx="25">
                  <c:v>19/09/2013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(blank)</c:v>
                </c:pt>
                <c:pt idx="31">
                  <c:v>30/09/2013</c:v>
                </c:pt>
                <c:pt idx="32">
                  <c:v>2/10/2013</c:v>
                </c:pt>
                <c:pt idx="33">
                  <c:v>4/10/2013</c:v>
                </c:pt>
                <c:pt idx="34">
                  <c:v>12/10/2013</c:v>
                </c:pt>
                <c:pt idx="35">
                  <c:v>13/10/2013</c:v>
                </c:pt>
                <c:pt idx="36">
                  <c:v>15/10/2013</c:v>
                </c:pt>
                <c:pt idx="37">
                  <c:v>16/10/2013</c:v>
                </c:pt>
                <c:pt idx="38">
                  <c:v>28/10/2013</c:v>
                </c:pt>
                <c:pt idx="39">
                  <c:v>30/10/2013</c:v>
                </c:pt>
                <c:pt idx="40">
                  <c:v>3/11/2013</c:v>
                </c:pt>
                <c:pt idx="41">
                  <c:v>5/11/2013</c:v>
                </c:pt>
              </c:strCache>
            </c:strRef>
          </c:cat>
          <c:val>
            <c:numRef>
              <c:f>Sheet4!$F$3:$F$45</c:f>
              <c:numCache>
                <c:formatCode>General</c:formatCode>
                <c:ptCount val="42"/>
                <c:pt idx="3">
                  <c:v>0.47499999999999998</c:v>
                </c:pt>
                <c:pt idx="15">
                  <c:v>0.57499999999999996</c:v>
                </c:pt>
                <c:pt idx="20">
                  <c:v>0.8</c:v>
                </c:pt>
                <c:pt idx="27">
                  <c:v>0.77500000000000002</c:v>
                </c:pt>
                <c:pt idx="31">
                  <c:v>0.82499999999999996</c:v>
                </c:pt>
                <c:pt idx="34">
                  <c:v>0.57499999999999996</c:v>
                </c:pt>
              </c:numCache>
            </c:numRef>
          </c:val>
        </c:ser>
        <c:ser>
          <c:idx val="5"/>
          <c:order val="5"/>
          <c:tx>
            <c:strRef>
              <c:f>Sheet4!$G$1:$G$2</c:f>
              <c:strCache>
                <c:ptCount val="1"/>
                <c:pt idx="0">
                  <c:v>NEAP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Sheet4!$A$3:$A$45</c:f>
              <c:strCache>
                <c:ptCount val="42"/>
                <c:pt idx="0">
                  <c:v>25/06/2013</c:v>
                </c:pt>
                <c:pt idx="1">
                  <c:v>29/06/2013</c:v>
                </c:pt>
                <c:pt idx="2">
                  <c:v>1/07/2013</c:v>
                </c:pt>
                <c:pt idx="3">
                  <c:v>4/07/2013</c:v>
                </c:pt>
                <c:pt idx="4">
                  <c:v>8/07/2013</c:v>
                </c:pt>
                <c:pt idx="5">
                  <c:v>13/07/2013</c:v>
                </c:pt>
                <c:pt idx="6">
                  <c:v>16/07/2013</c:v>
                </c:pt>
                <c:pt idx="7">
                  <c:v>18/07/2013</c:v>
                </c:pt>
                <c:pt idx="8">
                  <c:v>21/07/2013</c:v>
                </c:pt>
                <c:pt idx="9">
                  <c:v>23/07/2013</c:v>
                </c:pt>
                <c:pt idx="10">
                  <c:v>28/07/2013</c:v>
                </c:pt>
                <c:pt idx="11">
                  <c:v>29/07/2013</c:v>
                </c:pt>
                <c:pt idx="12">
                  <c:v>30/07/2013</c:v>
                </c:pt>
                <c:pt idx="13">
                  <c:v>6/08/2013</c:v>
                </c:pt>
                <c:pt idx="14">
                  <c:v>7/08/2013</c:v>
                </c:pt>
                <c:pt idx="15">
                  <c:v>14/08/2013</c:v>
                </c:pt>
                <c:pt idx="16">
                  <c:v>15/08/2013</c:v>
                </c:pt>
                <c:pt idx="17">
                  <c:v>18/08/2013</c:v>
                </c:pt>
                <c:pt idx="18">
                  <c:v>20/08/2013</c:v>
                </c:pt>
                <c:pt idx="19">
                  <c:v>30/08/2013</c:v>
                </c:pt>
                <c:pt idx="20">
                  <c:v>31/08/2013</c:v>
                </c:pt>
                <c:pt idx="21">
                  <c:v>1/09/2013</c:v>
                </c:pt>
                <c:pt idx="22">
                  <c:v>6/09/2013</c:v>
                </c:pt>
                <c:pt idx="23">
                  <c:v>10/09/2013</c:v>
                </c:pt>
                <c:pt idx="24">
                  <c:v>16/09/2013</c:v>
                </c:pt>
                <c:pt idx="25">
                  <c:v>19/09/2013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(blank)</c:v>
                </c:pt>
                <c:pt idx="31">
                  <c:v>30/09/2013</c:v>
                </c:pt>
                <c:pt idx="32">
                  <c:v>2/10/2013</c:v>
                </c:pt>
                <c:pt idx="33">
                  <c:v>4/10/2013</c:v>
                </c:pt>
                <c:pt idx="34">
                  <c:v>12/10/2013</c:v>
                </c:pt>
                <c:pt idx="35">
                  <c:v>13/10/2013</c:v>
                </c:pt>
                <c:pt idx="36">
                  <c:v>15/10/2013</c:v>
                </c:pt>
                <c:pt idx="37">
                  <c:v>16/10/2013</c:v>
                </c:pt>
                <c:pt idx="38">
                  <c:v>28/10/2013</c:v>
                </c:pt>
                <c:pt idx="39">
                  <c:v>30/10/2013</c:v>
                </c:pt>
                <c:pt idx="40">
                  <c:v>3/11/2013</c:v>
                </c:pt>
                <c:pt idx="41">
                  <c:v>5/11/2013</c:v>
                </c:pt>
              </c:strCache>
            </c:strRef>
          </c:cat>
          <c:val>
            <c:numRef>
              <c:f>Sheet4!$G$3:$G$45</c:f>
              <c:numCache>
                <c:formatCode>General</c:formatCode>
                <c:ptCount val="42"/>
                <c:pt idx="4">
                  <c:v>0.25</c:v>
                </c:pt>
                <c:pt idx="16">
                  <c:v>0.52500000000000002</c:v>
                </c:pt>
                <c:pt idx="21">
                  <c:v>0.6</c:v>
                </c:pt>
                <c:pt idx="24">
                  <c:v>0.67500000000000004</c:v>
                </c:pt>
                <c:pt idx="28">
                  <c:v>0.65</c:v>
                </c:pt>
                <c:pt idx="32">
                  <c:v>0.6</c:v>
                </c:pt>
              </c:numCache>
            </c:numRef>
          </c:val>
        </c:ser>
        <c:ser>
          <c:idx val="6"/>
          <c:order val="6"/>
          <c:tx>
            <c:strRef>
              <c:f>Sheet4!$H$1:$H$2</c:f>
              <c:strCache>
                <c:ptCount val="1"/>
                <c:pt idx="0">
                  <c:v>NEAP Book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Sheet4!$A$3:$A$45</c:f>
              <c:strCache>
                <c:ptCount val="42"/>
                <c:pt idx="0">
                  <c:v>25/06/2013</c:v>
                </c:pt>
                <c:pt idx="1">
                  <c:v>29/06/2013</c:v>
                </c:pt>
                <c:pt idx="2">
                  <c:v>1/07/2013</c:v>
                </c:pt>
                <c:pt idx="3">
                  <c:v>4/07/2013</c:v>
                </c:pt>
                <c:pt idx="4">
                  <c:v>8/07/2013</c:v>
                </c:pt>
                <c:pt idx="5">
                  <c:v>13/07/2013</c:v>
                </c:pt>
                <c:pt idx="6">
                  <c:v>16/07/2013</c:v>
                </c:pt>
                <c:pt idx="7">
                  <c:v>18/07/2013</c:v>
                </c:pt>
                <c:pt idx="8">
                  <c:v>21/07/2013</c:v>
                </c:pt>
                <c:pt idx="9">
                  <c:v>23/07/2013</c:v>
                </c:pt>
                <c:pt idx="10">
                  <c:v>28/07/2013</c:v>
                </c:pt>
                <c:pt idx="11">
                  <c:v>29/07/2013</c:v>
                </c:pt>
                <c:pt idx="12">
                  <c:v>30/07/2013</c:v>
                </c:pt>
                <c:pt idx="13">
                  <c:v>6/08/2013</c:v>
                </c:pt>
                <c:pt idx="14">
                  <c:v>7/08/2013</c:v>
                </c:pt>
                <c:pt idx="15">
                  <c:v>14/08/2013</c:v>
                </c:pt>
                <c:pt idx="16">
                  <c:v>15/08/2013</c:v>
                </c:pt>
                <c:pt idx="17">
                  <c:v>18/08/2013</c:v>
                </c:pt>
                <c:pt idx="18">
                  <c:v>20/08/2013</c:v>
                </c:pt>
                <c:pt idx="19">
                  <c:v>30/08/2013</c:v>
                </c:pt>
                <c:pt idx="20">
                  <c:v>31/08/2013</c:v>
                </c:pt>
                <c:pt idx="21">
                  <c:v>1/09/2013</c:v>
                </c:pt>
                <c:pt idx="22">
                  <c:v>6/09/2013</c:v>
                </c:pt>
                <c:pt idx="23">
                  <c:v>10/09/2013</c:v>
                </c:pt>
                <c:pt idx="24">
                  <c:v>16/09/2013</c:v>
                </c:pt>
                <c:pt idx="25">
                  <c:v>19/09/2013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(blank)</c:v>
                </c:pt>
                <c:pt idx="31">
                  <c:v>30/09/2013</c:v>
                </c:pt>
                <c:pt idx="32">
                  <c:v>2/10/2013</c:v>
                </c:pt>
                <c:pt idx="33">
                  <c:v>4/10/2013</c:v>
                </c:pt>
                <c:pt idx="34">
                  <c:v>12/10/2013</c:v>
                </c:pt>
                <c:pt idx="35">
                  <c:v>13/10/2013</c:v>
                </c:pt>
                <c:pt idx="36">
                  <c:v>15/10/2013</c:v>
                </c:pt>
                <c:pt idx="37">
                  <c:v>16/10/2013</c:v>
                </c:pt>
                <c:pt idx="38">
                  <c:v>28/10/2013</c:v>
                </c:pt>
                <c:pt idx="39">
                  <c:v>30/10/2013</c:v>
                </c:pt>
                <c:pt idx="40">
                  <c:v>3/11/2013</c:v>
                </c:pt>
                <c:pt idx="41">
                  <c:v>5/11/2013</c:v>
                </c:pt>
              </c:strCache>
            </c:strRef>
          </c:cat>
          <c:val>
            <c:numRef>
              <c:f>Sheet4!$H$3:$H$45</c:f>
              <c:numCache>
                <c:formatCode>General</c:formatCode>
                <c:ptCount val="42"/>
                <c:pt idx="12">
                  <c:v>0.6</c:v>
                </c:pt>
                <c:pt idx="14">
                  <c:v>0.47499999999999998</c:v>
                </c:pt>
              </c:numCache>
            </c:numRef>
          </c:val>
        </c:ser>
        <c:ser>
          <c:idx val="7"/>
          <c:order val="7"/>
          <c:tx>
            <c:strRef>
              <c:f>Sheet4!$I$1:$I$2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Sheet4!$A$3:$A$45</c:f>
              <c:strCache>
                <c:ptCount val="42"/>
                <c:pt idx="0">
                  <c:v>25/06/2013</c:v>
                </c:pt>
                <c:pt idx="1">
                  <c:v>29/06/2013</c:v>
                </c:pt>
                <c:pt idx="2">
                  <c:v>1/07/2013</c:v>
                </c:pt>
                <c:pt idx="3">
                  <c:v>4/07/2013</c:v>
                </c:pt>
                <c:pt idx="4">
                  <c:v>8/07/2013</c:v>
                </c:pt>
                <c:pt idx="5">
                  <c:v>13/07/2013</c:v>
                </c:pt>
                <c:pt idx="6">
                  <c:v>16/07/2013</c:v>
                </c:pt>
                <c:pt idx="7">
                  <c:v>18/07/2013</c:v>
                </c:pt>
                <c:pt idx="8">
                  <c:v>21/07/2013</c:v>
                </c:pt>
                <c:pt idx="9">
                  <c:v>23/07/2013</c:v>
                </c:pt>
                <c:pt idx="10">
                  <c:v>28/07/2013</c:v>
                </c:pt>
                <c:pt idx="11">
                  <c:v>29/07/2013</c:v>
                </c:pt>
                <c:pt idx="12">
                  <c:v>30/07/2013</c:v>
                </c:pt>
                <c:pt idx="13">
                  <c:v>6/08/2013</c:v>
                </c:pt>
                <c:pt idx="14">
                  <c:v>7/08/2013</c:v>
                </c:pt>
                <c:pt idx="15">
                  <c:v>14/08/2013</c:v>
                </c:pt>
                <c:pt idx="16">
                  <c:v>15/08/2013</c:v>
                </c:pt>
                <c:pt idx="17">
                  <c:v>18/08/2013</c:v>
                </c:pt>
                <c:pt idx="18">
                  <c:v>20/08/2013</c:v>
                </c:pt>
                <c:pt idx="19">
                  <c:v>30/08/2013</c:v>
                </c:pt>
                <c:pt idx="20">
                  <c:v>31/08/2013</c:v>
                </c:pt>
                <c:pt idx="21">
                  <c:v>1/09/2013</c:v>
                </c:pt>
                <c:pt idx="22">
                  <c:v>6/09/2013</c:v>
                </c:pt>
                <c:pt idx="23">
                  <c:v>10/09/2013</c:v>
                </c:pt>
                <c:pt idx="24">
                  <c:v>16/09/2013</c:v>
                </c:pt>
                <c:pt idx="25">
                  <c:v>19/09/2013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(blank)</c:v>
                </c:pt>
                <c:pt idx="31">
                  <c:v>30/09/2013</c:v>
                </c:pt>
                <c:pt idx="32">
                  <c:v>2/10/2013</c:v>
                </c:pt>
                <c:pt idx="33">
                  <c:v>4/10/2013</c:v>
                </c:pt>
                <c:pt idx="34">
                  <c:v>12/10/2013</c:v>
                </c:pt>
                <c:pt idx="35">
                  <c:v>13/10/2013</c:v>
                </c:pt>
                <c:pt idx="36">
                  <c:v>15/10/2013</c:v>
                </c:pt>
                <c:pt idx="37">
                  <c:v>16/10/2013</c:v>
                </c:pt>
                <c:pt idx="38">
                  <c:v>28/10/2013</c:v>
                </c:pt>
                <c:pt idx="39">
                  <c:v>30/10/2013</c:v>
                </c:pt>
                <c:pt idx="40">
                  <c:v>3/11/2013</c:v>
                </c:pt>
                <c:pt idx="41">
                  <c:v>5/11/2013</c:v>
                </c:pt>
              </c:strCache>
            </c:strRef>
          </c:cat>
          <c:val>
            <c:numRef>
              <c:f>Sheet4!$I$3:$I$45</c:f>
              <c:numCache>
                <c:formatCode>General</c:formatCode>
                <c:ptCount val="42"/>
              </c:numCache>
            </c:numRef>
          </c:val>
        </c:ser>
        <c:ser>
          <c:idx val="8"/>
          <c:order val="8"/>
          <c:tx>
            <c:strRef>
              <c:f>Sheet4!$J$1:$J$2</c:f>
              <c:strCache>
                <c:ptCount val="1"/>
                <c:pt idx="0">
                  <c:v>TSSM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Sheet4!$A$3:$A$45</c:f>
              <c:strCache>
                <c:ptCount val="42"/>
                <c:pt idx="0">
                  <c:v>25/06/2013</c:v>
                </c:pt>
                <c:pt idx="1">
                  <c:v>29/06/2013</c:v>
                </c:pt>
                <c:pt idx="2">
                  <c:v>1/07/2013</c:v>
                </c:pt>
                <c:pt idx="3">
                  <c:v>4/07/2013</c:v>
                </c:pt>
                <c:pt idx="4">
                  <c:v>8/07/2013</c:v>
                </c:pt>
                <c:pt idx="5">
                  <c:v>13/07/2013</c:v>
                </c:pt>
                <c:pt idx="6">
                  <c:v>16/07/2013</c:v>
                </c:pt>
                <c:pt idx="7">
                  <c:v>18/07/2013</c:v>
                </c:pt>
                <c:pt idx="8">
                  <c:v>21/07/2013</c:v>
                </c:pt>
                <c:pt idx="9">
                  <c:v>23/07/2013</c:v>
                </c:pt>
                <c:pt idx="10">
                  <c:v>28/07/2013</c:v>
                </c:pt>
                <c:pt idx="11">
                  <c:v>29/07/2013</c:v>
                </c:pt>
                <c:pt idx="12">
                  <c:v>30/07/2013</c:v>
                </c:pt>
                <c:pt idx="13">
                  <c:v>6/08/2013</c:v>
                </c:pt>
                <c:pt idx="14">
                  <c:v>7/08/2013</c:v>
                </c:pt>
                <c:pt idx="15">
                  <c:v>14/08/2013</c:v>
                </c:pt>
                <c:pt idx="16">
                  <c:v>15/08/2013</c:v>
                </c:pt>
                <c:pt idx="17">
                  <c:v>18/08/2013</c:v>
                </c:pt>
                <c:pt idx="18">
                  <c:v>20/08/2013</c:v>
                </c:pt>
                <c:pt idx="19">
                  <c:v>30/08/2013</c:v>
                </c:pt>
                <c:pt idx="20">
                  <c:v>31/08/2013</c:v>
                </c:pt>
                <c:pt idx="21">
                  <c:v>1/09/2013</c:v>
                </c:pt>
                <c:pt idx="22">
                  <c:v>6/09/2013</c:v>
                </c:pt>
                <c:pt idx="23">
                  <c:v>10/09/2013</c:v>
                </c:pt>
                <c:pt idx="24">
                  <c:v>16/09/2013</c:v>
                </c:pt>
                <c:pt idx="25">
                  <c:v>19/09/2013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(blank)</c:v>
                </c:pt>
                <c:pt idx="31">
                  <c:v>30/09/2013</c:v>
                </c:pt>
                <c:pt idx="32">
                  <c:v>2/10/2013</c:v>
                </c:pt>
                <c:pt idx="33">
                  <c:v>4/10/2013</c:v>
                </c:pt>
                <c:pt idx="34">
                  <c:v>12/10/2013</c:v>
                </c:pt>
                <c:pt idx="35">
                  <c:v>13/10/2013</c:v>
                </c:pt>
                <c:pt idx="36">
                  <c:v>15/10/2013</c:v>
                </c:pt>
                <c:pt idx="37">
                  <c:v>16/10/2013</c:v>
                </c:pt>
                <c:pt idx="38">
                  <c:v>28/10/2013</c:v>
                </c:pt>
                <c:pt idx="39">
                  <c:v>30/10/2013</c:v>
                </c:pt>
                <c:pt idx="40">
                  <c:v>3/11/2013</c:v>
                </c:pt>
                <c:pt idx="41">
                  <c:v>5/11/2013</c:v>
                </c:pt>
              </c:strCache>
            </c:strRef>
          </c:cat>
          <c:val>
            <c:numRef>
              <c:f>Sheet4!$J$3:$J$45</c:f>
              <c:numCache>
                <c:formatCode>General</c:formatCode>
                <c:ptCount val="42"/>
                <c:pt idx="17">
                  <c:v>0.875</c:v>
                </c:pt>
                <c:pt idx="22">
                  <c:v>0.7</c:v>
                </c:pt>
                <c:pt idx="25">
                  <c:v>0.82499999999999996</c:v>
                </c:pt>
                <c:pt idx="29">
                  <c:v>0.875</c:v>
                </c:pt>
                <c:pt idx="35">
                  <c:v>0.875</c:v>
                </c:pt>
                <c:pt idx="36">
                  <c:v>0.57499999999999996</c:v>
                </c:pt>
              </c:numCache>
            </c:numRef>
          </c:val>
        </c:ser>
        <c:ser>
          <c:idx val="9"/>
          <c:order val="9"/>
          <c:tx>
            <c:strRef>
              <c:f>Sheet4!$K$1:$K$2</c:f>
              <c:strCache>
                <c:ptCount val="1"/>
                <c:pt idx="0">
                  <c:v>VCAA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Sheet4!$A$3:$A$45</c:f>
              <c:strCache>
                <c:ptCount val="42"/>
                <c:pt idx="0">
                  <c:v>25/06/2013</c:v>
                </c:pt>
                <c:pt idx="1">
                  <c:v>29/06/2013</c:v>
                </c:pt>
                <c:pt idx="2">
                  <c:v>1/07/2013</c:v>
                </c:pt>
                <c:pt idx="3">
                  <c:v>4/07/2013</c:v>
                </c:pt>
                <c:pt idx="4">
                  <c:v>8/07/2013</c:v>
                </c:pt>
                <c:pt idx="5">
                  <c:v>13/07/2013</c:v>
                </c:pt>
                <c:pt idx="6">
                  <c:v>16/07/2013</c:v>
                </c:pt>
                <c:pt idx="7">
                  <c:v>18/07/2013</c:v>
                </c:pt>
                <c:pt idx="8">
                  <c:v>21/07/2013</c:v>
                </c:pt>
                <c:pt idx="9">
                  <c:v>23/07/2013</c:v>
                </c:pt>
                <c:pt idx="10">
                  <c:v>28/07/2013</c:v>
                </c:pt>
                <c:pt idx="11">
                  <c:v>29/07/2013</c:v>
                </c:pt>
                <c:pt idx="12">
                  <c:v>30/07/2013</c:v>
                </c:pt>
                <c:pt idx="13">
                  <c:v>6/08/2013</c:v>
                </c:pt>
                <c:pt idx="14">
                  <c:v>7/08/2013</c:v>
                </c:pt>
                <c:pt idx="15">
                  <c:v>14/08/2013</c:v>
                </c:pt>
                <c:pt idx="16">
                  <c:v>15/08/2013</c:v>
                </c:pt>
                <c:pt idx="17">
                  <c:v>18/08/2013</c:v>
                </c:pt>
                <c:pt idx="18">
                  <c:v>20/08/2013</c:v>
                </c:pt>
                <c:pt idx="19">
                  <c:v>30/08/2013</c:v>
                </c:pt>
                <c:pt idx="20">
                  <c:v>31/08/2013</c:v>
                </c:pt>
                <c:pt idx="21">
                  <c:v>1/09/2013</c:v>
                </c:pt>
                <c:pt idx="22">
                  <c:v>6/09/2013</c:v>
                </c:pt>
                <c:pt idx="23">
                  <c:v>10/09/2013</c:v>
                </c:pt>
                <c:pt idx="24">
                  <c:v>16/09/2013</c:v>
                </c:pt>
                <c:pt idx="25">
                  <c:v>19/09/2013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(blank)</c:v>
                </c:pt>
                <c:pt idx="31">
                  <c:v>30/09/2013</c:v>
                </c:pt>
                <c:pt idx="32">
                  <c:v>2/10/2013</c:v>
                </c:pt>
                <c:pt idx="33">
                  <c:v>4/10/2013</c:v>
                </c:pt>
                <c:pt idx="34">
                  <c:v>12/10/2013</c:v>
                </c:pt>
                <c:pt idx="35">
                  <c:v>13/10/2013</c:v>
                </c:pt>
                <c:pt idx="36">
                  <c:v>15/10/2013</c:v>
                </c:pt>
                <c:pt idx="37">
                  <c:v>16/10/2013</c:v>
                </c:pt>
                <c:pt idx="38">
                  <c:v>28/10/2013</c:v>
                </c:pt>
                <c:pt idx="39">
                  <c:v>30/10/2013</c:v>
                </c:pt>
                <c:pt idx="40">
                  <c:v>3/11/2013</c:v>
                </c:pt>
                <c:pt idx="41">
                  <c:v>5/11/2013</c:v>
                </c:pt>
              </c:strCache>
            </c:strRef>
          </c:cat>
          <c:val>
            <c:numRef>
              <c:f>Sheet4!$K$3:$K$45</c:f>
              <c:numCache>
                <c:formatCode>General</c:formatCode>
                <c:ptCount val="42"/>
                <c:pt idx="7">
                  <c:v>0.5</c:v>
                </c:pt>
                <c:pt idx="8">
                  <c:v>0.65</c:v>
                </c:pt>
                <c:pt idx="9">
                  <c:v>0.625</c:v>
                </c:pt>
                <c:pt idx="10">
                  <c:v>0.65</c:v>
                </c:pt>
                <c:pt idx="11">
                  <c:v>0.47499999999999998</c:v>
                </c:pt>
                <c:pt idx="37">
                  <c:v>0.8</c:v>
                </c:pt>
                <c:pt idx="38">
                  <c:v>0.82499999999999996</c:v>
                </c:pt>
                <c:pt idx="39">
                  <c:v>0.85</c:v>
                </c:pt>
                <c:pt idx="41">
                  <c:v>0.9</c:v>
                </c:pt>
              </c:numCache>
            </c:numRef>
          </c:val>
        </c:ser>
        <c:ser>
          <c:idx val="10"/>
          <c:order val="10"/>
          <c:tx>
            <c:strRef>
              <c:f>Sheet4!$L$1:$L$2</c:f>
              <c:strCache>
                <c:ptCount val="1"/>
                <c:pt idx="0">
                  <c:v>VCAA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Sheet4!$A$3:$A$45</c:f>
              <c:strCache>
                <c:ptCount val="42"/>
                <c:pt idx="0">
                  <c:v>25/06/2013</c:v>
                </c:pt>
                <c:pt idx="1">
                  <c:v>29/06/2013</c:v>
                </c:pt>
                <c:pt idx="2">
                  <c:v>1/07/2013</c:v>
                </c:pt>
                <c:pt idx="3">
                  <c:v>4/07/2013</c:v>
                </c:pt>
                <c:pt idx="4">
                  <c:v>8/07/2013</c:v>
                </c:pt>
                <c:pt idx="5">
                  <c:v>13/07/2013</c:v>
                </c:pt>
                <c:pt idx="6">
                  <c:v>16/07/2013</c:v>
                </c:pt>
                <c:pt idx="7">
                  <c:v>18/07/2013</c:v>
                </c:pt>
                <c:pt idx="8">
                  <c:v>21/07/2013</c:v>
                </c:pt>
                <c:pt idx="9">
                  <c:v>23/07/2013</c:v>
                </c:pt>
                <c:pt idx="10">
                  <c:v>28/07/2013</c:v>
                </c:pt>
                <c:pt idx="11">
                  <c:v>29/07/2013</c:v>
                </c:pt>
                <c:pt idx="12">
                  <c:v>30/07/2013</c:v>
                </c:pt>
                <c:pt idx="13">
                  <c:v>6/08/2013</c:v>
                </c:pt>
                <c:pt idx="14">
                  <c:v>7/08/2013</c:v>
                </c:pt>
                <c:pt idx="15">
                  <c:v>14/08/2013</c:v>
                </c:pt>
                <c:pt idx="16">
                  <c:v>15/08/2013</c:v>
                </c:pt>
                <c:pt idx="17">
                  <c:v>18/08/2013</c:v>
                </c:pt>
                <c:pt idx="18">
                  <c:v>20/08/2013</c:v>
                </c:pt>
                <c:pt idx="19">
                  <c:v>30/08/2013</c:v>
                </c:pt>
                <c:pt idx="20">
                  <c:v>31/08/2013</c:v>
                </c:pt>
                <c:pt idx="21">
                  <c:v>1/09/2013</c:v>
                </c:pt>
                <c:pt idx="22">
                  <c:v>6/09/2013</c:v>
                </c:pt>
                <c:pt idx="23">
                  <c:v>10/09/2013</c:v>
                </c:pt>
                <c:pt idx="24">
                  <c:v>16/09/2013</c:v>
                </c:pt>
                <c:pt idx="25">
                  <c:v>19/09/2013</c:v>
                </c:pt>
                <c:pt idx="26">
                  <c:v>24/09/2013</c:v>
                </c:pt>
                <c:pt idx="27">
                  <c:v>25/09/2013</c:v>
                </c:pt>
                <c:pt idx="28">
                  <c:v>26/09/2013</c:v>
                </c:pt>
                <c:pt idx="29">
                  <c:v>27/09/2013</c:v>
                </c:pt>
                <c:pt idx="30">
                  <c:v>(blank)</c:v>
                </c:pt>
                <c:pt idx="31">
                  <c:v>30/09/2013</c:v>
                </c:pt>
                <c:pt idx="32">
                  <c:v>2/10/2013</c:v>
                </c:pt>
                <c:pt idx="33">
                  <c:v>4/10/2013</c:v>
                </c:pt>
                <c:pt idx="34">
                  <c:v>12/10/2013</c:v>
                </c:pt>
                <c:pt idx="35">
                  <c:v>13/10/2013</c:v>
                </c:pt>
                <c:pt idx="36">
                  <c:v>15/10/2013</c:v>
                </c:pt>
                <c:pt idx="37">
                  <c:v>16/10/2013</c:v>
                </c:pt>
                <c:pt idx="38">
                  <c:v>28/10/2013</c:v>
                </c:pt>
                <c:pt idx="39">
                  <c:v>30/10/2013</c:v>
                </c:pt>
                <c:pt idx="40">
                  <c:v>3/11/2013</c:v>
                </c:pt>
                <c:pt idx="41">
                  <c:v>5/11/2013</c:v>
                </c:pt>
              </c:strCache>
            </c:strRef>
          </c:cat>
          <c:val>
            <c:numRef>
              <c:f>Sheet4!$L$3:$L$45</c:f>
              <c:numCache>
                <c:formatCode>General</c:formatCode>
                <c:ptCount val="42"/>
                <c:pt idx="38">
                  <c:v>0.75</c:v>
                </c:pt>
                <c:pt idx="40">
                  <c:v>0.83750000000000002</c:v>
                </c:pt>
                <c:pt idx="41">
                  <c:v>0.92500000000000004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025864"/>
        <c:axId val="285026256"/>
      </c:barChart>
      <c:catAx>
        <c:axId val="28502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6256"/>
        <c:crosses val="autoZero"/>
        <c:auto val="1"/>
        <c:lblAlgn val="ctr"/>
        <c:lblOffset val="100"/>
        <c:noMultiLvlLbl val="0"/>
      </c:catAx>
      <c:valAx>
        <c:axId val="285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3 4 Exam Papers Results - Copy.xlsx]Sheet3!PivotTable1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Engage Education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Sheet3!$A$3:$A$39</c:f>
              <c:strCache>
                <c:ptCount val="36"/>
                <c:pt idx="0">
                  <c:v>24/06/2013</c:v>
                </c:pt>
                <c:pt idx="1">
                  <c:v>26/06/2013</c:v>
                </c:pt>
                <c:pt idx="2">
                  <c:v>28/06/2013</c:v>
                </c:pt>
                <c:pt idx="3">
                  <c:v>29/06/2013</c:v>
                </c:pt>
                <c:pt idx="4">
                  <c:v>2/07/2013</c:v>
                </c:pt>
                <c:pt idx="5">
                  <c:v>3/07/2013</c:v>
                </c:pt>
                <c:pt idx="6">
                  <c:v>14/07/2013</c:v>
                </c:pt>
                <c:pt idx="7">
                  <c:v>15/07/2013</c:v>
                </c:pt>
                <c:pt idx="8">
                  <c:v>17/07/2013</c:v>
                </c:pt>
                <c:pt idx="9">
                  <c:v>19/07/2013</c:v>
                </c:pt>
                <c:pt idx="10">
                  <c:v>20/07/2013</c:v>
                </c:pt>
                <c:pt idx="11">
                  <c:v>22/07/2013</c:v>
                </c:pt>
                <c:pt idx="12">
                  <c:v>4/08/2013</c:v>
                </c:pt>
                <c:pt idx="13">
                  <c:v>8/08/2013</c:v>
                </c:pt>
                <c:pt idx="14">
                  <c:v>9/08/2013</c:v>
                </c:pt>
                <c:pt idx="15">
                  <c:v>12/08/2013</c:v>
                </c:pt>
                <c:pt idx="16">
                  <c:v>21/08/2013</c:v>
                </c:pt>
                <c:pt idx="17">
                  <c:v>29/08/2013</c:v>
                </c:pt>
                <c:pt idx="18">
                  <c:v>3/09/2013</c:v>
                </c:pt>
                <c:pt idx="19">
                  <c:v>7/09/2013</c:v>
                </c:pt>
                <c:pt idx="20">
                  <c:v>8/09/2013</c:v>
                </c:pt>
                <c:pt idx="21">
                  <c:v>17/09/2013</c:v>
                </c:pt>
                <c:pt idx="22">
                  <c:v>21/09/2013</c:v>
                </c:pt>
                <c:pt idx="23">
                  <c:v>23/09/2013</c:v>
                </c:pt>
                <c:pt idx="24">
                  <c:v>24/09/2013</c:v>
                </c:pt>
                <c:pt idx="25">
                  <c:v>25/09/2013</c:v>
                </c:pt>
                <c:pt idx="26">
                  <c:v>(blank)</c:v>
                </c:pt>
                <c:pt idx="27">
                  <c:v>29/09/2013</c:v>
                </c:pt>
                <c:pt idx="28">
                  <c:v>26/09/2013</c:v>
                </c:pt>
                <c:pt idx="29">
                  <c:v>30/09/2013</c:v>
                </c:pt>
                <c:pt idx="30">
                  <c:v>1/10/2013</c:v>
                </c:pt>
                <c:pt idx="31">
                  <c:v>9/10/2013</c:v>
                </c:pt>
                <c:pt idx="32">
                  <c:v>13/10/2013</c:v>
                </c:pt>
                <c:pt idx="33">
                  <c:v>26/10/2013</c:v>
                </c:pt>
                <c:pt idx="34">
                  <c:v>5/11/2013</c:v>
                </c:pt>
                <c:pt idx="35">
                  <c:v>6/11/2013</c:v>
                </c:pt>
              </c:strCache>
            </c:strRef>
          </c:cat>
          <c:val>
            <c:numRef>
              <c:f>Sheet3!$B$3:$B$39</c:f>
              <c:numCache>
                <c:formatCode>General</c:formatCode>
                <c:ptCount val="36"/>
                <c:pt idx="31">
                  <c:v>0.77500000000000002</c:v>
                </c:pt>
              </c:numCache>
            </c:numRef>
          </c:val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Heffernan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Sheet3!$A$3:$A$39</c:f>
              <c:strCache>
                <c:ptCount val="36"/>
                <c:pt idx="0">
                  <c:v>24/06/2013</c:v>
                </c:pt>
                <c:pt idx="1">
                  <c:v>26/06/2013</c:v>
                </c:pt>
                <c:pt idx="2">
                  <c:v>28/06/2013</c:v>
                </c:pt>
                <c:pt idx="3">
                  <c:v>29/06/2013</c:v>
                </c:pt>
                <c:pt idx="4">
                  <c:v>2/07/2013</c:v>
                </c:pt>
                <c:pt idx="5">
                  <c:v>3/07/2013</c:v>
                </c:pt>
                <c:pt idx="6">
                  <c:v>14/07/2013</c:v>
                </c:pt>
                <c:pt idx="7">
                  <c:v>15/07/2013</c:v>
                </c:pt>
                <c:pt idx="8">
                  <c:v>17/07/2013</c:v>
                </c:pt>
                <c:pt idx="9">
                  <c:v>19/07/2013</c:v>
                </c:pt>
                <c:pt idx="10">
                  <c:v>20/07/2013</c:v>
                </c:pt>
                <c:pt idx="11">
                  <c:v>22/07/2013</c:v>
                </c:pt>
                <c:pt idx="12">
                  <c:v>4/08/2013</c:v>
                </c:pt>
                <c:pt idx="13">
                  <c:v>8/08/2013</c:v>
                </c:pt>
                <c:pt idx="14">
                  <c:v>9/08/2013</c:v>
                </c:pt>
                <c:pt idx="15">
                  <c:v>12/08/2013</c:v>
                </c:pt>
                <c:pt idx="16">
                  <c:v>21/08/2013</c:v>
                </c:pt>
                <c:pt idx="17">
                  <c:v>29/08/2013</c:v>
                </c:pt>
                <c:pt idx="18">
                  <c:v>3/09/2013</c:v>
                </c:pt>
                <c:pt idx="19">
                  <c:v>7/09/2013</c:v>
                </c:pt>
                <c:pt idx="20">
                  <c:v>8/09/2013</c:v>
                </c:pt>
                <c:pt idx="21">
                  <c:v>17/09/2013</c:v>
                </c:pt>
                <c:pt idx="22">
                  <c:v>21/09/2013</c:v>
                </c:pt>
                <c:pt idx="23">
                  <c:v>23/09/2013</c:v>
                </c:pt>
                <c:pt idx="24">
                  <c:v>24/09/2013</c:v>
                </c:pt>
                <c:pt idx="25">
                  <c:v>25/09/2013</c:v>
                </c:pt>
                <c:pt idx="26">
                  <c:v>(blank)</c:v>
                </c:pt>
                <c:pt idx="27">
                  <c:v>29/09/2013</c:v>
                </c:pt>
                <c:pt idx="28">
                  <c:v>26/09/2013</c:v>
                </c:pt>
                <c:pt idx="29">
                  <c:v>30/09/2013</c:v>
                </c:pt>
                <c:pt idx="30">
                  <c:v>1/10/2013</c:v>
                </c:pt>
                <c:pt idx="31">
                  <c:v>9/10/2013</c:v>
                </c:pt>
                <c:pt idx="32">
                  <c:v>13/10/2013</c:v>
                </c:pt>
                <c:pt idx="33">
                  <c:v>26/10/2013</c:v>
                </c:pt>
                <c:pt idx="34">
                  <c:v>5/11/2013</c:v>
                </c:pt>
                <c:pt idx="35">
                  <c:v>6/11/2013</c:v>
                </c:pt>
              </c:strCache>
            </c:strRef>
          </c:cat>
          <c:val>
            <c:numRef>
              <c:f>Sheet3!$C$3:$C$39</c:f>
              <c:numCache>
                <c:formatCode>General</c:formatCode>
                <c:ptCount val="36"/>
                <c:pt idx="12">
                  <c:v>0.63749999999999996</c:v>
                </c:pt>
                <c:pt idx="20">
                  <c:v>0.8125</c:v>
                </c:pt>
                <c:pt idx="22">
                  <c:v>0.85</c:v>
                </c:pt>
              </c:numCache>
            </c:numRef>
          </c:val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Insight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Sheet3!$A$3:$A$39</c:f>
              <c:strCache>
                <c:ptCount val="36"/>
                <c:pt idx="0">
                  <c:v>24/06/2013</c:v>
                </c:pt>
                <c:pt idx="1">
                  <c:v>26/06/2013</c:v>
                </c:pt>
                <c:pt idx="2">
                  <c:v>28/06/2013</c:v>
                </c:pt>
                <c:pt idx="3">
                  <c:v>29/06/2013</c:v>
                </c:pt>
                <c:pt idx="4">
                  <c:v>2/07/2013</c:v>
                </c:pt>
                <c:pt idx="5">
                  <c:v>3/07/2013</c:v>
                </c:pt>
                <c:pt idx="6">
                  <c:v>14/07/2013</c:v>
                </c:pt>
                <c:pt idx="7">
                  <c:v>15/07/2013</c:v>
                </c:pt>
                <c:pt idx="8">
                  <c:v>17/07/2013</c:v>
                </c:pt>
                <c:pt idx="9">
                  <c:v>19/07/2013</c:v>
                </c:pt>
                <c:pt idx="10">
                  <c:v>20/07/2013</c:v>
                </c:pt>
                <c:pt idx="11">
                  <c:v>22/07/2013</c:v>
                </c:pt>
                <c:pt idx="12">
                  <c:v>4/08/2013</c:v>
                </c:pt>
                <c:pt idx="13">
                  <c:v>8/08/2013</c:v>
                </c:pt>
                <c:pt idx="14">
                  <c:v>9/08/2013</c:v>
                </c:pt>
                <c:pt idx="15">
                  <c:v>12/08/2013</c:v>
                </c:pt>
                <c:pt idx="16">
                  <c:v>21/08/2013</c:v>
                </c:pt>
                <c:pt idx="17">
                  <c:v>29/08/2013</c:v>
                </c:pt>
                <c:pt idx="18">
                  <c:v>3/09/2013</c:v>
                </c:pt>
                <c:pt idx="19">
                  <c:v>7/09/2013</c:v>
                </c:pt>
                <c:pt idx="20">
                  <c:v>8/09/2013</c:v>
                </c:pt>
                <c:pt idx="21">
                  <c:v>17/09/2013</c:v>
                </c:pt>
                <c:pt idx="22">
                  <c:v>21/09/2013</c:v>
                </c:pt>
                <c:pt idx="23">
                  <c:v>23/09/2013</c:v>
                </c:pt>
                <c:pt idx="24">
                  <c:v>24/09/2013</c:v>
                </c:pt>
                <c:pt idx="25">
                  <c:v>25/09/2013</c:v>
                </c:pt>
                <c:pt idx="26">
                  <c:v>(blank)</c:v>
                </c:pt>
                <c:pt idx="27">
                  <c:v>29/09/2013</c:v>
                </c:pt>
                <c:pt idx="28">
                  <c:v>26/09/2013</c:v>
                </c:pt>
                <c:pt idx="29">
                  <c:v>30/09/2013</c:v>
                </c:pt>
                <c:pt idx="30">
                  <c:v>1/10/2013</c:v>
                </c:pt>
                <c:pt idx="31">
                  <c:v>9/10/2013</c:v>
                </c:pt>
                <c:pt idx="32">
                  <c:v>13/10/2013</c:v>
                </c:pt>
                <c:pt idx="33">
                  <c:v>26/10/2013</c:v>
                </c:pt>
                <c:pt idx="34">
                  <c:v>5/11/2013</c:v>
                </c:pt>
                <c:pt idx="35">
                  <c:v>6/11/2013</c:v>
                </c:pt>
              </c:strCache>
            </c:strRef>
          </c:cat>
          <c:val>
            <c:numRef>
              <c:f>Sheet3!$D$3:$D$39</c:f>
              <c:numCache>
                <c:formatCode>General</c:formatCode>
                <c:ptCount val="36"/>
                <c:pt idx="11">
                  <c:v>0.67500000000000004</c:v>
                </c:pt>
                <c:pt idx="16">
                  <c:v>0.75</c:v>
                </c:pt>
                <c:pt idx="26">
                  <c:v>0</c:v>
                </c:pt>
                <c:pt idx="27">
                  <c:v>0.8</c:v>
                </c:pt>
              </c:numCache>
            </c:numRef>
          </c:val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Kilbaha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Sheet3!$A$3:$A$39</c:f>
              <c:strCache>
                <c:ptCount val="36"/>
                <c:pt idx="0">
                  <c:v>24/06/2013</c:v>
                </c:pt>
                <c:pt idx="1">
                  <c:v>26/06/2013</c:v>
                </c:pt>
                <c:pt idx="2">
                  <c:v>28/06/2013</c:v>
                </c:pt>
                <c:pt idx="3">
                  <c:v>29/06/2013</c:v>
                </c:pt>
                <c:pt idx="4">
                  <c:v>2/07/2013</c:v>
                </c:pt>
                <c:pt idx="5">
                  <c:v>3/07/2013</c:v>
                </c:pt>
                <c:pt idx="6">
                  <c:v>14/07/2013</c:v>
                </c:pt>
                <c:pt idx="7">
                  <c:v>15/07/2013</c:v>
                </c:pt>
                <c:pt idx="8">
                  <c:v>17/07/2013</c:v>
                </c:pt>
                <c:pt idx="9">
                  <c:v>19/07/2013</c:v>
                </c:pt>
                <c:pt idx="10">
                  <c:v>20/07/2013</c:v>
                </c:pt>
                <c:pt idx="11">
                  <c:v>22/07/2013</c:v>
                </c:pt>
                <c:pt idx="12">
                  <c:v>4/08/2013</c:v>
                </c:pt>
                <c:pt idx="13">
                  <c:v>8/08/2013</c:v>
                </c:pt>
                <c:pt idx="14">
                  <c:v>9/08/2013</c:v>
                </c:pt>
                <c:pt idx="15">
                  <c:v>12/08/2013</c:v>
                </c:pt>
                <c:pt idx="16">
                  <c:v>21/08/2013</c:v>
                </c:pt>
                <c:pt idx="17">
                  <c:v>29/08/2013</c:v>
                </c:pt>
                <c:pt idx="18">
                  <c:v>3/09/2013</c:v>
                </c:pt>
                <c:pt idx="19">
                  <c:v>7/09/2013</c:v>
                </c:pt>
                <c:pt idx="20">
                  <c:v>8/09/2013</c:v>
                </c:pt>
                <c:pt idx="21">
                  <c:v>17/09/2013</c:v>
                </c:pt>
                <c:pt idx="22">
                  <c:v>21/09/2013</c:v>
                </c:pt>
                <c:pt idx="23">
                  <c:v>23/09/2013</c:v>
                </c:pt>
                <c:pt idx="24">
                  <c:v>24/09/2013</c:v>
                </c:pt>
                <c:pt idx="25">
                  <c:v>25/09/2013</c:v>
                </c:pt>
                <c:pt idx="26">
                  <c:v>(blank)</c:v>
                </c:pt>
                <c:pt idx="27">
                  <c:v>29/09/2013</c:v>
                </c:pt>
                <c:pt idx="28">
                  <c:v>26/09/2013</c:v>
                </c:pt>
                <c:pt idx="29">
                  <c:v>30/09/2013</c:v>
                </c:pt>
                <c:pt idx="30">
                  <c:v>1/10/2013</c:v>
                </c:pt>
                <c:pt idx="31">
                  <c:v>9/10/2013</c:v>
                </c:pt>
                <c:pt idx="32">
                  <c:v>13/10/2013</c:v>
                </c:pt>
                <c:pt idx="33">
                  <c:v>26/10/2013</c:v>
                </c:pt>
                <c:pt idx="34">
                  <c:v>5/11/2013</c:v>
                </c:pt>
                <c:pt idx="35">
                  <c:v>6/11/2013</c:v>
                </c:pt>
              </c:strCache>
            </c:strRef>
          </c:cat>
          <c:val>
            <c:numRef>
              <c:f>Sheet3!$E$3:$E$39</c:f>
              <c:numCache>
                <c:formatCode>General</c:formatCode>
                <c:ptCount val="36"/>
                <c:pt idx="4">
                  <c:v>0.4</c:v>
                </c:pt>
                <c:pt idx="13">
                  <c:v>0.51249999999999996</c:v>
                </c:pt>
                <c:pt idx="23">
                  <c:v>0.66249999999999998</c:v>
                </c:pt>
                <c:pt idx="29">
                  <c:v>0.67500000000000004</c:v>
                </c:pt>
              </c:numCache>
            </c:numRef>
          </c:val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MAV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Sheet3!$A$3:$A$39</c:f>
              <c:strCache>
                <c:ptCount val="36"/>
                <c:pt idx="0">
                  <c:v>24/06/2013</c:v>
                </c:pt>
                <c:pt idx="1">
                  <c:v>26/06/2013</c:v>
                </c:pt>
                <c:pt idx="2">
                  <c:v>28/06/2013</c:v>
                </c:pt>
                <c:pt idx="3">
                  <c:v>29/06/2013</c:v>
                </c:pt>
                <c:pt idx="4">
                  <c:v>2/07/2013</c:v>
                </c:pt>
                <c:pt idx="5">
                  <c:v>3/07/2013</c:v>
                </c:pt>
                <c:pt idx="6">
                  <c:v>14/07/2013</c:v>
                </c:pt>
                <c:pt idx="7">
                  <c:v>15/07/2013</c:v>
                </c:pt>
                <c:pt idx="8">
                  <c:v>17/07/2013</c:v>
                </c:pt>
                <c:pt idx="9">
                  <c:v>19/07/2013</c:v>
                </c:pt>
                <c:pt idx="10">
                  <c:v>20/07/2013</c:v>
                </c:pt>
                <c:pt idx="11">
                  <c:v>22/07/2013</c:v>
                </c:pt>
                <c:pt idx="12">
                  <c:v>4/08/2013</c:v>
                </c:pt>
                <c:pt idx="13">
                  <c:v>8/08/2013</c:v>
                </c:pt>
                <c:pt idx="14">
                  <c:v>9/08/2013</c:v>
                </c:pt>
                <c:pt idx="15">
                  <c:v>12/08/2013</c:v>
                </c:pt>
                <c:pt idx="16">
                  <c:v>21/08/2013</c:v>
                </c:pt>
                <c:pt idx="17">
                  <c:v>29/08/2013</c:v>
                </c:pt>
                <c:pt idx="18">
                  <c:v>3/09/2013</c:v>
                </c:pt>
                <c:pt idx="19">
                  <c:v>7/09/2013</c:v>
                </c:pt>
                <c:pt idx="20">
                  <c:v>8/09/2013</c:v>
                </c:pt>
                <c:pt idx="21">
                  <c:v>17/09/2013</c:v>
                </c:pt>
                <c:pt idx="22">
                  <c:v>21/09/2013</c:v>
                </c:pt>
                <c:pt idx="23">
                  <c:v>23/09/2013</c:v>
                </c:pt>
                <c:pt idx="24">
                  <c:v>24/09/2013</c:v>
                </c:pt>
                <c:pt idx="25">
                  <c:v>25/09/2013</c:v>
                </c:pt>
                <c:pt idx="26">
                  <c:v>(blank)</c:v>
                </c:pt>
                <c:pt idx="27">
                  <c:v>29/09/2013</c:v>
                </c:pt>
                <c:pt idx="28">
                  <c:v>26/09/2013</c:v>
                </c:pt>
                <c:pt idx="29">
                  <c:v>30/09/2013</c:v>
                </c:pt>
                <c:pt idx="30">
                  <c:v>1/10/2013</c:v>
                </c:pt>
                <c:pt idx="31">
                  <c:v>9/10/2013</c:v>
                </c:pt>
                <c:pt idx="32">
                  <c:v>13/10/2013</c:v>
                </c:pt>
                <c:pt idx="33">
                  <c:v>26/10/2013</c:v>
                </c:pt>
                <c:pt idx="34">
                  <c:v>5/11/2013</c:v>
                </c:pt>
                <c:pt idx="35">
                  <c:v>6/11/2013</c:v>
                </c:pt>
              </c:strCache>
            </c:strRef>
          </c:cat>
          <c:val>
            <c:numRef>
              <c:f>Sheet3!$F$3:$F$39</c:f>
              <c:numCache>
                <c:formatCode>General</c:formatCode>
                <c:ptCount val="36"/>
                <c:pt idx="6">
                  <c:v>0.32500000000000001</c:v>
                </c:pt>
                <c:pt idx="14">
                  <c:v>0.73750000000000004</c:v>
                </c:pt>
                <c:pt idx="17">
                  <c:v>0.64556962025316456</c:v>
                </c:pt>
                <c:pt idx="19">
                  <c:v>0.76249999999999996</c:v>
                </c:pt>
                <c:pt idx="24">
                  <c:v>0.8</c:v>
                </c:pt>
              </c:numCache>
            </c:numRef>
          </c:val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NEAP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Sheet3!$A$3:$A$39</c:f>
              <c:strCache>
                <c:ptCount val="36"/>
                <c:pt idx="0">
                  <c:v>24/06/2013</c:v>
                </c:pt>
                <c:pt idx="1">
                  <c:v>26/06/2013</c:v>
                </c:pt>
                <c:pt idx="2">
                  <c:v>28/06/2013</c:v>
                </c:pt>
                <c:pt idx="3">
                  <c:v>29/06/2013</c:v>
                </c:pt>
                <c:pt idx="4">
                  <c:v>2/07/2013</c:v>
                </c:pt>
                <c:pt idx="5">
                  <c:v>3/07/2013</c:v>
                </c:pt>
                <c:pt idx="6">
                  <c:v>14/07/2013</c:v>
                </c:pt>
                <c:pt idx="7">
                  <c:v>15/07/2013</c:v>
                </c:pt>
                <c:pt idx="8">
                  <c:v>17/07/2013</c:v>
                </c:pt>
                <c:pt idx="9">
                  <c:v>19/07/2013</c:v>
                </c:pt>
                <c:pt idx="10">
                  <c:v>20/07/2013</c:v>
                </c:pt>
                <c:pt idx="11">
                  <c:v>22/07/2013</c:v>
                </c:pt>
                <c:pt idx="12">
                  <c:v>4/08/2013</c:v>
                </c:pt>
                <c:pt idx="13">
                  <c:v>8/08/2013</c:v>
                </c:pt>
                <c:pt idx="14">
                  <c:v>9/08/2013</c:v>
                </c:pt>
                <c:pt idx="15">
                  <c:v>12/08/2013</c:v>
                </c:pt>
                <c:pt idx="16">
                  <c:v>21/08/2013</c:v>
                </c:pt>
                <c:pt idx="17">
                  <c:v>29/08/2013</c:v>
                </c:pt>
                <c:pt idx="18">
                  <c:v>3/09/2013</c:v>
                </c:pt>
                <c:pt idx="19">
                  <c:v>7/09/2013</c:v>
                </c:pt>
                <c:pt idx="20">
                  <c:v>8/09/2013</c:v>
                </c:pt>
                <c:pt idx="21">
                  <c:v>17/09/2013</c:v>
                </c:pt>
                <c:pt idx="22">
                  <c:v>21/09/2013</c:v>
                </c:pt>
                <c:pt idx="23">
                  <c:v>23/09/2013</c:v>
                </c:pt>
                <c:pt idx="24">
                  <c:v>24/09/2013</c:v>
                </c:pt>
                <c:pt idx="25">
                  <c:v>25/09/2013</c:v>
                </c:pt>
                <c:pt idx="26">
                  <c:v>(blank)</c:v>
                </c:pt>
                <c:pt idx="27">
                  <c:v>29/09/2013</c:v>
                </c:pt>
                <c:pt idx="28">
                  <c:v>26/09/2013</c:v>
                </c:pt>
                <c:pt idx="29">
                  <c:v>30/09/2013</c:v>
                </c:pt>
                <c:pt idx="30">
                  <c:v>1/10/2013</c:v>
                </c:pt>
                <c:pt idx="31">
                  <c:v>9/10/2013</c:v>
                </c:pt>
                <c:pt idx="32">
                  <c:v>13/10/2013</c:v>
                </c:pt>
                <c:pt idx="33">
                  <c:v>26/10/2013</c:v>
                </c:pt>
                <c:pt idx="34">
                  <c:v>5/11/2013</c:v>
                </c:pt>
                <c:pt idx="35">
                  <c:v>6/11/2013</c:v>
                </c:pt>
              </c:strCache>
            </c:strRef>
          </c:cat>
          <c:val>
            <c:numRef>
              <c:f>Sheet3!$G$3:$G$39</c:f>
              <c:numCache>
                <c:formatCode>General</c:formatCode>
                <c:ptCount val="36"/>
                <c:pt idx="3">
                  <c:v>0.48749999999999999</c:v>
                </c:pt>
                <c:pt idx="15">
                  <c:v>0.86250000000000004</c:v>
                </c:pt>
                <c:pt idx="25">
                  <c:v>0.7</c:v>
                </c:pt>
                <c:pt idx="30">
                  <c:v>0.77500000000000002</c:v>
                </c:pt>
                <c:pt idx="32">
                  <c:v>0.88749999999999996</c:v>
                </c:pt>
              </c:numCache>
            </c:numRef>
          </c:val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NEAP Book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Sheet3!$A$3:$A$39</c:f>
              <c:strCache>
                <c:ptCount val="36"/>
                <c:pt idx="0">
                  <c:v>24/06/2013</c:v>
                </c:pt>
                <c:pt idx="1">
                  <c:v>26/06/2013</c:v>
                </c:pt>
                <c:pt idx="2">
                  <c:v>28/06/2013</c:v>
                </c:pt>
                <c:pt idx="3">
                  <c:v>29/06/2013</c:v>
                </c:pt>
                <c:pt idx="4">
                  <c:v>2/07/2013</c:v>
                </c:pt>
                <c:pt idx="5">
                  <c:v>3/07/2013</c:v>
                </c:pt>
                <c:pt idx="6">
                  <c:v>14/07/2013</c:v>
                </c:pt>
                <c:pt idx="7">
                  <c:v>15/07/2013</c:v>
                </c:pt>
                <c:pt idx="8">
                  <c:v>17/07/2013</c:v>
                </c:pt>
                <c:pt idx="9">
                  <c:v>19/07/2013</c:v>
                </c:pt>
                <c:pt idx="10">
                  <c:v>20/07/2013</c:v>
                </c:pt>
                <c:pt idx="11">
                  <c:v>22/07/2013</c:v>
                </c:pt>
                <c:pt idx="12">
                  <c:v>4/08/2013</c:v>
                </c:pt>
                <c:pt idx="13">
                  <c:v>8/08/2013</c:v>
                </c:pt>
                <c:pt idx="14">
                  <c:v>9/08/2013</c:v>
                </c:pt>
                <c:pt idx="15">
                  <c:v>12/08/2013</c:v>
                </c:pt>
                <c:pt idx="16">
                  <c:v>21/08/2013</c:v>
                </c:pt>
                <c:pt idx="17">
                  <c:v>29/08/2013</c:v>
                </c:pt>
                <c:pt idx="18">
                  <c:v>3/09/2013</c:v>
                </c:pt>
                <c:pt idx="19">
                  <c:v>7/09/2013</c:v>
                </c:pt>
                <c:pt idx="20">
                  <c:v>8/09/2013</c:v>
                </c:pt>
                <c:pt idx="21">
                  <c:v>17/09/2013</c:v>
                </c:pt>
                <c:pt idx="22">
                  <c:v>21/09/2013</c:v>
                </c:pt>
                <c:pt idx="23">
                  <c:v>23/09/2013</c:v>
                </c:pt>
                <c:pt idx="24">
                  <c:v>24/09/2013</c:v>
                </c:pt>
                <c:pt idx="25">
                  <c:v>25/09/2013</c:v>
                </c:pt>
                <c:pt idx="26">
                  <c:v>(blank)</c:v>
                </c:pt>
                <c:pt idx="27">
                  <c:v>29/09/2013</c:v>
                </c:pt>
                <c:pt idx="28">
                  <c:v>26/09/2013</c:v>
                </c:pt>
                <c:pt idx="29">
                  <c:v>30/09/2013</c:v>
                </c:pt>
                <c:pt idx="30">
                  <c:v>1/10/2013</c:v>
                </c:pt>
                <c:pt idx="31">
                  <c:v>9/10/2013</c:v>
                </c:pt>
                <c:pt idx="32">
                  <c:v>13/10/2013</c:v>
                </c:pt>
                <c:pt idx="33">
                  <c:v>26/10/2013</c:v>
                </c:pt>
                <c:pt idx="34">
                  <c:v>5/11/2013</c:v>
                </c:pt>
                <c:pt idx="35">
                  <c:v>6/11/2013</c:v>
                </c:pt>
              </c:strCache>
            </c:strRef>
          </c:cat>
          <c:val>
            <c:numRef>
              <c:f>Sheet3!$H$3:$H$39</c:f>
              <c:numCache>
                <c:formatCode>General</c:formatCode>
                <c:ptCount val="36"/>
              </c:numCache>
            </c:numRef>
          </c:val>
        </c:ser>
        <c:ser>
          <c:idx val="7"/>
          <c:order val="7"/>
          <c:tx>
            <c:strRef>
              <c:f>Sheet3!$I$1:$I$2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Sheet3!$A$3:$A$39</c:f>
              <c:strCache>
                <c:ptCount val="36"/>
                <c:pt idx="0">
                  <c:v>24/06/2013</c:v>
                </c:pt>
                <c:pt idx="1">
                  <c:v>26/06/2013</c:v>
                </c:pt>
                <c:pt idx="2">
                  <c:v>28/06/2013</c:v>
                </c:pt>
                <c:pt idx="3">
                  <c:v>29/06/2013</c:v>
                </c:pt>
                <c:pt idx="4">
                  <c:v>2/07/2013</c:v>
                </c:pt>
                <c:pt idx="5">
                  <c:v>3/07/2013</c:v>
                </c:pt>
                <c:pt idx="6">
                  <c:v>14/07/2013</c:v>
                </c:pt>
                <c:pt idx="7">
                  <c:v>15/07/2013</c:v>
                </c:pt>
                <c:pt idx="8">
                  <c:v>17/07/2013</c:v>
                </c:pt>
                <c:pt idx="9">
                  <c:v>19/07/2013</c:v>
                </c:pt>
                <c:pt idx="10">
                  <c:v>20/07/2013</c:v>
                </c:pt>
                <c:pt idx="11">
                  <c:v>22/07/2013</c:v>
                </c:pt>
                <c:pt idx="12">
                  <c:v>4/08/2013</c:v>
                </c:pt>
                <c:pt idx="13">
                  <c:v>8/08/2013</c:v>
                </c:pt>
                <c:pt idx="14">
                  <c:v>9/08/2013</c:v>
                </c:pt>
                <c:pt idx="15">
                  <c:v>12/08/2013</c:v>
                </c:pt>
                <c:pt idx="16">
                  <c:v>21/08/2013</c:v>
                </c:pt>
                <c:pt idx="17">
                  <c:v>29/08/2013</c:v>
                </c:pt>
                <c:pt idx="18">
                  <c:v>3/09/2013</c:v>
                </c:pt>
                <c:pt idx="19">
                  <c:v>7/09/2013</c:v>
                </c:pt>
                <c:pt idx="20">
                  <c:v>8/09/2013</c:v>
                </c:pt>
                <c:pt idx="21">
                  <c:v>17/09/2013</c:v>
                </c:pt>
                <c:pt idx="22">
                  <c:v>21/09/2013</c:v>
                </c:pt>
                <c:pt idx="23">
                  <c:v>23/09/2013</c:v>
                </c:pt>
                <c:pt idx="24">
                  <c:v>24/09/2013</c:v>
                </c:pt>
                <c:pt idx="25">
                  <c:v>25/09/2013</c:v>
                </c:pt>
                <c:pt idx="26">
                  <c:v>(blank)</c:v>
                </c:pt>
                <c:pt idx="27">
                  <c:v>29/09/2013</c:v>
                </c:pt>
                <c:pt idx="28">
                  <c:v>26/09/2013</c:v>
                </c:pt>
                <c:pt idx="29">
                  <c:v>30/09/2013</c:v>
                </c:pt>
                <c:pt idx="30">
                  <c:v>1/10/2013</c:v>
                </c:pt>
                <c:pt idx="31">
                  <c:v>9/10/2013</c:v>
                </c:pt>
                <c:pt idx="32">
                  <c:v>13/10/2013</c:v>
                </c:pt>
                <c:pt idx="33">
                  <c:v>26/10/2013</c:v>
                </c:pt>
                <c:pt idx="34">
                  <c:v>5/11/2013</c:v>
                </c:pt>
                <c:pt idx="35">
                  <c:v>6/11/2013</c:v>
                </c:pt>
              </c:strCache>
            </c:strRef>
          </c:cat>
          <c:val>
            <c:numRef>
              <c:f>Sheet3!$I$3:$I$39</c:f>
              <c:numCache>
                <c:formatCode>General</c:formatCode>
                <c:ptCount val="36"/>
              </c:numCache>
            </c:numRef>
          </c:val>
        </c:ser>
        <c:ser>
          <c:idx val="8"/>
          <c:order val="8"/>
          <c:tx>
            <c:strRef>
              <c:f>Sheet3!$J$1:$J$2</c:f>
              <c:strCache>
                <c:ptCount val="1"/>
                <c:pt idx="0">
                  <c:v>TSSM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Sheet3!$A$3:$A$39</c:f>
              <c:strCache>
                <c:ptCount val="36"/>
                <c:pt idx="0">
                  <c:v>24/06/2013</c:v>
                </c:pt>
                <c:pt idx="1">
                  <c:v>26/06/2013</c:v>
                </c:pt>
                <c:pt idx="2">
                  <c:v>28/06/2013</c:v>
                </c:pt>
                <c:pt idx="3">
                  <c:v>29/06/2013</c:v>
                </c:pt>
                <c:pt idx="4">
                  <c:v>2/07/2013</c:v>
                </c:pt>
                <c:pt idx="5">
                  <c:v>3/07/2013</c:v>
                </c:pt>
                <c:pt idx="6">
                  <c:v>14/07/2013</c:v>
                </c:pt>
                <c:pt idx="7">
                  <c:v>15/07/2013</c:v>
                </c:pt>
                <c:pt idx="8">
                  <c:v>17/07/2013</c:v>
                </c:pt>
                <c:pt idx="9">
                  <c:v>19/07/2013</c:v>
                </c:pt>
                <c:pt idx="10">
                  <c:v>20/07/2013</c:v>
                </c:pt>
                <c:pt idx="11">
                  <c:v>22/07/2013</c:v>
                </c:pt>
                <c:pt idx="12">
                  <c:v>4/08/2013</c:v>
                </c:pt>
                <c:pt idx="13">
                  <c:v>8/08/2013</c:v>
                </c:pt>
                <c:pt idx="14">
                  <c:v>9/08/2013</c:v>
                </c:pt>
                <c:pt idx="15">
                  <c:v>12/08/2013</c:v>
                </c:pt>
                <c:pt idx="16">
                  <c:v>21/08/2013</c:v>
                </c:pt>
                <c:pt idx="17">
                  <c:v>29/08/2013</c:v>
                </c:pt>
                <c:pt idx="18">
                  <c:v>3/09/2013</c:v>
                </c:pt>
                <c:pt idx="19">
                  <c:v>7/09/2013</c:v>
                </c:pt>
                <c:pt idx="20">
                  <c:v>8/09/2013</c:v>
                </c:pt>
                <c:pt idx="21">
                  <c:v>17/09/2013</c:v>
                </c:pt>
                <c:pt idx="22">
                  <c:v>21/09/2013</c:v>
                </c:pt>
                <c:pt idx="23">
                  <c:v>23/09/2013</c:v>
                </c:pt>
                <c:pt idx="24">
                  <c:v>24/09/2013</c:v>
                </c:pt>
                <c:pt idx="25">
                  <c:v>25/09/2013</c:v>
                </c:pt>
                <c:pt idx="26">
                  <c:v>(blank)</c:v>
                </c:pt>
                <c:pt idx="27">
                  <c:v>29/09/2013</c:v>
                </c:pt>
                <c:pt idx="28">
                  <c:v>26/09/2013</c:v>
                </c:pt>
                <c:pt idx="29">
                  <c:v>30/09/2013</c:v>
                </c:pt>
                <c:pt idx="30">
                  <c:v>1/10/2013</c:v>
                </c:pt>
                <c:pt idx="31">
                  <c:v>9/10/2013</c:v>
                </c:pt>
                <c:pt idx="32">
                  <c:v>13/10/2013</c:v>
                </c:pt>
                <c:pt idx="33">
                  <c:v>26/10/2013</c:v>
                </c:pt>
                <c:pt idx="34">
                  <c:v>5/11/2013</c:v>
                </c:pt>
                <c:pt idx="35">
                  <c:v>6/11/2013</c:v>
                </c:pt>
              </c:strCache>
            </c:strRef>
          </c:cat>
          <c:val>
            <c:numRef>
              <c:f>Sheet3!$J$3:$J$39</c:f>
              <c:numCache>
                <c:formatCode>General</c:formatCode>
                <c:ptCount val="36"/>
                <c:pt idx="1">
                  <c:v>0.46250000000000002</c:v>
                </c:pt>
                <c:pt idx="5">
                  <c:v>0.63749999999999996</c:v>
                </c:pt>
                <c:pt idx="18">
                  <c:v>0.92500000000000004</c:v>
                </c:pt>
                <c:pt idx="21">
                  <c:v>0.86250000000000004</c:v>
                </c:pt>
                <c:pt idx="28">
                  <c:v>0.78749999999999998</c:v>
                </c:pt>
              </c:numCache>
            </c:numRef>
          </c:val>
        </c:ser>
        <c:ser>
          <c:idx val="9"/>
          <c:order val="9"/>
          <c:tx>
            <c:strRef>
              <c:f>Sheet3!$K$1:$K$2</c:f>
              <c:strCache>
                <c:ptCount val="1"/>
                <c:pt idx="0">
                  <c:v>VCAA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Sheet3!$A$3:$A$39</c:f>
              <c:strCache>
                <c:ptCount val="36"/>
                <c:pt idx="0">
                  <c:v>24/06/2013</c:v>
                </c:pt>
                <c:pt idx="1">
                  <c:v>26/06/2013</c:v>
                </c:pt>
                <c:pt idx="2">
                  <c:v>28/06/2013</c:v>
                </c:pt>
                <c:pt idx="3">
                  <c:v>29/06/2013</c:v>
                </c:pt>
                <c:pt idx="4">
                  <c:v>2/07/2013</c:v>
                </c:pt>
                <c:pt idx="5">
                  <c:v>3/07/2013</c:v>
                </c:pt>
                <c:pt idx="6">
                  <c:v>14/07/2013</c:v>
                </c:pt>
                <c:pt idx="7">
                  <c:v>15/07/2013</c:v>
                </c:pt>
                <c:pt idx="8">
                  <c:v>17/07/2013</c:v>
                </c:pt>
                <c:pt idx="9">
                  <c:v>19/07/2013</c:v>
                </c:pt>
                <c:pt idx="10">
                  <c:v>20/07/2013</c:v>
                </c:pt>
                <c:pt idx="11">
                  <c:v>22/07/2013</c:v>
                </c:pt>
                <c:pt idx="12">
                  <c:v>4/08/2013</c:v>
                </c:pt>
                <c:pt idx="13">
                  <c:v>8/08/2013</c:v>
                </c:pt>
                <c:pt idx="14">
                  <c:v>9/08/2013</c:v>
                </c:pt>
                <c:pt idx="15">
                  <c:v>12/08/2013</c:v>
                </c:pt>
                <c:pt idx="16">
                  <c:v>21/08/2013</c:v>
                </c:pt>
                <c:pt idx="17">
                  <c:v>29/08/2013</c:v>
                </c:pt>
                <c:pt idx="18">
                  <c:v>3/09/2013</c:v>
                </c:pt>
                <c:pt idx="19">
                  <c:v>7/09/2013</c:v>
                </c:pt>
                <c:pt idx="20">
                  <c:v>8/09/2013</c:v>
                </c:pt>
                <c:pt idx="21">
                  <c:v>17/09/2013</c:v>
                </c:pt>
                <c:pt idx="22">
                  <c:v>21/09/2013</c:v>
                </c:pt>
                <c:pt idx="23">
                  <c:v>23/09/2013</c:v>
                </c:pt>
                <c:pt idx="24">
                  <c:v>24/09/2013</c:v>
                </c:pt>
                <c:pt idx="25">
                  <c:v>25/09/2013</c:v>
                </c:pt>
                <c:pt idx="26">
                  <c:v>(blank)</c:v>
                </c:pt>
                <c:pt idx="27">
                  <c:v>29/09/2013</c:v>
                </c:pt>
                <c:pt idx="28">
                  <c:v>26/09/2013</c:v>
                </c:pt>
                <c:pt idx="29">
                  <c:v>30/09/2013</c:v>
                </c:pt>
                <c:pt idx="30">
                  <c:v>1/10/2013</c:v>
                </c:pt>
                <c:pt idx="31">
                  <c:v>9/10/2013</c:v>
                </c:pt>
                <c:pt idx="32">
                  <c:v>13/10/2013</c:v>
                </c:pt>
                <c:pt idx="33">
                  <c:v>26/10/2013</c:v>
                </c:pt>
                <c:pt idx="34">
                  <c:v>5/11/2013</c:v>
                </c:pt>
                <c:pt idx="35">
                  <c:v>6/11/2013</c:v>
                </c:pt>
              </c:strCache>
            </c:strRef>
          </c:cat>
          <c:val>
            <c:numRef>
              <c:f>Sheet3!$K$3:$K$39</c:f>
              <c:numCache>
                <c:formatCode>General</c:formatCode>
                <c:ptCount val="36"/>
                <c:pt idx="0">
                  <c:v>0.48749999999999999</c:v>
                </c:pt>
                <c:pt idx="2">
                  <c:v>0.75</c:v>
                </c:pt>
                <c:pt idx="7">
                  <c:v>0.51249999999999996</c:v>
                </c:pt>
                <c:pt idx="8">
                  <c:v>0.6</c:v>
                </c:pt>
                <c:pt idx="9">
                  <c:v>0.7</c:v>
                </c:pt>
                <c:pt idx="10">
                  <c:v>0.625</c:v>
                </c:pt>
                <c:pt idx="33">
                  <c:v>0.91249999999999998</c:v>
                </c:pt>
                <c:pt idx="35">
                  <c:v>0.91249999999999998</c:v>
                </c:pt>
              </c:numCache>
            </c:numRef>
          </c:val>
        </c:ser>
        <c:ser>
          <c:idx val="10"/>
          <c:order val="10"/>
          <c:tx>
            <c:strRef>
              <c:f>Sheet3!$L$1:$L$2</c:f>
              <c:strCache>
                <c:ptCount val="1"/>
                <c:pt idx="0">
                  <c:v>VCAA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Sheet3!$A$3:$A$39</c:f>
              <c:strCache>
                <c:ptCount val="36"/>
                <c:pt idx="0">
                  <c:v>24/06/2013</c:v>
                </c:pt>
                <c:pt idx="1">
                  <c:v>26/06/2013</c:v>
                </c:pt>
                <c:pt idx="2">
                  <c:v>28/06/2013</c:v>
                </c:pt>
                <c:pt idx="3">
                  <c:v>29/06/2013</c:v>
                </c:pt>
                <c:pt idx="4">
                  <c:v>2/07/2013</c:v>
                </c:pt>
                <c:pt idx="5">
                  <c:v>3/07/2013</c:v>
                </c:pt>
                <c:pt idx="6">
                  <c:v>14/07/2013</c:v>
                </c:pt>
                <c:pt idx="7">
                  <c:v>15/07/2013</c:v>
                </c:pt>
                <c:pt idx="8">
                  <c:v>17/07/2013</c:v>
                </c:pt>
                <c:pt idx="9">
                  <c:v>19/07/2013</c:v>
                </c:pt>
                <c:pt idx="10">
                  <c:v>20/07/2013</c:v>
                </c:pt>
                <c:pt idx="11">
                  <c:v>22/07/2013</c:v>
                </c:pt>
                <c:pt idx="12">
                  <c:v>4/08/2013</c:v>
                </c:pt>
                <c:pt idx="13">
                  <c:v>8/08/2013</c:v>
                </c:pt>
                <c:pt idx="14">
                  <c:v>9/08/2013</c:v>
                </c:pt>
                <c:pt idx="15">
                  <c:v>12/08/2013</c:v>
                </c:pt>
                <c:pt idx="16">
                  <c:v>21/08/2013</c:v>
                </c:pt>
                <c:pt idx="17">
                  <c:v>29/08/2013</c:v>
                </c:pt>
                <c:pt idx="18">
                  <c:v>3/09/2013</c:v>
                </c:pt>
                <c:pt idx="19">
                  <c:v>7/09/2013</c:v>
                </c:pt>
                <c:pt idx="20">
                  <c:v>8/09/2013</c:v>
                </c:pt>
                <c:pt idx="21">
                  <c:v>17/09/2013</c:v>
                </c:pt>
                <c:pt idx="22">
                  <c:v>21/09/2013</c:v>
                </c:pt>
                <c:pt idx="23">
                  <c:v>23/09/2013</c:v>
                </c:pt>
                <c:pt idx="24">
                  <c:v>24/09/2013</c:v>
                </c:pt>
                <c:pt idx="25">
                  <c:v>25/09/2013</c:v>
                </c:pt>
                <c:pt idx="26">
                  <c:v>(blank)</c:v>
                </c:pt>
                <c:pt idx="27">
                  <c:v>29/09/2013</c:v>
                </c:pt>
                <c:pt idx="28">
                  <c:v>26/09/2013</c:v>
                </c:pt>
                <c:pt idx="29">
                  <c:v>30/09/2013</c:v>
                </c:pt>
                <c:pt idx="30">
                  <c:v>1/10/2013</c:v>
                </c:pt>
                <c:pt idx="31">
                  <c:v>9/10/2013</c:v>
                </c:pt>
                <c:pt idx="32">
                  <c:v>13/10/2013</c:v>
                </c:pt>
                <c:pt idx="33">
                  <c:v>26/10/2013</c:v>
                </c:pt>
                <c:pt idx="34">
                  <c:v>5/11/2013</c:v>
                </c:pt>
                <c:pt idx="35">
                  <c:v>6/11/2013</c:v>
                </c:pt>
              </c:strCache>
            </c:strRef>
          </c:cat>
          <c:val>
            <c:numRef>
              <c:f>Sheet3!$L$3:$L$39</c:f>
              <c:numCache>
                <c:formatCode>General</c:formatCode>
                <c:ptCount val="36"/>
                <c:pt idx="34">
                  <c:v>0.96250000000000002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033312"/>
        <c:axId val="285029784"/>
      </c:barChart>
      <c:catAx>
        <c:axId val="2850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9784"/>
        <c:crosses val="autoZero"/>
        <c:auto val="1"/>
        <c:lblAlgn val="ctr"/>
        <c:lblOffset val="100"/>
        <c:noMultiLvlLbl val="0"/>
      </c:catAx>
      <c:valAx>
        <c:axId val="285029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3 4 Exam Papers Results - Copy.xlsx]Sheet5!PivotTable1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Sheet5!$B$1:$B$2</c:f>
              <c:strCache>
                <c:ptCount val="1"/>
                <c:pt idx="0">
                  <c:v>Engage Education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Sheet5!$A$3:$A$9</c:f>
              <c:strCache>
                <c:ptCount val="6"/>
                <c:pt idx="0">
                  <c:v>7/07/2013</c:v>
                </c:pt>
                <c:pt idx="1">
                  <c:v>19/08/2013</c:v>
                </c:pt>
                <c:pt idx="2">
                  <c:v>4/10/2013</c:v>
                </c:pt>
                <c:pt idx="3">
                  <c:v>(blank)</c:v>
                </c:pt>
                <c:pt idx="4">
                  <c:v>19/10/2013</c:v>
                </c:pt>
                <c:pt idx="5">
                  <c:v>2/11/2013</c:v>
                </c:pt>
              </c:strCache>
            </c:strRef>
          </c:cat>
          <c:val>
            <c:numRef>
              <c:f>Sheet5!$B$3:$B$9</c:f>
              <c:numCache>
                <c:formatCode>General</c:formatCode>
                <c:ptCount val="6"/>
                <c:pt idx="0">
                  <c:v>0.87912087912087911</c:v>
                </c:pt>
              </c:numCache>
            </c:numRef>
          </c:val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Heffernan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Sheet5!$A$3:$A$9</c:f>
              <c:strCache>
                <c:ptCount val="6"/>
                <c:pt idx="0">
                  <c:v>7/07/2013</c:v>
                </c:pt>
                <c:pt idx="1">
                  <c:v>19/08/2013</c:v>
                </c:pt>
                <c:pt idx="2">
                  <c:v>4/10/2013</c:v>
                </c:pt>
                <c:pt idx="3">
                  <c:v>(blank)</c:v>
                </c:pt>
                <c:pt idx="4">
                  <c:v>19/10/2013</c:v>
                </c:pt>
                <c:pt idx="5">
                  <c:v>2/11/2013</c:v>
                </c:pt>
              </c:strCache>
            </c:strRef>
          </c:cat>
          <c:val>
            <c:numRef>
              <c:f>Sheet5!$C$3:$C$9</c:f>
              <c:numCache>
                <c:formatCode>General</c:formatCode>
                <c:ptCount val="6"/>
                <c:pt idx="4">
                  <c:v>0.78333333333333333</c:v>
                </c:pt>
              </c:numCache>
            </c:numRef>
          </c:val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Insight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Sheet5!$A$3:$A$9</c:f>
              <c:strCache>
                <c:ptCount val="6"/>
                <c:pt idx="0">
                  <c:v>7/07/2013</c:v>
                </c:pt>
                <c:pt idx="1">
                  <c:v>19/08/2013</c:v>
                </c:pt>
                <c:pt idx="2">
                  <c:v>4/10/2013</c:v>
                </c:pt>
                <c:pt idx="3">
                  <c:v>(blank)</c:v>
                </c:pt>
                <c:pt idx="4">
                  <c:v>19/10/2013</c:v>
                </c:pt>
                <c:pt idx="5">
                  <c:v>2/11/2013</c:v>
                </c:pt>
              </c:strCache>
            </c:strRef>
          </c:cat>
          <c:val>
            <c:numRef>
              <c:f>Sheet5!$D$3:$D$9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Sheet5!$E$1:$E$2</c:f>
              <c:strCache>
                <c:ptCount val="1"/>
                <c:pt idx="0">
                  <c:v>Kilbaha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Sheet5!$A$3:$A$9</c:f>
              <c:strCache>
                <c:ptCount val="6"/>
                <c:pt idx="0">
                  <c:v>7/07/2013</c:v>
                </c:pt>
                <c:pt idx="1">
                  <c:v>19/08/2013</c:v>
                </c:pt>
                <c:pt idx="2">
                  <c:v>4/10/2013</c:v>
                </c:pt>
                <c:pt idx="3">
                  <c:v>(blank)</c:v>
                </c:pt>
                <c:pt idx="4">
                  <c:v>19/10/2013</c:v>
                </c:pt>
                <c:pt idx="5">
                  <c:v>2/11/2013</c:v>
                </c:pt>
              </c:strCache>
            </c:strRef>
          </c:cat>
          <c:val>
            <c:numRef>
              <c:f>Sheet5!$E$3:$E$9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Sheet5!$F$1:$F$2</c:f>
              <c:strCache>
                <c:ptCount val="1"/>
                <c:pt idx="0">
                  <c:v>MAV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Sheet5!$A$3:$A$9</c:f>
              <c:strCache>
                <c:ptCount val="6"/>
                <c:pt idx="0">
                  <c:v>7/07/2013</c:v>
                </c:pt>
                <c:pt idx="1">
                  <c:v>19/08/2013</c:v>
                </c:pt>
                <c:pt idx="2">
                  <c:v>4/10/2013</c:v>
                </c:pt>
                <c:pt idx="3">
                  <c:v>(blank)</c:v>
                </c:pt>
                <c:pt idx="4">
                  <c:v>19/10/2013</c:v>
                </c:pt>
                <c:pt idx="5">
                  <c:v>2/11/2013</c:v>
                </c:pt>
              </c:strCache>
            </c:strRef>
          </c:cat>
          <c:val>
            <c:numRef>
              <c:f>Sheet5!$F$3:$F$9</c:f>
              <c:numCache>
                <c:formatCode>General</c:formatCode>
                <c:ptCount val="6"/>
              </c:numCache>
            </c:numRef>
          </c:val>
        </c:ser>
        <c:ser>
          <c:idx val="5"/>
          <c:order val="5"/>
          <c:tx>
            <c:strRef>
              <c:f>Sheet5!$G$1:$G$2</c:f>
              <c:strCache>
                <c:ptCount val="1"/>
                <c:pt idx="0">
                  <c:v>NEAP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Sheet5!$A$3:$A$9</c:f>
              <c:strCache>
                <c:ptCount val="6"/>
                <c:pt idx="0">
                  <c:v>7/07/2013</c:v>
                </c:pt>
                <c:pt idx="1">
                  <c:v>19/08/2013</c:v>
                </c:pt>
                <c:pt idx="2">
                  <c:v>4/10/2013</c:v>
                </c:pt>
                <c:pt idx="3">
                  <c:v>(blank)</c:v>
                </c:pt>
                <c:pt idx="4">
                  <c:v>19/10/2013</c:v>
                </c:pt>
                <c:pt idx="5">
                  <c:v>2/11/2013</c:v>
                </c:pt>
              </c:strCache>
            </c:strRef>
          </c:cat>
          <c:val>
            <c:numRef>
              <c:f>Sheet5!$G$3:$G$9</c:f>
              <c:numCache>
                <c:formatCode>General</c:formatCode>
                <c:ptCount val="6"/>
              </c:numCache>
            </c:numRef>
          </c:val>
        </c:ser>
        <c:ser>
          <c:idx val="6"/>
          <c:order val="6"/>
          <c:tx>
            <c:strRef>
              <c:f>Sheet5!$H$1:$H$2</c:f>
              <c:strCache>
                <c:ptCount val="1"/>
                <c:pt idx="0">
                  <c:v>NEAP Book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Sheet5!$A$3:$A$9</c:f>
              <c:strCache>
                <c:ptCount val="6"/>
                <c:pt idx="0">
                  <c:v>7/07/2013</c:v>
                </c:pt>
                <c:pt idx="1">
                  <c:v>19/08/2013</c:v>
                </c:pt>
                <c:pt idx="2">
                  <c:v>4/10/2013</c:v>
                </c:pt>
                <c:pt idx="3">
                  <c:v>(blank)</c:v>
                </c:pt>
                <c:pt idx="4">
                  <c:v>19/10/2013</c:v>
                </c:pt>
                <c:pt idx="5">
                  <c:v>2/11/2013</c:v>
                </c:pt>
              </c:strCache>
            </c:strRef>
          </c:cat>
          <c:val>
            <c:numRef>
              <c:f>Sheet5!$H$3:$H$9</c:f>
              <c:numCache>
                <c:formatCode>General</c:formatCode>
                <c:ptCount val="6"/>
              </c:numCache>
            </c:numRef>
          </c:val>
        </c:ser>
        <c:ser>
          <c:idx val="7"/>
          <c:order val="7"/>
          <c:tx>
            <c:strRef>
              <c:f>Sheet5!$I$1:$I$2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Sheet5!$A$3:$A$9</c:f>
              <c:strCache>
                <c:ptCount val="6"/>
                <c:pt idx="0">
                  <c:v>7/07/2013</c:v>
                </c:pt>
                <c:pt idx="1">
                  <c:v>19/08/2013</c:v>
                </c:pt>
                <c:pt idx="2">
                  <c:v>4/10/2013</c:v>
                </c:pt>
                <c:pt idx="3">
                  <c:v>(blank)</c:v>
                </c:pt>
                <c:pt idx="4">
                  <c:v>19/10/2013</c:v>
                </c:pt>
                <c:pt idx="5">
                  <c:v>2/11/2013</c:v>
                </c:pt>
              </c:strCache>
            </c:strRef>
          </c:cat>
          <c:val>
            <c:numRef>
              <c:f>Sheet5!$I$3:$I$9</c:f>
              <c:numCache>
                <c:formatCode>General</c:formatCode>
                <c:ptCount val="6"/>
              </c:numCache>
            </c:numRef>
          </c:val>
        </c:ser>
        <c:ser>
          <c:idx val="8"/>
          <c:order val="8"/>
          <c:tx>
            <c:strRef>
              <c:f>Sheet5!$J$1:$J$2</c:f>
              <c:strCache>
                <c:ptCount val="1"/>
                <c:pt idx="0">
                  <c:v>TSSM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Sheet5!$A$3:$A$9</c:f>
              <c:strCache>
                <c:ptCount val="6"/>
                <c:pt idx="0">
                  <c:v>7/07/2013</c:v>
                </c:pt>
                <c:pt idx="1">
                  <c:v>19/08/2013</c:v>
                </c:pt>
                <c:pt idx="2">
                  <c:v>4/10/2013</c:v>
                </c:pt>
                <c:pt idx="3">
                  <c:v>(blank)</c:v>
                </c:pt>
                <c:pt idx="4">
                  <c:v>19/10/2013</c:v>
                </c:pt>
                <c:pt idx="5">
                  <c:v>2/11/2013</c:v>
                </c:pt>
              </c:strCache>
            </c:strRef>
          </c:cat>
          <c:val>
            <c:numRef>
              <c:f>Sheet5!$J$3:$J$9</c:f>
              <c:numCache>
                <c:formatCode>General</c:formatCode>
                <c:ptCount val="6"/>
                <c:pt idx="1">
                  <c:v>0.73333333333333328</c:v>
                </c:pt>
              </c:numCache>
            </c:numRef>
          </c:val>
        </c:ser>
        <c:ser>
          <c:idx val="9"/>
          <c:order val="9"/>
          <c:tx>
            <c:strRef>
              <c:f>Sheet5!$K$1:$K$2</c:f>
              <c:strCache>
                <c:ptCount val="1"/>
                <c:pt idx="0">
                  <c:v>VCAA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Sheet5!$A$3:$A$9</c:f>
              <c:strCache>
                <c:ptCount val="6"/>
                <c:pt idx="0">
                  <c:v>7/07/2013</c:v>
                </c:pt>
                <c:pt idx="1">
                  <c:v>19/08/2013</c:v>
                </c:pt>
                <c:pt idx="2">
                  <c:v>4/10/2013</c:v>
                </c:pt>
                <c:pt idx="3">
                  <c:v>(blank)</c:v>
                </c:pt>
                <c:pt idx="4">
                  <c:v>19/10/2013</c:v>
                </c:pt>
                <c:pt idx="5">
                  <c:v>2/11/2013</c:v>
                </c:pt>
              </c:strCache>
            </c:strRef>
          </c:cat>
          <c:val>
            <c:numRef>
              <c:f>Sheet5!$K$3:$K$9</c:f>
              <c:numCache>
                <c:formatCode>General</c:formatCode>
                <c:ptCount val="6"/>
                <c:pt idx="2">
                  <c:v>0.92222222222222228</c:v>
                </c:pt>
                <c:pt idx="5">
                  <c:v>0.8666666666666667</c:v>
                </c:pt>
              </c:numCache>
            </c:numRef>
          </c:val>
        </c:ser>
        <c:ser>
          <c:idx val="10"/>
          <c:order val="10"/>
          <c:tx>
            <c:strRef>
              <c:f>Sheet5!$L$1:$L$2</c:f>
              <c:strCache>
                <c:ptCount val="1"/>
                <c:pt idx="0">
                  <c:v>VCAA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Sheet5!$A$3:$A$9</c:f>
              <c:strCache>
                <c:ptCount val="6"/>
                <c:pt idx="0">
                  <c:v>7/07/2013</c:v>
                </c:pt>
                <c:pt idx="1">
                  <c:v>19/08/2013</c:v>
                </c:pt>
                <c:pt idx="2">
                  <c:v>4/10/2013</c:v>
                </c:pt>
                <c:pt idx="3">
                  <c:v>(blank)</c:v>
                </c:pt>
                <c:pt idx="4">
                  <c:v>19/10/2013</c:v>
                </c:pt>
                <c:pt idx="5">
                  <c:v>2/11/2013</c:v>
                </c:pt>
              </c:strCache>
            </c:strRef>
          </c:cat>
          <c:val>
            <c:numRef>
              <c:f>Sheet5!$L$3:$L$9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027040"/>
        <c:axId val="285027824"/>
      </c:barChart>
      <c:catAx>
        <c:axId val="2850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7824"/>
        <c:crosses val="autoZero"/>
        <c:auto val="1"/>
        <c:lblAlgn val="ctr"/>
        <c:lblOffset val="100"/>
        <c:noMultiLvlLbl val="0"/>
      </c:catAx>
      <c:valAx>
        <c:axId val="2850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Stone" refreshedDate="41581.5365662037" createdVersion="5" refreshedVersion="5" minRefreshableVersion="3" recordCount="64">
  <cacheSource type="worksheet">
    <worksheetSource ref="B3:S71" sheet="Paper"/>
  </cacheSource>
  <cacheFields count="18">
    <cacheField name="Year" numFmtId="0">
      <sharedItems containsString="0" containsBlank="1" containsNumber="1" containsInteger="1" minValue="2006" maxValue="2013"/>
    </cacheField>
    <cacheField name="Paper" numFmtId="0">
      <sharedItems count="11">
        <s v="VCAA"/>
        <s v="Insight"/>
        <s v="Heffernan"/>
        <s v="Kilbaha"/>
        <s v="MAV"/>
        <s v="NEAP"/>
        <s v="TSSM"/>
        <s v="Engage Education"/>
        <s v="NEAP Book"/>
        <s v="VCAA 2"/>
        <s v="School"/>
      </sharedItems>
    </cacheField>
    <cacheField name="Printed Questions" numFmtId="0">
      <sharedItems containsBlank="1"/>
    </cacheField>
    <cacheField name="Printed Solutions" numFmtId="0">
      <sharedItems containsBlank="1"/>
    </cacheField>
    <cacheField name="Section 1 Mark" numFmtId="10">
      <sharedItems containsString="0" containsBlank="1" containsNumber="1" minValue="0.31818181818181818" maxValue="0.95454545454545459"/>
    </cacheField>
    <cacheField name="Section 2 Mark" numFmtId="10">
      <sharedItems containsString="0" containsBlank="1" containsNumber="1" minValue="0.32758620689655171" maxValue="0.93103448275862066"/>
    </cacheField>
    <cacheField name="Total Mark" numFmtId="10">
      <sharedItems containsBlank="1" containsMixedTypes="1" containsNumber="1" minValue="0.32500000000000001" maxValue="0.92500000000000004"/>
    </cacheField>
    <cacheField name="Date Completed" numFmtId="168">
      <sharedItems containsNonDate="0" containsDate="1" containsString="0" containsBlank="1" minDate="2013-06-24T00:00:00" maxDate="2013-10-27T00:00:00"/>
    </cacheField>
    <cacheField name="Printed Questions2" numFmtId="0">
      <sharedItems containsBlank="1"/>
    </cacheField>
    <cacheField name="Printed Solutions2" numFmtId="0">
      <sharedItems containsBlank="1"/>
    </cacheField>
    <cacheField name="Mark" numFmtId="10">
      <sharedItems containsString="0" containsBlank="1" containsNumber="1" minValue="0.17499999999999999" maxValue="0.875"/>
    </cacheField>
    <cacheField name="Date Completed2" numFmtId="168">
      <sharedItems containsNonDate="0" containsDate="1" containsString="0" containsBlank="1" minDate="2013-06-25T00:00:00" maxDate="2013-10-31T00:00:00"/>
    </cacheField>
    <cacheField name="Printed Questions3" numFmtId="0">
      <sharedItems containsBlank="1"/>
    </cacheField>
    <cacheField name="Printed Solutions3" numFmtId="0">
      <sharedItems containsBlank="1"/>
    </cacheField>
    <cacheField name="Section 1 Mark2" numFmtId="0">
      <sharedItems containsString="0" containsBlank="1" containsNumber="1" minValue="0.7" maxValue="1"/>
    </cacheField>
    <cacheField name="Section 2 Mark2" numFmtId="9">
      <sharedItems containsString="0" containsBlank="1" containsNumber="1" minValue="0.74285714285714288" maxValue="0.9"/>
    </cacheField>
    <cacheField name="Total Mark2" numFmtId="9">
      <sharedItems containsString="0" containsBlank="1" containsNumber="1" minValue="0.73333333333333328" maxValue="0.92222222222222228"/>
    </cacheField>
    <cacheField name="Date Completed3" numFmtId="168">
      <sharedItems containsNonDate="0" containsDate="1" containsString="0" containsBlank="1" minDate="2013-07-07T00:00:00" maxDate="2013-11-03T00:00:00" count="6">
        <m/>
        <d v="2013-08-19T00:00:00"/>
        <d v="2013-07-07T00:00:00"/>
        <d v="2013-11-02T00:00:00"/>
        <d v="2013-10-04T00:00:00"/>
        <d v="2013-10-1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mes Stone" refreshedDate="41584.837933449075" createdVersion="5" refreshedVersion="5" minRefreshableVersion="3" recordCount="68">
  <cacheSource type="worksheet">
    <worksheetSource ref="B3:M71" sheet="Paper"/>
  </cacheSource>
  <cacheFields count="12">
    <cacheField name="Year" numFmtId="0">
      <sharedItems containsString="0" containsBlank="1" containsNumber="1" containsInteger="1" minValue="2006" maxValue="2013"/>
    </cacheField>
    <cacheField name="Paper" numFmtId="0">
      <sharedItems count="11">
        <s v="VCAA"/>
        <s v="Insight"/>
        <s v="Heffernan"/>
        <s v="Kilbaha"/>
        <s v="MAV"/>
        <s v="NEAP"/>
        <s v="TSSM"/>
        <s v="Engage Education"/>
        <s v="NEAP Book"/>
        <s v="VCAA 2"/>
        <s v="School"/>
      </sharedItems>
    </cacheField>
    <cacheField name="Printed Questions" numFmtId="0">
      <sharedItems containsBlank="1"/>
    </cacheField>
    <cacheField name="Printed Solutions" numFmtId="0">
      <sharedItems containsBlank="1"/>
    </cacheField>
    <cacheField name="Section 1 Mark" numFmtId="10">
      <sharedItems containsString="0" containsBlank="1" containsNumber="1" minValue="0.31818181818181818" maxValue="0.95454545454545459"/>
    </cacheField>
    <cacheField name="Section 2 Mark" numFmtId="10">
      <sharedItems containsString="0" containsBlank="1" containsNumber="1" minValue="0.32758620689655171" maxValue="0.96551724137931039"/>
    </cacheField>
    <cacheField name="Total Mark" numFmtId="10">
      <sharedItems containsBlank="1" containsMixedTypes="1" containsNumber="1" minValue="0.32500000000000001" maxValue="0.96250000000000002"/>
    </cacheField>
    <cacheField name="Date Completed" numFmtId="168">
      <sharedItems containsNonDate="0" containsDate="1" containsString="0" containsBlank="1" minDate="2013-06-24T00:00:00" maxDate="2013-11-07T00:00:00" count="36">
        <m/>
        <d v="2013-07-15T00:00:00"/>
        <d v="2013-11-06T00:00:00"/>
        <d v="2013-07-02T00:00:00"/>
        <d v="2013-07-14T00:00:00"/>
        <d v="2013-10-13T00:00:00"/>
        <d v="2013-07-03T00:00:00"/>
        <d v="2013-07-17T00:00:00"/>
        <d v="2013-10-09T00:00:00"/>
        <d v="2013-07-19T00:00:00"/>
        <d v="2013-11-05T00:00:00"/>
        <d v="2013-09-29T00:00:00"/>
        <d v="2013-09-30T00:00:00"/>
        <d v="2013-10-01T00:00:00"/>
        <d v="2013-07-20T00:00:00"/>
        <d v="2013-09-21T00:00:00"/>
        <d v="2013-09-23T00:00:00"/>
        <d v="2013-09-24T00:00:00"/>
        <d v="2013-09-25T00:00:00"/>
        <d v="2013-09-26T00:00:00"/>
        <d v="2013-06-24T00:00:00"/>
        <d v="2013-09-08T00:00:00"/>
        <d v="2013-09-07T00:00:00"/>
        <d v="2013-09-17T00:00:00"/>
        <d v="2013-10-26T00:00:00"/>
        <d v="2013-08-21T00:00:00"/>
        <d v="2013-08-29T00:00:00"/>
        <d v="2013-06-29T00:00:00"/>
        <d v="2013-09-03T00:00:00"/>
        <d v="2013-06-28T00:00:00"/>
        <d v="2013-07-22T00:00:00"/>
        <d v="2013-08-04T00:00:00"/>
        <d v="2013-08-08T00:00:00"/>
        <d v="2013-08-09T00:00:00"/>
        <d v="2013-08-12T00:00:00"/>
        <d v="2013-06-26T00:00:00"/>
      </sharedItems>
    </cacheField>
    <cacheField name="Printed Questions2" numFmtId="0">
      <sharedItems containsBlank="1"/>
    </cacheField>
    <cacheField name="Printed Solutions2" numFmtId="0">
      <sharedItems containsBlank="1"/>
    </cacheField>
    <cacheField name="Mark" numFmtId="10">
      <sharedItems containsString="0" containsBlank="1" containsNumber="1" minValue="0.17499999999999999" maxValue="0.92500000000000004"/>
    </cacheField>
    <cacheField name="Date Completed2" numFmtId="168">
      <sharedItems containsNonDate="0" containsDate="1" containsString="0" containsBlank="1" minDate="2013-06-25T00:00:00" maxDate="2013-11-06T00:00:00" count="42">
        <m/>
        <d v="2013-10-28T00:00:00"/>
        <d v="2013-10-12T00:00:00"/>
        <d v="2013-07-30T00:00:00"/>
        <d v="2013-10-13T00:00:00"/>
        <d v="2013-07-18T00:00:00"/>
        <d v="2013-11-03T00:00:00"/>
        <d v="2013-10-04T00:00:00"/>
        <d v="2013-09-30T00:00:00"/>
        <d v="2013-07-16T00:00:00"/>
        <d v="2013-07-04T00:00:00"/>
        <d v="2013-08-07T00:00:00"/>
        <d v="2013-07-08T00:00:00"/>
        <d v="2013-10-15T00:00:00"/>
        <d v="2013-07-21T00:00:00"/>
        <d v="2013-11-05T00:00:00"/>
        <d v="2013-09-27T00:00:00"/>
        <d v="2013-07-01T00:00:00"/>
        <d v="2013-07-13T00:00:00"/>
        <d v="2013-10-02T00:00:00"/>
        <d v="2013-07-23T00:00:00"/>
        <d v="2013-06-25T00:00:00"/>
        <d v="2013-09-19T00:00:00"/>
        <d v="2013-09-24T00:00:00"/>
        <d v="2013-09-25T00:00:00"/>
        <d v="2013-09-26T00:00:00"/>
        <d v="2013-07-28T00:00:00"/>
        <d v="2013-06-29T00:00:00"/>
        <d v="2013-09-10T00:00:00"/>
        <d v="2013-09-16T00:00:00"/>
        <d v="2013-10-30T00:00:00"/>
        <d v="2013-08-20T00:00:00"/>
        <d v="2013-08-30T00:00:00"/>
        <d v="2013-08-31T00:00:00"/>
        <d v="2013-09-01T00:00:00"/>
        <d v="2013-09-06T00:00:00"/>
        <d v="2013-07-29T00:00:00"/>
        <d v="2013-10-16T00:00:00"/>
        <d v="2013-08-06T00:00:00"/>
        <d v="2013-08-14T00:00:00"/>
        <d v="2013-08-15T00:00:00"/>
        <d v="2013-08-1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James Stone" refreshedDate="41944.949542476854" refreshedVersion="5" recordCount="68">
  <cacheSource type="worksheet">
    <worksheetSource ref="C3:I71" sheet="Paper"/>
  </cacheSource>
  <cacheFields count="7">
    <cacheField name="Paper" numFmtId="0">
      <sharedItems count="11">
        <s v="VCAA"/>
        <s v="Insight"/>
        <s v="Heffernan"/>
        <s v="Kilbaha"/>
        <s v="MAV"/>
        <s v="NEAP"/>
        <s v="TSSM"/>
        <s v="Engage Education"/>
        <s v="NEAP Book"/>
        <s v="VCAA 2"/>
        <s v="School"/>
      </sharedItems>
    </cacheField>
    <cacheField name="Printed Questions" numFmtId="0">
      <sharedItems containsBlank="1"/>
    </cacheField>
    <cacheField name="Printed Solutions" numFmtId="0">
      <sharedItems containsBlank="1"/>
    </cacheField>
    <cacheField name="Section 1 Mark" numFmtId="10">
      <sharedItems containsString="0" containsBlank="1" containsNumber="1" minValue="0.31818181818181818" maxValue="0.95454545454545459"/>
    </cacheField>
    <cacheField name="Section 2 Mark" numFmtId="10">
      <sharedItems containsString="0" containsBlank="1" containsNumber="1" minValue="0.32758620689655171" maxValue="0.96551724137931039"/>
    </cacheField>
    <cacheField name="Total Mark" numFmtId="10">
      <sharedItems containsBlank="1" containsMixedTypes="1" containsNumber="1" minValue="0.32500000000000001" maxValue="0.96250000000000002" count="27">
        <m/>
        <s v="`"/>
        <n v="0.51249999999999996"/>
        <n v="0.91249999999999998"/>
        <n v="0.4"/>
        <n v="0.32500000000000001"/>
        <n v="0.88749999999999996"/>
        <n v="0.63749999999999996"/>
        <n v="0.6"/>
        <n v="0.77500000000000002"/>
        <n v="0.7"/>
        <n v="0.96250000000000002"/>
        <n v="0.8"/>
        <n v="0.67500000000000004"/>
        <n v="0.625"/>
        <n v="0.85"/>
        <n v="0.66249999999999998"/>
        <n v="0.78749999999999998"/>
        <n v="0.48749999999999999"/>
        <n v="0.8125"/>
        <n v="0.76249999999999996"/>
        <n v="0.86250000000000004"/>
        <n v="0.75"/>
        <n v="0.64556962025316456"/>
        <n v="0.92500000000000004"/>
        <n v="0.73750000000000004"/>
        <n v="0.46250000000000002"/>
      </sharedItems>
    </cacheField>
    <cacheField name="Date Completed" numFmtId="168">
      <sharedItems containsNonDate="0" containsDate="1" containsString="0" containsBlank="1" minDate="2013-06-24T00:00:00" maxDate="2013-11-07T00:00:00" count="36">
        <m/>
        <d v="2013-07-15T00:00:00"/>
        <d v="2013-11-06T00:00:00"/>
        <d v="2013-07-02T00:00:00"/>
        <d v="2013-07-14T00:00:00"/>
        <d v="2013-10-13T00:00:00"/>
        <d v="2013-07-03T00:00:00"/>
        <d v="2013-07-17T00:00:00"/>
        <d v="2013-10-09T00:00:00"/>
        <d v="2013-07-19T00:00:00"/>
        <d v="2013-11-05T00:00:00"/>
        <d v="2013-09-29T00:00:00"/>
        <d v="2013-09-30T00:00:00"/>
        <d v="2013-10-01T00:00:00"/>
        <d v="2013-07-20T00:00:00"/>
        <d v="2013-09-21T00:00:00"/>
        <d v="2013-09-23T00:00:00"/>
        <d v="2013-09-24T00:00:00"/>
        <d v="2013-09-25T00:00:00"/>
        <d v="2013-09-26T00:00:00"/>
        <d v="2013-06-24T00:00:00"/>
        <d v="2013-09-08T00:00:00"/>
        <d v="2013-09-07T00:00:00"/>
        <d v="2013-09-17T00:00:00"/>
        <d v="2013-10-26T00:00:00"/>
        <d v="2013-08-21T00:00:00"/>
        <d v="2013-08-29T00:00:00"/>
        <d v="2013-06-29T00:00:00"/>
        <d v="2013-09-03T00:00:00"/>
        <d v="2013-06-28T00:00:00"/>
        <d v="2013-07-22T00:00:00"/>
        <d v="2013-08-04T00:00:00"/>
        <d v="2013-08-08T00:00:00"/>
        <d v="2013-08-09T00:00:00"/>
        <d v="2013-08-12T00:00:00"/>
        <d v="2013-06-26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James Stone" refreshedDate="41944.949543287039" refreshedVersion="5" recordCount="68">
  <cacheSource type="worksheet">
    <worksheetSource ref="C3:M71" sheet="Paper"/>
  </cacheSource>
  <cacheFields count="11">
    <cacheField name="Paper" numFmtId="0">
      <sharedItems count="11">
        <s v="VCAA"/>
        <s v="Insight"/>
        <s v="Heffernan"/>
        <s v="Kilbaha"/>
        <s v="MAV"/>
        <s v="NEAP"/>
        <s v="TSSM"/>
        <s v="Engage Education"/>
        <s v="NEAP Book"/>
        <s v="VCAA 2"/>
        <s v="School"/>
      </sharedItems>
    </cacheField>
    <cacheField name="Printed Questions" numFmtId="0">
      <sharedItems containsBlank="1"/>
    </cacheField>
    <cacheField name="Printed Solutions" numFmtId="0">
      <sharedItems containsBlank="1"/>
    </cacheField>
    <cacheField name="Section 1 Mark" numFmtId="10">
      <sharedItems containsString="0" containsBlank="1" containsNumber="1" minValue="0.31818181818181818" maxValue="0.95454545454545459"/>
    </cacheField>
    <cacheField name="Section 2 Mark" numFmtId="10">
      <sharedItems containsString="0" containsBlank="1" containsNumber="1" minValue="0.32758620689655171" maxValue="0.96551724137931039"/>
    </cacheField>
    <cacheField name="Total Mark" numFmtId="10">
      <sharedItems containsBlank="1" containsMixedTypes="1" containsNumber="1" minValue="0.32500000000000001" maxValue="0.96250000000000002"/>
    </cacheField>
    <cacheField name="Date Completed" numFmtId="168">
      <sharedItems containsNonDate="0" containsDate="1" containsString="0" containsBlank="1" minDate="2013-06-24T00:00:00" maxDate="2013-11-07T00:00:00" count="36">
        <m/>
        <d v="2013-07-15T00:00:00"/>
        <d v="2013-11-06T00:00:00"/>
        <d v="2013-07-02T00:00:00"/>
        <d v="2013-07-14T00:00:00"/>
        <d v="2013-10-13T00:00:00"/>
        <d v="2013-07-03T00:00:00"/>
        <d v="2013-07-17T00:00:00"/>
        <d v="2013-10-09T00:00:00"/>
        <d v="2013-07-19T00:00:00"/>
        <d v="2013-11-05T00:00:00"/>
        <d v="2013-09-29T00:00:00"/>
        <d v="2013-09-30T00:00:00"/>
        <d v="2013-10-01T00:00:00"/>
        <d v="2013-07-20T00:00:00"/>
        <d v="2013-09-21T00:00:00"/>
        <d v="2013-09-23T00:00:00"/>
        <d v="2013-09-24T00:00:00"/>
        <d v="2013-09-25T00:00:00"/>
        <d v="2013-09-26T00:00:00"/>
        <d v="2013-06-24T00:00:00"/>
        <d v="2013-09-08T00:00:00"/>
        <d v="2013-09-07T00:00:00"/>
        <d v="2013-09-17T00:00:00"/>
        <d v="2013-10-26T00:00:00"/>
        <d v="2013-08-21T00:00:00"/>
        <d v="2013-08-29T00:00:00"/>
        <d v="2013-06-29T00:00:00"/>
        <d v="2013-09-03T00:00:00"/>
        <d v="2013-06-28T00:00:00"/>
        <d v="2013-07-22T00:00:00"/>
        <d v="2013-08-04T00:00:00"/>
        <d v="2013-08-08T00:00:00"/>
        <d v="2013-08-09T00:00:00"/>
        <d v="2013-08-12T00:00:00"/>
        <d v="2013-06-26T00:00:00"/>
      </sharedItems>
    </cacheField>
    <cacheField name="Printed Questions2" numFmtId="0">
      <sharedItems containsBlank="1"/>
    </cacheField>
    <cacheField name="Printed Solutions2" numFmtId="0">
      <sharedItems containsBlank="1"/>
    </cacheField>
    <cacheField name="Mark" numFmtId="10">
      <sharedItems containsString="0" containsBlank="1" containsNumber="1" minValue="0.17499999999999999" maxValue="0.92500000000000004"/>
    </cacheField>
    <cacheField name="Date Completed2" numFmtId="168">
      <sharedItems containsNonDate="0" containsDate="1" containsString="0" containsBlank="1" minDate="2013-06-25T00:00:00" maxDate="2013-11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n v="2013"/>
    <x v="0"/>
    <s v="N/A"/>
    <s v="N/A"/>
    <m/>
    <m/>
    <m/>
    <m/>
    <s v="N/A"/>
    <s v="N/A"/>
    <m/>
    <m/>
    <s v="N/A"/>
    <s v="N/A"/>
    <m/>
    <m/>
    <m/>
    <x v="0"/>
  </r>
  <r>
    <m/>
    <x v="1"/>
    <m/>
    <m/>
    <m/>
    <m/>
    <s v="`"/>
    <m/>
    <m/>
    <m/>
    <m/>
    <m/>
    <s v="N/A"/>
    <s v="N/A"/>
    <m/>
    <m/>
    <m/>
    <x v="0"/>
  </r>
  <r>
    <m/>
    <x v="2"/>
    <m/>
    <m/>
    <m/>
    <m/>
    <m/>
    <m/>
    <m/>
    <m/>
    <m/>
    <m/>
    <s v="N/A"/>
    <s v="N/A"/>
    <m/>
    <m/>
    <m/>
    <x v="0"/>
  </r>
  <r>
    <m/>
    <x v="3"/>
    <m/>
    <m/>
    <m/>
    <m/>
    <m/>
    <m/>
    <m/>
    <m/>
    <m/>
    <m/>
    <s v="N/A"/>
    <s v="N/A"/>
    <m/>
    <m/>
    <m/>
    <x v="0"/>
  </r>
  <r>
    <m/>
    <x v="4"/>
    <m/>
    <m/>
    <m/>
    <m/>
    <m/>
    <m/>
    <m/>
    <m/>
    <m/>
    <m/>
    <s v="N/A"/>
    <s v="N/A"/>
    <m/>
    <m/>
    <m/>
    <x v="0"/>
  </r>
  <r>
    <m/>
    <x v="5"/>
    <m/>
    <m/>
    <m/>
    <m/>
    <m/>
    <m/>
    <m/>
    <m/>
    <m/>
    <m/>
    <s v="N/A"/>
    <s v="N/A"/>
    <m/>
    <m/>
    <m/>
    <x v="0"/>
  </r>
  <r>
    <m/>
    <x v="6"/>
    <m/>
    <m/>
    <m/>
    <m/>
    <m/>
    <m/>
    <m/>
    <m/>
    <m/>
    <m/>
    <m/>
    <m/>
    <n v="0.7"/>
    <n v="0.74285714285714288"/>
    <n v="0.73333333333333328"/>
    <x v="1"/>
  </r>
  <r>
    <m/>
    <x v="7"/>
    <m/>
    <m/>
    <m/>
    <m/>
    <m/>
    <m/>
    <m/>
    <m/>
    <m/>
    <m/>
    <s v="Yes"/>
    <s v="Yes"/>
    <n v="0.9"/>
    <n v="0.87323943661971826"/>
    <n v="0.87912087912087911"/>
    <x v="2"/>
  </r>
  <r>
    <n v="2012"/>
    <x v="0"/>
    <s v="Yes"/>
    <s v="Yes"/>
    <n v="0.72727272727272729"/>
    <n v="0.43103448275862066"/>
    <n v="0.51249999999999996"/>
    <d v="2013-07-15T00:00:00"/>
    <s v="Yes"/>
    <s v="Yes"/>
    <n v="0.82499999999999996"/>
    <d v="2013-10-28T00:00:00"/>
    <m/>
    <m/>
    <n v="0.95"/>
    <n v="0.84285714285714286"/>
    <n v="0.8666666666666667"/>
    <x v="3"/>
  </r>
  <r>
    <m/>
    <x v="1"/>
    <s v="Yes"/>
    <s v="Yes"/>
    <m/>
    <m/>
    <m/>
    <m/>
    <s v="Yes"/>
    <s v="Yes"/>
    <m/>
    <m/>
    <m/>
    <m/>
    <m/>
    <m/>
    <m/>
    <x v="0"/>
  </r>
  <r>
    <m/>
    <x v="2"/>
    <s v="Yes"/>
    <s v="Yes"/>
    <m/>
    <m/>
    <m/>
    <m/>
    <s v="Yes"/>
    <s v="Yes"/>
    <m/>
    <m/>
    <m/>
    <m/>
    <m/>
    <m/>
    <m/>
    <x v="0"/>
  </r>
  <r>
    <m/>
    <x v="3"/>
    <s v="Yes"/>
    <s v="Yes"/>
    <n v="0.45454545454545453"/>
    <n v="0.37931034482758619"/>
    <n v="0.4"/>
    <d v="2013-07-02T00:00:00"/>
    <s v="Yes"/>
    <s v="Yes"/>
    <m/>
    <m/>
    <m/>
    <m/>
    <m/>
    <m/>
    <m/>
    <x v="0"/>
  </r>
  <r>
    <m/>
    <x v="4"/>
    <s v="Yes"/>
    <s v="Yes"/>
    <n v="0.31818181818181818"/>
    <n v="0.32758620689655171"/>
    <n v="0.32500000000000001"/>
    <d v="2013-07-14T00:00:00"/>
    <m/>
    <m/>
    <n v="0.57499999999999996"/>
    <d v="2013-10-12T00:00:00"/>
    <m/>
    <m/>
    <m/>
    <m/>
    <m/>
    <x v="0"/>
  </r>
  <r>
    <m/>
    <x v="8"/>
    <m/>
    <m/>
    <m/>
    <m/>
    <m/>
    <m/>
    <m/>
    <m/>
    <n v="0.6"/>
    <d v="2013-07-30T00:00:00"/>
    <m/>
    <m/>
    <m/>
    <m/>
    <m/>
    <x v="0"/>
  </r>
  <r>
    <m/>
    <x v="5"/>
    <s v="Yes"/>
    <s v="Yes"/>
    <n v="0.86363636363636365"/>
    <n v="0.89655172413793105"/>
    <n v="0.88749999999999996"/>
    <d v="2013-10-13T00:00:00"/>
    <s v="Yes"/>
    <s v="Yes"/>
    <m/>
    <m/>
    <m/>
    <m/>
    <m/>
    <m/>
    <m/>
    <x v="0"/>
  </r>
  <r>
    <m/>
    <x v="6"/>
    <s v="Yes"/>
    <s v="Yes"/>
    <n v="0.68181818181818177"/>
    <n v="0.62068965517241381"/>
    <n v="0.63749999999999996"/>
    <d v="2013-07-03T00:00:00"/>
    <s v="Yes"/>
    <s v="Yes"/>
    <n v="0.875"/>
    <d v="2013-10-13T00:00:00"/>
    <m/>
    <m/>
    <m/>
    <m/>
    <m/>
    <x v="0"/>
  </r>
  <r>
    <m/>
    <x v="7"/>
    <s v="Yes"/>
    <s v="Yes"/>
    <m/>
    <m/>
    <m/>
    <m/>
    <s v="Yes"/>
    <s v="Yes"/>
    <m/>
    <m/>
    <m/>
    <m/>
    <m/>
    <m/>
    <m/>
    <x v="0"/>
  </r>
  <r>
    <n v="2011"/>
    <x v="0"/>
    <s v="Yes"/>
    <s v="Yes"/>
    <n v="0.72727272727272729"/>
    <n v="0.55172413793103448"/>
    <n v="0.6"/>
    <d v="2013-07-17T00:00:00"/>
    <s v="Yes"/>
    <s v="Yes"/>
    <n v="0.5"/>
    <d v="2013-07-18T00:00:00"/>
    <m/>
    <m/>
    <n v="1"/>
    <n v="0.9"/>
    <n v="0.92222222222222228"/>
    <x v="4"/>
  </r>
  <r>
    <m/>
    <x v="1"/>
    <s v="Yes"/>
    <s v="Yes"/>
    <m/>
    <m/>
    <m/>
    <m/>
    <s v="Yes"/>
    <s v="Yes"/>
    <n v="0.85"/>
    <d v="2013-10-04T00:00:00"/>
    <m/>
    <m/>
    <m/>
    <m/>
    <m/>
    <x v="0"/>
  </r>
  <r>
    <m/>
    <x v="2"/>
    <s v="Yes"/>
    <s v="Yes"/>
    <m/>
    <m/>
    <m/>
    <m/>
    <s v="Yes"/>
    <s v="Yes"/>
    <n v="0.72499999999999998"/>
    <d v="2013-09-30T00:00:00"/>
    <m/>
    <m/>
    <n v="0.7"/>
    <n v="0.80714285714285716"/>
    <n v="0.78333333333333333"/>
    <x v="5"/>
  </r>
  <r>
    <m/>
    <x v="3"/>
    <s v="Yes"/>
    <s v="Yes"/>
    <m/>
    <m/>
    <m/>
    <m/>
    <s v="Yes"/>
    <m/>
    <n v="0.52500000000000002"/>
    <d v="2013-07-16T00:00:00"/>
    <m/>
    <m/>
    <m/>
    <m/>
    <m/>
    <x v="0"/>
  </r>
  <r>
    <m/>
    <x v="4"/>
    <m/>
    <m/>
    <m/>
    <m/>
    <m/>
    <m/>
    <s v="Yes"/>
    <s v="Yes"/>
    <n v="0.47499999999999998"/>
    <d v="2013-07-04T00:00:00"/>
    <m/>
    <m/>
    <m/>
    <m/>
    <m/>
    <x v="0"/>
  </r>
  <r>
    <m/>
    <x v="8"/>
    <m/>
    <m/>
    <m/>
    <m/>
    <m/>
    <m/>
    <m/>
    <m/>
    <n v="0.47499999999999998"/>
    <d v="2013-08-07T00:00:00"/>
    <m/>
    <m/>
    <m/>
    <m/>
    <m/>
    <x v="0"/>
  </r>
  <r>
    <m/>
    <x v="5"/>
    <s v="Yes"/>
    <s v="Yes"/>
    <m/>
    <m/>
    <m/>
    <m/>
    <s v="Yes"/>
    <s v="Yes"/>
    <n v="0.25"/>
    <d v="2013-07-08T00:00:00"/>
    <m/>
    <m/>
    <m/>
    <m/>
    <m/>
    <x v="0"/>
  </r>
  <r>
    <m/>
    <x v="6"/>
    <s v="Yes"/>
    <s v="Yes"/>
    <m/>
    <m/>
    <m/>
    <m/>
    <s v="Yes"/>
    <s v="Yes"/>
    <n v="0.57499999999999996"/>
    <d v="2013-10-15T00:00:00"/>
    <m/>
    <m/>
    <m/>
    <m/>
    <m/>
    <x v="0"/>
  </r>
  <r>
    <m/>
    <x v="7"/>
    <s v="Yes"/>
    <s v="Yes"/>
    <n v="0.81818181818181823"/>
    <n v="0.75862068965517238"/>
    <n v="0.77500000000000002"/>
    <d v="2013-10-09T00:00:00"/>
    <s v="Yes"/>
    <s v="Yes"/>
    <m/>
    <m/>
    <m/>
    <m/>
    <m/>
    <m/>
    <m/>
    <x v="0"/>
  </r>
  <r>
    <n v="2010"/>
    <x v="0"/>
    <s v="Yes"/>
    <s v="Yes"/>
    <n v="0.63636363636363635"/>
    <n v="0.72413793103448276"/>
    <n v="0.7"/>
    <d v="2013-07-19T00:00:00"/>
    <s v="Yes"/>
    <s v="Yes"/>
    <n v="0.65"/>
    <d v="2013-07-21T00:00:00"/>
    <m/>
    <m/>
    <m/>
    <m/>
    <m/>
    <x v="0"/>
  </r>
  <r>
    <m/>
    <x v="1"/>
    <s v="Yes"/>
    <s v="Yes"/>
    <n v="0.90909090909090906"/>
    <n v="0.75862068965517238"/>
    <n v="0.8"/>
    <d v="2013-09-29T00:00:00"/>
    <s v="Yes"/>
    <s v="Yes"/>
    <n v="0.72499999999999998"/>
    <d v="2013-09-27T00:00:00"/>
    <m/>
    <m/>
    <m/>
    <m/>
    <m/>
    <x v="0"/>
  </r>
  <r>
    <m/>
    <x v="2"/>
    <s v="Yes"/>
    <s v="Yes"/>
    <m/>
    <m/>
    <m/>
    <m/>
    <m/>
    <s v="Yes"/>
    <n v="0.45"/>
    <d v="2013-07-01T00:00:00"/>
    <m/>
    <m/>
    <m/>
    <m/>
    <m/>
    <x v="0"/>
  </r>
  <r>
    <m/>
    <x v="3"/>
    <s v="Yes"/>
    <s v="Yes"/>
    <n v="0.72727272727272729"/>
    <n v="0.65517241379310343"/>
    <n v="0.67500000000000004"/>
    <d v="2013-09-30T00:00:00"/>
    <s v="Yes"/>
    <s v="Yes"/>
    <n v="0.17499999999999999"/>
    <d v="2013-07-13T00:00:00"/>
    <m/>
    <m/>
    <m/>
    <m/>
    <m/>
    <x v="0"/>
  </r>
  <r>
    <m/>
    <x v="4"/>
    <s v="Yes"/>
    <s v="Yes"/>
    <m/>
    <m/>
    <m/>
    <m/>
    <s v="Yes"/>
    <s v="Yes"/>
    <n v="0.82499999999999996"/>
    <d v="2013-09-30T00:00:00"/>
    <m/>
    <m/>
    <m/>
    <m/>
    <m/>
    <x v="0"/>
  </r>
  <r>
    <m/>
    <x v="5"/>
    <s v="Yes"/>
    <s v="Yes"/>
    <n v="0.72727272727272729"/>
    <n v="0.7931034482758621"/>
    <n v="0.77500000000000002"/>
    <d v="2013-10-01T00:00:00"/>
    <s v="Yes"/>
    <s v="Yes"/>
    <n v="0.6"/>
    <d v="2013-10-02T00:00:00"/>
    <m/>
    <m/>
    <m/>
    <m/>
    <m/>
    <x v="0"/>
  </r>
  <r>
    <m/>
    <x v="6"/>
    <s v="Yes"/>
    <s v="Yes"/>
    <m/>
    <m/>
    <m/>
    <m/>
    <s v="Yes"/>
    <s v="Yes"/>
    <m/>
    <m/>
    <m/>
    <m/>
    <m/>
    <m/>
    <m/>
    <x v="0"/>
  </r>
  <r>
    <n v="2009"/>
    <x v="0"/>
    <s v="Yes"/>
    <s v="Yes"/>
    <n v="0.68181818181818177"/>
    <n v="0.60344827586206895"/>
    <n v="0.625"/>
    <d v="2013-07-20T00:00:00"/>
    <s v="Yes"/>
    <s v="Yes"/>
    <n v="0.625"/>
    <d v="2013-07-23T00:00:00"/>
    <m/>
    <m/>
    <m/>
    <m/>
    <m/>
    <x v="0"/>
  </r>
  <r>
    <m/>
    <x v="9"/>
    <m/>
    <m/>
    <m/>
    <m/>
    <m/>
    <m/>
    <m/>
    <m/>
    <n v="0.75"/>
    <d v="2013-10-28T00:00:00"/>
    <m/>
    <m/>
    <m/>
    <m/>
    <m/>
    <x v="0"/>
  </r>
  <r>
    <m/>
    <x v="1"/>
    <s v="Yes"/>
    <s v="Yes"/>
    <m/>
    <m/>
    <m/>
    <m/>
    <s v="Yes"/>
    <s v="Yes"/>
    <n v="0.25"/>
    <d v="2013-06-25T00:00:00"/>
    <m/>
    <m/>
    <m/>
    <m/>
    <m/>
    <x v="0"/>
  </r>
  <r>
    <m/>
    <x v="2"/>
    <s v="Yes"/>
    <s v="Yes"/>
    <n v="0.81818181818181823"/>
    <n v="0.86206896551724133"/>
    <n v="0.85"/>
    <d v="2013-09-21T00:00:00"/>
    <s v="Yes"/>
    <s v="Yes"/>
    <n v="0.77500000000000002"/>
    <d v="2013-09-19T00:00:00"/>
    <m/>
    <m/>
    <m/>
    <m/>
    <m/>
    <x v="0"/>
  </r>
  <r>
    <m/>
    <x v="3"/>
    <s v="Yes"/>
    <s v="Yes"/>
    <n v="0.45454545454545453"/>
    <n v="0.74137931034482762"/>
    <n v="0.66249999999999998"/>
    <d v="2013-09-23T00:00:00"/>
    <s v="Yes"/>
    <s v="Yes"/>
    <n v="0.6"/>
    <d v="2013-09-24T00:00:00"/>
    <m/>
    <m/>
    <m/>
    <m/>
    <m/>
    <x v="0"/>
  </r>
  <r>
    <m/>
    <x v="4"/>
    <s v="Yes"/>
    <s v="Yes"/>
    <n v="0.95454545454545459"/>
    <n v="0.74137931034482762"/>
    <n v="0.8"/>
    <d v="2013-09-24T00:00:00"/>
    <s v="Yes"/>
    <s v="Yes"/>
    <n v="0.77500000000000002"/>
    <d v="2013-09-25T00:00:00"/>
    <m/>
    <m/>
    <m/>
    <m/>
    <m/>
    <x v="0"/>
  </r>
  <r>
    <m/>
    <x v="5"/>
    <s v="Yes"/>
    <s v="Yes"/>
    <n v="0.63636363636363635"/>
    <n v="0.72413793103448276"/>
    <n v="0.7"/>
    <d v="2013-09-25T00:00:00"/>
    <s v="Yes"/>
    <s v="Yes"/>
    <n v="0.65"/>
    <d v="2013-09-26T00:00:00"/>
    <m/>
    <m/>
    <m/>
    <m/>
    <m/>
    <x v="0"/>
  </r>
  <r>
    <m/>
    <x v="6"/>
    <s v="Yes"/>
    <s v="Yes"/>
    <n v="0.68181818181818177"/>
    <n v="0.82758620689655171"/>
    <n v="0.78749999999999998"/>
    <d v="2013-09-26T00:00:00"/>
    <s v="Yes"/>
    <s v="Yes"/>
    <n v="0.875"/>
    <d v="2013-09-27T00:00:00"/>
    <m/>
    <m/>
    <m/>
    <m/>
    <m/>
    <x v="0"/>
  </r>
  <r>
    <n v="2008"/>
    <x v="0"/>
    <s v="Yes"/>
    <s v="Yes"/>
    <n v="0.40909090909090912"/>
    <n v="0.51724137931034486"/>
    <n v="0.48749999999999999"/>
    <d v="2013-06-24T00:00:00"/>
    <s v="Yes"/>
    <s v="Yes"/>
    <n v="0.65"/>
    <d v="2013-07-28T00:00:00"/>
    <m/>
    <m/>
    <m/>
    <m/>
    <m/>
    <x v="0"/>
  </r>
  <r>
    <m/>
    <x v="1"/>
    <s v="Yes"/>
    <s v="Yes"/>
    <m/>
    <m/>
    <m/>
    <m/>
    <s v="Yes"/>
    <s v="Yes"/>
    <n v="0.25"/>
    <d v="2013-06-29T00:00:00"/>
    <m/>
    <m/>
    <m/>
    <m/>
    <m/>
    <x v="0"/>
  </r>
  <r>
    <m/>
    <x v="2"/>
    <s v="Yes"/>
    <s v="Yes"/>
    <n v="0.81818181818181823"/>
    <n v="0.81034482758620685"/>
    <n v="0.8125"/>
    <d v="2013-09-08T00:00:00"/>
    <s v="Yes"/>
    <s v="Yes"/>
    <n v="0.8"/>
    <d v="2013-09-10T00:00:00"/>
    <m/>
    <m/>
    <m/>
    <m/>
    <m/>
    <x v="0"/>
  </r>
  <r>
    <m/>
    <x v="3"/>
    <s v="Yes"/>
    <s v="Yes"/>
    <m/>
    <m/>
    <m/>
    <m/>
    <s v="Yes"/>
    <s v="Yes"/>
    <m/>
    <m/>
    <m/>
    <m/>
    <m/>
    <m/>
    <m/>
    <x v="0"/>
  </r>
  <r>
    <m/>
    <x v="4"/>
    <s v="Yes"/>
    <s v="Yes"/>
    <n v="0.68181818181818177"/>
    <n v="0.7931034482758621"/>
    <n v="0.76249999999999996"/>
    <d v="2013-09-07T00:00:00"/>
    <s v="Yes"/>
    <s v="Yes"/>
    <m/>
    <m/>
    <m/>
    <m/>
    <m/>
    <m/>
    <m/>
    <x v="0"/>
  </r>
  <r>
    <m/>
    <x v="5"/>
    <s v="Yes"/>
    <s v="Yes"/>
    <m/>
    <m/>
    <m/>
    <m/>
    <m/>
    <s v="Yes"/>
    <n v="0.67500000000000004"/>
    <d v="2013-09-16T00:00:00"/>
    <m/>
    <m/>
    <m/>
    <m/>
    <m/>
    <x v="0"/>
  </r>
  <r>
    <m/>
    <x v="6"/>
    <s v="Yes"/>
    <s v="Yes"/>
    <n v="0.81818181818181823"/>
    <n v="0.87931034482758619"/>
    <n v="0.86250000000000004"/>
    <d v="2013-09-17T00:00:00"/>
    <s v="Yes"/>
    <s v="Yes"/>
    <n v="0.82499999999999996"/>
    <d v="2013-09-19T00:00:00"/>
    <m/>
    <m/>
    <m/>
    <m/>
    <m/>
    <x v="0"/>
  </r>
  <r>
    <m/>
    <x v="10"/>
    <s v="Yes"/>
    <s v="Yes"/>
    <m/>
    <m/>
    <m/>
    <m/>
    <s v="Yes"/>
    <s v="Yes"/>
    <m/>
    <m/>
    <m/>
    <m/>
    <m/>
    <m/>
    <m/>
    <x v="0"/>
  </r>
  <r>
    <n v="2007"/>
    <x v="0"/>
    <s v="Yes"/>
    <s v="Yes"/>
    <n v="0.90909090909090906"/>
    <n v="0.91379310344827591"/>
    <n v="0.91249999999999998"/>
    <d v="2013-10-26T00:00:00"/>
    <s v="Yes"/>
    <s v="Yes"/>
    <n v="0.85"/>
    <d v="2013-10-30T00:00:00"/>
    <m/>
    <m/>
    <m/>
    <m/>
    <m/>
    <x v="0"/>
  </r>
  <r>
    <m/>
    <x v="1"/>
    <s v="Yes"/>
    <s v="Yes"/>
    <n v="0.81818181818181823"/>
    <n v="0.72413793103448276"/>
    <n v="0.75"/>
    <d v="2013-08-21T00:00:00"/>
    <s v="Yes"/>
    <s v="Yes"/>
    <n v="0.52500000000000002"/>
    <d v="2013-08-20T00:00:00"/>
    <m/>
    <m/>
    <m/>
    <m/>
    <m/>
    <x v="0"/>
  </r>
  <r>
    <m/>
    <x v="2"/>
    <s v="Yes"/>
    <s v="Yes"/>
    <m/>
    <m/>
    <m/>
    <m/>
    <s v="Yes"/>
    <s v="Yes"/>
    <m/>
    <m/>
    <m/>
    <m/>
    <m/>
    <m/>
    <m/>
    <x v="0"/>
  </r>
  <r>
    <m/>
    <x v="3"/>
    <s v="Yes"/>
    <s v="Yes"/>
    <m/>
    <m/>
    <m/>
    <m/>
    <s v="Yes"/>
    <s v="Yes"/>
    <n v="0.57499999999999996"/>
    <d v="2013-08-30T00:00:00"/>
    <m/>
    <m/>
    <m/>
    <m/>
    <m/>
    <x v="0"/>
  </r>
  <r>
    <m/>
    <x v="4"/>
    <s v="Yes"/>
    <s v="Yes"/>
    <n v="0.90909090909090906"/>
    <n v="0.54385964912280704"/>
    <n v="0.64556962025316456"/>
    <d v="2013-08-29T00:00:00"/>
    <s v="Yes"/>
    <s v="Yes"/>
    <n v="0.8"/>
    <d v="2013-08-31T00:00:00"/>
    <m/>
    <m/>
    <m/>
    <m/>
    <m/>
    <x v="0"/>
  </r>
  <r>
    <m/>
    <x v="5"/>
    <s v="Yes"/>
    <s v="Yes"/>
    <n v="0.5"/>
    <n v="0.48275862068965519"/>
    <n v="0.48749999999999999"/>
    <d v="2013-06-29T00:00:00"/>
    <m/>
    <s v="Yes"/>
    <n v="0.6"/>
    <d v="2013-09-01T00:00:00"/>
    <m/>
    <m/>
    <m/>
    <m/>
    <m/>
    <x v="0"/>
  </r>
  <r>
    <m/>
    <x v="6"/>
    <s v="Yes"/>
    <s v="Yes"/>
    <n v="0.90909090909090906"/>
    <n v="0.93103448275862066"/>
    <n v="0.92500000000000004"/>
    <d v="2013-09-03T00:00:00"/>
    <s v="Yes"/>
    <s v="Yes"/>
    <n v="0.7"/>
    <d v="2013-09-06T00:00:00"/>
    <m/>
    <m/>
    <m/>
    <m/>
    <m/>
    <x v="0"/>
  </r>
  <r>
    <n v="2006"/>
    <x v="0"/>
    <s v="Yes"/>
    <s v="Yes"/>
    <n v="0.72727272727272729"/>
    <n v="0.75862068965517238"/>
    <n v="0.75"/>
    <d v="2013-06-28T00:00:00"/>
    <s v="Yes"/>
    <s v="Yes"/>
    <n v="0.47499999999999998"/>
    <d v="2013-07-29T00:00:00"/>
    <m/>
    <m/>
    <m/>
    <m/>
    <m/>
    <x v="0"/>
  </r>
  <r>
    <m/>
    <x v="0"/>
    <s v="Yes"/>
    <s v="Yes"/>
    <m/>
    <m/>
    <m/>
    <m/>
    <m/>
    <m/>
    <n v="0.8"/>
    <d v="2013-10-16T00:00:00"/>
    <m/>
    <m/>
    <m/>
    <m/>
    <m/>
    <x v="0"/>
  </r>
  <r>
    <m/>
    <x v="1"/>
    <s v="Yes"/>
    <s v="Yes"/>
    <n v="0.72727272727272729"/>
    <n v="0.65517241379310343"/>
    <n v="0.67500000000000004"/>
    <d v="2013-07-22T00:00:00"/>
    <s v="Yes"/>
    <s v="Yes"/>
    <m/>
    <m/>
    <m/>
    <m/>
    <m/>
    <m/>
    <m/>
    <x v="0"/>
  </r>
  <r>
    <m/>
    <x v="2"/>
    <s v="Yes"/>
    <s v="Yes"/>
    <n v="0.68181818181818177"/>
    <n v="0.62068965517241381"/>
    <n v="0.63749999999999996"/>
    <d v="2013-08-04T00:00:00"/>
    <s v="Yes"/>
    <s v="Yes"/>
    <m/>
    <m/>
    <m/>
    <m/>
    <m/>
    <m/>
    <m/>
    <x v="0"/>
  </r>
  <r>
    <m/>
    <x v="3"/>
    <s v="Yes"/>
    <s v="Yes"/>
    <n v="0.59090909090909094"/>
    <n v="0.48275862068965519"/>
    <n v="0.51249999999999996"/>
    <d v="2013-08-08T00:00:00"/>
    <s v="Yes"/>
    <s v="Yes"/>
    <n v="0.42499999999999999"/>
    <d v="2013-08-06T00:00:00"/>
    <m/>
    <m/>
    <m/>
    <m/>
    <m/>
    <x v="0"/>
  </r>
  <r>
    <m/>
    <x v="4"/>
    <s v="Yes"/>
    <s v="Yes"/>
    <n v="0.81818181818181823"/>
    <n v="0.7068965517241379"/>
    <n v="0.73750000000000004"/>
    <d v="2013-08-09T00:00:00"/>
    <s v="Yes"/>
    <s v="Yes"/>
    <n v="0.57499999999999996"/>
    <d v="2013-08-14T00:00:00"/>
    <m/>
    <m/>
    <m/>
    <m/>
    <m/>
    <x v="0"/>
  </r>
  <r>
    <m/>
    <x v="5"/>
    <s v="Yes"/>
    <s v="Yes"/>
    <n v="0.90909090909090906"/>
    <n v="0.84482758620689657"/>
    <n v="0.86250000000000004"/>
    <d v="2013-08-12T00:00:00"/>
    <s v="Yes"/>
    <s v="Yes"/>
    <n v="0.52500000000000002"/>
    <d v="2013-08-15T00:00:00"/>
    <m/>
    <m/>
    <m/>
    <m/>
    <m/>
    <x v="0"/>
  </r>
  <r>
    <m/>
    <x v="6"/>
    <m/>
    <m/>
    <n v="0.54545454545454541"/>
    <n v="0.43103448275862066"/>
    <n v="0.46250000000000002"/>
    <d v="2013-06-26T00:00:00"/>
    <m/>
    <m/>
    <n v="0.875"/>
    <d v="2013-08-18T00:00:00"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">
  <r>
    <n v="2013"/>
    <x v="0"/>
    <s v="N/A"/>
    <s v="N/A"/>
    <m/>
    <m/>
    <m/>
    <x v="0"/>
    <s v="N/A"/>
    <s v="N/A"/>
    <m/>
    <x v="0"/>
  </r>
  <r>
    <m/>
    <x v="1"/>
    <m/>
    <m/>
    <m/>
    <m/>
    <s v="`"/>
    <x v="0"/>
    <m/>
    <m/>
    <m/>
    <x v="0"/>
  </r>
  <r>
    <m/>
    <x v="2"/>
    <m/>
    <m/>
    <m/>
    <m/>
    <m/>
    <x v="0"/>
    <m/>
    <m/>
    <m/>
    <x v="0"/>
  </r>
  <r>
    <m/>
    <x v="3"/>
    <m/>
    <m/>
    <m/>
    <m/>
    <m/>
    <x v="0"/>
    <m/>
    <m/>
    <m/>
    <x v="0"/>
  </r>
  <r>
    <m/>
    <x v="4"/>
    <m/>
    <m/>
    <m/>
    <m/>
    <m/>
    <x v="0"/>
    <m/>
    <m/>
    <m/>
    <x v="0"/>
  </r>
  <r>
    <m/>
    <x v="5"/>
    <m/>
    <m/>
    <m/>
    <m/>
    <m/>
    <x v="0"/>
    <m/>
    <m/>
    <m/>
    <x v="0"/>
  </r>
  <r>
    <m/>
    <x v="6"/>
    <m/>
    <m/>
    <m/>
    <m/>
    <m/>
    <x v="0"/>
    <m/>
    <m/>
    <m/>
    <x v="0"/>
  </r>
  <r>
    <m/>
    <x v="7"/>
    <m/>
    <m/>
    <m/>
    <m/>
    <m/>
    <x v="0"/>
    <m/>
    <m/>
    <m/>
    <x v="0"/>
  </r>
  <r>
    <n v="2012"/>
    <x v="0"/>
    <s v="Yes"/>
    <s v="Yes"/>
    <n v="0.72727272727272729"/>
    <n v="0.43103448275862066"/>
    <n v="0.51249999999999996"/>
    <x v="1"/>
    <s v="Yes"/>
    <s v="Yes"/>
    <n v="0.82499999999999996"/>
    <x v="1"/>
  </r>
  <r>
    <m/>
    <x v="0"/>
    <m/>
    <m/>
    <n v="0.90909090909090906"/>
    <n v="0.91379310344827591"/>
    <n v="0.91249999999999998"/>
    <x v="2"/>
    <m/>
    <m/>
    <m/>
    <x v="0"/>
  </r>
  <r>
    <m/>
    <x v="1"/>
    <s v="Yes"/>
    <s v="Yes"/>
    <m/>
    <m/>
    <m/>
    <x v="0"/>
    <s v="Yes"/>
    <s v="Yes"/>
    <m/>
    <x v="0"/>
  </r>
  <r>
    <m/>
    <x v="2"/>
    <s v="Yes"/>
    <s v="Yes"/>
    <m/>
    <m/>
    <m/>
    <x v="0"/>
    <s v="Yes"/>
    <s v="Yes"/>
    <m/>
    <x v="0"/>
  </r>
  <r>
    <m/>
    <x v="3"/>
    <s v="Yes"/>
    <s v="Yes"/>
    <n v="0.45454545454545453"/>
    <n v="0.37931034482758619"/>
    <n v="0.4"/>
    <x v="3"/>
    <s v="Yes"/>
    <s v="Yes"/>
    <m/>
    <x v="0"/>
  </r>
  <r>
    <m/>
    <x v="4"/>
    <s v="Yes"/>
    <s v="Yes"/>
    <n v="0.31818181818181818"/>
    <n v="0.32758620689655171"/>
    <n v="0.32500000000000001"/>
    <x v="4"/>
    <m/>
    <m/>
    <n v="0.57499999999999996"/>
    <x v="2"/>
  </r>
  <r>
    <m/>
    <x v="8"/>
    <m/>
    <m/>
    <m/>
    <m/>
    <m/>
    <x v="0"/>
    <m/>
    <m/>
    <n v="0.6"/>
    <x v="3"/>
  </r>
  <r>
    <m/>
    <x v="5"/>
    <s v="Yes"/>
    <s v="Yes"/>
    <n v="0.86363636363636365"/>
    <n v="0.89655172413793105"/>
    <n v="0.88749999999999996"/>
    <x v="5"/>
    <s v="Yes"/>
    <s v="Yes"/>
    <m/>
    <x v="0"/>
  </r>
  <r>
    <m/>
    <x v="6"/>
    <s v="Yes"/>
    <s v="Yes"/>
    <n v="0.68181818181818177"/>
    <n v="0.62068965517241381"/>
    <n v="0.63749999999999996"/>
    <x v="6"/>
    <s v="Yes"/>
    <s v="Yes"/>
    <n v="0.875"/>
    <x v="4"/>
  </r>
  <r>
    <m/>
    <x v="7"/>
    <s v="Yes"/>
    <s v="Yes"/>
    <m/>
    <m/>
    <m/>
    <x v="0"/>
    <s v="Yes"/>
    <s v="Yes"/>
    <m/>
    <x v="0"/>
  </r>
  <r>
    <n v="2011"/>
    <x v="0"/>
    <s v="Yes"/>
    <s v="Yes"/>
    <n v="0.72727272727272729"/>
    <n v="0.55172413793103448"/>
    <n v="0.6"/>
    <x v="7"/>
    <s v="Yes"/>
    <s v="Yes"/>
    <n v="0.5"/>
    <x v="5"/>
  </r>
  <r>
    <m/>
    <x v="9"/>
    <m/>
    <m/>
    <m/>
    <m/>
    <m/>
    <x v="0"/>
    <m/>
    <m/>
    <n v="0.83750000000000002"/>
    <x v="6"/>
  </r>
  <r>
    <m/>
    <x v="1"/>
    <s v="Yes"/>
    <s v="Yes"/>
    <m/>
    <m/>
    <m/>
    <x v="0"/>
    <s v="Yes"/>
    <s v="Yes"/>
    <n v="0.85"/>
    <x v="7"/>
  </r>
  <r>
    <m/>
    <x v="2"/>
    <s v="Yes"/>
    <s v="Yes"/>
    <m/>
    <m/>
    <m/>
    <x v="0"/>
    <s v="Yes"/>
    <s v="Yes"/>
    <n v="0.72499999999999998"/>
    <x v="8"/>
  </r>
  <r>
    <m/>
    <x v="3"/>
    <s v="Yes"/>
    <s v="Yes"/>
    <m/>
    <m/>
    <m/>
    <x v="0"/>
    <s v="Yes"/>
    <m/>
    <n v="0.52500000000000002"/>
    <x v="9"/>
  </r>
  <r>
    <m/>
    <x v="4"/>
    <m/>
    <m/>
    <m/>
    <m/>
    <m/>
    <x v="0"/>
    <s v="Yes"/>
    <s v="Yes"/>
    <n v="0.47499999999999998"/>
    <x v="10"/>
  </r>
  <r>
    <m/>
    <x v="8"/>
    <m/>
    <m/>
    <m/>
    <m/>
    <m/>
    <x v="0"/>
    <m/>
    <m/>
    <n v="0.47499999999999998"/>
    <x v="11"/>
  </r>
  <r>
    <m/>
    <x v="5"/>
    <s v="Yes"/>
    <s v="Yes"/>
    <m/>
    <m/>
    <m/>
    <x v="0"/>
    <s v="Yes"/>
    <s v="Yes"/>
    <n v="0.25"/>
    <x v="12"/>
  </r>
  <r>
    <m/>
    <x v="6"/>
    <s v="Yes"/>
    <s v="Yes"/>
    <m/>
    <m/>
    <m/>
    <x v="0"/>
    <s v="Yes"/>
    <s v="Yes"/>
    <n v="0.57499999999999996"/>
    <x v="13"/>
  </r>
  <r>
    <m/>
    <x v="7"/>
    <s v="Yes"/>
    <s v="Yes"/>
    <n v="0.81818181818181823"/>
    <n v="0.75862068965517238"/>
    <n v="0.77500000000000002"/>
    <x v="8"/>
    <s v="Yes"/>
    <s v="Yes"/>
    <m/>
    <x v="0"/>
  </r>
  <r>
    <n v="2010"/>
    <x v="0"/>
    <s v="Yes"/>
    <s v="Yes"/>
    <n v="0.63636363636363635"/>
    <n v="0.72413793103448276"/>
    <n v="0.7"/>
    <x v="9"/>
    <s v="Yes"/>
    <s v="Yes"/>
    <n v="0.65"/>
    <x v="14"/>
  </r>
  <r>
    <m/>
    <x v="9"/>
    <m/>
    <m/>
    <n v="0.95454545454545459"/>
    <n v="0.96551724137931039"/>
    <n v="0.96250000000000002"/>
    <x v="10"/>
    <m/>
    <m/>
    <n v="0.92500000000000004"/>
    <x v="15"/>
  </r>
  <r>
    <m/>
    <x v="1"/>
    <s v="Yes"/>
    <s v="Yes"/>
    <n v="0.90909090909090906"/>
    <n v="0.75862068965517238"/>
    <n v="0.8"/>
    <x v="11"/>
    <s v="Yes"/>
    <s v="Yes"/>
    <n v="0.72499999999999998"/>
    <x v="16"/>
  </r>
  <r>
    <m/>
    <x v="2"/>
    <s v="Yes"/>
    <s v="Yes"/>
    <m/>
    <m/>
    <m/>
    <x v="0"/>
    <m/>
    <s v="Yes"/>
    <n v="0.45"/>
    <x v="17"/>
  </r>
  <r>
    <m/>
    <x v="3"/>
    <s v="Yes"/>
    <s v="Yes"/>
    <n v="0.72727272727272729"/>
    <n v="0.65517241379310343"/>
    <n v="0.67500000000000004"/>
    <x v="12"/>
    <s v="Yes"/>
    <s v="Yes"/>
    <n v="0.17499999999999999"/>
    <x v="18"/>
  </r>
  <r>
    <m/>
    <x v="4"/>
    <s v="Yes"/>
    <s v="Yes"/>
    <m/>
    <m/>
    <m/>
    <x v="0"/>
    <s v="Yes"/>
    <s v="Yes"/>
    <n v="0.82499999999999996"/>
    <x v="8"/>
  </r>
  <r>
    <m/>
    <x v="5"/>
    <s v="Yes"/>
    <s v="Yes"/>
    <n v="0.72727272727272729"/>
    <n v="0.7931034482758621"/>
    <n v="0.77500000000000002"/>
    <x v="13"/>
    <s v="Yes"/>
    <s v="Yes"/>
    <n v="0.6"/>
    <x v="19"/>
  </r>
  <r>
    <m/>
    <x v="6"/>
    <s v="Yes"/>
    <s v="Yes"/>
    <m/>
    <m/>
    <m/>
    <x v="0"/>
    <s v="Yes"/>
    <s v="Yes"/>
    <m/>
    <x v="0"/>
  </r>
  <r>
    <n v="2009"/>
    <x v="0"/>
    <s v="Yes"/>
    <s v="Yes"/>
    <n v="0.68181818181818177"/>
    <n v="0.60344827586206895"/>
    <n v="0.625"/>
    <x v="14"/>
    <s v="Yes"/>
    <s v="Yes"/>
    <n v="0.625"/>
    <x v="20"/>
  </r>
  <r>
    <m/>
    <x v="9"/>
    <m/>
    <m/>
    <m/>
    <m/>
    <m/>
    <x v="0"/>
    <m/>
    <m/>
    <n v="0.75"/>
    <x v="1"/>
  </r>
  <r>
    <m/>
    <x v="1"/>
    <s v="Yes"/>
    <s v="Yes"/>
    <m/>
    <m/>
    <m/>
    <x v="0"/>
    <s v="Yes"/>
    <s v="Yes"/>
    <n v="0.25"/>
    <x v="21"/>
  </r>
  <r>
    <m/>
    <x v="2"/>
    <s v="Yes"/>
    <s v="Yes"/>
    <n v="0.81818181818181823"/>
    <n v="0.86206896551724133"/>
    <n v="0.85"/>
    <x v="15"/>
    <s v="Yes"/>
    <s v="Yes"/>
    <n v="0.77500000000000002"/>
    <x v="22"/>
  </r>
  <r>
    <m/>
    <x v="3"/>
    <s v="Yes"/>
    <s v="Yes"/>
    <n v="0.45454545454545453"/>
    <n v="0.74137931034482762"/>
    <n v="0.66249999999999998"/>
    <x v="16"/>
    <s v="Yes"/>
    <s v="Yes"/>
    <n v="0.6"/>
    <x v="23"/>
  </r>
  <r>
    <m/>
    <x v="4"/>
    <s v="Yes"/>
    <s v="Yes"/>
    <n v="0.95454545454545459"/>
    <n v="0.74137931034482762"/>
    <n v="0.8"/>
    <x v="17"/>
    <s v="Yes"/>
    <s v="Yes"/>
    <n v="0.77500000000000002"/>
    <x v="24"/>
  </r>
  <r>
    <m/>
    <x v="5"/>
    <s v="Yes"/>
    <s v="Yes"/>
    <n v="0.63636363636363635"/>
    <n v="0.72413793103448276"/>
    <n v="0.7"/>
    <x v="18"/>
    <s v="Yes"/>
    <s v="Yes"/>
    <n v="0.65"/>
    <x v="25"/>
  </r>
  <r>
    <m/>
    <x v="6"/>
    <s v="Yes"/>
    <s v="Yes"/>
    <n v="0.68181818181818177"/>
    <n v="0.82758620689655171"/>
    <n v="0.78749999999999998"/>
    <x v="19"/>
    <s v="Yes"/>
    <s v="Yes"/>
    <n v="0.875"/>
    <x v="16"/>
  </r>
  <r>
    <n v="2008"/>
    <x v="0"/>
    <s v="Yes"/>
    <s v="Yes"/>
    <n v="0.40909090909090912"/>
    <n v="0.51724137931034486"/>
    <n v="0.48749999999999999"/>
    <x v="20"/>
    <s v="Yes"/>
    <s v="Yes"/>
    <n v="0.65"/>
    <x v="26"/>
  </r>
  <r>
    <m/>
    <x v="0"/>
    <m/>
    <m/>
    <m/>
    <m/>
    <m/>
    <x v="0"/>
    <m/>
    <m/>
    <n v="0.9"/>
    <x v="15"/>
  </r>
  <r>
    <m/>
    <x v="1"/>
    <s v="Yes"/>
    <s v="Yes"/>
    <m/>
    <m/>
    <m/>
    <x v="0"/>
    <s v="Yes"/>
    <s v="Yes"/>
    <n v="0.25"/>
    <x v="27"/>
  </r>
  <r>
    <m/>
    <x v="2"/>
    <s v="Yes"/>
    <s v="Yes"/>
    <n v="0.81818181818181823"/>
    <n v="0.81034482758620685"/>
    <n v="0.8125"/>
    <x v="21"/>
    <s v="Yes"/>
    <s v="Yes"/>
    <n v="0.8"/>
    <x v="28"/>
  </r>
  <r>
    <m/>
    <x v="3"/>
    <s v="Yes"/>
    <s v="Yes"/>
    <m/>
    <m/>
    <m/>
    <x v="0"/>
    <s v="Yes"/>
    <s v="Yes"/>
    <m/>
    <x v="0"/>
  </r>
  <r>
    <m/>
    <x v="4"/>
    <s v="Yes"/>
    <s v="Yes"/>
    <n v="0.68181818181818177"/>
    <n v="0.7931034482758621"/>
    <n v="0.76249999999999996"/>
    <x v="22"/>
    <s v="Yes"/>
    <s v="Yes"/>
    <m/>
    <x v="0"/>
  </r>
  <r>
    <m/>
    <x v="5"/>
    <s v="Yes"/>
    <s v="Yes"/>
    <m/>
    <m/>
    <m/>
    <x v="0"/>
    <m/>
    <s v="Yes"/>
    <n v="0.67500000000000004"/>
    <x v="29"/>
  </r>
  <r>
    <m/>
    <x v="6"/>
    <s v="Yes"/>
    <s v="Yes"/>
    <n v="0.81818181818181823"/>
    <n v="0.87931034482758619"/>
    <n v="0.86250000000000004"/>
    <x v="23"/>
    <s v="Yes"/>
    <s v="Yes"/>
    <n v="0.82499999999999996"/>
    <x v="22"/>
  </r>
  <r>
    <m/>
    <x v="10"/>
    <s v="Yes"/>
    <s v="Yes"/>
    <m/>
    <m/>
    <m/>
    <x v="0"/>
    <s v="Yes"/>
    <s v="Yes"/>
    <m/>
    <x v="0"/>
  </r>
  <r>
    <n v="2007"/>
    <x v="0"/>
    <s v="Yes"/>
    <s v="Yes"/>
    <n v="0.90909090909090906"/>
    <n v="0.91379310344827591"/>
    <n v="0.91249999999999998"/>
    <x v="24"/>
    <s v="Yes"/>
    <s v="Yes"/>
    <n v="0.85"/>
    <x v="30"/>
  </r>
  <r>
    <m/>
    <x v="1"/>
    <s v="Yes"/>
    <s v="Yes"/>
    <n v="0.81818181818181823"/>
    <n v="0.72413793103448276"/>
    <n v="0.75"/>
    <x v="25"/>
    <s v="Yes"/>
    <s v="Yes"/>
    <n v="0.52500000000000002"/>
    <x v="31"/>
  </r>
  <r>
    <m/>
    <x v="2"/>
    <s v="Yes"/>
    <s v="Yes"/>
    <m/>
    <m/>
    <m/>
    <x v="0"/>
    <s v="Yes"/>
    <s v="Yes"/>
    <m/>
    <x v="0"/>
  </r>
  <r>
    <m/>
    <x v="3"/>
    <s v="Yes"/>
    <s v="Yes"/>
    <m/>
    <m/>
    <m/>
    <x v="0"/>
    <s v="Yes"/>
    <s v="Yes"/>
    <n v="0.57499999999999996"/>
    <x v="32"/>
  </r>
  <r>
    <m/>
    <x v="4"/>
    <s v="Yes"/>
    <s v="Yes"/>
    <n v="0.90909090909090906"/>
    <n v="0.54385964912280704"/>
    <n v="0.64556962025316456"/>
    <x v="26"/>
    <s v="Yes"/>
    <s v="Yes"/>
    <n v="0.8"/>
    <x v="33"/>
  </r>
  <r>
    <m/>
    <x v="5"/>
    <s v="Yes"/>
    <s v="Yes"/>
    <n v="0.5"/>
    <n v="0.48275862068965519"/>
    <n v="0.48749999999999999"/>
    <x v="27"/>
    <m/>
    <s v="Yes"/>
    <n v="0.6"/>
    <x v="34"/>
  </r>
  <r>
    <m/>
    <x v="6"/>
    <s v="Yes"/>
    <s v="Yes"/>
    <n v="0.90909090909090906"/>
    <n v="0.93103448275862066"/>
    <n v="0.92500000000000004"/>
    <x v="28"/>
    <s v="Yes"/>
    <s v="Yes"/>
    <n v="0.7"/>
    <x v="35"/>
  </r>
  <r>
    <n v="2006"/>
    <x v="0"/>
    <s v="Yes"/>
    <s v="Yes"/>
    <n v="0.72727272727272729"/>
    <n v="0.75862068965517238"/>
    <n v="0.75"/>
    <x v="29"/>
    <s v="Yes"/>
    <s v="Yes"/>
    <n v="0.47499999999999998"/>
    <x v="36"/>
  </r>
  <r>
    <m/>
    <x v="0"/>
    <s v="Yes"/>
    <s v="Yes"/>
    <m/>
    <m/>
    <m/>
    <x v="0"/>
    <m/>
    <m/>
    <n v="0.8"/>
    <x v="37"/>
  </r>
  <r>
    <m/>
    <x v="1"/>
    <s v="Yes"/>
    <s v="Yes"/>
    <n v="0.72727272727272729"/>
    <n v="0.65517241379310343"/>
    <n v="0.67500000000000004"/>
    <x v="30"/>
    <s v="Yes"/>
    <s v="Yes"/>
    <m/>
    <x v="0"/>
  </r>
  <r>
    <m/>
    <x v="2"/>
    <s v="Yes"/>
    <s v="Yes"/>
    <n v="0.68181818181818177"/>
    <n v="0.62068965517241381"/>
    <n v="0.63749999999999996"/>
    <x v="31"/>
    <s v="Yes"/>
    <s v="Yes"/>
    <m/>
    <x v="0"/>
  </r>
  <r>
    <m/>
    <x v="3"/>
    <s v="Yes"/>
    <s v="Yes"/>
    <n v="0.59090909090909094"/>
    <n v="0.48275862068965519"/>
    <n v="0.51249999999999996"/>
    <x v="32"/>
    <s v="Yes"/>
    <s v="Yes"/>
    <n v="0.42499999999999999"/>
    <x v="38"/>
  </r>
  <r>
    <m/>
    <x v="4"/>
    <s v="Yes"/>
    <s v="Yes"/>
    <n v="0.81818181818181823"/>
    <n v="0.7068965517241379"/>
    <n v="0.73750000000000004"/>
    <x v="33"/>
    <s v="Yes"/>
    <s v="Yes"/>
    <n v="0.57499999999999996"/>
    <x v="39"/>
  </r>
  <r>
    <m/>
    <x v="5"/>
    <s v="Yes"/>
    <s v="Yes"/>
    <n v="0.90909090909090906"/>
    <n v="0.84482758620689657"/>
    <n v="0.86250000000000004"/>
    <x v="34"/>
    <s v="Yes"/>
    <s v="Yes"/>
    <n v="0.52500000000000002"/>
    <x v="40"/>
  </r>
  <r>
    <m/>
    <x v="6"/>
    <m/>
    <m/>
    <n v="0.54545454545454541"/>
    <n v="0.43103448275862066"/>
    <n v="0.46250000000000002"/>
    <x v="35"/>
    <m/>
    <m/>
    <n v="0.875"/>
    <x v="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">
  <r>
    <x v="0"/>
    <s v="N/A"/>
    <s v="N/A"/>
    <m/>
    <m/>
    <x v="0"/>
    <x v="0"/>
  </r>
  <r>
    <x v="1"/>
    <m/>
    <m/>
    <m/>
    <m/>
    <x v="1"/>
    <x v="0"/>
  </r>
  <r>
    <x v="2"/>
    <m/>
    <m/>
    <m/>
    <m/>
    <x v="0"/>
    <x v="0"/>
  </r>
  <r>
    <x v="3"/>
    <m/>
    <m/>
    <m/>
    <m/>
    <x v="0"/>
    <x v="0"/>
  </r>
  <r>
    <x v="4"/>
    <m/>
    <m/>
    <m/>
    <m/>
    <x v="0"/>
    <x v="0"/>
  </r>
  <r>
    <x v="5"/>
    <m/>
    <m/>
    <m/>
    <m/>
    <x v="0"/>
    <x v="0"/>
  </r>
  <r>
    <x v="6"/>
    <m/>
    <m/>
    <m/>
    <m/>
    <x v="0"/>
    <x v="0"/>
  </r>
  <r>
    <x v="7"/>
    <m/>
    <m/>
    <m/>
    <m/>
    <x v="0"/>
    <x v="0"/>
  </r>
  <r>
    <x v="0"/>
    <s v="Yes"/>
    <s v="Yes"/>
    <n v="0.72727272727272729"/>
    <n v="0.43103448275862066"/>
    <x v="2"/>
    <x v="1"/>
  </r>
  <r>
    <x v="0"/>
    <m/>
    <m/>
    <n v="0.90909090909090906"/>
    <n v="0.91379310344827591"/>
    <x v="3"/>
    <x v="2"/>
  </r>
  <r>
    <x v="1"/>
    <s v="Yes"/>
    <s v="Yes"/>
    <m/>
    <m/>
    <x v="0"/>
    <x v="0"/>
  </r>
  <r>
    <x v="2"/>
    <s v="Yes"/>
    <s v="Yes"/>
    <m/>
    <m/>
    <x v="0"/>
    <x v="0"/>
  </r>
  <r>
    <x v="3"/>
    <s v="Yes"/>
    <s v="Yes"/>
    <n v="0.45454545454545453"/>
    <n v="0.37931034482758619"/>
    <x v="4"/>
    <x v="3"/>
  </r>
  <r>
    <x v="4"/>
    <s v="Yes"/>
    <s v="Yes"/>
    <n v="0.31818181818181818"/>
    <n v="0.32758620689655171"/>
    <x v="5"/>
    <x v="4"/>
  </r>
  <r>
    <x v="8"/>
    <m/>
    <m/>
    <m/>
    <m/>
    <x v="0"/>
    <x v="0"/>
  </r>
  <r>
    <x v="5"/>
    <s v="Yes"/>
    <s v="Yes"/>
    <n v="0.86363636363636365"/>
    <n v="0.89655172413793105"/>
    <x v="6"/>
    <x v="5"/>
  </r>
  <r>
    <x v="6"/>
    <s v="Yes"/>
    <s v="Yes"/>
    <n v="0.68181818181818177"/>
    <n v="0.62068965517241381"/>
    <x v="7"/>
    <x v="6"/>
  </r>
  <r>
    <x v="7"/>
    <s v="Yes"/>
    <s v="Yes"/>
    <m/>
    <m/>
    <x v="0"/>
    <x v="0"/>
  </r>
  <r>
    <x v="0"/>
    <s v="Yes"/>
    <s v="Yes"/>
    <n v="0.72727272727272729"/>
    <n v="0.55172413793103448"/>
    <x v="8"/>
    <x v="7"/>
  </r>
  <r>
    <x v="9"/>
    <m/>
    <m/>
    <m/>
    <m/>
    <x v="0"/>
    <x v="0"/>
  </r>
  <r>
    <x v="1"/>
    <s v="Yes"/>
    <s v="Yes"/>
    <m/>
    <m/>
    <x v="0"/>
    <x v="0"/>
  </r>
  <r>
    <x v="2"/>
    <s v="Yes"/>
    <s v="Yes"/>
    <m/>
    <m/>
    <x v="0"/>
    <x v="0"/>
  </r>
  <r>
    <x v="3"/>
    <s v="Yes"/>
    <s v="Yes"/>
    <m/>
    <m/>
    <x v="0"/>
    <x v="0"/>
  </r>
  <r>
    <x v="4"/>
    <m/>
    <m/>
    <m/>
    <m/>
    <x v="0"/>
    <x v="0"/>
  </r>
  <r>
    <x v="8"/>
    <m/>
    <m/>
    <m/>
    <m/>
    <x v="0"/>
    <x v="0"/>
  </r>
  <r>
    <x v="5"/>
    <s v="Yes"/>
    <s v="Yes"/>
    <m/>
    <m/>
    <x v="0"/>
    <x v="0"/>
  </r>
  <r>
    <x v="6"/>
    <s v="Yes"/>
    <s v="Yes"/>
    <m/>
    <m/>
    <x v="0"/>
    <x v="0"/>
  </r>
  <r>
    <x v="7"/>
    <s v="Yes"/>
    <s v="Yes"/>
    <n v="0.81818181818181823"/>
    <n v="0.75862068965517238"/>
    <x v="9"/>
    <x v="8"/>
  </r>
  <r>
    <x v="0"/>
    <s v="Yes"/>
    <s v="Yes"/>
    <n v="0.63636363636363635"/>
    <n v="0.72413793103448276"/>
    <x v="10"/>
    <x v="9"/>
  </r>
  <r>
    <x v="9"/>
    <m/>
    <m/>
    <n v="0.95454545454545459"/>
    <n v="0.96551724137931039"/>
    <x v="11"/>
    <x v="10"/>
  </r>
  <r>
    <x v="1"/>
    <s v="Yes"/>
    <s v="Yes"/>
    <n v="0.90909090909090906"/>
    <n v="0.75862068965517238"/>
    <x v="12"/>
    <x v="11"/>
  </r>
  <r>
    <x v="2"/>
    <s v="Yes"/>
    <s v="Yes"/>
    <m/>
    <m/>
    <x v="0"/>
    <x v="0"/>
  </r>
  <r>
    <x v="3"/>
    <s v="Yes"/>
    <s v="Yes"/>
    <n v="0.72727272727272729"/>
    <n v="0.65517241379310343"/>
    <x v="13"/>
    <x v="12"/>
  </r>
  <r>
    <x v="4"/>
    <s v="Yes"/>
    <s v="Yes"/>
    <m/>
    <m/>
    <x v="0"/>
    <x v="0"/>
  </r>
  <r>
    <x v="5"/>
    <s v="Yes"/>
    <s v="Yes"/>
    <n v="0.72727272727272729"/>
    <n v="0.7931034482758621"/>
    <x v="9"/>
    <x v="13"/>
  </r>
  <r>
    <x v="6"/>
    <s v="Yes"/>
    <s v="Yes"/>
    <m/>
    <m/>
    <x v="0"/>
    <x v="0"/>
  </r>
  <r>
    <x v="0"/>
    <s v="Yes"/>
    <s v="Yes"/>
    <n v="0.68181818181818177"/>
    <n v="0.60344827586206895"/>
    <x v="14"/>
    <x v="14"/>
  </r>
  <r>
    <x v="9"/>
    <m/>
    <m/>
    <m/>
    <m/>
    <x v="0"/>
    <x v="0"/>
  </r>
  <r>
    <x v="1"/>
    <s v="Yes"/>
    <s v="Yes"/>
    <m/>
    <m/>
    <x v="0"/>
    <x v="0"/>
  </r>
  <r>
    <x v="2"/>
    <s v="Yes"/>
    <s v="Yes"/>
    <n v="0.81818181818181823"/>
    <n v="0.86206896551724133"/>
    <x v="15"/>
    <x v="15"/>
  </r>
  <r>
    <x v="3"/>
    <s v="Yes"/>
    <s v="Yes"/>
    <n v="0.45454545454545453"/>
    <n v="0.74137931034482762"/>
    <x v="16"/>
    <x v="16"/>
  </r>
  <r>
    <x v="4"/>
    <s v="Yes"/>
    <s v="Yes"/>
    <n v="0.95454545454545459"/>
    <n v="0.74137931034482762"/>
    <x v="12"/>
    <x v="17"/>
  </r>
  <r>
    <x v="5"/>
    <s v="Yes"/>
    <s v="Yes"/>
    <n v="0.63636363636363635"/>
    <n v="0.72413793103448276"/>
    <x v="10"/>
    <x v="18"/>
  </r>
  <r>
    <x v="6"/>
    <s v="Yes"/>
    <s v="Yes"/>
    <n v="0.68181818181818177"/>
    <n v="0.82758620689655171"/>
    <x v="17"/>
    <x v="19"/>
  </r>
  <r>
    <x v="0"/>
    <s v="Yes"/>
    <s v="Yes"/>
    <n v="0.40909090909090912"/>
    <n v="0.51724137931034486"/>
    <x v="18"/>
    <x v="20"/>
  </r>
  <r>
    <x v="0"/>
    <m/>
    <m/>
    <m/>
    <m/>
    <x v="0"/>
    <x v="0"/>
  </r>
  <r>
    <x v="1"/>
    <s v="Yes"/>
    <s v="Yes"/>
    <m/>
    <m/>
    <x v="0"/>
    <x v="0"/>
  </r>
  <r>
    <x v="2"/>
    <s v="Yes"/>
    <s v="Yes"/>
    <n v="0.81818181818181823"/>
    <n v="0.81034482758620685"/>
    <x v="19"/>
    <x v="21"/>
  </r>
  <r>
    <x v="3"/>
    <s v="Yes"/>
    <s v="Yes"/>
    <m/>
    <m/>
    <x v="0"/>
    <x v="0"/>
  </r>
  <r>
    <x v="4"/>
    <s v="Yes"/>
    <s v="Yes"/>
    <n v="0.68181818181818177"/>
    <n v="0.7931034482758621"/>
    <x v="20"/>
    <x v="22"/>
  </r>
  <r>
    <x v="5"/>
    <s v="Yes"/>
    <s v="Yes"/>
    <m/>
    <m/>
    <x v="0"/>
    <x v="0"/>
  </r>
  <r>
    <x v="6"/>
    <s v="Yes"/>
    <s v="Yes"/>
    <n v="0.81818181818181823"/>
    <n v="0.87931034482758619"/>
    <x v="21"/>
    <x v="23"/>
  </r>
  <r>
    <x v="10"/>
    <s v="Yes"/>
    <s v="Yes"/>
    <m/>
    <m/>
    <x v="0"/>
    <x v="0"/>
  </r>
  <r>
    <x v="0"/>
    <s v="Yes"/>
    <s v="Yes"/>
    <n v="0.90909090909090906"/>
    <n v="0.91379310344827591"/>
    <x v="3"/>
    <x v="24"/>
  </r>
  <r>
    <x v="1"/>
    <s v="Yes"/>
    <s v="Yes"/>
    <n v="0.81818181818181823"/>
    <n v="0.72413793103448276"/>
    <x v="22"/>
    <x v="25"/>
  </r>
  <r>
    <x v="2"/>
    <s v="Yes"/>
    <s v="Yes"/>
    <m/>
    <m/>
    <x v="0"/>
    <x v="0"/>
  </r>
  <r>
    <x v="3"/>
    <s v="Yes"/>
    <s v="Yes"/>
    <m/>
    <m/>
    <x v="0"/>
    <x v="0"/>
  </r>
  <r>
    <x v="4"/>
    <s v="Yes"/>
    <s v="Yes"/>
    <n v="0.90909090909090906"/>
    <n v="0.54385964912280704"/>
    <x v="23"/>
    <x v="26"/>
  </r>
  <r>
    <x v="5"/>
    <s v="Yes"/>
    <s v="Yes"/>
    <n v="0.5"/>
    <n v="0.48275862068965519"/>
    <x v="18"/>
    <x v="27"/>
  </r>
  <r>
    <x v="6"/>
    <s v="Yes"/>
    <s v="Yes"/>
    <n v="0.90909090909090906"/>
    <n v="0.93103448275862066"/>
    <x v="24"/>
    <x v="28"/>
  </r>
  <r>
    <x v="0"/>
    <s v="Yes"/>
    <s v="Yes"/>
    <n v="0.72727272727272729"/>
    <n v="0.75862068965517238"/>
    <x v="22"/>
    <x v="29"/>
  </r>
  <r>
    <x v="0"/>
    <s v="Yes"/>
    <s v="Yes"/>
    <m/>
    <m/>
    <x v="0"/>
    <x v="0"/>
  </r>
  <r>
    <x v="1"/>
    <s v="Yes"/>
    <s v="Yes"/>
    <n v="0.72727272727272729"/>
    <n v="0.65517241379310343"/>
    <x v="13"/>
    <x v="30"/>
  </r>
  <r>
    <x v="2"/>
    <s v="Yes"/>
    <s v="Yes"/>
    <n v="0.68181818181818177"/>
    <n v="0.62068965517241381"/>
    <x v="7"/>
    <x v="31"/>
  </r>
  <r>
    <x v="3"/>
    <s v="Yes"/>
    <s v="Yes"/>
    <n v="0.59090909090909094"/>
    <n v="0.48275862068965519"/>
    <x v="2"/>
    <x v="32"/>
  </r>
  <r>
    <x v="4"/>
    <s v="Yes"/>
    <s v="Yes"/>
    <n v="0.81818181818181823"/>
    <n v="0.7068965517241379"/>
    <x v="25"/>
    <x v="33"/>
  </r>
  <r>
    <x v="5"/>
    <s v="Yes"/>
    <s v="Yes"/>
    <n v="0.90909090909090906"/>
    <n v="0.84482758620689657"/>
    <x v="21"/>
    <x v="34"/>
  </r>
  <r>
    <x v="6"/>
    <m/>
    <m/>
    <n v="0.54545454545454541"/>
    <n v="0.43103448275862066"/>
    <x v="26"/>
    <x v="3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8">
  <r>
    <x v="0"/>
    <s v="N/A"/>
    <s v="N/A"/>
    <m/>
    <m/>
    <m/>
    <x v="0"/>
    <s v="N/A"/>
    <s v="N/A"/>
    <m/>
    <m/>
  </r>
  <r>
    <x v="1"/>
    <m/>
    <m/>
    <m/>
    <m/>
    <s v="`"/>
    <x v="0"/>
    <m/>
    <m/>
    <m/>
    <m/>
  </r>
  <r>
    <x v="2"/>
    <m/>
    <m/>
    <m/>
    <m/>
    <m/>
    <x v="0"/>
    <m/>
    <m/>
    <m/>
    <m/>
  </r>
  <r>
    <x v="3"/>
    <m/>
    <m/>
    <m/>
    <m/>
    <m/>
    <x v="0"/>
    <m/>
    <m/>
    <m/>
    <m/>
  </r>
  <r>
    <x v="4"/>
    <m/>
    <m/>
    <m/>
    <m/>
    <m/>
    <x v="0"/>
    <m/>
    <m/>
    <m/>
    <m/>
  </r>
  <r>
    <x v="5"/>
    <m/>
    <m/>
    <m/>
    <m/>
    <m/>
    <x v="0"/>
    <m/>
    <m/>
    <m/>
    <m/>
  </r>
  <r>
    <x v="6"/>
    <m/>
    <m/>
    <m/>
    <m/>
    <m/>
    <x v="0"/>
    <m/>
    <m/>
    <m/>
    <m/>
  </r>
  <r>
    <x v="7"/>
    <m/>
    <m/>
    <m/>
    <m/>
    <m/>
    <x v="0"/>
    <m/>
    <m/>
    <m/>
    <m/>
  </r>
  <r>
    <x v="0"/>
    <s v="Yes"/>
    <s v="Yes"/>
    <n v="0.72727272727272729"/>
    <n v="0.43103448275862066"/>
    <n v="0.51249999999999996"/>
    <x v="1"/>
    <s v="Yes"/>
    <s v="Yes"/>
    <n v="0.82499999999999996"/>
    <d v="2013-10-28T00:00:00"/>
  </r>
  <r>
    <x v="0"/>
    <m/>
    <m/>
    <n v="0.90909090909090906"/>
    <n v="0.91379310344827591"/>
    <n v="0.91249999999999998"/>
    <x v="2"/>
    <m/>
    <m/>
    <m/>
    <m/>
  </r>
  <r>
    <x v="1"/>
    <s v="Yes"/>
    <s v="Yes"/>
    <m/>
    <m/>
    <m/>
    <x v="0"/>
    <s v="Yes"/>
    <s v="Yes"/>
    <m/>
    <m/>
  </r>
  <r>
    <x v="2"/>
    <s v="Yes"/>
    <s v="Yes"/>
    <m/>
    <m/>
    <m/>
    <x v="0"/>
    <s v="Yes"/>
    <s v="Yes"/>
    <m/>
    <m/>
  </r>
  <r>
    <x v="3"/>
    <s v="Yes"/>
    <s v="Yes"/>
    <n v="0.45454545454545453"/>
    <n v="0.37931034482758619"/>
    <n v="0.4"/>
    <x v="3"/>
    <s v="Yes"/>
    <s v="Yes"/>
    <m/>
    <m/>
  </r>
  <r>
    <x v="4"/>
    <s v="Yes"/>
    <s v="Yes"/>
    <n v="0.31818181818181818"/>
    <n v="0.32758620689655171"/>
    <n v="0.32500000000000001"/>
    <x v="4"/>
    <m/>
    <m/>
    <n v="0.57499999999999996"/>
    <d v="2013-10-12T00:00:00"/>
  </r>
  <r>
    <x v="8"/>
    <m/>
    <m/>
    <m/>
    <m/>
    <m/>
    <x v="0"/>
    <m/>
    <m/>
    <n v="0.6"/>
    <d v="2013-07-30T00:00:00"/>
  </r>
  <r>
    <x v="5"/>
    <s v="Yes"/>
    <s v="Yes"/>
    <n v="0.86363636363636365"/>
    <n v="0.89655172413793105"/>
    <n v="0.88749999999999996"/>
    <x v="5"/>
    <s v="Yes"/>
    <s v="Yes"/>
    <m/>
    <m/>
  </r>
  <r>
    <x v="6"/>
    <s v="Yes"/>
    <s v="Yes"/>
    <n v="0.68181818181818177"/>
    <n v="0.62068965517241381"/>
    <n v="0.63749999999999996"/>
    <x v="6"/>
    <s v="Yes"/>
    <s v="Yes"/>
    <n v="0.875"/>
    <d v="2013-10-13T00:00:00"/>
  </r>
  <r>
    <x v="7"/>
    <s v="Yes"/>
    <s v="Yes"/>
    <m/>
    <m/>
    <m/>
    <x v="0"/>
    <s v="Yes"/>
    <s v="Yes"/>
    <m/>
    <m/>
  </r>
  <r>
    <x v="0"/>
    <s v="Yes"/>
    <s v="Yes"/>
    <n v="0.72727272727272729"/>
    <n v="0.55172413793103448"/>
    <n v="0.6"/>
    <x v="7"/>
    <s v="Yes"/>
    <s v="Yes"/>
    <n v="0.5"/>
    <d v="2013-07-18T00:00:00"/>
  </r>
  <r>
    <x v="9"/>
    <m/>
    <m/>
    <m/>
    <m/>
    <m/>
    <x v="0"/>
    <m/>
    <m/>
    <n v="0.83750000000000002"/>
    <d v="2013-11-03T00:00:00"/>
  </r>
  <r>
    <x v="1"/>
    <s v="Yes"/>
    <s v="Yes"/>
    <m/>
    <m/>
    <m/>
    <x v="0"/>
    <s v="Yes"/>
    <s v="Yes"/>
    <n v="0.85"/>
    <d v="2013-10-04T00:00:00"/>
  </r>
  <r>
    <x v="2"/>
    <s v="Yes"/>
    <s v="Yes"/>
    <m/>
    <m/>
    <m/>
    <x v="0"/>
    <s v="Yes"/>
    <s v="Yes"/>
    <n v="0.72499999999999998"/>
    <d v="2013-09-30T00:00:00"/>
  </r>
  <r>
    <x v="3"/>
    <s v="Yes"/>
    <s v="Yes"/>
    <m/>
    <m/>
    <m/>
    <x v="0"/>
    <s v="Yes"/>
    <m/>
    <n v="0.52500000000000002"/>
    <d v="2013-07-16T00:00:00"/>
  </r>
  <r>
    <x v="4"/>
    <m/>
    <m/>
    <m/>
    <m/>
    <m/>
    <x v="0"/>
    <s v="Yes"/>
    <s v="Yes"/>
    <n v="0.47499999999999998"/>
    <d v="2013-07-04T00:00:00"/>
  </r>
  <r>
    <x v="8"/>
    <m/>
    <m/>
    <m/>
    <m/>
    <m/>
    <x v="0"/>
    <m/>
    <m/>
    <n v="0.47499999999999998"/>
    <d v="2013-08-07T00:00:00"/>
  </r>
  <r>
    <x v="5"/>
    <s v="Yes"/>
    <s v="Yes"/>
    <m/>
    <m/>
    <m/>
    <x v="0"/>
    <s v="Yes"/>
    <s v="Yes"/>
    <n v="0.25"/>
    <d v="2013-07-08T00:00:00"/>
  </r>
  <r>
    <x v="6"/>
    <s v="Yes"/>
    <s v="Yes"/>
    <m/>
    <m/>
    <m/>
    <x v="0"/>
    <s v="Yes"/>
    <s v="Yes"/>
    <n v="0.57499999999999996"/>
    <d v="2013-10-15T00:00:00"/>
  </r>
  <r>
    <x v="7"/>
    <s v="Yes"/>
    <s v="Yes"/>
    <n v="0.81818181818181823"/>
    <n v="0.75862068965517238"/>
    <n v="0.77500000000000002"/>
    <x v="8"/>
    <s v="Yes"/>
    <s v="Yes"/>
    <m/>
    <m/>
  </r>
  <r>
    <x v="0"/>
    <s v="Yes"/>
    <s v="Yes"/>
    <n v="0.63636363636363635"/>
    <n v="0.72413793103448276"/>
    <n v="0.7"/>
    <x v="9"/>
    <s v="Yes"/>
    <s v="Yes"/>
    <n v="0.65"/>
    <d v="2013-07-21T00:00:00"/>
  </r>
  <r>
    <x v="9"/>
    <m/>
    <m/>
    <n v="0.95454545454545459"/>
    <n v="0.96551724137931039"/>
    <n v="0.96250000000000002"/>
    <x v="10"/>
    <m/>
    <m/>
    <n v="0.92500000000000004"/>
    <d v="2013-11-05T00:00:00"/>
  </r>
  <r>
    <x v="1"/>
    <s v="Yes"/>
    <s v="Yes"/>
    <n v="0.90909090909090906"/>
    <n v="0.75862068965517238"/>
    <n v="0.8"/>
    <x v="11"/>
    <s v="Yes"/>
    <s v="Yes"/>
    <n v="0.72499999999999998"/>
    <d v="2013-09-27T00:00:00"/>
  </r>
  <r>
    <x v="2"/>
    <s v="Yes"/>
    <s v="Yes"/>
    <m/>
    <m/>
    <m/>
    <x v="0"/>
    <m/>
    <s v="Yes"/>
    <n v="0.45"/>
    <d v="2013-07-01T00:00:00"/>
  </r>
  <r>
    <x v="3"/>
    <s v="Yes"/>
    <s v="Yes"/>
    <n v="0.72727272727272729"/>
    <n v="0.65517241379310343"/>
    <n v="0.67500000000000004"/>
    <x v="12"/>
    <s v="Yes"/>
    <s v="Yes"/>
    <n v="0.17499999999999999"/>
    <d v="2013-07-13T00:00:00"/>
  </r>
  <r>
    <x v="4"/>
    <s v="Yes"/>
    <s v="Yes"/>
    <m/>
    <m/>
    <m/>
    <x v="0"/>
    <s v="Yes"/>
    <s v="Yes"/>
    <n v="0.82499999999999996"/>
    <d v="2013-09-30T00:00:00"/>
  </r>
  <r>
    <x v="5"/>
    <s v="Yes"/>
    <s v="Yes"/>
    <n v="0.72727272727272729"/>
    <n v="0.7931034482758621"/>
    <n v="0.77500000000000002"/>
    <x v="13"/>
    <s v="Yes"/>
    <s v="Yes"/>
    <n v="0.6"/>
    <d v="2013-10-02T00:00:00"/>
  </r>
  <r>
    <x v="6"/>
    <s v="Yes"/>
    <s v="Yes"/>
    <m/>
    <m/>
    <m/>
    <x v="0"/>
    <s v="Yes"/>
    <s v="Yes"/>
    <m/>
    <m/>
  </r>
  <r>
    <x v="0"/>
    <s v="Yes"/>
    <s v="Yes"/>
    <n v="0.68181818181818177"/>
    <n v="0.60344827586206895"/>
    <n v="0.625"/>
    <x v="14"/>
    <s v="Yes"/>
    <s v="Yes"/>
    <n v="0.625"/>
    <d v="2013-07-23T00:00:00"/>
  </r>
  <r>
    <x v="9"/>
    <m/>
    <m/>
    <m/>
    <m/>
    <m/>
    <x v="0"/>
    <m/>
    <m/>
    <n v="0.75"/>
    <d v="2013-10-28T00:00:00"/>
  </r>
  <r>
    <x v="1"/>
    <s v="Yes"/>
    <s v="Yes"/>
    <m/>
    <m/>
    <m/>
    <x v="0"/>
    <s v="Yes"/>
    <s v="Yes"/>
    <n v="0.25"/>
    <d v="2013-06-25T00:00:00"/>
  </r>
  <r>
    <x v="2"/>
    <s v="Yes"/>
    <s v="Yes"/>
    <n v="0.81818181818181823"/>
    <n v="0.86206896551724133"/>
    <n v="0.85"/>
    <x v="15"/>
    <s v="Yes"/>
    <s v="Yes"/>
    <n v="0.77500000000000002"/>
    <d v="2013-09-19T00:00:00"/>
  </r>
  <r>
    <x v="3"/>
    <s v="Yes"/>
    <s v="Yes"/>
    <n v="0.45454545454545453"/>
    <n v="0.74137931034482762"/>
    <n v="0.66249999999999998"/>
    <x v="16"/>
    <s v="Yes"/>
    <s v="Yes"/>
    <n v="0.6"/>
    <d v="2013-09-24T00:00:00"/>
  </r>
  <r>
    <x v="4"/>
    <s v="Yes"/>
    <s v="Yes"/>
    <n v="0.95454545454545459"/>
    <n v="0.74137931034482762"/>
    <n v="0.8"/>
    <x v="17"/>
    <s v="Yes"/>
    <s v="Yes"/>
    <n v="0.77500000000000002"/>
    <d v="2013-09-25T00:00:00"/>
  </r>
  <r>
    <x v="5"/>
    <s v="Yes"/>
    <s v="Yes"/>
    <n v="0.63636363636363635"/>
    <n v="0.72413793103448276"/>
    <n v="0.7"/>
    <x v="18"/>
    <s v="Yes"/>
    <s v="Yes"/>
    <n v="0.65"/>
    <d v="2013-09-26T00:00:00"/>
  </r>
  <r>
    <x v="6"/>
    <s v="Yes"/>
    <s v="Yes"/>
    <n v="0.68181818181818177"/>
    <n v="0.82758620689655171"/>
    <n v="0.78749999999999998"/>
    <x v="19"/>
    <s v="Yes"/>
    <s v="Yes"/>
    <n v="0.875"/>
    <d v="2013-09-27T00:00:00"/>
  </r>
  <r>
    <x v="0"/>
    <s v="Yes"/>
    <s v="Yes"/>
    <n v="0.40909090909090912"/>
    <n v="0.51724137931034486"/>
    <n v="0.48749999999999999"/>
    <x v="20"/>
    <s v="Yes"/>
    <s v="Yes"/>
    <n v="0.65"/>
    <d v="2013-07-28T00:00:00"/>
  </r>
  <r>
    <x v="0"/>
    <m/>
    <m/>
    <m/>
    <m/>
    <m/>
    <x v="0"/>
    <m/>
    <m/>
    <n v="0.9"/>
    <d v="2013-11-05T00:00:00"/>
  </r>
  <r>
    <x v="1"/>
    <s v="Yes"/>
    <s v="Yes"/>
    <m/>
    <m/>
    <m/>
    <x v="0"/>
    <s v="Yes"/>
    <s v="Yes"/>
    <n v="0.25"/>
    <d v="2013-06-29T00:00:00"/>
  </r>
  <r>
    <x v="2"/>
    <s v="Yes"/>
    <s v="Yes"/>
    <n v="0.81818181818181823"/>
    <n v="0.81034482758620685"/>
    <n v="0.8125"/>
    <x v="21"/>
    <s v="Yes"/>
    <s v="Yes"/>
    <n v="0.8"/>
    <d v="2013-09-10T00:00:00"/>
  </r>
  <r>
    <x v="3"/>
    <s v="Yes"/>
    <s v="Yes"/>
    <m/>
    <m/>
    <m/>
    <x v="0"/>
    <s v="Yes"/>
    <s v="Yes"/>
    <m/>
    <m/>
  </r>
  <r>
    <x v="4"/>
    <s v="Yes"/>
    <s v="Yes"/>
    <n v="0.68181818181818177"/>
    <n v="0.7931034482758621"/>
    <n v="0.76249999999999996"/>
    <x v="22"/>
    <s v="Yes"/>
    <s v="Yes"/>
    <m/>
    <m/>
  </r>
  <r>
    <x v="5"/>
    <s v="Yes"/>
    <s v="Yes"/>
    <m/>
    <m/>
    <m/>
    <x v="0"/>
    <m/>
    <s v="Yes"/>
    <n v="0.67500000000000004"/>
    <d v="2013-09-16T00:00:00"/>
  </r>
  <r>
    <x v="6"/>
    <s v="Yes"/>
    <s v="Yes"/>
    <n v="0.81818181818181823"/>
    <n v="0.87931034482758619"/>
    <n v="0.86250000000000004"/>
    <x v="23"/>
    <s v="Yes"/>
    <s v="Yes"/>
    <n v="0.82499999999999996"/>
    <d v="2013-09-19T00:00:00"/>
  </r>
  <r>
    <x v="10"/>
    <s v="Yes"/>
    <s v="Yes"/>
    <m/>
    <m/>
    <m/>
    <x v="0"/>
    <s v="Yes"/>
    <s v="Yes"/>
    <m/>
    <m/>
  </r>
  <r>
    <x v="0"/>
    <s v="Yes"/>
    <s v="Yes"/>
    <n v="0.90909090909090906"/>
    <n v="0.91379310344827591"/>
    <n v="0.91249999999999998"/>
    <x v="24"/>
    <s v="Yes"/>
    <s v="Yes"/>
    <n v="0.85"/>
    <d v="2013-10-30T00:00:00"/>
  </r>
  <r>
    <x v="1"/>
    <s v="Yes"/>
    <s v="Yes"/>
    <n v="0.81818181818181823"/>
    <n v="0.72413793103448276"/>
    <n v="0.75"/>
    <x v="25"/>
    <s v="Yes"/>
    <s v="Yes"/>
    <n v="0.52500000000000002"/>
    <d v="2013-08-20T00:00:00"/>
  </r>
  <r>
    <x v="2"/>
    <s v="Yes"/>
    <s v="Yes"/>
    <m/>
    <m/>
    <m/>
    <x v="0"/>
    <s v="Yes"/>
    <s v="Yes"/>
    <m/>
    <m/>
  </r>
  <r>
    <x v="3"/>
    <s v="Yes"/>
    <s v="Yes"/>
    <m/>
    <m/>
    <m/>
    <x v="0"/>
    <s v="Yes"/>
    <s v="Yes"/>
    <n v="0.57499999999999996"/>
    <d v="2013-08-30T00:00:00"/>
  </r>
  <r>
    <x v="4"/>
    <s v="Yes"/>
    <s v="Yes"/>
    <n v="0.90909090909090906"/>
    <n v="0.54385964912280704"/>
    <n v="0.64556962025316456"/>
    <x v="26"/>
    <s v="Yes"/>
    <s v="Yes"/>
    <n v="0.8"/>
    <d v="2013-08-31T00:00:00"/>
  </r>
  <r>
    <x v="5"/>
    <s v="Yes"/>
    <s v="Yes"/>
    <n v="0.5"/>
    <n v="0.48275862068965519"/>
    <n v="0.48749999999999999"/>
    <x v="27"/>
    <m/>
    <s v="Yes"/>
    <n v="0.6"/>
    <d v="2013-09-01T00:00:00"/>
  </r>
  <r>
    <x v="6"/>
    <s v="Yes"/>
    <s v="Yes"/>
    <n v="0.90909090909090906"/>
    <n v="0.93103448275862066"/>
    <n v="0.92500000000000004"/>
    <x v="28"/>
    <s v="Yes"/>
    <s v="Yes"/>
    <n v="0.7"/>
    <d v="2013-09-06T00:00:00"/>
  </r>
  <r>
    <x v="0"/>
    <s v="Yes"/>
    <s v="Yes"/>
    <n v="0.72727272727272729"/>
    <n v="0.75862068965517238"/>
    <n v="0.75"/>
    <x v="29"/>
    <s v="Yes"/>
    <s v="Yes"/>
    <n v="0.47499999999999998"/>
    <d v="2013-07-29T00:00:00"/>
  </r>
  <r>
    <x v="0"/>
    <s v="Yes"/>
    <s v="Yes"/>
    <m/>
    <m/>
    <m/>
    <x v="0"/>
    <m/>
    <m/>
    <n v="0.8"/>
    <d v="2013-10-16T00:00:00"/>
  </r>
  <r>
    <x v="1"/>
    <s v="Yes"/>
    <s v="Yes"/>
    <n v="0.72727272727272729"/>
    <n v="0.65517241379310343"/>
    <n v="0.67500000000000004"/>
    <x v="30"/>
    <s v="Yes"/>
    <s v="Yes"/>
    <m/>
    <m/>
  </r>
  <r>
    <x v="2"/>
    <s v="Yes"/>
    <s v="Yes"/>
    <n v="0.68181818181818177"/>
    <n v="0.62068965517241381"/>
    <n v="0.63749999999999996"/>
    <x v="31"/>
    <s v="Yes"/>
    <s v="Yes"/>
    <m/>
    <m/>
  </r>
  <r>
    <x v="3"/>
    <s v="Yes"/>
    <s v="Yes"/>
    <n v="0.59090909090909094"/>
    <n v="0.48275862068965519"/>
    <n v="0.51249999999999996"/>
    <x v="32"/>
    <s v="Yes"/>
    <s v="Yes"/>
    <n v="0.42499999999999999"/>
    <d v="2013-08-06T00:00:00"/>
  </r>
  <r>
    <x v="4"/>
    <s v="Yes"/>
    <s v="Yes"/>
    <n v="0.81818181818181823"/>
    <n v="0.7068965517241379"/>
    <n v="0.73750000000000004"/>
    <x v="33"/>
    <s v="Yes"/>
    <s v="Yes"/>
    <n v="0.57499999999999996"/>
    <d v="2013-08-14T00:00:00"/>
  </r>
  <r>
    <x v="5"/>
    <s v="Yes"/>
    <s v="Yes"/>
    <n v="0.90909090909090906"/>
    <n v="0.84482758620689657"/>
    <n v="0.86250000000000004"/>
    <x v="34"/>
    <s v="Yes"/>
    <s v="Yes"/>
    <n v="0.52500000000000002"/>
    <d v="2013-08-15T00:00:00"/>
  </r>
  <r>
    <x v="6"/>
    <m/>
    <m/>
    <n v="0.54545454545454541"/>
    <n v="0.43103448275862066"/>
    <n v="0.46250000000000002"/>
    <x v="35"/>
    <m/>
    <m/>
    <n v="0.875"/>
    <d v="2013-08-1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M9" firstHeaderRow="1" firstDataRow="2" firstDataCol="1"/>
  <pivotFields count="18">
    <pivotField showAll="0"/>
    <pivotField axis="axisCol" showAll="0">
      <items count="12">
        <item x="7"/>
        <item x="2"/>
        <item x="1"/>
        <item x="3"/>
        <item x="4"/>
        <item x="5"/>
        <item x="8"/>
        <item x="10"/>
        <item x="6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2"/>
        <item x="1"/>
        <item x="4"/>
        <item x="0"/>
        <item x="5"/>
        <item x="3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 Mark2" fld="16" baseField="17" baseItem="0"/>
  </dataFields>
  <chartFormats count="11"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M39" firstHeaderRow="1" firstDataRow="2" firstDataCol="1"/>
  <pivotFields count="12">
    <pivotField showAll="0"/>
    <pivotField axis="axisCol" showAll="0">
      <items count="12">
        <item x="7"/>
        <item x="2"/>
        <item x="1"/>
        <item x="3"/>
        <item x="4"/>
        <item x="5"/>
        <item x="8"/>
        <item x="10"/>
        <item x="6"/>
        <item x="0"/>
        <item x="9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37">
        <item x="20"/>
        <item x="35"/>
        <item x="29"/>
        <item x="27"/>
        <item x="3"/>
        <item x="6"/>
        <item x="4"/>
        <item x="1"/>
        <item x="7"/>
        <item x="9"/>
        <item x="14"/>
        <item x="30"/>
        <item x="31"/>
        <item x="32"/>
        <item x="33"/>
        <item x="34"/>
        <item x="25"/>
        <item x="26"/>
        <item x="28"/>
        <item x="22"/>
        <item x="21"/>
        <item x="23"/>
        <item x="15"/>
        <item x="16"/>
        <item x="17"/>
        <item x="18"/>
        <item x="0"/>
        <item x="11"/>
        <item x="19"/>
        <item x="12"/>
        <item x="13"/>
        <item x="8"/>
        <item x="5"/>
        <item x="24"/>
        <item x="10"/>
        <item x="2"/>
        <item t="default"/>
      </items>
    </pivotField>
    <pivotField showAll="0"/>
    <pivotField showAll="0"/>
    <pivotField showAll="0"/>
    <pivotField showAll="0"/>
  </pivotFields>
  <rowFields count="1">
    <field x="7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 Mark" fld="6" baseField="7" baseItem="0"/>
  </dataFields>
  <chartFormats count="11"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M45" firstHeaderRow="1" firstDataRow="2" firstDataCol="1"/>
  <pivotFields count="12">
    <pivotField showAll="0"/>
    <pivotField axis="axisCol" showAll="0">
      <items count="12">
        <item x="7"/>
        <item x="2"/>
        <item x="1"/>
        <item x="3"/>
        <item x="4"/>
        <item x="5"/>
        <item x="8"/>
        <item x="10"/>
        <item x="6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3">
        <item x="21"/>
        <item x="27"/>
        <item x="17"/>
        <item x="10"/>
        <item x="12"/>
        <item x="18"/>
        <item x="9"/>
        <item x="5"/>
        <item x="14"/>
        <item x="20"/>
        <item x="26"/>
        <item x="36"/>
        <item x="3"/>
        <item x="38"/>
        <item x="11"/>
        <item x="39"/>
        <item x="40"/>
        <item x="41"/>
        <item x="31"/>
        <item x="32"/>
        <item x="33"/>
        <item x="34"/>
        <item x="35"/>
        <item x="28"/>
        <item x="29"/>
        <item x="22"/>
        <item x="23"/>
        <item x="24"/>
        <item x="25"/>
        <item x="16"/>
        <item x="0"/>
        <item x="8"/>
        <item x="19"/>
        <item x="7"/>
        <item x="2"/>
        <item x="4"/>
        <item x="13"/>
        <item x="37"/>
        <item x="1"/>
        <item x="30"/>
        <item x="6"/>
        <item x="15"/>
        <item t="default"/>
      </items>
    </pivotField>
  </pivotFields>
  <rowFields count="1">
    <field x="1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Mark" fld="10" baseField="11" baseItem="0"/>
  </dataFields>
  <chartFormats count="11"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heet1" cacheId="8" applyNumberFormats="0" applyBorderFormats="0" applyFontFormats="0" applyPatternFormats="0" applyAlignmentFormats="0" applyWidthHeightFormats="0" dataCaption="" updatedVersion="5">
  <location ref="A4:M7" firstHeaderRow="1" firstDataRow="2" firstDataCol="1" rowPageCount="1" colPageCount="1"/>
  <pivotFields count="7">
    <pivotField name="Paper" axis="axisCol" outline="0" multipleItemSelectionAllowed="1" showAll="0" sortType="ascending">
      <items count="12">
        <item x="7"/>
        <item x="2"/>
        <item x="1"/>
        <item x="3"/>
        <item x="4"/>
        <item x="5"/>
        <item x="8"/>
        <item x="10"/>
        <item x="6"/>
        <item x="0"/>
        <item x="9"/>
        <item t="default"/>
      </items>
    </pivotField>
    <pivotField name="Printed Questions" outline="0" multipleItemSelectionAllowed="1" showAll="0"/>
    <pivotField name="Printed Solutions" outline="0" multipleItemSelectionAllowed="1" showAll="0"/>
    <pivotField name="Section 1 Mark" outline="0" multipleItemSelectionAllowed="1" showAll="0"/>
    <pivotField name="Section 2 Mark" outline="0" multipleItemSelectionAllowed="1" showAll="0"/>
    <pivotField name="Total Mark" axis="axisPage" dataField="1" outline="0" multipleItemSelectionAllowed="1" showAll="0">
      <items count="28">
        <item x="0"/>
        <item h="1" x="2"/>
        <item h="1" x="4"/>
        <item h="1" x="5"/>
        <item h="1" x="7"/>
        <item h="1" x="8"/>
        <item h="1" x="10"/>
        <item h="1" x="14"/>
        <item h="1" x="15"/>
        <item h="1" x="12"/>
        <item h="1" x="18"/>
        <item h="1" x="19"/>
        <item h="1" x="20"/>
        <item h="1" x="21"/>
        <item h="1" x="22"/>
        <item h="1" x="23"/>
        <item h="1" x="24"/>
        <item h="1" x="13"/>
        <item h="1" x="25"/>
        <item h="1" x="26"/>
        <item h="1" x="16"/>
        <item h="1" x="17"/>
        <item h="1" x="9"/>
        <item h="1" x="1"/>
        <item h="1" x="6"/>
        <item h="1" x="3"/>
        <item h="1" x="11"/>
        <item t="default"/>
      </items>
    </pivotField>
    <pivotField name="Date Completed" axis="axisRow" outline="0" multipleItemSelectionAllowed="1" showAll="0" sortType="ascending">
      <items count="37">
        <item x="20"/>
        <item x="35"/>
        <item x="29"/>
        <item x="27"/>
        <item x="3"/>
        <item x="6"/>
        <item x="4"/>
        <item x="1"/>
        <item x="7"/>
        <item x="9"/>
        <item x="14"/>
        <item x="30"/>
        <item x="31"/>
        <item x="32"/>
        <item x="33"/>
        <item x="34"/>
        <item x="25"/>
        <item x="26"/>
        <item x="28"/>
        <item x="22"/>
        <item x="21"/>
        <item x="23"/>
        <item x="15"/>
        <item x="16"/>
        <item x="17"/>
        <item x="18"/>
        <item x="19"/>
        <item x="11"/>
        <item x="12"/>
        <item x="13"/>
        <item x="8"/>
        <item x="5"/>
        <item x="24"/>
        <item x="10"/>
        <item x="2"/>
        <item x="0"/>
        <item t="default"/>
      </items>
    </pivotField>
  </pivotFields>
  <rowFields count="1">
    <field x="6"/>
  </rowFields>
  <rowItems count="2">
    <i>
      <x v="35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5" hier="0"/>
  </pageFields>
  <dataFields count="1">
    <dataField name="SUM of Total Mark" fld="5" baseField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Sheet2" cacheId="12" applyNumberFormats="0" applyBorderFormats="0" applyFontFormats="0" applyPatternFormats="0" applyAlignmentFormats="0" applyWidthHeightFormats="0" dataCaption="" updatedVersion="5">
  <location ref="A1:M39" firstHeaderRow="1" firstDataRow="2" firstDataCol="1"/>
  <pivotFields count="11">
    <pivotField name="Paper" axis="axisCol" outline="0" multipleItemSelectionAllowed="1" showAll="0" sortType="ascending">
      <items count="12">
        <item x="7"/>
        <item x="2"/>
        <item x="1"/>
        <item x="3"/>
        <item x="4"/>
        <item x="5"/>
        <item x="8"/>
        <item x="10"/>
        <item x="6"/>
        <item x="0"/>
        <item x="9"/>
        <item t="default"/>
      </items>
    </pivotField>
    <pivotField name="Printed Questions" outline="0" multipleItemSelectionAllowed="1" showAll="0"/>
    <pivotField name="Printed Solutions" outline="0" multipleItemSelectionAllowed="1" showAll="0"/>
    <pivotField name="Section 1 Mark" outline="0" multipleItemSelectionAllowed="1" showAll="0"/>
    <pivotField name="Section 2 Mark" outline="0" multipleItemSelectionAllowed="1" showAll="0"/>
    <pivotField name="Total Mark" outline="0" multipleItemSelectionAllowed="1" showAll="0"/>
    <pivotField name="Date Completed" axis="axisRow" outline="0" multipleItemSelectionAllowed="1" showAll="0" sortType="ascending">
      <items count="37">
        <item x="20"/>
        <item x="35"/>
        <item x="29"/>
        <item x="27"/>
        <item x="3"/>
        <item x="6"/>
        <item x="4"/>
        <item x="1"/>
        <item x="7"/>
        <item x="9"/>
        <item x="14"/>
        <item x="30"/>
        <item x="31"/>
        <item x="32"/>
        <item x="33"/>
        <item x="34"/>
        <item x="25"/>
        <item x="26"/>
        <item x="28"/>
        <item x="22"/>
        <item x="21"/>
        <item x="23"/>
        <item x="15"/>
        <item x="16"/>
        <item x="17"/>
        <item x="18"/>
        <item x="19"/>
        <item x="11"/>
        <item x="12"/>
        <item x="13"/>
        <item x="8"/>
        <item x="5"/>
        <item x="24"/>
        <item x="10"/>
        <item x="2"/>
        <item x="0"/>
        <item t="default"/>
      </items>
    </pivotField>
    <pivotField name="printed questions2" outline="0" multipleItemSelectionAllowed="1" showAll="0"/>
    <pivotField name="printed solutions2" outline="0" multipleItemSelectionAllowed="1" showAll="0"/>
    <pivotField name="Mark" dataField="1" outline="0" multipleItemSelectionAllowed="1" showAll="0"/>
    <pivotField name="date completed2" outline="0" multipleItemSelectionAllowed="1" showAll="0"/>
  </pivotFields>
  <rowFields count="1">
    <field x="6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Mark" fld="9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N20" sqref="N20"/>
    </sheetView>
  </sheetViews>
  <sheetFormatPr defaultRowHeight="12.75" x14ac:dyDescent="0.2"/>
  <cols>
    <col min="1" max="1" width="10.140625" customWidth="1"/>
    <col min="2" max="3" width="11.5703125" bestFit="1" customWidth="1"/>
    <col min="4" max="4" width="7" customWidth="1"/>
    <col min="5" max="5" width="8" customWidth="1"/>
    <col min="6" max="6" width="5.140625" customWidth="1"/>
    <col min="7" max="8" width="6" customWidth="1"/>
    <col min="9" max="9" width="7.28515625" customWidth="1"/>
    <col min="10" max="11" width="11.5703125" customWidth="1"/>
    <col min="12" max="12" width="7.7109375" bestFit="1" customWidth="1"/>
    <col min="13" max="13" width="11.5703125" bestFit="1" customWidth="1"/>
  </cols>
  <sheetData>
    <row r="1" spans="1:13" ht="38.25" x14ac:dyDescent="0.2">
      <c r="A1" s="64" t="s">
        <v>60</v>
      </c>
      <c r="B1" s="64" t="s">
        <v>53</v>
      </c>
    </row>
    <row r="2" spans="1:13" ht="38.25" x14ac:dyDescent="0.2">
      <c r="A2" s="64" t="s">
        <v>54</v>
      </c>
      <c r="B2" t="s">
        <v>21</v>
      </c>
      <c r="C2" t="s">
        <v>16</v>
      </c>
      <c r="D2" t="s">
        <v>15</v>
      </c>
      <c r="E2" t="s">
        <v>17</v>
      </c>
      <c r="F2" t="s">
        <v>18</v>
      </c>
      <c r="G2" t="s">
        <v>19</v>
      </c>
      <c r="H2" t="s">
        <v>23</v>
      </c>
      <c r="I2" t="s">
        <v>33</v>
      </c>
      <c r="J2" t="s">
        <v>20</v>
      </c>
      <c r="K2" t="s">
        <v>13</v>
      </c>
      <c r="L2" t="s">
        <v>65</v>
      </c>
      <c r="M2" t="s">
        <v>55</v>
      </c>
    </row>
    <row r="3" spans="1:13" x14ac:dyDescent="0.2">
      <c r="A3" s="65">
        <v>41462</v>
      </c>
      <c r="B3" s="54">
        <v>0.87912087912087911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>
        <v>0.87912087912087911</v>
      </c>
    </row>
    <row r="4" spans="1:13" x14ac:dyDescent="0.2">
      <c r="A4" s="65">
        <v>41505</v>
      </c>
      <c r="B4" s="54"/>
      <c r="C4" s="54"/>
      <c r="D4" s="54"/>
      <c r="E4" s="54"/>
      <c r="F4" s="54"/>
      <c r="G4" s="54"/>
      <c r="H4" s="54"/>
      <c r="I4" s="54"/>
      <c r="J4" s="54">
        <v>0.73333333333333328</v>
      </c>
      <c r="K4" s="54"/>
      <c r="L4" s="54"/>
      <c r="M4" s="54">
        <v>0.73333333333333328</v>
      </c>
    </row>
    <row r="5" spans="1:13" x14ac:dyDescent="0.2">
      <c r="A5" s="65">
        <v>41551</v>
      </c>
      <c r="B5" s="54"/>
      <c r="C5" s="54"/>
      <c r="D5" s="54"/>
      <c r="E5" s="54"/>
      <c r="F5" s="54"/>
      <c r="G5" s="54"/>
      <c r="H5" s="54"/>
      <c r="I5" s="54"/>
      <c r="J5" s="54"/>
      <c r="K5" s="54">
        <v>0.92222222222222228</v>
      </c>
      <c r="L5" s="54"/>
      <c r="M5" s="54">
        <v>0.92222222222222228</v>
      </c>
    </row>
    <row r="6" spans="1:13" x14ac:dyDescent="0.2">
      <c r="A6" s="66" t="s">
        <v>56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</row>
    <row r="7" spans="1:13" x14ac:dyDescent="0.2">
      <c r="A7" s="65">
        <v>41566</v>
      </c>
      <c r="B7" s="54"/>
      <c r="C7" s="54">
        <v>0.78333333333333333</v>
      </c>
      <c r="D7" s="54"/>
      <c r="E7" s="54"/>
      <c r="F7" s="54"/>
      <c r="G7" s="54"/>
      <c r="H7" s="54"/>
      <c r="I7" s="54"/>
      <c r="J7" s="54"/>
      <c r="K7" s="54"/>
      <c r="L7" s="54"/>
      <c r="M7" s="54">
        <v>0.78333333333333333</v>
      </c>
    </row>
    <row r="8" spans="1:13" x14ac:dyDescent="0.2">
      <c r="A8" s="65">
        <v>41580</v>
      </c>
      <c r="B8" s="54"/>
      <c r="C8" s="54"/>
      <c r="D8" s="54"/>
      <c r="E8" s="54"/>
      <c r="F8" s="54"/>
      <c r="G8" s="54"/>
      <c r="H8" s="54"/>
      <c r="I8" s="54"/>
      <c r="J8" s="54"/>
      <c r="K8" s="54">
        <v>0.8666666666666667</v>
      </c>
      <c r="L8" s="54"/>
      <c r="M8" s="54">
        <v>0.8666666666666667</v>
      </c>
    </row>
    <row r="9" spans="1:13" ht="25.5" x14ac:dyDescent="0.2">
      <c r="A9" s="66" t="s">
        <v>55</v>
      </c>
      <c r="B9" s="54">
        <v>0.87912087912087911</v>
      </c>
      <c r="C9" s="54">
        <v>0.78333333333333333</v>
      </c>
      <c r="D9" s="54"/>
      <c r="E9" s="54"/>
      <c r="F9" s="54"/>
      <c r="G9" s="54"/>
      <c r="H9" s="54"/>
      <c r="I9" s="54"/>
      <c r="J9" s="54">
        <v>0.73333333333333328</v>
      </c>
      <c r="K9" s="54">
        <v>1.788888888888889</v>
      </c>
      <c r="L9" s="54"/>
      <c r="M9" s="54">
        <v>4.1846764346764349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showGridLines="0" tabSelected="1" topLeftCell="B1" workbookViewId="0">
      <selection activeCell="H29" sqref="H29"/>
    </sheetView>
  </sheetViews>
  <sheetFormatPr defaultColWidth="17.140625" defaultRowHeight="12.75" customHeight="1" x14ac:dyDescent="0.2"/>
  <cols>
    <col min="1" max="1" width="3" customWidth="1"/>
    <col min="2" max="2" width="7.28515625" customWidth="1"/>
    <col min="3" max="3" width="16.28515625" customWidth="1"/>
    <col min="4" max="4" width="16.5703125" hidden="1" customWidth="1"/>
    <col min="5" max="5" width="16.7109375" hidden="1" customWidth="1"/>
    <col min="6" max="7" width="16.7109375" customWidth="1"/>
    <col min="8" max="8" width="14.5703125" customWidth="1"/>
    <col min="9" max="9" width="12.42578125" customWidth="1"/>
    <col min="10" max="10" width="10.28515625" hidden="1" customWidth="1"/>
    <col min="11" max="11" width="11.28515625" hidden="1" customWidth="1"/>
    <col min="12" max="12" width="11.28515625" style="34" customWidth="1"/>
    <col min="13" max="13" width="11.5703125" customWidth="1"/>
    <col min="14" max="14" width="10.28515625" hidden="1" customWidth="1"/>
    <col min="15" max="15" width="11.28515625" hidden="1" customWidth="1"/>
    <col min="16" max="18" width="11.28515625" customWidth="1"/>
    <col min="19" max="19" width="11.5703125" customWidth="1"/>
    <col min="20" max="20" width="13.7109375" customWidth="1"/>
    <col min="23" max="23" width="20.5703125" customWidth="1"/>
    <col min="26" max="26" width="24" customWidth="1"/>
    <col min="28" max="28" width="16" customWidth="1"/>
  </cols>
  <sheetData>
    <row r="1" spans="1:28" x14ac:dyDescent="0.2">
      <c r="A1" s="11"/>
      <c r="B1" s="11"/>
      <c r="C1" s="11"/>
      <c r="D1" s="18"/>
      <c r="E1" s="18"/>
      <c r="F1" s="18"/>
      <c r="G1" s="18"/>
      <c r="H1" s="18"/>
      <c r="I1" s="18"/>
      <c r="J1" s="18"/>
      <c r="K1" s="18"/>
      <c r="L1" s="16"/>
      <c r="M1" s="18"/>
      <c r="N1" s="18"/>
      <c r="O1" s="18"/>
      <c r="P1" s="18"/>
      <c r="Q1" s="18"/>
      <c r="R1" s="18"/>
      <c r="S1" s="18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2">
      <c r="A2" s="11"/>
      <c r="B2" s="18"/>
      <c r="C2" s="26"/>
      <c r="D2" s="89" t="s">
        <v>0</v>
      </c>
      <c r="E2" s="90"/>
      <c r="F2" s="90"/>
      <c r="G2" s="90"/>
      <c r="H2" s="90"/>
      <c r="I2" s="91"/>
      <c r="J2" s="92" t="s">
        <v>1</v>
      </c>
      <c r="K2" s="90"/>
      <c r="L2" s="90"/>
      <c r="M2" s="91"/>
      <c r="N2" s="92" t="s">
        <v>2</v>
      </c>
      <c r="O2" s="90"/>
      <c r="P2" s="90"/>
      <c r="Q2" s="90"/>
      <c r="R2" s="90"/>
      <c r="S2" s="91"/>
      <c r="T2" s="25"/>
      <c r="U2" s="12" t="s">
        <v>3</v>
      </c>
      <c r="V2" s="12"/>
      <c r="W2" s="13">
        <f ca="1">NOW()</f>
        <v>41944.949538194443</v>
      </c>
      <c r="X2" s="23"/>
      <c r="Y2" s="11"/>
      <c r="Z2" s="11"/>
      <c r="AA2" s="11"/>
      <c r="AB2" s="11"/>
    </row>
    <row r="3" spans="1:28" ht="27" customHeight="1" x14ac:dyDescent="0.2">
      <c r="A3" s="24"/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3" t="s">
        <v>9</v>
      </c>
      <c r="H3" s="33" t="s">
        <v>10</v>
      </c>
      <c r="I3" s="3" t="s">
        <v>11</v>
      </c>
      <c r="J3" s="3" t="s">
        <v>6</v>
      </c>
      <c r="K3" s="3" t="s">
        <v>7</v>
      </c>
      <c r="L3" s="20" t="s">
        <v>12</v>
      </c>
      <c r="M3" s="3" t="s">
        <v>11</v>
      </c>
      <c r="N3" s="3" t="s">
        <v>6</v>
      </c>
      <c r="O3" s="3" t="s">
        <v>7</v>
      </c>
      <c r="P3" s="27" t="s">
        <v>8</v>
      </c>
      <c r="Q3" s="27" t="s">
        <v>9</v>
      </c>
      <c r="R3" s="27" t="s">
        <v>10</v>
      </c>
      <c r="S3" s="3" t="s">
        <v>11</v>
      </c>
      <c r="T3" s="23"/>
      <c r="U3" s="21"/>
      <c r="V3" s="21"/>
      <c r="W3" s="21"/>
      <c r="X3" s="11"/>
      <c r="Y3" s="11"/>
      <c r="Z3" s="11"/>
      <c r="AA3" s="11"/>
      <c r="AB3" s="11"/>
    </row>
    <row r="4" spans="1:28" x14ac:dyDescent="0.2">
      <c r="A4" s="24"/>
      <c r="B4" s="5">
        <v>2013</v>
      </c>
      <c r="C4" s="32" t="s">
        <v>13</v>
      </c>
      <c r="D4" s="32" t="s">
        <v>14</v>
      </c>
      <c r="E4" s="32" t="s">
        <v>14</v>
      </c>
      <c r="F4" s="57"/>
      <c r="G4" s="2"/>
      <c r="H4" s="2"/>
      <c r="I4" s="60"/>
      <c r="J4" s="32" t="s">
        <v>14</v>
      </c>
      <c r="K4" s="32" t="s">
        <v>14</v>
      </c>
      <c r="L4" s="2"/>
      <c r="M4" s="60"/>
      <c r="N4" s="32" t="s">
        <v>14</v>
      </c>
      <c r="O4" s="32" t="s">
        <v>14</v>
      </c>
      <c r="P4" s="67"/>
      <c r="Q4" s="67"/>
      <c r="R4" s="67"/>
      <c r="S4" s="60"/>
      <c r="T4" s="23"/>
      <c r="U4" s="11"/>
      <c r="V4" s="11"/>
      <c r="W4" s="11"/>
      <c r="X4" s="11"/>
      <c r="Y4" s="11"/>
      <c r="Z4" s="11"/>
      <c r="AA4" s="11"/>
      <c r="AB4" s="11"/>
    </row>
    <row r="5" spans="1:28" x14ac:dyDescent="0.2">
      <c r="A5" s="24"/>
      <c r="B5" s="22"/>
      <c r="C5" s="32" t="s">
        <v>15</v>
      </c>
      <c r="D5" s="32"/>
      <c r="E5" s="32"/>
      <c r="F5" s="57"/>
      <c r="G5" s="2"/>
      <c r="H5" s="70" t="s">
        <v>61</v>
      </c>
      <c r="I5" s="60"/>
      <c r="J5" s="32"/>
      <c r="K5" s="32"/>
      <c r="L5" s="2"/>
      <c r="M5" s="60"/>
      <c r="N5" s="32" t="s">
        <v>14</v>
      </c>
      <c r="O5" s="32" t="s">
        <v>14</v>
      </c>
      <c r="P5" s="67"/>
      <c r="Q5" s="67"/>
      <c r="R5" s="67"/>
      <c r="S5" s="60"/>
      <c r="T5" s="23"/>
      <c r="U5" s="11"/>
      <c r="V5" s="11"/>
      <c r="W5" s="11"/>
      <c r="X5" s="11"/>
      <c r="Y5" s="11"/>
      <c r="Z5" s="11"/>
      <c r="AA5" s="11"/>
      <c r="AB5" s="11"/>
    </row>
    <row r="6" spans="1:28" x14ac:dyDescent="0.2">
      <c r="A6" s="24"/>
      <c r="B6" s="22"/>
      <c r="C6" s="32" t="s">
        <v>16</v>
      </c>
      <c r="D6" s="32"/>
      <c r="E6" s="32"/>
      <c r="F6" s="57"/>
      <c r="G6" s="2"/>
      <c r="H6" s="2"/>
      <c r="I6" s="60"/>
      <c r="J6" s="32"/>
      <c r="K6" s="32"/>
      <c r="L6" s="2"/>
      <c r="M6" s="60"/>
      <c r="N6" s="32" t="s">
        <v>14</v>
      </c>
      <c r="O6" s="32" t="s">
        <v>14</v>
      </c>
      <c r="P6" s="67"/>
      <c r="Q6" s="67"/>
      <c r="R6" s="67"/>
      <c r="S6" s="60"/>
      <c r="T6" s="23"/>
      <c r="U6" s="11"/>
      <c r="V6" s="11"/>
      <c r="W6" s="11"/>
      <c r="X6" s="11"/>
      <c r="Y6" s="11"/>
      <c r="Z6" s="11"/>
      <c r="AA6" s="11"/>
      <c r="AB6" s="11"/>
    </row>
    <row r="7" spans="1:28" x14ac:dyDescent="0.2">
      <c r="A7" s="24"/>
      <c r="B7" s="22"/>
      <c r="C7" s="32" t="s">
        <v>17</v>
      </c>
      <c r="D7" s="32"/>
      <c r="E7" s="32"/>
      <c r="F7" s="57"/>
      <c r="G7" s="2"/>
      <c r="H7" s="2"/>
      <c r="I7" s="60"/>
      <c r="J7" s="32"/>
      <c r="K7" s="32"/>
      <c r="L7" s="2"/>
      <c r="M7" s="60"/>
      <c r="N7" s="32" t="s">
        <v>14</v>
      </c>
      <c r="O7" s="32" t="s">
        <v>14</v>
      </c>
      <c r="P7" s="67"/>
      <c r="Q7" s="67"/>
      <c r="R7" s="67"/>
      <c r="S7" s="60"/>
      <c r="T7" s="23"/>
      <c r="U7" s="11"/>
      <c r="V7" s="11"/>
      <c r="W7" s="11"/>
      <c r="X7" s="11"/>
      <c r="Y7" s="11"/>
      <c r="Z7" s="11"/>
      <c r="AA7" s="11"/>
      <c r="AB7" s="11"/>
    </row>
    <row r="8" spans="1:28" x14ac:dyDescent="0.2">
      <c r="A8" s="24"/>
      <c r="B8" s="22"/>
      <c r="C8" s="32" t="s">
        <v>18</v>
      </c>
      <c r="D8" s="32"/>
      <c r="E8" s="32"/>
      <c r="F8" s="57"/>
      <c r="G8" s="2"/>
      <c r="H8" s="2"/>
      <c r="I8" s="60"/>
      <c r="J8" s="32"/>
      <c r="K8" s="32"/>
      <c r="L8" s="2"/>
      <c r="M8" s="60"/>
      <c r="N8" s="32" t="s">
        <v>14</v>
      </c>
      <c r="O8" s="32" t="s">
        <v>14</v>
      </c>
      <c r="P8" s="67"/>
      <c r="Q8" s="67"/>
      <c r="R8" s="67"/>
      <c r="S8" s="60"/>
      <c r="T8" s="23"/>
      <c r="U8" s="11"/>
      <c r="V8" s="11"/>
      <c r="W8" s="11"/>
      <c r="X8" s="11"/>
      <c r="Y8" s="11"/>
      <c r="Z8" s="11"/>
      <c r="AA8" s="11"/>
      <c r="AB8" s="11"/>
    </row>
    <row r="9" spans="1:28" x14ac:dyDescent="0.2">
      <c r="A9" s="24"/>
      <c r="B9" s="22"/>
      <c r="C9" s="32" t="s">
        <v>19</v>
      </c>
      <c r="D9" s="32"/>
      <c r="E9" s="32"/>
      <c r="F9" s="57"/>
      <c r="G9" s="2"/>
      <c r="H9" s="2"/>
      <c r="I9" s="60"/>
      <c r="J9" s="32"/>
      <c r="K9" s="32"/>
      <c r="L9" s="2"/>
      <c r="M9" s="60"/>
      <c r="N9" s="32" t="s">
        <v>14</v>
      </c>
      <c r="O9" s="32" t="s">
        <v>14</v>
      </c>
      <c r="P9" s="67"/>
      <c r="Q9" s="67"/>
      <c r="R9" s="67"/>
      <c r="S9" s="60"/>
      <c r="T9" s="23"/>
      <c r="U9" s="11"/>
      <c r="V9" s="11"/>
      <c r="W9" s="11"/>
      <c r="X9" s="11"/>
      <c r="Y9" s="11"/>
      <c r="Z9" s="11"/>
      <c r="AA9" s="11"/>
      <c r="AB9" s="11"/>
    </row>
    <row r="10" spans="1:28" x14ac:dyDescent="0.2">
      <c r="A10" s="24"/>
      <c r="B10" s="22"/>
      <c r="C10" s="32" t="s">
        <v>20</v>
      </c>
      <c r="D10" s="32"/>
      <c r="E10" s="32"/>
      <c r="F10" s="57"/>
      <c r="G10" s="2"/>
      <c r="H10" s="2"/>
      <c r="I10" s="60"/>
      <c r="J10" s="32"/>
      <c r="K10" s="32"/>
      <c r="L10" s="2"/>
      <c r="M10" s="60"/>
      <c r="N10" s="32"/>
      <c r="O10" s="32"/>
      <c r="P10" s="67">
        <f>7/10</f>
        <v>0.7</v>
      </c>
      <c r="Q10" s="67">
        <f>26/35</f>
        <v>0.74285714285714288</v>
      </c>
      <c r="R10" s="67">
        <f>33/45</f>
        <v>0.73333333333333328</v>
      </c>
      <c r="S10" s="60">
        <v>41505</v>
      </c>
      <c r="T10" s="76" t="s">
        <v>20</v>
      </c>
      <c r="U10" s="11"/>
      <c r="V10" s="11"/>
      <c r="W10" s="11"/>
      <c r="X10" s="11"/>
      <c r="Y10" s="11"/>
      <c r="Z10" s="11"/>
      <c r="AA10" s="11"/>
      <c r="AB10" s="11"/>
    </row>
    <row r="11" spans="1:28" ht="13.5" customHeight="1" x14ac:dyDescent="0.2">
      <c r="A11" s="24"/>
      <c r="B11" s="4"/>
      <c r="C11" s="32" t="s">
        <v>21</v>
      </c>
      <c r="D11" s="32"/>
      <c r="E11" s="32"/>
      <c r="F11" s="57"/>
      <c r="G11" s="2"/>
      <c r="H11" s="2"/>
      <c r="I11" s="60"/>
      <c r="J11" s="32"/>
      <c r="K11" s="32"/>
      <c r="L11" s="2"/>
      <c r="M11" s="60"/>
      <c r="N11" s="32" t="s">
        <v>22</v>
      </c>
      <c r="O11" s="32" t="s">
        <v>22</v>
      </c>
      <c r="P11" s="67">
        <f>18/20</f>
        <v>0.9</v>
      </c>
      <c r="Q11" s="67">
        <f>62/71</f>
        <v>0.87323943661971826</v>
      </c>
      <c r="R11" s="67">
        <f>80/91</f>
        <v>0.87912087912087911</v>
      </c>
      <c r="S11" s="60">
        <v>41462</v>
      </c>
      <c r="T11" s="76" t="s">
        <v>62</v>
      </c>
      <c r="U11" s="11"/>
      <c r="V11" s="11"/>
      <c r="W11" s="11"/>
      <c r="X11" s="11"/>
      <c r="Y11" s="11"/>
      <c r="Z11" s="11"/>
      <c r="AA11" s="11"/>
      <c r="AB11" s="11"/>
    </row>
    <row r="12" spans="1:28" x14ac:dyDescent="0.2">
      <c r="A12" s="24"/>
      <c r="B12" s="5">
        <v>2012</v>
      </c>
      <c r="C12" s="32" t="s">
        <v>13</v>
      </c>
      <c r="D12" s="32" t="s">
        <v>22</v>
      </c>
      <c r="E12" s="32" t="s">
        <v>22</v>
      </c>
      <c r="F12" s="57">
        <f>16/22</f>
        <v>0.72727272727272729</v>
      </c>
      <c r="G12" s="2">
        <f>25/58</f>
        <v>0.43103448275862066</v>
      </c>
      <c r="H12" s="2">
        <f>41/80</f>
        <v>0.51249999999999996</v>
      </c>
      <c r="I12" s="60">
        <v>41470</v>
      </c>
      <c r="J12" s="32" t="s">
        <v>22</v>
      </c>
      <c r="K12" s="32" t="s">
        <v>22</v>
      </c>
      <c r="L12" s="2">
        <f>33/40</f>
        <v>0.82499999999999996</v>
      </c>
      <c r="M12" s="60">
        <v>41575</v>
      </c>
      <c r="N12" s="32"/>
      <c r="O12" s="32"/>
      <c r="P12" s="67">
        <f>19/20</f>
        <v>0.95</v>
      </c>
      <c r="Q12" s="67">
        <f>59/70</f>
        <v>0.84285714285714286</v>
      </c>
      <c r="R12" s="67">
        <f>78/90</f>
        <v>0.8666666666666667</v>
      </c>
      <c r="S12" s="60">
        <v>41580</v>
      </c>
      <c r="T12" s="23"/>
      <c r="U12" s="11"/>
      <c r="V12" s="11"/>
      <c r="W12" s="11"/>
      <c r="X12" s="11"/>
      <c r="Y12" s="11"/>
      <c r="Z12" s="11"/>
      <c r="AA12" s="11"/>
      <c r="AB12" s="11"/>
    </row>
    <row r="13" spans="1:28" x14ac:dyDescent="0.2">
      <c r="A13" s="24"/>
      <c r="B13" s="88"/>
      <c r="C13" s="87" t="s">
        <v>13</v>
      </c>
      <c r="D13" s="71"/>
      <c r="E13" s="71"/>
      <c r="F13" s="78">
        <f>20/22</f>
        <v>0.90909090909090906</v>
      </c>
      <c r="G13" s="79">
        <f>53/58</f>
        <v>0.91379310344827591</v>
      </c>
      <c r="H13" s="79">
        <f>73/80</f>
        <v>0.91249999999999998</v>
      </c>
      <c r="I13" s="82">
        <v>41584</v>
      </c>
      <c r="J13" s="71"/>
      <c r="K13" s="71"/>
      <c r="L13" s="79"/>
      <c r="M13" s="82"/>
      <c r="N13" s="71"/>
      <c r="O13" s="71"/>
      <c r="P13" s="73"/>
      <c r="Q13" s="73"/>
      <c r="R13" s="73"/>
      <c r="S13" s="82"/>
      <c r="T13" s="74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24"/>
      <c r="B14" s="22"/>
      <c r="C14" s="32" t="s">
        <v>15</v>
      </c>
      <c r="D14" s="32" t="s">
        <v>22</v>
      </c>
      <c r="E14" s="32" t="s">
        <v>22</v>
      </c>
      <c r="F14" s="57"/>
      <c r="G14" s="2"/>
      <c r="H14" s="2"/>
      <c r="I14" s="60"/>
      <c r="J14" s="32" t="s">
        <v>22</v>
      </c>
      <c r="K14" s="32" t="s">
        <v>22</v>
      </c>
      <c r="L14" s="2"/>
      <c r="M14" s="60"/>
      <c r="N14" s="32"/>
      <c r="O14" s="32"/>
      <c r="P14" s="67"/>
      <c r="Q14" s="67"/>
      <c r="R14" s="67"/>
      <c r="S14" s="60"/>
      <c r="T14" s="23"/>
      <c r="U14" s="11"/>
      <c r="V14" s="11"/>
      <c r="W14" s="11"/>
      <c r="X14" s="11"/>
      <c r="Y14" s="11"/>
      <c r="Z14" s="11"/>
      <c r="AA14" s="11"/>
      <c r="AB14" s="11"/>
    </row>
    <row r="15" spans="1:28" x14ac:dyDescent="0.2">
      <c r="A15" s="24"/>
      <c r="B15" s="22"/>
      <c r="C15" s="32" t="s">
        <v>16</v>
      </c>
      <c r="D15" s="32" t="s">
        <v>22</v>
      </c>
      <c r="E15" s="32" t="s">
        <v>22</v>
      </c>
      <c r="F15" s="57"/>
      <c r="G15" s="2"/>
      <c r="H15" s="2"/>
      <c r="I15" s="60"/>
      <c r="J15" s="32" t="s">
        <v>22</v>
      </c>
      <c r="K15" s="32" t="s">
        <v>22</v>
      </c>
      <c r="L15" s="2"/>
      <c r="M15" s="60"/>
      <c r="N15" s="32"/>
      <c r="O15" s="32"/>
      <c r="P15" s="67"/>
      <c r="Q15" s="67"/>
      <c r="R15" s="67"/>
      <c r="S15" s="60"/>
      <c r="T15" s="23"/>
      <c r="U15" s="11"/>
      <c r="V15" s="11"/>
      <c r="W15" s="11"/>
      <c r="X15" s="11"/>
      <c r="Y15" s="11"/>
      <c r="Z15" s="11"/>
      <c r="AA15" s="11"/>
      <c r="AB15" s="11"/>
    </row>
    <row r="16" spans="1:28" x14ac:dyDescent="0.2">
      <c r="A16" s="24"/>
      <c r="B16" s="22"/>
      <c r="C16" s="32" t="s">
        <v>17</v>
      </c>
      <c r="D16" s="32" t="s">
        <v>22</v>
      </c>
      <c r="E16" s="32" t="s">
        <v>22</v>
      </c>
      <c r="F16" s="57">
        <f>10/22</f>
        <v>0.45454545454545453</v>
      </c>
      <c r="G16" s="2">
        <f>22/58</f>
        <v>0.37931034482758619</v>
      </c>
      <c r="H16" s="2">
        <f>32/80</f>
        <v>0.4</v>
      </c>
      <c r="I16" s="60">
        <v>41457</v>
      </c>
      <c r="J16" s="32" t="s">
        <v>22</v>
      </c>
      <c r="K16" s="32" t="s">
        <v>22</v>
      </c>
      <c r="L16" s="2"/>
      <c r="M16" s="60"/>
      <c r="N16" s="32"/>
      <c r="O16" s="32"/>
      <c r="P16" s="67"/>
      <c r="Q16" s="67"/>
      <c r="R16" s="67"/>
      <c r="S16" s="60"/>
      <c r="T16" s="23"/>
      <c r="U16" s="11"/>
      <c r="V16" s="11"/>
      <c r="W16" s="11"/>
      <c r="X16" s="11"/>
      <c r="Y16" s="11"/>
      <c r="Z16" s="11"/>
      <c r="AA16" s="11"/>
      <c r="AB16" s="11"/>
    </row>
    <row r="17" spans="1:28" x14ac:dyDescent="0.2">
      <c r="A17" s="24"/>
      <c r="B17" s="22"/>
      <c r="C17" s="32" t="s">
        <v>18</v>
      </c>
      <c r="D17" s="32" t="s">
        <v>22</v>
      </c>
      <c r="E17" s="32" t="s">
        <v>22</v>
      </c>
      <c r="F17" s="57">
        <f>7/22</f>
        <v>0.31818181818181818</v>
      </c>
      <c r="G17" s="2">
        <f>19/58</f>
        <v>0.32758620689655171</v>
      </c>
      <c r="H17" s="2">
        <f>26/80</f>
        <v>0.32500000000000001</v>
      </c>
      <c r="I17" s="60">
        <v>41469</v>
      </c>
      <c r="J17" s="32"/>
      <c r="K17" s="32"/>
      <c r="L17" s="2">
        <f>23/40</f>
        <v>0.57499999999999996</v>
      </c>
      <c r="M17" s="60">
        <v>41559</v>
      </c>
      <c r="N17" s="32"/>
      <c r="O17" s="32"/>
      <c r="P17" s="67"/>
      <c r="Q17" s="67"/>
      <c r="R17" s="67"/>
      <c r="S17" s="60"/>
      <c r="T17" s="23"/>
      <c r="U17" s="11"/>
      <c r="V17" s="11"/>
      <c r="W17" s="11"/>
      <c r="X17" s="11"/>
      <c r="Y17" s="11"/>
      <c r="Z17" s="11"/>
      <c r="AA17" s="11"/>
      <c r="AB17" s="11"/>
    </row>
    <row r="18" spans="1:28" x14ac:dyDescent="0.2">
      <c r="A18" s="24"/>
      <c r="B18" s="22"/>
      <c r="C18" s="32" t="s">
        <v>23</v>
      </c>
      <c r="D18" s="32"/>
      <c r="E18" s="32"/>
      <c r="F18" s="57"/>
      <c r="G18" s="2"/>
      <c r="H18" s="2"/>
      <c r="I18" s="61"/>
      <c r="J18" s="32"/>
      <c r="K18" s="32"/>
      <c r="L18" s="2">
        <f>24/40</f>
        <v>0.6</v>
      </c>
      <c r="M18" s="61">
        <v>41485</v>
      </c>
      <c r="N18" s="32"/>
      <c r="O18" s="32"/>
      <c r="P18" s="67"/>
      <c r="Q18" s="67"/>
      <c r="R18" s="67"/>
      <c r="S18" s="61"/>
      <c r="T18" s="23"/>
      <c r="U18" s="11"/>
      <c r="V18" s="11"/>
      <c r="W18" s="11"/>
      <c r="X18" s="11"/>
      <c r="Y18" s="11"/>
      <c r="Z18" s="11"/>
      <c r="AA18" s="11"/>
      <c r="AB18" s="11"/>
    </row>
    <row r="19" spans="1:28" x14ac:dyDescent="0.2">
      <c r="A19" s="24"/>
      <c r="B19" s="22"/>
      <c r="C19" s="32" t="s">
        <v>19</v>
      </c>
      <c r="D19" s="32" t="s">
        <v>22</v>
      </c>
      <c r="E19" s="32" t="s">
        <v>22</v>
      </c>
      <c r="F19" s="57">
        <f>19/22</f>
        <v>0.86363636363636365</v>
      </c>
      <c r="G19" s="2">
        <f>52/58</f>
        <v>0.89655172413793105</v>
      </c>
      <c r="H19" s="2">
        <f>71/80</f>
        <v>0.88749999999999996</v>
      </c>
      <c r="I19" s="60">
        <v>41560</v>
      </c>
      <c r="J19" s="32" t="s">
        <v>22</v>
      </c>
      <c r="K19" s="32" t="s">
        <v>22</v>
      </c>
      <c r="L19" s="2"/>
      <c r="M19" s="60"/>
      <c r="N19" s="32"/>
      <c r="O19" s="32"/>
      <c r="P19" s="67"/>
      <c r="Q19" s="67"/>
      <c r="R19" s="67"/>
      <c r="S19" s="60"/>
      <c r="T19" s="23"/>
      <c r="U19" s="18"/>
      <c r="V19" s="18"/>
      <c r="W19" s="18"/>
      <c r="X19" s="18"/>
      <c r="Y19" s="11"/>
      <c r="Z19" s="11"/>
      <c r="AA19" s="11"/>
      <c r="AB19" s="11"/>
    </row>
    <row r="20" spans="1:28" ht="12" customHeight="1" x14ac:dyDescent="0.2">
      <c r="A20" s="24"/>
      <c r="B20" s="22"/>
      <c r="C20" s="32" t="s">
        <v>20</v>
      </c>
      <c r="D20" s="32" t="s">
        <v>22</v>
      </c>
      <c r="E20" s="32" t="s">
        <v>22</v>
      </c>
      <c r="F20" s="57">
        <f>15/22</f>
        <v>0.68181818181818177</v>
      </c>
      <c r="G20" s="2">
        <f>36/58</f>
        <v>0.62068965517241381</v>
      </c>
      <c r="H20" s="2">
        <f>51/80</f>
        <v>0.63749999999999996</v>
      </c>
      <c r="I20" s="60">
        <v>41458</v>
      </c>
      <c r="J20" s="32" t="s">
        <v>22</v>
      </c>
      <c r="K20" s="32" t="s">
        <v>22</v>
      </c>
      <c r="L20" s="2">
        <f>35/40</f>
        <v>0.875</v>
      </c>
      <c r="M20" s="60">
        <v>41560</v>
      </c>
      <c r="N20" s="32"/>
      <c r="O20" s="32"/>
      <c r="P20" s="67"/>
      <c r="Q20" s="67"/>
      <c r="R20" s="67"/>
      <c r="S20" s="60"/>
      <c r="T20" s="25"/>
      <c r="U20" s="9"/>
      <c r="V20" s="9" t="s">
        <v>24</v>
      </c>
      <c r="W20" s="9" t="s">
        <v>25</v>
      </c>
      <c r="X20" s="9" t="s">
        <v>26</v>
      </c>
      <c r="Y20" s="23" t="s">
        <v>27</v>
      </c>
      <c r="Z20" s="11" t="s">
        <v>28</v>
      </c>
      <c r="AA20" s="11" t="s">
        <v>29</v>
      </c>
      <c r="AB20" s="11"/>
    </row>
    <row r="21" spans="1:28" x14ac:dyDescent="0.2">
      <c r="A21" s="24"/>
      <c r="B21" s="4"/>
      <c r="C21" s="32" t="s">
        <v>21</v>
      </c>
      <c r="D21" s="32" t="s">
        <v>22</v>
      </c>
      <c r="E21" s="32" t="s">
        <v>22</v>
      </c>
      <c r="F21" s="57"/>
      <c r="G21" s="2"/>
      <c r="H21" s="2"/>
      <c r="I21" s="60"/>
      <c r="J21" s="32" t="s">
        <v>22</v>
      </c>
      <c r="K21" s="32" t="s">
        <v>22</v>
      </c>
      <c r="L21" s="2"/>
      <c r="M21" s="60"/>
      <c r="N21" s="32"/>
      <c r="O21" s="32"/>
      <c r="P21" s="67"/>
      <c r="Q21" s="67"/>
      <c r="R21" s="67"/>
      <c r="S21" s="60"/>
      <c r="T21" s="25"/>
      <c r="U21" s="30" t="s">
        <v>30</v>
      </c>
      <c r="V21" s="6">
        <v>9.375E-2</v>
      </c>
      <c r="W21" s="8">
        <v>41585</v>
      </c>
      <c r="X21" s="15">
        <f ca="1">W21-$W$2</f>
        <v>-359.94953819444345</v>
      </c>
      <c r="Y21" s="23">
        <f>COUNTA(C12:C71)+COUNTIF(C12:C71,"VCAA")</f>
        <v>70</v>
      </c>
      <c r="Z21" s="31">
        <f>Y21*V21</f>
        <v>6.5625</v>
      </c>
      <c r="AA21" s="31">
        <f>Z21*0.15</f>
        <v>0.984375</v>
      </c>
      <c r="AB21" s="11"/>
    </row>
    <row r="22" spans="1:28" x14ac:dyDescent="0.2">
      <c r="A22" s="24"/>
      <c r="B22" s="19">
        <v>2011</v>
      </c>
      <c r="C22" s="32" t="s">
        <v>13</v>
      </c>
      <c r="D22" s="32" t="s">
        <v>22</v>
      </c>
      <c r="E22" s="32" t="s">
        <v>22</v>
      </c>
      <c r="F22" s="57">
        <f>16/22</f>
        <v>0.72727272727272729</v>
      </c>
      <c r="G22" s="2">
        <f>32/58</f>
        <v>0.55172413793103448</v>
      </c>
      <c r="H22" s="2">
        <f>48/80</f>
        <v>0.6</v>
      </c>
      <c r="I22" s="61">
        <v>41472</v>
      </c>
      <c r="J22" s="32" t="s">
        <v>22</v>
      </c>
      <c r="K22" s="32" t="s">
        <v>22</v>
      </c>
      <c r="L22" s="2">
        <f>20/40</f>
        <v>0.5</v>
      </c>
      <c r="M22" s="61">
        <v>41473</v>
      </c>
      <c r="N22" s="32"/>
      <c r="O22" s="32"/>
      <c r="P22" s="67">
        <f>20/20</f>
        <v>1</v>
      </c>
      <c r="Q22" s="67">
        <f>63/70</f>
        <v>0.9</v>
      </c>
      <c r="R22" s="67">
        <f>83/90</f>
        <v>0.92222222222222228</v>
      </c>
      <c r="S22" s="60">
        <v>41551</v>
      </c>
      <c r="T22" s="77" t="s">
        <v>13</v>
      </c>
      <c r="U22" s="25" t="s">
        <v>31</v>
      </c>
      <c r="V22" s="35">
        <v>5.2083333333333003E-2</v>
      </c>
      <c r="W22" s="10">
        <v>41584</v>
      </c>
      <c r="X22" s="17">
        <f ca="1">W22-$W$2</f>
        <v>-360.94953819444345</v>
      </c>
      <c r="Y22" s="23">
        <f>(COUNTA(C12:C71)-COUNTIF(C12:C62,"School"))+COUNTIF(C12:C62,"VCAA")</f>
        <v>67</v>
      </c>
      <c r="Z22" s="31">
        <f>Y22*V22</f>
        <v>3.4895833333333113</v>
      </c>
      <c r="AA22" s="31">
        <f>Z22*0.15</f>
        <v>0.52343749999999667</v>
      </c>
      <c r="AB22" s="11"/>
    </row>
    <row r="23" spans="1:28" x14ac:dyDescent="0.2">
      <c r="A23" s="24"/>
      <c r="B23" s="75"/>
      <c r="C23" s="87" t="s">
        <v>65</v>
      </c>
      <c r="D23" s="71"/>
      <c r="E23" s="71"/>
      <c r="F23" s="78"/>
      <c r="G23" s="79"/>
      <c r="H23" s="79"/>
      <c r="I23" s="80"/>
      <c r="J23" s="71"/>
      <c r="K23" s="71"/>
      <c r="L23" s="79">
        <f>33.5/40</f>
        <v>0.83750000000000002</v>
      </c>
      <c r="M23" s="80">
        <v>41581</v>
      </c>
      <c r="N23" s="71"/>
      <c r="O23" s="71"/>
      <c r="P23" s="73"/>
      <c r="Q23" s="73"/>
      <c r="R23" s="73"/>
      <c r="S23" s="82"/>
      <c r="T23" s="83"/>
      <c r="U23" s="84"/>
      <c r="V23" s="35"/>
      <c r="W23" s="85"/>
      <c r="X23" s="86"/>
      <c r="Y23" s="74"/>
      <c r="Z23" s="31"/>
      <c r="AA23" s="31"/>
      <c r="AB23" s="11"/>
    </row>
    <row r="24" spans="1:28" x14ac:dyDescent="0.2">
      <c r="A24" s="24"/>
      <c r="B24" s="22"/>
      <c r="C24" s="32" t="s">
        <v>15</v>
      </c>
      <c r="D24" s="32" t="s">
        <v>22</v>
      </c>
      <c r="E24" s="32" t="s">
        <v>22</v>
      </c>
      <c r="F24" s="57"/>
      <c r="G24" s="2"/>
      <c r="H24" s="2"/>
      <c r="I24" s="61"/>
      <c r="J24" s="32" t="s">
        <v>22</v>
      </c>
      <c r="K24" s="32" t="s">
        <v>22</v>
      </c>
      <c r="L24" s="2">
        <f>34/40</f>
        <v>0.85</v>
      </c>
      <c r="M24" s="61">
        <v>41551</v>
      </c>
      <c r="N24" s="32"/>
      <c r="O24" s="32"/>
      <c r="P24" s="67"/>
      <c r="Q24" s="67"/>
      <c r="R24" s="67"/>
      <c r="S24" s="61"/>
      <c r="T24" s="77" t="s">
        <v>63</v>
      </c>
      <c r="U24" s="25" t="s">
        <v>2</v>
      </c>
      <c r="V24" s="35">
        <v>9.375E-2</v>
      </c>
      <c r="W24" s="10">
        <v>41582</v>
      </c>
      <c r="X24" s="17">
        <f ca="1">W24-$W$2</f>
        <v>-362.94953819444345</v>
      </c>
      <c r="Y24" s="23">
        <f>COUNTIF(N12:N71,"yes")+COUNTIF(N12:N71,"no")</f>
        <v>0</v>
      </c>
      <c r="Z24" s="31">
        <f>Y24*V24</f>
        <v>0</v>
      </c>
      <c r="AA24" s="31">
        <f>Z24*0.15</f>
        <v>0</v>
      </c>
      <c r="AB24" s="11"/>
    </row>
    <row r="25" spans="1:28" x14ac:dyDescent="0.2">
      <c r="A25" s="24"/>
      <c r="B25" s="22"/>
      <c r="C25" s="32" t="s">
        <v>16</v>
      </c>
      <c r="D25" s="32" t="s">
        <v>22</v>
      </c>
      <c r="E25" s="32" t="s">
        <v>22</v>
      </c>
      <c r="F25" s="57"/>
      <c r="G25" s="2"/>
      <c r="H25" s="2"/>
      <c r="I25" s="60"/>
      <c r="J25" s="32" t="s">
        <v>22</v>
      </c>
      <c r="K25" s="32" t="s">
        <v>22</v>
      </c>
      <c r="L25" s="2">
        <f>29/40</f>
        <v>0.72499999999999998</v>
      </c>
      <c r="M25" s="60">
        <v>41547</v>
      </c>
      <c r="N25" s="32"/>
      <c r="O25" s="32"/>
      <c r="P25" s="67">
        <f>14/20</f>
        <v>0.7</v>
      </c>
      <c r="Q25" s="67">
        <f>56.5/70</f>
        <v>0.80714285714285716</v>
      </c>
      <c r="R25" s="67">
        <f>70.5/90</f>
        <v>0.78333333333333333</v>
      </c>
      <c r="S25" s="60">
        <v>41566</v>
      </c>
      <c r="T25" s="77" t="s">
        <v>64</v>
      </c>
      <c r="U25" s="11" t="s">
        <v>32</v>
      </c>
      <c r="V25" s="11"/>
      <c r="W25" s="24"/>
      <c r="X25" s="12"/>
      <c r="Y25" s="23">
        <f>SUM(Y21:Y24)</f>
        <v>137</v>
      </c>
      <c r="Z25" s="31">
        <f>SUM(Z21:Z24)</f>
        <v>10.052083333333311</v>
      </c>
      <c r="AA25" s="31">
        <f>Z25*0.15</f>
        <v>1.5078124999999967</v>
      </c>
      <c r="AB25" s="31">
        <f>AA25+Z25</f>
        <v>11.559895833333307</v>
      </c>
    </row>
    <row r="26" spans="1:28" x14ac:dyDescent="0.2">
      <c r="A26" s="24"/>
      <c r="B26" s="22"/>
      <c r="C26" s="32" t="s">
        <v>17</v>
      </c>
      <c r="D26" s="32" t="s">
        <v>22</v>
      </c>
      <c r="E26" s="32" t="s">
        <v>22</v>
      </c>
      <c r="F26" s="57"/>
      <c r="G26" s="2"/>
      <c r="H26" s="2"/>
      <c r="I26" s="61"/>
      <c r="J26" s="32" t="s">
        <v>22</v>
      </c>
      <c r="K26" s="32"/>
      <c r="L26" s="2">
        <f>21/40</f>
        <v>0.52500000000000002</v>
      </c>
      <c r="M26" s="61">
        <v>41471</v>
      </c>
      <c r="N26" s="32"/>
      <c r="O26" s="32"/>
      <c r="P26" s="68"/>
      <c r="Q26" s="67"/>
      <c r="R26" s="67"/>
      <c r="S26" s="61"/>
      <c r="T26" s="23"/>
      <c r="U26" s="11"/>
      <c r="V26" s="11"/>
      <c r="W26" s="11"/>
      <c r="X26" s="21"/>
      <c r="Y26" s="11"/>
      <c r="Z26" s="31"/>
      <c r="AA26" s="31">
        <f>AA25/24</f>
        <v>6.282552083333319E-2</v>
      </c>
      <c r="AB26" s="31">
        <f>AB25/24</f>
        <v>0.48166232638888778</v>
      </c>
    </row>
    <row r="27" spans="1:28" x14ac:dyDescent="0.2">
      <c r="A27" s="24"/>
      <c r="B27" s="22"/>
      <c r="C27" s="32" t="s">
        <v>18</v>
      </c>
      <c r="D27" s="32"/>
      <c r="E27" s="32"/>
      <c r="F27" s="57"/>
      <c r="G27" s="2"/>
      <c r="H27" s="2"/>
      <c r="I27" s="61"/>
      <c r="J27" s="32" t="s">
        <v>22</v>
      </c>
      <c r="K27" s="32" t="s">
        <v>22</v>
      </c>
      <c r="L27" s="2">
        <f>19/40</f>
        <v>0.47499999999999998</v>
      </c>
      <c r="M27" s="61">
        <v>41459</v>
      </c>
      <c r="N27" s="32"/>
      <c r="O27" s="32"/>
      <c r="P27" s="67"/>
      <c r="Q27" s="67"/>
      <c r="R27" s="67"/>
      <c r="S27" s="61"/>
      <c r="T27" s="23"/>
      <c r="U27" s="11"/>
      <c r="V27" s="11"/>
      <c r="W27" s="11"/>
      <c r="X27" s="11"/>
      <c r="Y27" s="11"/>
      <c r="Z27" s="11"/>
      <c r="AA27" s="11"/>
      <c r="AB27" s="11"/>
    </row>
    <row r="28" spans="1:28" x14ac:dyDescent="0.2">
      <c r="A28" s="24"/>
      <c r="B28" s="22"/>
      <c r="C28" s="32" t="s">
        <v>23</v>
      </c>
      <c r="D28" s="32"/>
      <c r="E28" s="32"/>
      <c r="F28" s="57"/>
      <c r="G28" s="2"/>
      <c r="H28" s="2"/>
      <c r="I28" s="61"/>
      <c r="J28" s="32"/>
      <c r="K28" s="32"/>
      <c r="L28" s="2">
        <f>19/40</f>
        <v>0.47499999999999998</v>
      </c>
      <c r="M28" s="61">
        <v>41493</v>
      </c>
      <c r="N28" s="32"/>
      <c r="O28" s="32"/>
      <c r="P28" s="67"/>
      <c r="Q28" s="67"/>
      <c r="R28" s="67"/>
      <c r="S28" s="61"/>
      <c r="T28" s="23"/>
      <c r="U28" s="11"/>
      <c r="V28" s="11"/>
      <c r="W28" s="11"/>
      <c r="X28" s="11"/>
      <c r="Y28" s="11"/>
      <c r="Z28" s="11"/>
      <c r="AA28" s="11"/>
      <c r="AB28" s="11"/>
    </row>
    <row r="29" spans="1:28" x14ac:dyDescent="0.2">
      <c r="A29" s="24"/>
      <c r="B29" s="22"/>
      <c r="C29" s="32" t="s">
        <v>19</v>
      </c>
      <c r="D29" s="32" t="s">
        <v>22</v>
      </c>
      <c r="E29" s="32" t="s">
        <v>22</v>
      </c>
      <c r="F29" s="57"/>
      <c r="G29" s="2"/>
      <c r="H29" s="2"/>
      <c r="I29" s="61"/>
      <c r="J29" s="32" t="s">
        <v>22</v>
      </c>
      <c r="K29" s="32" t="s">
        <v>22</v>
      </c>
      <c r="L29" s="2">
        <f>10/40</f>
        <v>0.25</v>
      </c>
      <c r="M29" s="61">
        <v>41463</v>
      </c>
      <c r="N29" s="32"/>
      <c r="O29" s="32"/>
      <c r="P29" s="67"/>
      <c r="Q29" s="67"/>
      <c r="R29" s="67"/>
      <c r="S29" s="61"/>
      <c r="T29" s="23"/>
      <c r="U29" s="11"/>
      <c r="V29" s="11"/>
      <c r="W29" s="11"/>
      <c r="X29" s="11"/>
      <c r="Y29" s="11"/>
      <c r="Z29" s="11"/>
      <c r="AA29" s="11"/>
      <c r="AB29" s="11"/>
    </row>
    <row r="30" spans="1:28" x14ac:dyDescent="0.2">
      <c r="A30" s="24"/>
      <c r="B30" s="22"/>
      <c r="C30" s="32" t="s">
        <v>20</v>
      </c>
      <c r="D30" s="32" t="s">
        <v>22</v>
      </c>
      <c r="E30" s="32" t="s">
        <v>22</v>
      </c>
      <c r="F30" s="57"/>
      <c r="G30" s="2"/>
      <c r="H30" s="2"/>
      <c r="I30" s="60"/>
      <c r="J30" s="32" t="s">
        <v>22</v>
      </c>
      <c r="K30" s="32" t="s">
        <v>22</v>
      </c>
      <c r="L30" s="2">
        <f>23/40</f>
        <v>0.57499999999999996</v>
      </c>
      <c r="M30" s="60">
        <v>41562</v>
      </c>
      <c r="N30" s="32"/>
      <c r="O30" s="32"/>
      <c r="P30" s="67"/>
      <c r="Q30" s="67"/>
      <c r="R30" s="67"/>
      <c r="S30" s="60"/>
      <c r="T30" s="23"/>
      <c r="U30" s="11"/>
      <c r="V30" s="11"/>
      <c r="W30" s="11"/>
      <c r="X30" s="11"/>
      <c r="Y30" s="11"/>
      <c r="Z30" s="11"/>
      <c r="AA30" s="11"/>
      <c r="AB30" s="11"/>
    </row>
    <row r="31" spans="1:28" x14ac:dyDescent="0.2">
      <c r="A31" s="24"/>
      <c r="B31" s="4"/>
      <c r="C31" s="32" t="s">
        <v>21</v>
      </c>
      <c r="D31" s="32" t="s">
        <v>22</v>
      </c>
      <c r="E31" s="32" t="s">
        <v>22</v>
      </c>
      <c r="F31" s="57">
        <f>18/22</f>
        <v>0.81818181818181823</v>
      </c>
      <c r="G31" s="2">
        <f>44/58</f>
        <v>0.75862068965517238</v>
      </c>
      <c r="H31" s="2">
        <f>62/80</f>
        <v>0.77500000000000002</v>
      </c>
      <c r="I31" s="60">
        <v>41556</v>
      </c>
      <c r="J31" s="32" t="s">
        <v>22</v>
      </c>
      <c r="K31" s="32" t="s">
        <v>22</v>
      </c>
      <c r="L31" s="79"/>
      <c r="M31" s="60"/>
      <c r="N31" s="32"/>
      <c r="O31" s="32"/>
      <c r="P31" s="67"/>
      <c r="Q31" s="67"/>
      <c r="R31" s="67"/>
      <c r="S31" s="60"/>
      <c r="T31" s="23"/>
      <c r="U31" s="11"/>
      <c r="V31" s="11"/>
      <c r="W31" s="11"/>
      <c r="X31" s="11"/>
      <c r="Y31" s="11"/>
      <c r="Z31" s="11"/>
      <c r="AA31" s="11"/>
      <c r="AB31" s="11"/>
    </row>
    <row r="32" spans="1:28" x14ac:dyDescent="0.2">
      <c r="A32" s="24"/>
      <c r="B32" s="19">
        <v>2010</v>
      </c>
      <c r="C32" s="32" t="s">
        <v>13</v>
      </c>
      <c r="D32" s="32" t="s">
        <v>22</v>
      </c>
      <c r="E32" s="32" t="s">
        <v>22</v>
      </c>
      <c r="F32" s="57">
        <f>14/22</f>
        <v>0.63636363636363635</v>
      </c>
      <c r="G32" s="2">
        <f>42/58</f>
        <v>0.72413793103448276</v>
      </c>
      <c r="H32" s="2">
        <f>56/80</f>
        <v>0.7</v>
      </c>
      <c r="I32" s="61">
        <v>41474</v>
      </c>
      <c r="J32" s="32" t="s">
        <v>22</v>
      </c>
      <c r="K32" s="32" t="s">
        <v>22</v>
      </c>
      <c r="L32" s="2">
        <f>26/40</f>
        <v>0.65</v>
      </c>
      <c r="M32" s="61">
        <v>41476</v>
      </c>
      <c r="N32" s="32"/>
      <c r="O32" s="32"/>
      <c r="P32" s="67"/>
      <c r="Q32" s="67"/>
      <c r="R32" s="67"/>
      <c r="S32" s="61"/>
      <c r="T32" s="23"/>
      <c r="U32" s="11"/>
      <c r="V32" s="11"/>
      <c r="W32" s="11"/>
      <c r="X32" s="11"/>
      <c r="Y32" s="11"/>
      <c r="Z32" s="11"/>
      <c r="AA32" s="11"/>
      <c r="AB32" s="11"/>
    </row>
    <row r="33" spans="1:28" x14ac:dyDescent="0.2">
      <c r="A33" s="24"/>
      <c r="B33" s="75"/>
      <c r="C33" s="87" t="s">
        <v>65</v>
      </c>
      <c r="D33" s="71"/>
      <c r="E33" s="71"/>
      <c r="F33" s="78">
        <f>21/22</f>
        <v>0.95454545454545459</v>
      </c>
      <c r="G33" s="2">
        <f>56/58</f>
        <v>0.96551724137931039</v>
      </c>
      <c r="H33" s="79">
        <f>77/80</f>
        <v>0.96250000000000002</v>
      </c>
      <c r="I33" s="80">
        <v>41583</v>
      </c>
      <c r="J33" s="71"/>
      <c r="K33" s="71"/>
      <c r="L33" s="79">
        <f>37/40</f>
        <v>0.92500000000000004</v>
      </c>
      <c r="M33" s="80">
        <v>41583</v>
      </c>
      <c r="N33" s="71"/>
      <c r="O33" s="71"/>
      <c r="P33" s="73"/>
      <c r="Q33" s="73"/>
      <c r="R33" s="73"/>
      <c r="S33" s="80"/>
      <c r="T33" s="74"/>
      <c r="U33" s="11"/>
      <c r="V33" s="11"/>
      <c r="W33" s="11"/>
      <c r="X33" s="11"/>
      <c r="Y33" s="11"/>
      <c r="Z33" s="11"/>
      <c r="AA33" s="11"/>
      <c r="AB33" s="11"/>
    </row>
    <row r="34" spans="1:28" x14ac:dyDescent="0.2">
      <c r="A34" s="24"/>
      <c r="B34" s="22"/>
      <c r="C34" s="32" t="s">
        <v>15</v>
      </c>
      <c r="D34" s="32" t="s">
        <v>22</v>
      </c>
      <c r="E34" s="32" t="s">
        <v>22</v>
      </c>
      <c r="F34" s="57">
        <f>20/22</f>
        <v>0.90909090909090906</v>
      </c>
      <c r="G34" s="2">
        <f>44/58</f>
        <v>0.75862068965517238</v>
      </c>
      <c r="H34" s="2">
        <f>64/80</f>
        <v>0.8</v>
      </c>
      <c r="I34" s="60">
        <v>41546</v>
      </c>
      <c r="J34" s="32" t="s">
        <v>22</v>
      </c>
      <c r="K34" s="32" t="s">
        <v>22</v>
      </c>
      <c r="L34" s="2">
        <f>29/40</f>
        <v>0.72499999999999998</v>
      </c>
      <c r="M34" s="60">
        <v>41544</v>
      </c>
      <c r="N34" s="32"/>
      <c r="O34" s="32"/>
      <c r="P34" s="67"/>
      <c r="Q34" s="67"/>
      <c r="R34" s="67"/>
      <c r="S34" s="60"/>
      <c r="T34" s="23"/>
      <c r="U34" s="11"/>
      <c r="V34" s="11"/>
      <c r="W34" s="11"/>
      <c r="X34" s="11"/>
      <c r="Y34" s="11"/>
      <c r="Z34" s="11"/>
      <c r="AA34" s="11"/>
      <c r="AB34" s="11"/>
    </row>
    <row r="35" spans="1:28" x14ac:dyDescent="0.2">
      <c r="A35" s="24"/>
      <c r="B35" s="22"/>
      <c r="C35" s="32" t="s">
        <v>16</v>
      </c>
      <c r="D35" s="32" t="s">
        <v>22</v>
      </c>
      <c r="E35" s="32" t="s">
        <v>22</v>
      </c>
      <c r="F35" s="57"/>
      <c r="G35" s="2"/>
      <c r="H35" s="2"/>
      <c r="I35" s="61"/>
      <c r="J35" s="32"/>
      <c r="K35" s="32" t="s">
        <v>22</v>
      </c>
      <c r="L35" s="2">
        <f>18/40</f>
        <v>0.45</v>
      </c>
      <c r="M35" s="61">
        <v>41456</v>
      </c>
      <c r="N35" s="32"/>
      <c r="O35" s="32"/>
      <c r="P35" s="67"/>
      <c r="Q35" s="67"/>
      <c r="R35" s="67"/>
      <c r="S35" s="61"/>
      <c r="T35" s="23"/>
      <c r="U35" s="11"/>
      <c r="V35" s="11"/>
      <c r="W35" s="11"/>
      <c r="X35" s="11"/>
      <c r="Y35" s="11"/>
      <c r="Z35" s="11"/>
      <c r="AA35" s="11"/>
      <c r="AB35" s="11"/>
    </row>
    <row r="36" spans="1:28" x14ac:dyDescent="0.2">
      <c r="A36" s="24"/>
      <c r="B36" s="22"/>
      <c r="C36" s="32" t="s">
        <v>17</v>
      </c>
      <c r="D36" s="32" t="s">
        <v>22</v>
      </c>
      <c r="E36" s="32" t="s">
        <v>22</v>
      </c>
      <c r="F36" s="57">
        <f>16/22</f>
        <v>0.72727272727272729</v>
      </c>
      <c r="G36" s="2">
        <f>38/58</f>
        <v>0.65517241379310343</v>
      </c>
      <c r="H36" s="2">
        <f>54/80</f>
        <v>0.67500000000000004</v>
      </c>
      <c r="I36" s="61">
        <v>41547</v>
      </c>
      <c r="J36" s="32" t="s">
        <v>22</v>
      </c>
      <c r="K36" s="32" t="s">
        <v>22</v>
      </c>
      <c r="L36" s="2">
        <f>7/40</f>
        <v>0.17499999999999999</v>
      </c>
      <c r="M36" s="61">
        <v>41468</v>
      </c>
      <c r="N36" s="32"/>
      <c r="O36" s="32"/>
      <c r="P36" s="67"/>
      <c r="Q36" s="67"/>
      <c r="R36" s="67"/>
      <c r="S36" s="61"/>
      <c r="T36" s="23"/>
      <c r="U36" s="11"/>
      <c r="V36" s="11"/>
      <c r="W36" s="11"/>
      <c r="X36" s="11"/>
      <c r="Y36" s="11"/>
      <c r="Z36" s="11"/>
      <c r="AA36" s="11"/>
      <c r="AB36" s="11"/>
    </row>
    <row r="37" spans="1:28" x14ac:dyDescent="0.2">
      <c r="A37" s="24"/>
      <c r="B37" s="22"/>
      <c r="C37" s="32" t="s">
        <v>18</v>
      </c>
      <c r="D37" s="32" t="s">
        <v>22</v>
      </c>
      <c r="E37" s="32" t="s">
        <v>22</v>
      </c>
      <c r="F37" s="57"/>
      <c r="G37" s="2"/>
      <c r="H37" s="2"/>
      <c r="I37" s="60"/>
      <c r="J37" s="32" t="s">
        <v>22</v>
      </c>
      <c r="K37" s="32" t="s">
        <v>22</v>
      </c>
      <c r="L37" s="2">
        <f>33/40</f>
        <v>0.82499999999999996</v>
      </c>
      <c r="M37" s="60">
        <v>41547</v>
      </c>
      <c r="N37" s="32"/>
      <c r="O37" s="32"/>
      <c r="P37" s="67"/>
      <c r="Q37" s="67"/>
      <c r="R37" s="67"/>
      <c r="S37" s="60"/>
      <c r="T37" s="23"/>
      <c r="U37" s="11"/>
      <c r="V37" s="11"/>
      <c r="W37" s="11"/>
      <c r="X37" s="11"/>
      <c r="Y37" s="11"/>
      <c r="Z37" s="11"/>
      <c r="AA37" s="11"/>
      <c r="AB37" s="11"/>
    </row>
    <row r="38" spans="1:28" x14ac:dyDescent="0.2">
      <c r="A38" s="24"/>
      <c r="B38" s="22"/>
      <c r="C38" s="32" t="s">
        <v>19</v>
      </c>
      <c r="D38" s="32" t="s">
        <v>22</v>
      </c>
      <c r="E38" s="32" t="s">
        <v>22</v>
      </c>
      <c r="F38" s="57">
        <f>16/22</f>
        <v>0.72727272727272729</v>
      </c>
      <c r="G38" s="2">
        <f>46/58</f>
        <v>0.7931034482758621</v>
      </c>
      <c r="H38" s="2">
        <f>62/80</f>
        <v>0.77500000000000002</v>
      </c>
      <c r="I38" s="60">
        <v>41548</v>
      </c>
      <c r="J38" s="32" t="s">
        <v>22</v>
      </c>
      <c r="K38" s="32" t="s">
        <v>22</v>
      </c>
      <c r="L38" s="2">
        <f>24/40</f>
        <v>0.6</v>
      </c>
      <c r="M38" s="60">
        <v>41549</v>
      </c>
      <c r="N38" s="32"/>
      <c r="O38" s="32"/>
      <c r="P38" s="67"/>
      <c r="Q38" s="67"/>
      <c r="R38" s="67"/>
      <c r="S38" s="60"/>
      <c r="T38" s="23"/>
      <c r="U38" s="11"/>
      <c r="V38" s="11"/>
      <c r="W38" s="11"/>
      <c r="X38" s="11"/>
      <c r="Y38" s="11"/>
      <c r="Z38" s="11"/>
      <c r="AA38" s="11"/>
      <c r="AB38" s="11"/>
    </row>
    <row r="39" spans="1:28" x14ac:dyDescent="0.2">
      <c r="A39" s="24"/>
      <c r="B39" s="4"/>
      <c r="C39" s="32" t="s">
        <v>20</v>
      </c>
      <c r="D39" s="32" t="s">
        <v>22</v>
      </c>
      <c r="E39" s="32" t="s">
        <v>22</v>
      </c>
      <c r="F39" s="57"/>
      <c r="G39" s="2"/>
      <c r="H39" s="2"/>
      <c r="I39" s="60"/>
      <c r="J39" s="32" t="s">
        <v>22</v>
      </c>
      <c r="K39" s="32" t="s">
        <v>22</v>
      </c>
      <c r="L39" s="2"/>
      <c r="M39" s="60"/>
      <c r="N39" s="32"/>
      <c r="O39" s="32"/>
      <c r="P39" s="67"/>
      <c r="Q39" s="67"/>
      <c r="R39" s="67"/>
      <c r="S39" s="60"/>
      <c r="T39" s="23"/>
      <c r="U39" s="11"/>
      <c r="V39" s="11"/>
      <c r="W39" s="11"/>
      <c r="X39" s="11"/>
      <c r="Y39" s="11"/>
      <c r="Z39" s="11"/>
      <c r="AA39" s="11"/>
      <c r="AB39" s="11"/>
    </row>
    <row r="40" spans="1:28" x14ac:dyDescent="0.2">
      <c r="A40" s="24"/>
      <c r="B40" s="19">
        <v>2009</v>
      </c>
      <c r="C40" s="32" t="s">
        <v>13</v>
      </c>
      <c r="D40" s="32" t="s">
        <v>22</v>
      </c>
      <c r="E40" s="32" t="s">
        <v>22</v>
      </c>
      <c r="F40" s="57">
        <f>15/22</f>
        <v>0.68181818181818177</v>
      </c>
      <c r="G40" s="2">
        <f>35/58</f>
        <v>0.60344827586206895</v>
      </c>
      <c r="H40" s="2">
        <f>50/80</f>
        <v>0.625</v>
      </c>
      <c r="I40" s="61">
        <v>41475</v>
      </c>
      <c r="J40" s="32" t="s">
        <v>22</v>
      </c>
      <c r="K40" s="32" t="s">
        <v>22</v>
      </c>
      <c r="L40" s="2">
        <f>25/40</f>
        <v>0.625</v>
      </c>
      <c r="M40" s="61">
        <v>41478</v>
      </c>
      <c r="N40" s="32"/>
      <c r="O40" s="32"/>
      <c r="P40" s="67"/>
      <c r="Q40" s="67"/>
      <c r="R40" s="67"/>
      <c r="S40" s="61"/>
      <c r="T40" s="23"/>
      <c r="U40" s="11"/>
      <c r="V40" s="11"/>
      <c r="W40" s="11"/>
      <c r="X40" s="11"/>
      <c r="Y40" s="11"/>
      <c r="Z40" s="11"/>
      <c r="AA40" s="11"/>
      <c r="AB40" s="11"/>
    </row>
    <row r="41" spans="1:28" x14ac:dyDescent="0.2">
      <c r="A41" s="24"/>
      <c r="B41" s="75"/>
      <c r="C41" s="81" t="s">
        <v>65</v>
      </c>
      <c r="D41" s="71"/>
      <c r="E41" s="71"/>
      <c r="F41" s="78"/>
      <c r="G41" s="79"/>
      <c r="H41" s="79"/>
      <c r="I41" s="80"/>
      <c r="J41" s="71"/>
      <c r="K41" s="71"/>
      <c r="L41" s="79">
        <f>30/40</f>
        <v>0.75</v>
      </c>
      <c r="M41" s="80">
        <v>41575</v>
      </c>
      <c r="N41" s="71"/>
      <c r="O41" s="71"/>
      <c r="P41" s="73"/>
      <c r="Q41" s="73"/>
      <c r="R41" s="73"/>
      <c r="S41" s="80"/>
      <c r="T41" s="74"/>
      <c r="U41" s="11"/>
      <c r="V41" s="11"/>
      <c r="W41" s="11"/>
      <c r="X41" s="11"/>
      <c r="Y41" s="11"/>
      <c r="Z41" s="11"/>
      <c r="AA41" s="11"/>
      <c r="AB41" s="11"/>
    </row>
    <row r="42" spans="1:28" x14ac:dyDescent="0.2">
      <c r="A42" s="24"/>
      <c r="B42" s="22"/>
      <c r="C42" s="32" t="s">
        <v>15</v>
      </c>
      <c r="D42" s="32" t="s">
        <v>22</v>
      </c>
      <c r="E42" s="32" t="s">
        <v>22</v>
      </c>
      <c r="F42" s="57"/>
      <c r="G42" s="2"/>
      <c r="H42" s="2"/>
      <c r="I42" s="61"/>
      <c r="J42" s="32" t="s">
        <v>22</v>
      </c>
      <c r="K42" s="32" t="s">
        <v>22</v>
      </c>
      <c r="L42" s="59">
        <v>0.25</v>
      </c>
      <c r="M42" s="61">
        <v>41450</v>
      </c>
      <c r="N42" s="32"/>
      <c r="O42" s="32"/>
      <c r="P42" s="67"/>
      <c r="Q42" s="67"/>
      <c r="R42" s="67"/>
      <c r="S42" s="61"/>
      <c r="T42" s="23"/>
      <c r="U42" s="11"/>
      <c r="V42" s="11"/>
      <c r="W42" s="11"/>
      <c r="X42" s="11"/>
      <c r="Y42" s="11"/>
      <c r="Z42" s="11"/>
      <c r="AA42" s="11"/>
      <c r="AB42" s="11"/>
    </row>
    <row r="43" spans="1:28" x14ac:dyDescent="0.2">
      <c r="A43" s="24"/>
      <c r="B43" s="22"/>
      <c r="C43" s="32" t="s">
        <v>16</v>
      </c>
      <c r="D43" s="32" t="s">
        <v>22</v>
      </c>
      <c r="E43" s="32" t="s">
        <v>22</v>
      </c>
      <c r="F43" s="58">
        <f>18/22</f>
        <v>0.81818181818181823</v>
      </c>
      <c r="G43" s="2">
        <f>50/58</f>
        <v>0.86206896551724133</v>
      </c>
      <c r="H43" s="2">
        <f>68/80</f>
        <v>0.85</v>
      </c>
      <c r="I43" s="61">
        <v>41538</v>
      </c>
      <c r="J43" s="32" t="s">
        <v>22</v>
      </c>
      <c r="K43" s="32" t="s">
        <v>22</v>
      </c>
      <c r="L43" s="2">
        <f>31/40</f>
        <v>0.77500000000000002</v>
      </c>
      <c r="M43" s="61">
        <v>41536</v>
      </c>
      <c r="N43" s="32"/>
      <c r="O43" s="32"/>
      <c r="P43" s="67"/>
      <c r="Q43" s="67"/>
      <c r="R43" s="67"/>
      <c r="S43" s="61"/>
      <c r="T43" s="23"/>
      <c r="U43" s="11"/>
      <c r="V43" s="11"/>
      <c r="W43" s="11"/>
      <c r="X43" s="11"/>
      <c r="Y43" s="11"/>
      <c r="Z43" s="11"/>
      <c r="AA43" s="11"/>
      <c r="AB43" s="11"/>
    </row>
    <row r="44" spans="1:28" x14ac:dyDescent="0.2">
      <c r="A44" s="24"/>
      <c r="B44" s="22"/>
      <c r="C44" s="32" t="s">
        <v>17</v>
      </c>
      <c r="D44" s="32" t="s">
        <v>22</v>
      </c>
      <c r="E44" s="32" t="s">
        <v>22</v>
      </c>
      <c r="F44" s="57">
        <f>10/22</f>
        <v>0.45454545454545453</v>
      </c>
      <c r="G44" s="2">
        <f>43/58</f>
        <v>0.74137931034482762</v>
      </c>
      <c r="H44" s="2">
        <f>53/80</f>
        <v>0.66249999999999998</v>
      </c>
      <c r="I44" s="61">
        <v>41540</v>
      </c>
      <c r="J44" s="32" t="s">
        <v>22</v>
      </c>
      <c r="K44" s="32" t="s">
        <v>22</v>
      </c>
      <c r="L44" s="2">
        <f>24/40</f>
        <v>0.6</v>
      </c>
      <c r="M44" s="61">
        <v>41541</v>
      </c>
      <c r="N44" s="32"/>
      <c r="O44" s="32"/>
      <c r="P44" s="67"/>
      <c r="Q44" s="67"/>
      <c r="R44" s="67"/>
      <c r="S44" s="61"/>
      <c r="T44" s="23"/>
      <c r="U44" s="11"/>
      <c r="V44" s="11"/>
      <c r="W44" s="11"/>
      <c r="X44" s="11"/>
      <c r="Y44" s="11"/>
      <c r="Z44" s="11"/>
      <c r="AA44" s="11"/>
      <c r="AB44" s="11"/>
    </row>
    <row r="45" spans="1:28" x14ac:dyDescent="0.2">
      <c r="A45" s="24"/>
      <c r="B45" s="22"/>
      <c r="C45" s="32" t="s">
        <v>18</v>
      </c>
      <c r="D45" s="32" t="s">
        <v>22</v>
      </c>
      <c r="E45" s="32" t="s">
        <v>22</v>
      </c>
      <c r="F45" s="57">
        <f>21/22</f>
        <v>0.95454545454545459</v>
      </c>
      <c r="G45" s="2">
        <f>43/58</f>
        <v>0.74137931034482762</v>
      </c>
      <c r="H45" s="2">
        <f>64/80</f>
        <v>0.8</v>
      </c>
      <c r="I45" s="61">
        <v>41541</v>
      </c>
      <c r="J45" s="32" t="s">
        <v>22</v>
      </c>
      <c r="K45" s="32" t="s">
        <v>22</v>
      </c>
      <c r="L45" s="2">
        <f>31/40</f>
        <v>0.77500000000000002</v>
      </c>
      <c r="M45" s="61">
        <v>41542</v>
      </c>
      <c r="N45" s="32"/>
      <c r="O45" s="32"/>
      <c r="P45" s="67"/>
      <c r="Q45" s="67"/>
      <c r="R45" s="67"/>
      <c r="S45" s="61"/>
      <c r="T45" s="23"/>
      <c r="U45" s="11"/>
      <c r="V45" s="11"/>
      <c r="W45" s="11"/>
      <c r="X45" s="11"/>
      <c r="Y45" s="11"/>
      <c r="Z45" s="11"/>
      <c r="AA45" s="11"/>
      <c r="AB45" s="11"/>
    </row>
    <row r="46" spans="1:28" x14ac:dyDescent="0.2">
      <c r="A46" s="24"/>
      <c r="B46" s="22"/>
      <c r="C46" s="32" t="s">
        <v>19</v>
      </c>
      <c r="D46" s="32" t="s">
        <v>22</v>
      </c>
      <c r="E46" s="32" t="s">
        <v>22</v>
      </c>
      <c r="F46" s="57">
        <f>14/22</f>
        <v>0.63636363636363635</v>
      </c>
      <c r="G46" s="2">
        <f>42/58</f>
        <v>0.72413793103448276</v>
      </c>
      <c r="H46" s="2">
        <f>56/80</f>
        <v>0.7</v>
      </c>
      <c r="I46" s="60">
        <v>41542</v>
      </c>
      <c r="J46" s="32" t="s">
        <v>22</v>
      </c>
      <c r="K46" s="32" t="s">
        <v>22</v>
      </c>
      <c r="L46" s="2">
        <f>26/40</f>
        <v>0.65</v>
      </c>
      <c r="M46" s="60">
        <v>41543</v>
      </c>
      <c r="N46" s="32"/>
      <c r="O46" s="32"/>
      <c r="P46" s="67"/>
      <c r="Q46" s="67"/>
      <c r="R46" s="67"/>
      <c r="S46" s="60"/>
      <c r="T46" s="23"/>
      <c r="U46" s="11"/>
      <c r="V46" s="11"/>
      <c r="W46" s="11"/>
      <c r="X46" s="11"/>
      <c r="Y46" s="11"/>
      <c r="Z46" s="11"/>
      <c r="AA46" s="11"/>
      <c r="AB46" s="11"/>
    </row>
    <row r="47" spans="1:28" x14ac:dyDescent="0.2">
      <c r="A47" s="24"/>
      <c r="B47" s="4"/>
      <c r="C47" s="32" t="s">
        <v>20</v>
      </c>
      <c r="D47" s="32" t="s">
        <v>22</v>
      </c>
      <c r="E47" s="32" t="s">
        <v>22</v>
      </c>
      <c r="F47" s="57">
        <f>15/22</f>
        <v>0.68181818181818177</v>
      </c>
      <c r="G47" s="2">
        <f>48/58</f>
        <v>0.82758620689655171</v>
      </c>
      <c r="H47" s="2">
        <f>63/80</f>
        <v>0.78749999999999998</v>
      </c>
      <c r="I47" s="60">
        <v>41543</v>
      </c>
      <c r="J47" s="32" t="s">
        <v>22</v>
      </c>
      <c r="K47" s="32" t="s">
        <v>22</v>
      </c>
      <c r="L47" s="2">
        <f>35/40</f>
        <v>0.875</v>
      </c>
      <c r="M47" s="60">
        <v>41544</v>
      </c>
      <c r="N47" s="32"/>
      <c r="O47" s="32"/>
      <c r="P47" s="67"/>
      <c r="Q47" s="67"/>
      <c r="R47" s="67"/>
      <c r="S47" s="60"/>
      <c r="T47" s="23"/>
      <c r="U47" s="11"/>
      <c r="V47" s="11"/>
      <c r="W47" s="11"/>
      <c r="X47" s="11"/>
      <c r="Y47" s="11"/>
      <c r="Z47" s="11"/>
      <c r="AA47" s="11"/>
      <c r="AB47" s="11"/>
    </row>
    <row r="48" spans="1:28" x14ac:dyDescent="0.2">
      <c r="A48" s="24"/>
      <c r="B48" s="19">
        <v>2008</v>
      </c>
      <c r="C48" s="32" t="s">
        <v>13</v>
      </c>
      <c r="D48" s="32" t="s">
        <v>22</v>
      </c>
      <c r="E48" s="32" t="s">
        <v>22</v>
      </c>
      <c r="F48" s="57">
        <f>9/22</f>
        <v>0.40909090909090912</v>
      </c>
      <c r="G48" s="2">
        <f>30/58</f>
        <v>0.51724137931034486</v>
      </c>
      <c r="H48" s="2">
        <f>39/80</f>
        <v>0.48749999999999999</v>
      </c>
      <c r="I48" s="61">
        <v>41449</v>
      </c>
      <c r="J48" s="32" t="s">
        <v>22</v>
      </c>
      <c r="K48" s="32" t="s">
        <v>22</v>
      </c>
      <c r="L48" s="2">
        <f>26/40</f>
        <v>0.65</v>
      </c>
      <c r="M48" s="61">
        <v>41483</v>
      </c>
      <c r="N48" s="32"/>
      <c r="O48" s="32"/>
      <c r="P48" s="67"/>
      <c r="Q48" s="67"/>
      <c r="R48" s="67"/>
      <c r="S48" s="61"/>
      <c r="T48" s="23"/>
      <c r="U48" s="11"/>
      <c r="V48" s="11"/>
      <c r="W48" s="11"/>
      <c r="X48" s="11"/>
      <c r="Y48" s="11"/>
      <c r="Z48" s="11"/>
      <c r="AA48" s="11"/>
      <c r="AB48" s="11"/>
    </row>
    <row r="49" spans="1:28" x14ac:dyDescent="0.2">
      <c r="A49" s="24"/>
      <c r="B49" s="75"/>
      <c r="C49" s="87" t="s">
        <v>13</v>
      </c>
      <c r="D49" s="71"/>
      <c r="E49" s="71"/>
      <c r="F49" s="78"/>
      <c r="G49" s="79"/>
      <c r="H49" s="79"/>
      <c r="I49" s="80"/>
      <c r="J49" s="71"/>
      <c r="K49" s="71"/>
      <c r="L49" s="79">
        <f>36/40</f>
        <v>0.9</v>
      </c>
      <c r="M49" s="80">
        <v>41583</v>
      </c>
      <c r="N49" s="71"/>
      <c r="O49" s="71"/>
      <c r="P49" s="73"/>
      <c r="Q49" s="73"/>
      <c r="R49" s="73"/>
      <c r="S49" s="80"/>
      <c r="T49" s="74"/>
      <c r="U49" s="11"/>
      <c r="V49" s="11"/>
      <c r="W49" s="11"/>
      <c r="X49" s="11"/>
      <c r="Y49" s="11"/>
      <c r="Z49" s="11"/>
      <c r="AA49" s="11"/>
      <c r="AB49" s="11"/>
    </row>
    <row r="50" spans="1:28" x14ac:dyDescent="0.2">
      <c r="A50" s="24"/>
      <c r="B50" s="22"/>
      <c r="C50" s="32" t="s">
        <v>15</v>
      </c>
      <c r="D50" s="32" t="s">
        <v>22</v>
      </c>
      <c r="E50" s="32" t="s">
        <v>22</v>
      </c>
      <c r="F50" s="57"/>
      <c r="G50" s="2"/>
      <c r="H50" s="2"/>
      <c r="I50" s="61"/>
      <c r="J50" s="32" t="s">
        <v>22</v>
      </c>
      <c r="K50" s="32" t="s">
        <v>22</v>
      </c>
      <c r="L50" s="2">
        <v>0.25</v>
      </c>
      <c r="M50" s="61">
        <v>41454</v>
      </c>
      <c r="N50" s="32"/>
      <c r="O50" s="32"/>
      <c r="P50" s="67"/>
      <c r="Q50" s="67"/>
      <c r="R50" s="67"/>
      <c r="S50" s="61"/>
      <c r="T50" s="23"/>
      <c r="U50" s="11"/>
      <c r="V50" s="11"/>
      <c r="W50" s="11"/>
      <c r="X50" s="11"/>
      <c r="Y50" s="11"/>
      <c r="Z50" s="11"/>
      <c r="AA50" s="11"/>
      <c r="AB50" s="11"/>
    </row>
    <row r="51" spans="1:28" x14ac:dyDescent="0.2">
      <c r="A51" s="24"/>
      <c r="B51" s="22"/>
      <c r="C51" s="32" t="s">
        <v>16</v>
      </c>
      <c r="D51" s="32" t="s">
        <v>22</v>
      </c>
      <c r="E51" s="32" t="s">
        <v>22</v>
      </c>
      <c r="F51" s="57">
        <f>18/22</f>
        <v>0.81818181818181823</v>
      </c>
      <c r="G51" s="2">
        <f>47/58</f>
        <v>0.81034482758620685</v>
      </c>
      <c r="H51" s="2">
        <f>65/80</f>
        <v>0.8125</v>
      </c>
      <c r="I51" s="61">
        <v>41525</v>
      </c>
      <c r="J51" s="32" t="s">
        <v>22</v>
      </c>
      <c r="K51" s="32" t="s">
        <v>22</v>
      </c>
      <c r="L51" s="2">
        <f>32/40</f>
        <v>0.8</v>
      </c>
      <c r="M51" s="61">
        <v>41527</v>
      </c>
      <c r="N51" s="32"/>
      <c r="O51" s="32"/>
      <c r="P51" s="67"/>
      <c r="Q51" s="67"/>
      <c r="R51" s="67"/>
      <c r="S51" s="61"/>
      <c r="T51" s="23"/>
      <c r="U51" s="11"/>
      <c r="V51" s="11"/>
      <c r="W51" s="11"/>
      <c r="X51" s="11"/>
      <c r="Y51" s="11"/>
      <c r="Z51" s="11"/>
      <c r="AA51" s="11"/>
      <c r="AB51" s="11"/>
    </row>
    <row r="52" spans="1:28" x14ac:dyDescent="0.2">
      <c r="A52" s="24"/>
      <c r="B52" s="22"/>
      <c r="C52" s="32" t="s">
        <v>17</v>
      </c>
      <c r="D52" s="32" t="s">
        <v>22</v>
      </c>
      <c r="E52" s="32" t="s">
        <v>22</v>
      </c>
      <c r="F52" s="57"/>
      <c r="G52" s="2"/>
      <c r="H52" s="2"/>
      <c r="I52" s="60"/>
      <c r="J52" s="32" t="s">
        <v>22</v>
      </c>
      <c r="K52" s="32" t="s">
        <v>22</v>
      </c>
      <c r="L52" s="2"/>
      <c r="M52" s="60"/>
      <c r="N52" s="32"/>
      <c r="O52" s="32"/>
      <c r="P52" s="67"/>
      <c r="Q52" s="67"/>
      <c r="R52" s="67"/>
      <c r="S52" s="60"/>
      <c r="T52" s="23"/>
      <c r="U52" s="11"/>
      <c r="V52" s="11"/>
      <c r="W52" s="11"/>
      <c r="X52" s="11"/>
      <c r="Y52" s="11"/>
      <c r="Z52" s="11"/>
      <c r="AA52" s="11"/>
      <c r="AB52" s="11"/>
    </row>
    <row r="53" spans="1:28" x14ac:dyDescent="0.2">
      <c r="A53" s="24"/>
      <c r="B53" s="22"/>
      <c r="C53" s="32" t="s">
        <v>18</v>
      </c>
      <c r="D53" s="32" t="s">
        <v>22</v>
      </c>
      <c r="E53" s="32" t="s">
        <v>22</v>
      </c>
      <c r="F53" s="57">
        <f>15/22</f>
        <v>0.68181818181818177</v>
      </c>
      <c r="G53" s="2">
        <f>46/58</f>
        <v>0.7931034482758621</v>
      </c>
      <c r="H53" s="2">
        <f>61/80</f>
        <v>0.76249999999999996</v>
      </c>
      <c r="I53" s="60">
        <v>41524</v>
      </c>
      <c r="J53" s="32" t="s">
        <v>22</v>
      </c>
      <c r="K53" s="32" t="s">
        <v>22</v>
      </c>
      <c r="L53" s="2"/>
      <c r="M53" s="60"/>
      <c r="N53" s="32"/>
      <c r="O53" s="32"/>
      <c r="P53" s="67"/>
      <c r="Q53" s="67"/>
      <c r="R53" s="67"/>
      <c r="S53" s="60"/>
      <c r="T53" s="23"/>
      <c r="U53" s="11"/>
      <c r="V53" s="11"/>
      <c r="W53" s="11"/>
      <c r="X53" s="11"/>
      <c r="Y53" s="11"/>
      <c r="Z53" s="11"/>
      <c r="AA53" s="11"/>
      <c r="AB53" s="11"/>
    </row>
    <row r="54" spans="1:28" x14ac:dyDescent="0.2">
      <c r="A54" s="24"/>
      <c r="B54" s="22"/>
      <c r="C54" s="32" t="s">
        <v>19</v>
      </c>
      <c r="D54" s="32" t="s">
        <v>22</v>
      </c>
      <c r="E54" s="32" t="s">
        <v>22</v>
      </c>
      <c r="F54" s="57"/>
      <c r="G54" s="2"/>
      <c r="H54" s="2"/>
      <c r="I54" s="61"/>
      <c r="J54" s="32"/>
      <c r="K54" s="32" t="s">
        <v>22</v>
      </c>
      <c r="L54" s="2">
        <f>27/40</f>
        <v>0.67500000000000004</v>
      </c>
      <c r="M54" s="61">
        <v>41533</v>
      </c>
      <c r="N54" s="32"/>
      <c r="O54" s="32"/>
      <c r="P54" s="67"/>
      <c r="Q54" s="67"/>
      <c r="R54" s="67"/>
      <c r="S54" s="61"/>
      <c r="T54" s="23"/>
      <c r="U54" s="11"/>
      <c r="V54" s="11"/>
      <c r="W54" s="11"/>
      <c r="X54" s="11"/>
      <c r="Y54" s="11"/>
      <c r="Z54" s="11"/>
      <c r="AA54" s="11"/>
      <c r="AB54" s="11"/>
    </row>
    <row r="55" spans="1:28" x14ac:dyDescent="0.2">
      <c r="A55" s="24"/>
      <c r="B55" s="22"/>
      <c r="C55" s="32" t="s">
        <v>20</v>
      </c>
      <c r="D55" s="32" t="s">
        <v>22</v>
      </c>
      <c r="E55" s="32" t="s">
        <v>22</v>
      </c>
      <c r="F55" s="57">
        <f>18/22</f>
        <v>0.81818181818181823</v>
      </c>
      <c r="G55" s="2">
        <f>51/58</f>
        <v>0.87931034482758619</v>
      </c>
      <c r="H55" s="2">
        <f>69/80</f>
        <v>0.86250000000000004</v>
      </c>
      <c r="I55" s="61">
        <v>41534</v>
      </c>
      <c r="J55" s="32" t="s">
        <v>22</v>
      </c>
      <c r="K55" s="32" t="s">
        <v>22</v>
      </c>
      <c r="L55" s="2">
        <f>33/40</f>
        <v>0.82499999999999996</v>
      </c>
      <c r="M55" s="61">
        <v>41536</v>
      </c>
      <c r="N55" s="32"/>
      <c r="O55" s="32"/>
      <c r="P55" s="67"/>
      <c r="Q55" s="67"/>
      <c r="R55" s="67"/>
      <c r="S55" s="61"/>
      <c r="T55" s="23"/>
      <c r="U55" s="11"/>
      <c r="V55" s="11"/>
      <c r="W55" s="11"/>
      <c r="X55" s="11"/>
      <c r="Y55" s="11"/>
      <c r="Z55" s="11"/>
      <c r="AA55" s="11"/>
      <c r="AB55" s="11"/>
    </row>
    <row r="56" spans="1:28" x14ac:dyDescent="0.2">
      <c r="A56" s="24"/>
      <c r="B56" s="4"/>
      <c r="C56" s="32" t="s">
        <v>33</v>
      </c>
      <c r="D56" s="32" t="s">
        <v>22</v>
      </c>
      <c r="E56" s="32" t="s">
        <v>22</v>
      </c>
      <c r="F56" s="57"/>
      <c r="G56" s="2"/>
      <c r="H56" s="2"/>
      <c r="I56" s="60"/>
      <c r="J56" s="32" t="s">
        <v>22</v>
      </c>
      <c r="K56" s="32" t="s">
        <v>22</v>
      </c>
      <c r="L56" s="2"/>
      <c r="M56" s="60"/>
      <c r="N56" s="32"/>
      <c r="O56" s="32"/>
      <c r="P56" s="67"/>
      <c r="Q56" s="67"/>
      <c r="R56" s="67"/>
      <c r="S56" s="60"/>
      <c r="T56" s="23"/>
      <c r="U56" s="11"/>
      <c r="V56" s="11"/>
      <c r="W56" s="11"/>
      <c r="X56" s="11"/>
      <c r="Y56" s="11"/>
      <c r="Z56" s="11"/>
      <c r="AA56" s="11"/>
      <c r="AB56" s="11"/>
    </row>
    <row r="57" spans="1:28" x14ac:dyDescent="0.2">
      <c r="A57" s="24"/>
      <c r="B57" s="19">
        <v>2007</v>
      </c>
      <c r="C57" s="32" t="s">
        <v>13</v>
      </c>
      <c r="D57" s="32" t="s">
        <v>22</v>
      </c>
      <c r="E57" s="32" t="s">
        <v>22</v>
      </c>
      <c r="F57" s="57">
        <f>20/22</f>
        <v>0.90909090909090906</v>
      </c>
      <c r="G57" s="2">
        <f>53/58</f>
        <v>0.91379310344827591</v>
      </c>
      <c r="H57" s="2">
        <f>73/80</f>
        <v>0.91249999999999998</v>
      </c>
      <c r="I57" s="60">
        <v>41573</v>
      </c>
      <c r="J57" s="32" t="s">
        <v>22</v>
      </c>
      <c r="K57" s="32" t="s">
        <v>22</v>
      </c>
      <c r="L57" s="2">
        <f>34/40</f>
        <v>0.85</v>
      </c>
      <c r="M57" s="60">
        <v>41577</v>
      </c>
      <c r="N57" s="32"/>
      <c r="O57" s="32"/>
      <c r="P57" s="67"/>
      <c r="Q57" s="67"/>
      <c r="R57" s="67"/>
      <c r="S57" s="60"/>
      <c r="T57" s="23"/>
      <c r="U57" s="11"/>
      <c r="V57" s="11"/>
      <c r="W57" s="11"/>
      <c r="X57" s="11"/>
      <c r="Y57" s="11"/>
      <c r="Z57" s="11"/>
      <c r="AA57" s="11"/>
      <c r="AB57" s="11"/>
    </row>
    <row r="58" spans="1:28" x14ac:dyDescent="0.2">
      <c r="A58" s="24"/>
      <c r="B58" s="22"/>
      <c r="C58" s="32" t="s">
        <v>15</v>
      </c>
      <c r="D58" s="32" t="s">
        <v>22</v>
      </c>
      <c r="E58" s="32" t="s">
        <v>22</v>
      </c>
      <c r="F58" s="57">
        <f>18/22</f>
        <v>0.81818181818181823</v>
      </c>
      <c r="G58" s="2">
        <f>42/58</f>
        <v>0.72413793103448276</v>
      </c>
      <c r="H58" s="2">
        <f>60/80</f>
        <v>0.75</v>
      </c>
      <c r="I58" s="61">
        <v>41507</v>
      </c>
      <c r="J58" s="32" t="s">
        <v>22</v>
      </c>
      <c r="K58" s="32" t="s">
        <v>22</v>
      </c>
      <c r="L58" s="2">
        <f>21/40</f>
        <v>0.52500000000000002</v>
      </c>
      <c r="M58" s="61">
        <v>41506</v>
      </c>
      <c r="N58" s="32"/>
      <c r="O58" s="32"/>
      <c r="P58" s="67"/>
      <c r="Q58" s="67"/>
      <c r="R58" s="67"/>
      <c r="S58" s="61"/>
      <c r="T58" s="23"/>
      <c r="U58" s="11"/>
      <c r="V58" s="11"/>
      <c r="W58" s="11"/>
      <c r="X58" s="11"/>
      <c r="Y58" s="11"/>
      <c r="Z58" s="11"/>
      <c r="AA58" s="11"/>
      <c r="AB58" s="11"/>
    </row>
    <row r="59" spans="1:28" x14ac:dyDescent="0.2">
      <c r="A59" s="24"/>
      <c r="B59" s="22"/>
      <c r="C59" s="32" t="s">
        <v>16</v>
      </c>
      <c r="D59" s="32" t="s">
        <v>22</v>
      </c>
      <c r="E59" s="32" t="s">
        <v>22</v>
      </c>
      <c r="F59" s="57"/>
      <c r="G59" s="2"/>
      <c r="H59" s="2"/>
      <c r="I59" s="62"/>
      <c r="J59" s="32" t="s">
        <v>22</v>
      </c>
      <c r="K59" s="32" t="s">
        <v>22</v>
      </c>
      <c r="L59" s="1"/>
      <c r="M59" s="62"/>
      <c r="N59" s="32"/>
      <c r="O59" s="32"/>
      <c r="P59" s="67"/>
      <c r="Q59" s="67"/>
      <c r="R59" s="69"/>
      <c r="S59" s="62"/>
      <c r="T59" s="23"/>
      <c r="U59" s="11"/>
      <c r="V59" s="11"/>
      <c r="W59" s="11"/>
      <c r="X59" s="11"/>
      <c r="Y59" s="11"/>
      <c r="Z59" s="11"/>
      <c r="AA59" s="11"/>
      <c r="AB59" s="11"/>
    </row>
    <row r="60" spans="1:28" x14ac:dyDescent="0.2">
      <c r="A60" s="24"/>
      <c r="B60" s="22"/>
      <c r="C60" s="32" t="s">
        <v>17</v>
      </c>
      <c r="D60" s="32" t="s">
        <v>22</v>
      </c>
      <c r="E60" s="32" t="s">
        <v>22</v>
      </c>
      <c r="F60" s="57"/>
      <c r="G60" s="2"/>
      <c r="H60" s="2"/>
      <c r="I60" s="63"/>
      <c r="J60" s="32" t="s">
        <v>22</v>
      </c>
      <c r="K60" s="32" t="s">
        <v>22</v>
      </c>
      <c r="L60" s="1">
        <f>23/40</f>
        <v>0.57499999999999996</v>
      </c>
      <c r="M60" s="63">
        <v>41516</v>
      </c>
      <c r="N60" s="32"/>
      <c r="O60" s="32"/>
      <c r="P60" s="67"/>
      <c r="Q60" s="67"/>
      <c r="R60" s="69"/>
      <c r="S60" s="63"/>
      <c r="T60" s="23"/>
      <c r="U60" s="11"/>
      <c r="V60" s="11"/>
      <c r="W60" s="11"/>
      <c r="X60" s="11"/>
      <c r="Y60" s="11"/>
      <c r="Z60" s="11"/>
      <c r="AA60" s="11"/>
      <c r="AB60" s="11"/>
    </row>
    <row r="61" spans="1:28" x14ac:dyDescent="0.2">
      <c r="A61" s="24"/>
      <c r="B61" s="22"/>
      <c r="C61" s="32" t="s">
        <v>18</v>
      </c>
      <c r="D61" s="32" t="s">
        <v>22</v>
      </c>
      <c r="E61" s="32" t="s">
        <v>22</v>
      </c>
      <c r="F61" s="57">
        <f>20/22</f>
        <v>0.90909090909090906</v>
      </c>
      <c r="G61" s="2">
        <f>31/57</f>
        <v>0.54385964912280704</v>
      </c>
      <c r="H61" s="2">
        <f>51/79</f>
        <v>0.64556962025316456</v>
      </c>
      <c r="I61" s="63">
        <v>41515</v>
      </c>
      <c r="J61" s="32" t="s">
        <v>22</v>
      </c>
      <c r="K61" s="32" t="s">
        <v>22</v>
      </c>
      <c r="L61" s="1">
        <f>32/40</f>
        <v>0.8</v>
      </c>
      <c r="M61" s="63">
        <v>41517</v>
      </c>
      <c r="N61" s="32"/>
      <c r="O61" s="32"/>
      <c r="P61" s="67"/>
      <c r="Q61" s="67"/>
      <c r="R61" s="69"/>
      <c r="S61" s="63"/>
      <c r="T61" s="23"/>
      <c r="U61" s="11"/>
      <c r="V61" s="11"/>
      <c r="W61" s="11"/>
      <c r="X61" s="11"/>
      <c r="Y61" s="11"/>
      <c r="Z61" s="11"/>
      <c r="AA61" s="11"/>
      <c r="AB61" s="11"/>
    </row>
    <row r="62" spans="1:28" x14ac:dyDescent="0.2">
      <c r="A62" s="24"/>
      <c r="B62" s="22"/>
      <c r="C62" s="32" t="s">
        <v>19</v>
      </c>
      <c r="D62" s="32" t="s">
        <v>22</v>
      </c>
      <c r="E62" s="32" t="s">
        <v>22</v>
      </c>
      <c r="F62" s="57">
        <f>11/22</f>
        <v>0.5</v>
      </c>
      <c r="G62" s="2">
        <f>28/58</f>
        <v>0.48275862068965519</v>
      </c>
      <c r="H62" s="2">
        <f>39/80</f>
        <v>0.48749999999999999</v>
      </c>
      <c r="I62" s="63">
        <v>41454</v>
      </c>
      <c r="J62" s="32"/>
      <c r="K62" s="32" t="s">
        <v>22</v>
      </c>
      <c r="L62" s="1">
        <f>24/40</f>
        <v>0.6</v>
      </c>
      <c r="M62" s="63">
        <v>41518</v>
      </c>
      <c r="N62" s="32"/>
      <c r="O62" s="32"/>
      <c r="P62" s="67"/>
      <c r="Q62" s="67"/>
      <c r="R62" s="69"/>
      <c r="S62" s="63"/>
      <c r="T62" s="23"/>
      <c r="U62" s="11"/>
      <c r="V62" s="11"/>
      <c r="W62" s="11"/>
      <c r="X62" s="11"/>
      <c r="Y62" s="11"/>
      <c r="Z62" s="11"/>
      <c r="AA62" s="11"/>
      <c r="AB62" s="11"/>
    </row>
    <row r="63" spans="1:28" x14ac:dyDescent="0.2">
      <c r="A63" s="24"/>
      <c r="B63" s="4"/>
      <c r="C63" s="32" t="s">
        <v>20</v>
      </c>
      <c r="D63" s="32" t="s">
        <v>22</v>
      </c>
      <c r="E63" s="32" t="s">
        <v>22</v>
      </c>
      <c r="F63" s="57">
        <f>20/22</f>
        <v>0.90909090909090906</v>
      </c>
      <c r="G63" s="2">
        <f>54/58</f>
        <v>0.93103448275862066</v>
      </c>
      <c r="H63" s="2">
        <f>74/80</f>
        <v>0.92500000000000004</v>
      </c>
      <c r="I63" s="63">
        <v>41520</v>
      </c>
      <c r="J63" s="32" t="s">
        <v>22</v>
      </c>
      <c r="K63" s="32" t="s">
        <v>22</v>
      </c>
      <c r="L63" s="1">
        <f>28/40</f>
        <v>0.7</v>
      </c>
      <c r="M63" s="63">
        <v>41523</v>
      </c>
      <c r="N63" s="32"/>
      <c r="O63" s="32"/>
      <c r="P63" s="67"/>
      <c r="Q63" s="67"/>
      <c r="R63" s="69"/>
      <c r="S63" s="63"/>
      <c r="T63" s="23"/>
      <c r="U63" s="11"/>
      <c r="V63" s="11"/>
      <c r="W63" s="11"/>
      <c r="X63" s="11"/>
      <c r="Y63" s="11"/>
      <c r="Z63" s="11"/>
      <c r="AA63" s="11"/>
      <c r="AB63" s="11"/>
    </row>
    <row r="64" spans="1:28" x14ac:dyDescent="0.2">
      <c r="A64" s="24"/>
      <c r="B64" s="19">
        <v>2006</v>
      </c>
      <c r="C64" s="32" t="s">
        <v>13</v>
      </c>
      <c r="D64" s="32" t="s">
        <v>22</v>
      </c>
      <c r="E64" s="32" t="s">
        <v>22</v>
      </c>
      <c r="F64" s="57">
        <f>16/22</f>
        <v>0.72727272727272729</v>
      </c>
      <c r="G64" s="2">
        <f>44/58</f>
        <v>0.75862068965517238</v>
      </c>
      <c r="H64" s="2">
        <f>60/80</f>
        <v>0.75</v>
      </c>
      <c r="I64" s="63">
        <v>41453</v>
      </c>
      <c r="J64" s="32" t="s">
        <v>22</v>
      </c>
      <c r="K64" s="32" t="s">
        <v>22</v>
      </c>
      <c r="L64" s="1">
        <f>19/40</f>
        <v>0.47499999999999998</v>
      </c>
      <c r="M64" s="63">
        <v>41484</v>
      </c>
      <c r="N64" s="32"/>
      <c r="O64" s="32"/>
      <c r="P64" s="67"/>
      <c r="Q64" s="67"/>
      <c r="R64" s="69"/>
      <c r="S64" s="63"/>
      <c r="T64" s="23"/>
      <c r="U64" s="11"/>
      <c r="V64" s="11"/>
      <c r="W64" s="11"/>
      <c r="X64" s="11"/>
      <c r="Y64" s="11"/>
      <c r="Z64" s="11"/>
      <c r="AA64" s="11"/>
      <c r="AB64" s="11"/>
    </row>
    <row r="65" spans="1:28" x14ac:dyDescent="0.2">
      <c r="A65" s="24"/>
      <c r="B65" s="75"/>
      <c r="C65" s="32" t="s">
        <v>13</v>
      </c>
      <c r="D65" s="32" t="s">
        <v>22</v>
      </c>
      <c r="E65" s="32" t="s">
        <v>22</v>
      </c>
      <c r="F65" s="57"/>
      <c r="G65" s="2"/>
      <c r="H65" s="2"/>
      <c r="I65" s="63"/>
      <c r="J65" s="32"/>
      <c r="K65" s="32"/>
      <c r="L65" s="1">
        <f>32/40</f>
        <v>0.8</v>
      </c>
      <c r="M65" s="63">
        <v>41563</v>
      </c>
      <c r="N65" s="71"/>
      <c r="O65" s="71"/>
      <c r="P65" s="73"/>
      <c r="Q65" s="73"/>
      <c r="R65" s="69"/>
      <c r="S65" s="72"/>
      <c r="T65" s="74"/>
      <c r="U65" s="11"/>
      <c r="V65" s="11"/>
      <c r="W65" s="11"/>
      <c r="X65" s="11"/>
      <c r="Y65" s="11"/>
      <c r="Z65" s="11"/>
      <c r="AA65" s="11"/>
      <c r="AB65" s="11"/>
    </row>
    <row r="66" spans="1:28" x14ac:dyDescent="0.2">
      <c r="A66" s="24"/>
      <c r="B66" s="22"/>
      <c r="C66" s="32" t="s">
        <v>15</v>
      </c>
      <c r="D66" s="32" t="s">
        <v>22</v>
      </c>
      <c r="E66" s="32" t="s">
        <v>22</v>
      </c>
      <c r="F66" s="57">
        <f>16/22</f>
        <v>0.72727272727272729</v>
      </c>
      <c r="G66" s="2">
        <f>38/58</f>
        <v>0.65517241379310343</v>
      </c>
      <c r="H66" s="2">
        <f>54/80</f>
        <v>0.67500000000000004</v>
      </c>
      <c r="I66" s="62">
        <v>41477</v>
      </c>
      <c r="J66" s="32" t="s">
        <v>22</v>
      </c>
      <c r="K66" s="32" t="s">
        <v>22</v>
      </c>
      <c r="L66" s="1"/>
      <c r="M66" s="62"/>
      <c r="N66" s="32"/>
      <c r="O66" s="32"/>
      <c r="P66" s="67"/>
      <c r="Q66" s="67"/>
      <c r="R66" s="69"/>
      <c r="S66" s="62"/>
      <c r="T66" s="23"/>
      <c r="U66" s="11"/>
      <c r="V66" s="11"/>
      <c r="W66" s="11"/>
      <c r="X66" s="11"/>
      <c r="Y66" s="11"/>
      <c r="Z66" s="11"/>
      <c r="AA66" s="11"/>
      <c r="AB66" s="11"/>
    </row>
    <row r="67" spans="1:28" x14ac:dyDescent="0.2">
      <c r="A67" s="24"/>
      <c r="B67" s="22"/>
      <c r="C67" s="32" t="s">
        <v>16</v>
      </c>
      <c r="D67" s="32" t="s">
        <v>22</v>
      </c>
      <c r="E67" s="32" t="s">
        <v>22</v>
      </c>
      <c r="F67" s="57">
        <f>15/22</f>
        <v>0.68181818181818177</v>
      </c>
      <c r="G67" s="2">
        <f>36/58</f>
        <v>0.62068965517241381</v>
      </c>
      <c r="H67" s="2">
        <f>51/80</f>
        <v>0.63749999999999996</v>
      </c>
      <c r="I67" s="62">
        <v>41490</v>
      </c>
      <c r="J67" s="32" t="s">
        <v>22</v>
      </c>
      <c r="K67" s="32" t="s">
        <v>22</v>
      </c>
      <c r="L67" s="1"/>
      <c r="M67" s="62"/>
      <c r="N67" s="32"/>
      <c r="O67" s="32"/>
      <c r="P67" s="67"/>
      <c r="Q67" s="67"/>
      <c r="R67" s="69"/>
      <c r="S67" s="62"/>
      <c r="T67" s="23"/>
      <c r="U67" s="11"/>
      <c r="V67" s="11"/>
      <c r="W67" s="11"/>
      <c r="X67" s="11"/>
      <c r="Y67" s="11"/>
      <c r="Z67" s="11"/>
      <c r="AA67" s="11"/>
      <c r="AB67" s="11"/>
    </row>
    <row r="68" spans="1:28" x14ac:dyDescent="0.2">
      <c r="A68" s="24"/>
      <c r="B68" s="22"/>
      <c r="C68" s="32" t="s">
        <v>17</v>
      </c>
      <c r="D68" s="32" t="s">
        <v>22</v>
      </c>
      <c r="E68" s="32" t="s">
        <v>22</v>
      </c>
      <c r="F68" s="57">
        <f>13/22</f>
        <v>0.59090909090909094</v>
      </c>
      <c r="G68" s="2">
        <f>28/58</f>
        <v>0.48275862068965519</v>
      </c>
      <c r="H68" s="2">
        <f>41/80</f>
        <v>0.51249999999999996</v>
      </c>
      <c r="I68" s="63">
        <v>41494</v>
      </c>
      <c r="J68" s="32" t="s">
        <v>22</v>
      </c>
      <c r="K68" s="32" t="s">
        <v>22</v>
      </c>
      <c r="L68" s="1">
        <f>17/40</f>
        <v>0.42499999999999999</v>
      </c>
      <c r="M68" s="63">
        <v>41492</v>
      </c>
      <c r="N68" s="32"/>
      <c r="O68" s="32"/>
      <c r="P68" s="67"/>
      <c r="Q68" s="67"/>
      <c r="R68" s="69"/>
      <c r="S68" s="63"/>
      <c r="T68" s="23"/>
      <c r="U68" s="11"/>
      <c r="V68" s="11"/>
      <c r="W68" s="11"/>
      <c r="X68" s="11"/>
      <c r="Y68" s="11"/>
      <c r="Z68" s="11"/>
      <c r="AA68" s="11"/>
      <c r="AB68" s="11"/>
    </row>
    <row r="69" spans="1:28" x14ac:dyDescent="0.2">
      <c r="A69" s="24"/>
      <c r="B69" s="22"/>
      <c r="C69" s="32" t="s">
        <v>18</v>
      </c>
      <c r="D69" s="32" t="s">
        <v>22</v>
      </c>
      <c r="E69" s="32" t="s">
        <v>22</v>
      </c>
      <c r="F69" s="57">
        <f>18/22</f>
        <v>0.81818181818181823</v>
      </c>
      <c r="G69" s="2">
        <f>41/58</f>
        <v>0.7068965517241379</v>
      </c>
      <c r="H69" s="2">
        <f>59/80</f>
        <v>0.73750000000000004</v>
      </c>
      <c r="I69" s="63">
        <v>41495</v>
      </c>
      <c r="J69" s="32" t="s">
        <v>22</v>
      </c>
      <c r="K69" s="32" t="s">
        <v>22</v>
      </c>
      <c r="L69" s="1">
        <f>23/40</f>
        <v>0.57499999999999996</v>
      </c>
      <c r="M69" s="63">
        <v>41500</v>
      </c>
      <c r="N69" s="32"/>
      <c r="O69" s="32"/>
      <c r="P69" s="67"/>
      <c r="Q69" s="67"/>
      <c r="R69" s="69"/>
      <c r="S69" s="63"/>
      <c r="T69" s="23"/>
      <c r="U69" s="11"/>
      <c r="V69" s="11"/>
      <c r="W69" s="11"/>
      <c r="X69" s="11"/>
      <c r="Y69" s="11"/>
      <c r="Z69" s="11"/>
      <c r="AA69" s="11"/>
      <c r="AB69" s="11"/>
    </row>
    <row r="70" spans="1:28" x14ac:dyDescent="0.2">
      <c r="A70" s="24"/>
      <c r="B70" s="22"/>
      <c r="C70" s="32" t="s">
        <v>19</v>
      </c>
      <c r="D70" s="32" t="s">
        <v>22</v>
      </c>
      <c r="E70" s="32" t="s">
        <v>22</v>
      </c>
      <c r="F70" s="57">
        <f>20/22</f>
        <v>0.90909090909090906</v>
      </c>
      <c r="G70" s="2">
        <f>49/58</f>
        <v>0.84482758620689657</v>
      </c>
      <c r="H70" s="2">
        <f>69/80</f>
        <v>0.86250000000000004</v>
      </c>
      <c r="I70" s="63">
        <v>41498</v>
      </c>
      <c r="J70" s="32" t="s">
        <v>22</v>
      </c>
      <c r="K70" s="32" t="s">
        <v>22</v>
      </c>
      <c r="L70" s="1">
        <f>21/40</f>
        <v>0.52500000000000002</v>
      </c>
      <c r="M70" s="63">
        <v>41501</v>
      </c>
      <c r="N70" s="32"/>
      <c r="O70" s="32"/>
      <c r="P70" s="67"/>
      <c r="Q70" s="67"/>
      <c r="R70" s="69"/>
      <c r="S70" s="63"/>
      <c r="T70" s="23"/>
      <c r="U70" s="11"/>
      <c r="V70" s="11"/>
      <c r="W70" s="11"/>
      <c r="X70" s="11"/>
      <c r="Y70" s="11"/>
      <c r="Z70" s="11"/>
      <c r="AA70" s="11"/>
      <c r="AB70" s="11"/>
    </row>
    <row r="71" spans="1:28" x14ac:dyDescent="0.2">
      <c r="A71" s="24"/>
      <c r="B71" s="4"/>
      <c r="C71" s="32" t="s">
        <v>20</v>
      </c>
      <c r="D71" s="32"/>
      <c r="E71" s="32"/>
      <c r="F71" s="57">
        <f>12/22</f>
        <v>0.54545454545454541</v>
      </c>
      <c r="G71" s="2">
        <f>25/58</f>
        <v>0.43103448275862066</v>
      </c>
      <c r="H71" s="2">
        <f>37/80</f>
        <v>0.46250000000000002</v>
      </c>
      <c r="I71" s="63">
        <v>41451</v>
      </c>
      <c r="J71" s="32"/>
      <c r="K71" s="32"/>
      <c r="L71" s="1">
        <f>35/40</f>
        <v>0.875</v>
      </c>
      <c r="M71" s="63">
        <v>41504</v>
      </c>
      <c r="N71" s="32"/>
      <c r="O71" s="32"/>
      <c r="P71" s="67"/>
      <c r="Q71" s="67"/>
      <c r="R71" s="69"/>
      <c r="S71" s="63"/>
      <c r="T71" s="23"/>
      <c r="U71" s="11"/>
      <c r="V71" s="11"/>
      <c r="W71" s="11"/>
      <c r="X71" s="11"/>
      <c r="Y71" s="11"/>
      <c r="Z71" s="11"/>
      <c r="AA71" s="11"/>
      <c r="AB71" s="11"/>
    </row>
    <row r="72" spans="1:28" ht="38.25" customHeight="1" x14ac:dyDescent="0.2">
      <c r="A72" s="11"/>
      <c r="B72" s="21"/>
      <c r="C72" s="21"/>
      <c r="D72" s="28" t="s">
        <v>34</v>
      </c>
      <c r="E72" s="28" t="s">
        <v>35</v>
      </c>
      <c r="F72" s="28" t="s">
        <v>36</v>
      </c>
      <c r="G72" s="28" t="s">
        <v>37</v>
      </c>
      <c r="H72" s="28" t="s">
        <v>38</v>
      </c>
      <c r="I72" s="28" t="s">
        <v>39</v>
      </c>
      <c r="J72" s="28" t="s">
        <v>34</v>
      </c>
      <c r="K72" s="28" t="s">
        <v>35</v>
      </c>
      <c r="L72" s="14" t="s">
        <v>40</v>
      </c>
      <c r="M72" s="28" t="s">
        <v>39</v>
      </c>
      <c r="N72" s="28" t="s">
        <v>34</v>
      </c>
      <c r="O72" s="28" t="s">
        <v>41</v>
      </c>
      <c r="P72" s="28" t="s">
        <v>36</v>
      </c>
      <c r="Q72" s="28" t="s">
        <v>37</v>
      </c>
      <c r="R72" s="28" t="s">
        <v>38</v>
      </c>
      <c r="S72" s="28" t="s">
        <v>39</v>
      </c>
      <c r="T72" s="11"/>
      <c r="U72" s="11"/>
      <c r="V72" s="11"/>
      <c r="W72" s="11"/>
      <c r="X72" s="11"/>
      <c r="Y72" s="11"/>
      <c r="Z72" s="11"/>
      <c r="AA72" s="11"/>
      <c r="AB72" s="11"/>
    </row>
    <row r="73" spans="1:28" x14ac:dyDescent="0.2">
      <c r="A73" s="11"/>
      <c r="B73" s="11"/>
      <c r="C73" s="11" t="s">
        <v>42</v>
      </c>
      <c r="D73" s="11">
        <f>COUNTBLANK(D12:D71)</f>
        <v>9</v>
      </c>
      <c r="E73" s="11">
        <f>COUNTBLANK(E12:E71)</f>
        <v>9</v>
      </c>
      <c r="F73" s="29">
        <f>AVERAGE(F4:F71)</f>
        <v>0.72727272727272718</v>
      </c>
      <c r="G73" s="29">
        <f>AVERAGE(G4:G71)</f>
        <v>0.69632702445769601</v>
      </c>
      <c r="H73" s="29">
        <f>AVERAGE(H4:H71)</f>
        <v>0.70487341772151912</v>
      </c>
      <c r="I73" s="11">
        <f>COUNTA((I4:I71))</f>
        <v>35</v>
      </c>
      <c r="J73" s="11">
        <f>COUNTBLANK(J12:J71)</f>
        <v>13</v>
      </c>
      <c r="K73" s="11">
        <f>COUNTBLANK(K12:K71)</f>
        <v>11</v>
      </c>
      <c r="L73" s="34">
        <f>AVERAGE(L4:L71)</f>
        <v>0.64266304347826075</v>
      </c>
      <c r="M73" s="11">
        <f>COUNTA((M4:M71))</f>
        <v>46</v>
      </c>
      <c r="N73" s="11">
        <f>COUNTBLANK(N12:N71)</f>
        <v>60</v>
      </c>
      <c r="O73" s="11">
        <f>COUNTBLANK(O12:O71)</f>
        <v>60</v>
      </c>
      <c r="P73" s="29">
        <f>AVERAGE(P4:P71)</f>
        <v>0.85</v>
      </c>
      <c r="Q73" s="29">
        <f>AVERAGE(Q4:Q71)</f>
        <v>0.83321931589537213</v>
      </c>
      <c r="R73" s="29">
        <f>AVERAGE(R4:R71)</f>
        <v>0.83693528693528696</v>
      </c>
      <c r="S73" s="11">
        <f>COUNTA((S4:S71))</f>
        <v>5</v>
      </c>
      <c r="T73" s="11"/>
      <c r="U73" s="11"/>
      <c r="V73" s="11"/>
      <c r="W73" s="11"/>
      <c r="X73" s="11"/>
      <c r="Y73" s="11"/>
      <c r="Z73" s="11"/>
      <c r="AA73" s="11"/>
      <c r="AB73" s="11"/>
    </row>
    <row r="74" spans="1:28" x14ac:dyDescent="0.2">
      <c r="A74" s="11"/>
      <c r="B74" s="18"/>
      <c r="C74" s="18" t="s">
        <v>43</v>
      </c>
      <c r="D74" s="18"/>
      <c r="E74" s="11"/>
      <c r="F74" s="34">
        <f>MAX(F4:F71)</f>
        <v>0.95454545454545459</v>
      </c>
      <c r="G74" s="34">
        <f>MAX(G4:G71)</f>
        <v>0.96551724137931039</v>
      </c>
      <c r="H74" s="34">
        <f>MAX(H4:H71)</f>
        <v>0.96250000000000002</v>
      </c>
      <c r="I74" s="34"/>
      <c r="J74" s="34">
        <f>MAX(J12:J71)</f>
        <v>0</v>
      </c>
      <c r="K74" s="34">
        <f>MAX(K12:K71)</f>
        <v>0</v>
      </c>
      <c r="L74" s="34">
        <f>MAX(L4:L71)</f>
        <v>0.92500000000000004</v>
      </c>
      <c r="M74" s="34"/>
      <c r="N74" s="34">
        <f>MAX(N12:N71)</f>
        <v>0</v>
      </c>
      <c r="O74" s="34">
        <f>MAX(O12:O71)</f>
        <v>0</v>
      </c>
      <c r="P74" s="34">
        <f>MAX(P4:P71)</f>
        <v>1</v>
      </c>
      <c r="Q74" s="34">
        <f>MAX(Q4:Q71)</f>
        <v>0.9</v>
      </c>
      <c r="R74" s="34">
        <f>MAX(R4:R71)</f>
        <v>0.92222222222222228</v>
      </c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24" customHeight="1" x14ac:dyDescent="0.2">
      <c r="A75" s="24"/>
      <c r="B75" s="93" t="s">
        <v>44</v>
      </c>
      <c r="C75" s="94"/>
      <c r="D75" s="9">
        <f>COUNTA(K12:K71)</f>
        <v>49</v>
      </c>
      <c r="E75" s="95" t="str">
        <f t="shared" ref="E75:E83" si="0">("or "&amp;(D75/24))&amp;" days"</f>
        <v>or 2.04166666666667 days</v>
      </c>
      <c r="F75" s="96"/>
      <c r="G75" s="96"/>
      <c r="H75" s="96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27.75" customHeight="1" x14ac:dyDescent="0.2">
      <c r="A76" s="24"/>
      <c r="B76" s="93" t="s">
        <v>45</v>
      </c>
      <c r="C76" s="94"/>
      <c r="D76" s="9">
        <f>2*COUNTA(E12:E71)</f>
        <v>102</v>
      </c>
      <c r="E76" s="95" t="str">
        <f t="shared" si="0"/>
        <v>or 4.25 days</v>
      </c>
      <c r="F76" s="96"/>
      <c r="G76" s="96"/>
      <c r="H76" s="96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25.5" customHeight="1" x14ac:dyDescent="0.2">
      <c r="A77" s="24"/>
      <c r="B77" s="93" t="s">
        <v>46</v>
      </c>
      <c r="C77" s="94"/>
      <c r="D77" s="9">
        <f>COUNTA(L12:L71)</f>
        <v>46</v>
      </c>
      <c r="E77" s="95" t="str">
        <f t="shared" si="0"/>
        <v>or 1.91666666666667 days</v>
      </c>
      <c r="F77" s="96"/>
      <c r="G77" s="96"/>
      <c r="H77" s="96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31.5" customHeight="1" x14ac:dyDescent="0.2">
      <c r="A78" s="24"/>
      <c r="B78" s="93" t="s">
        <v>47</v>
      </c>
      <c r="C78" s="94"/>
      <c r="D78" s="9">
        <f>COUNTA(H12:H71)</f>
        <v>35</v>
      </c>
      <c r="E78" s="95" t="str">
        <f t="shared" si="0"/>
        <v>or 1.45833333333333 days</v>
      </c>
      <c r="F78" s="96"/>
      <c r="G78" s="96"/>
      <c r="H78" s="96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30.75" customHeight="1" x14ac:dyDescent="0.2">
      <c r="A79" s="24"/>
      <c r="B79" s="93" t="s">
        <v>48</v>
      </c>
      <c r="C79" s="94"/>
      <c r="D79" s="9">
        <f>D75-D77</f>
        <v>3</v>
      </c>
      <c r="E79" s="95" t="str">
        <f t="shared" si="0"/>
        <v>or 0.125 days</v>
      </c>
      <c r="F79" s="96"/>
      <c r="G79" s="96"/>
      <c r="H79" s="96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30.75" customHeight="1" x14ac:dyDescent="0.2">
      <c r="A80" s="24"/>
      <c r="B80" s="93" t="s">
        <v>49</v>
      </c>
      <c r="C80" s="94"/>
      <c r="D80" s="9">
        <f>D76-D78</f>
        <v>67</v>
      </c>
      <c r="E80" s="95" t="str">
        <f t="shared" si="0"/>
        <v>or 2.79166666666667 days</v>
      </c>
      <c r="F80" s="96"/>
      <c r="G80" s="96"/>
      <c r="H80" s="96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28.5" customHeight="1" x14ac:dyDescent="0.2">
      <c r="A81" s="24"/>
      <c r="B81" s="93" t="s">
        <v>50</v>
      </c>
      <c r="C81" s="94"/>
      <c r="D81" s="9">
        <f>D75+D76</f>
        <v>151</v>
      </c>
      <c r="E81" s="95" t="str">
        <f t="shared" si="0"/>
        <v>or 6.29166666666667 days</v>
      </c>
      <c r="F81" s="96"/>
      <c r="G81" s="96"/>
      <c r="H81" s="96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33" customHeight="1" x14ac:dyDescent="0.2">
      <c r="A82" s="24"/>
      <c r="B82" s="93" t="s">
        <v>51</v>
      </c>
      <c r="C82" s="94"/>
      <c r="D82" s="9">
        <f>D77+D78</f>
        <v>81</v>
      </c>
      <c r="E82" s="95" t="str">
        <f t="shared" si="0"/>
        <v>or 3.375 days</v>
      </c>
      <c r="F82" s="96"/>
      <c r="G82" s="96"/>
      <c r="H82" s="96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33" customHeight="1" x14ac:dyDescent="0.2">
      <c r="A83" s="24"/>
      <c r="B83" s="93" t="s">
        <v>49</v>
      </c>
      <c r="C83" s="94"/>
      <c r="D83" s="9">
        <f>D80+D79</f>
        <v>70</v>
      </c>
      <c r="E83" s="95" t="str">
        <f t="shared" si="0"/>
        <v>or 2.91666666666667 days</v>
      </c>
      <c r="F83" s="96"/>
      <c r="G83" s="96"/>
      <c r="H83" s="96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</sheetData>
  <mergeCells count="21">
    <mergeCell ref="B82:C82"/>
    <mergeCell ref="E82:H82"/>
    <mergeCell ref="B83:C83"/>
    <mergeCell ref="E83:H83"/>
    <mergeCell ref="B79:C79"/>
    <mergeCell ref="E79:H79"/>
    <mergeCell ref="B80:C80"/>
    <mergeCell ref="E80:H80"/>
    <mergeCell ref="B81:C81"/>
    <mergeCell ref="E81:H81"/>
    <mergeCell ref="B76:C76"/>
    <mergeCell ref="E76:H76"/>
    <mergeCell ref="B77:C77"/>
    <mergeCell ref="E77:H77"/>
    <mergeCell ref="B78:C78"/>
    <mergeCell ref="E78:H78"/>
    <mergeCell ref="D2:I2"/>
    <mergeCell ref="J2:M2"/>
    <mergeCell ref="N2:S2"/>
    <mergeCell ref="B75:C75"/>
    <mergeCell ref="E75:H75"/>
  </mergeCells>
  <conditionalFormatting sqref="F4:F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32 G34:G71 L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 L32:L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71">
    <cfRule type="iconSet" priority="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4:I71">
    <cfRule type="iconSet" priority="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:S11 S14:S71">
    <cfRule type="iconSet" priority="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:S13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4:P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RowHeight="12.75" x14ac:dyDescent="0.2"/>
  <cols>
    <col min="1" max="1" width="13.85546875" bestFit="1" customWidth="1"/>
    <col min="2" max="2" width="10.28515625" bestFit="1" customWidth="1"/>
    <col min="3" max="3" width="9.85546875" customWidth="1"/>
    <col min="4" max="4" width="7" customWidth="1"/>
    <col min="5" max="5" width="8" customWidth="1"/>
    <col min="6" max="6" width="10.5703125" bestFit="1" customWidth="1"/>
    <col min="7" max="7" width="6.5703125" bestFit="1" customWidth="1"/>
    <col min="8" max="8" width="6" customWidth="1"/>
    <col min="9" max="9" width="7.28515625" customWidth="1"/>
    <col min="10" max="11" width="6.5703125" bestFit="1" customWidth="1"/>
    <col min="12" max="12" width="7.7109375" bestFit="1" customWidth="1"/>
    <col min="13" max="13" width="11.5703125" bestFit="1" customWidth="1"/>
  </cols>
  <sheetData>
    <row r="1" spans="1:13" ht="25.5" x14ac:dyDescent="0.2">
      <c r="A1" s="64" t="s">
        <v>58</v>
      </c>
      <c r="B1" s="64" t="s">
        <v>53</v>
      </c>
    </row>
    <row r="2" spans="1:13" ht="38.25" x14ac:dyDescent="0.2">
      <c r="A2" s="64" t="s">
        <v>54</v>
      </c>
      <c r="B2" t="s">
        <v>21</v>
      </c>
      <c r="C2" t="s">
        <v>16</v>
      </c>
      <c r="D2" t="s">
        <v>15</v>
      </c>
      <c r="E2" t="s">
        <v>17</v>
      </c>
      <c r="F2" t="s">
        <v>18</v>
      </c>
      <c r="G2" t="s">
        <v>19</v>
      </c>
      <c r="H2" t="s">
        <v>23</v>
      </c>
      <c r="I2" t="s">
        <v>33</v>
      </c>
      <c r="J2" t="s">
        <v>20</v>
      </c>
      <c r="K2" t="s">
        <v>13</v>
      </c>
      <c r="L2" t="s">
        <v>65</v>
      </c>
      <c r="M2" t="s">
        <v>55</v>
      </c>
    </row>
    <row r="3" spans="1:13" x14ac:dyDescent="0.2">
      <c r="A3" s="65">
        <v>41449</v>
      </c>
      <c r="B3" s="54"/>
      <c r="C3" s="54"/>
      <c r="D3" s="54"/>
      <c r="E3" s="54"/>
      <c r="F3" s="54"/>
      <c r="G3" s="54"/>
      <c r="H3" s="54"/>
      <c r="I3" s="54"/>
      <c r="J3" s="54"/>
      <c r="K3" s="54">
        <v>0.48749999999999999</v>
      </c>
      <c r="L3" s="54"/>
      <c r="M3" s="54">
        <v>0.48749999999999999</v>
      </c>
    </row>
    <row r="4" spans="1:13" x14ac:dyDescent="0.2">
      <c r="A4" s="65">
        <v>41451</v>
      </c>
      <c r="B4" s="54"/>
      <c r="C4" s="54"/>
      <c r="D4" s="54"/>
      <c r="E4" s="54"/>
      <c r="F4" s="54"/>
      <c r="G4" s="54"/>
      <c r="H4" s="54"/>
      <c r="I4" s="54"/>
      <c r="J4" s="54">
        <v>0.46250000000000002</v>
      </c>
      <c r="K4" s="54"/>
      <c r="L4" s="54"/>
      <c r="M4" s="54">
        <v>0.46250000000000002</v>
      </c>
    </row>
    <row r="5" spans="1:13" x14ac:dyDescent="0.2">
      <c r="A5" s="65">
        <v>41453</v>
      </c>
      <c r="B5" s="54"/>
      <c r="C5" s="54"/>
      <c r="D5" s="54"/>
      <c r="E5" s="54"/>
      <c r="F5" s="54"/>
      <c r="G5" s="54"/>
      <c r="H5" s="54"/>
      <c r="I5" s="54"/>
      <c r="J5" s="54"/>
      <c r="K5" s="54">
        <v>0.75</v>
      </c>
      <c r="L5" s="54"/>
      <c r="M5" s="54">
        <v>0.75</v>
      </c>
    </row>
    <row r="6" spans="1:13" x14ac:dyDescent="0.2">
      <c r="A6" s="65">
        <v>41454</v>
      </c>
      <c r="B6" s="54"/>
      <c r="C6" s="54"/>
      <c r="D6" s="54"/>
      <c r="E6" s="54"/>
      <c r="F6" s="54"/>
      <c r="G6" s="54">
        <v>0.48749999999999999</v>
      </c>
      <c r="H6" s="54"/>
      <c r="I6" s="54"/>
      <c r="J6" s="54"/>
      <c r="K6" s="54"/>
      <c r="L6" s="54"/>
      <c r="M6" s="54">
        <v>0.48749999999999999</v>
      </c>
    </row>
    <row r="7" spans="1:13" x14ac:dyDescent="0.2">
      <c r="A7" s="65">
        <v>41457</v>
      </c>
      <c r="B7" s="54"/>
      <c r="C7" s="54"/>
      <c r="D7" s="54"/>
      <c r="E7" s="54">
        <v>0.4</v>
      </c>
      <c r="F7" s="54"/>
      <c r="G7" s="54"/>
      <c r="H7" s="54"/>
      <c r="I7" s="54"/>
      <c r="J7" s="54"/>
      <c r="K7" s="54"/>
      <c r="L7" s="54"/>
      <c r="M7" s="54">
        <v>0.4</v>
      </c>
    </row>
    <row r="8" spans="1:13" x14ac:dyDescent="0.2">
      <c r="A8" s="65">
        <v>41458</v>
      </c>
      <c r="B8" s="54"/>
      <c r="C8" s="54"/>
      <c r="D8" s="54"/>
      <c r="E8" s="54"/>
      <c r="F8" s="54"/>
      <c r="G8" s="54"/>
      <c r="H8" s="54"/>
      <c r="I8" s="54"/>
      <c r="J8" s="54">
        <v>0.63749999999999996</v>
      </c>
      <c r="K8" s="54"/>
      <c r="L8" s="54"/>
      <c r="M8" s="54">
        <v>0.63749999999999996</v>
      </c>
    </row>
    <row r="9" spans="1:13" x14ac:dyDescent="0.2">
      <c r="A9" s="65">
        <v>41469</v>
      </c>
      <c r="B9" s="54"/>
      <c r="C9" s="54"/>
      <c r="D9" s="54"/>
      <c r="E9" s="54"/>
      <c r="F9" s="54">
        <v>0.32500000000000001</v>
      </c>
      <c r="G9" s="54"/>
      <c r="H9" s="54"/>
      <c r="I9" s="54"/>
      <c r="J9" s="54"/>
      <c r="K9" s="54"/>
      <c r="L9" s="54"/>
      <c r="M9" s="54">
        <v>0.32500000000000001</v>
      </c>
    </row>
    <row r="10" spans="1:13" x14ac:dyDescent="0.2">
      <c r="A10" s="65">
        <v>41470</v>
      </c>
      <c r="B10" s="54"/>
      <c r="C10" s="54"/>
      <c r="D10" s="54"/>
      <c r="E10" s="54"/>
      <c r="F10" s="54"/>
      <c r="G10" s="54"/>
      <c r="H10" s="54"/>
      <c r="I10" s="54"/>
      <c r="J10" s="54"/>
      <c r="K10" s="54">
        <v>0.51249999999999996</v>
      </c>
      <c r="L10" s="54"/>
      <c r="M10" s="54">
        <v>0.51249999999999996</v>
      </c>
    </row>
    <row r="11" spans="1:13" x14ac:dyDescent="0.2">
      <c r="A11" s="65">
        <v>41472</v>
      </c>
      <c r="B11" s="54"/>
      <c r="C11" s="54"/>
      <c r="D11" s="54"/>
      <c r="E11" s="54"/>
      <c r="F11" s="54"/>
      <c r="G11" s="54"/>
      <c r="H11" s="54"/>
      <c r="I11" s="54"/>
      <c r="J11" s="54"/>
      <c r="K11" s="54">
        <v>0.6</v>
      </c>
      <c r="L11" s="54"/>
      <c r="M11" s="54">
        <v>0.6</v>
      </c>
    </row>
    <row r="12" spans="1:13" x14ac:dyDescent="0.2">
      <c r="A12" s="65">
        <v>41474</v>
      </c>
      <c r="B12" s="54"/>
      <c r="C12" s="54"/>
      <c r="D12" s="54"/>
      <c r="E12" s="54"/>
      <c r="F12" s="54"/>
      <c r="G12" s="54"/>
      <c r="H12" s="54"/>
      <c r="I12" s="54"/>
      <c r="J12" s="54"/>
      <c r="K12" s="54">
        <v>0.7</v>
      </c>
      <c r="L12" s="54"/>
      <c r="M12" s="54">
        <v>0.7</v>
      </c>
    </row>
    <row r="13" spans="1:13" x14ac:dyDescent="0.2">
      <c r="A13" s="65">
        <v>41475</v>
      </c>
      <c r="B13" s="54"/>
      <c r="C13" s="54"/>
      <c r="D13" s="54"/>
      <c r="E13" s="54"/>
      <c r="F13" s="54"/>
      <c r="G13" s="54"/>
      <c r="H13" s="54"/>
      <c r="I13" s="54"/>
      <c r="J13" s="54"/>
      <c r="K13" s="54">
        <v>0.625</v>
      </c>
      <c r="L13" s="54"/>
      <c r="M13" s="54">
        <v>0.625</v>
      </c>
    </row>
    <row r="14" spans="1:13" x14ac:dyDescent="0.2">
      <c r="A14" s="65">
        <v>41477</v>
      </c>
      <c r="B14" s="54"/>
      <c r="C14" s="54"/>
      <c r="D14" s="54">
        <v>0.67500000000000004</v>
      </c>
      <c r="E14" s="54"/>
      <c r="F14" s="54"/>
      <c r="G14" s="54"/>
      <c r="H14" s="54"/>
      <c r="I14" s="54"/>
      <c r="J14" s="54"/>
      <c r="K14" s="54"/>
      <c r="L14" s="54"/>
      <c r="M14" s="54">
        <v>0.67500000000000004</v>
      </c>
    </row>
    <row r="15" spans="1:13" x14ac:dyDescent="0.2">
      <c r="A15" s="65">
        <v>41490</v>
      </c>
      <c r="B15" s="54"/>
      <c r="C15" s="54">
        <v>0.63749999999999996</v>
      </c>
      <c r="D15" s="54"/>
      <c r="E15" s="54"/>
      <c r="F15" s="54"/>
      <c r="G15" s="54"/>
      <c r="H15" s="54"/>
      <c r="I15" s="54"/>
      <c r="J15" s="54"/>
      <c r="K15" s="54"/>
      <c r="L15" s="54"/>
      <c r="M15" s="54">
        <v>0.63749999999999996</v>
      </c>
    </row>
    <row r="16" spans="1:13" x14ac:dyDescent="0.2">
      <c r="A16" s="65">
        <v>41494</v>
      </c>
      <c r="B16" s="54"/>
      <c r="C16" s="54"/>
      <c r="D16" s="54"/>
      <c r="E16" s="54">
        <v>0.51249999999999996</v>
      </c>
      <c r="F16" s="54"/>
      <c r="G16" s="54"/>
      <c r="H16" s="54"/>
      <c r="I16" s="54"/>
      <c r="J16" s="54"/>
      <c r="K16" s="54"/>
      <c r="L16" s="54"/>
      <c r="M16" s="54">
        <v>0.51249999999999996</v>
      </c>
    </row>
    <row r="17" spans="1:13" x14ac:dyDescent="0.2">
      <c r="A17" s="65">
        <v>41495</v>
      </c>
      <c r="B17" s="54"/>
      <c r="C17" s="54"/>
      <c r="D17" s="54"/>
      <c r="E17" s="54"/>
      <c r="F17" s="54">
        <v>0.73750000000000004</v>
      </c>
      <c r="G17" s="54"/>
      <c r="H17" s="54"/>
      <c r="I17" s="54"/>
      <c r="J17" s="54"/>
      <c r="K17" s="54"/>
      <c r="L17" s="54"/>
      <c r="M17" s="54">
        <v>0.73750000000000004</v>
      </c>
    </row>
    <row r="18" spans="1:13" x14ac:dyDescent="0.2">
      <c r="A18" s="65">
        <v>41498</v>
      </c>
      <c r="B18" s="54"/>
      <c r="C18" s="54"/>
      <c r="D18" s="54"/>
      <c r="E18" s="54"/>
      <c r="F18" s="54"/>
      <c r="G18" s="54">
        <v>0.86250000000000004</v>
      </c>
      <c r="H18" s="54"/>
      <c r="I18" s="54"/>
      <c r="J18" s="54"/>
      <c r="K18" s="54"/>
      <c r="L18" s="54"/>
      <c r="M18" s="54">
        <v>0.86250000000000004</v>
      </c>
    </row>
    <row r="19" spans="1:13" x14ac:dyDescent="0.2">
      <c r="A19" s="65">
        <v>41507</v>
      </c>
      <c r="B19" s="54"/>
      <c r="C19" s="54"/>
      <c r="D19" s="54">
        <v>0.75</v>
      </c>
      <c r="E19" s="54"/>
      <c r="F19" s="54"/>
      <c r="G19" s="54"/>
      <c r="H19" s="54"/>
      <c r="I19" s="54"/>
      <c r="J19" s="54"/>
      <c r="K19" s="54"/>
      <c r="L19" s="54"/>
      <c r="M19" s="54">
        <v>0.75</v>
      </c>
    </row>
    <row r="20" spans="1:13" x14ac:dyDescent="0.2">
      <c r="A20" s="65">
        <v>41515</v>
      </c>
      <c r="B20" s="54"/>
      <c r="C20" s="54"/>
      <c r="D20" s="54"/>
      <c r="E20" s="54"/>
      <c r="F20" s="54">
        <v>0.64556962025316456</v>
      </c>
      <c r="G20" s="54"/>
      <c r="H20" s="54"/>
      <c r="I20" s="54"/>
      <c r="J20" s="54"/>
      <c r="K20" s="54"/>
      <c r="L20" s="54"/>
      <c r="M20" s="54">
        <v>0.64556962025316456</v>
      </c>
    </row>
    <row r="21" spans="1:13" x14ac:dyDescent="0.2">
      <c r="A21" s="65">
        <v>41520</v>
      </c>
      <c r="B21" s="54"/>
      <c r="C21" s="54"/>
      <c r="D21" s="54"/>
      <c r="E21" s="54"/>
      <c r="F21" s="54"/>
      <c r="G21" s="54"/>
      <c r="H21" s="54"/>
      <c r="I21" s="54"/>
      <c r="J21" s="54">
        <v>0.92500000000000004</v>
      </c>
      <c r="K21" s="54"/>
      <c r="L21" s="54"/>
      <c r="M21" s="54">
        <v>0.92500000000000004</v>
      </c>
    </row>
    <row r="22" spans="1:13" x14ac:dyDescent="0.2">
      <c r="A22" s="65">
        <v>41524</v>
      </c>
      <c r="B22" s="54"/>
      <c r="C22" s="54"/>
      <c r="D22" s="54"/>
      <c r="E22" s="54"/>
      <c r="F22" s="54">
        <v>0.76249999999999996</v>
      </c>
      <c r="G22" s="54"/>
      <c r="H22" s="54"/>
      <c r="I22" s="54"/>
      <c r="J22" s="54"/>
      <c r="K22" s="54"/>
      <c r="L22" s="54"/>
      <c r="M22" s="54">
        <v>0.76249999999999996</v>
      </c>
    </row>
    <row r="23" spans="1:13" x14ac:dyDescent="0.2">
      <c r="A23" s="65">
        <v>41525</v>
      </c>
      <c r="B23" s="54"/>
      <c r="C23" s="54">
        <v>0.8125</v>
      </c>
      <c r="D23" s="54"/>
      <c r="E23" s="54"/>
      <c r="F23" s="54"/>
      <c r="G23" s="54"/>
      <c r="H23" s="54"/>
      <c r="I23" s="54"/>
      <c r="J23" s="54"/>
      <c r="K23" s="54"/>
      <c r="L23" s="54"/>
      <c r="M23" s="54">
        <v>0.8125</v>
      </c>
    </row>
    <row r="24" spans="1:13" x14ac:dyDescent="0.2">
      <c r="A24" s="65">
        <v>41534</v>
      </c>
      <c r="B24" s="54"/>
      <c r="C24" s="54"/>
      <c r="D24" s="54"/>
      <c r="E24" s="54"/>
      <c r="F24" s="54"/>
      <c r="G24" s="54"/>
      <c r="H24" s="54"/>
      <c r="I24" s="54"/>
      <c r="J24" s="54">
        <v>0.86250000000000004</v>
      </c>
      <c r="K24" s="54"/>
      <c r="L24" s="54"/>
      <c r="M24" s="54">
        <v>0.86250000000000004</v>
      </c>
    </row>
    <row r="25" spans="1:13" x14ac:dyDescent="0.2">
      <c r="A25" s="65">
        <v>41538</v>
      </c>
      <c r="B25" s="54"/>
      <c r="C25" s="54">
        <v>0.85</v>
      </c>
      <c r="D25" s="54"/>
      <c r="E25" s="54"/>
      <c r="F25" s="54"/>
      <c r="G25" s="54"/>
      <c r="H25" s="54"/>
      <c r="I25" s="54"/>
      <c r="J25" s="54"/>
      <c r="K25" s="54"/>
      <c r="L25" s="54"/>
      <c r="M25" s="54">
        <v>0.85</v>
      </c>
    </row>
    <row r="26" spans="1:13" x14ac:dyDescent="0.2">
      <c r="A26" s="65">
        <v>41540</v>
      </c>
      <c r="B26" s="54"/>
      <c r="C26" s="54"/>
      <c r="D26" s="54"/>
      <c r="E26" s="54">
        <v>0.66249999999999998</v>
      </c>
      <c r="F26" s="54"/>
      <c r="G26" s="54"/>
      <c r="H26" s="54"/>
      <c r="I26" s="54"/>
      <c r="J26" s="54"/>
      <c r="K26" s="54"/>
      <c r="L26" s="54"/>
      <c r="M26" s="54">
        <v>0.66249999999999998</v>
      </c>
    </row>
    <row r="27" spans="1:13" x14ac:dyDescent="0.2">
      <c r="A27" s="65">
        <v>41541</v>
      </c>
      <c r="B27" s="54"/>
      <c r="C27" s="54"/>
      <c r="D27" s="54"/>
      <c r="E27" s="54"/>
      <c r="F27" s="54">
        <v>0.8</v>
      </c>
      <c r="G27" s="54"/>
      <c r="H27" s="54"/>
      <c r="I27" s="54"/>
      <c r="J27" s="54"/>
      <c r="K27" s="54"/>
      <c r="L27" s="54"/>
      <c r="M27" s="54">
        <v>0.8</v>
      </c>
    </row>
    <row r="28" spans="1:13" x14ac:dyDescent="0.2">
      <c r="A28" s="65">
        <v>41542</v>
      </c>
      <c r="B28" s="54"/>
      <c r="C28" s="54"/>
      <c r="D28" s="54"/>
      <c r="E28" s="54"/>
      <c r="F28" s="54"/>
      <c r="G28" s="54">
        <v>0.7</v>
      </c>
      <c r="H28" s="54"/>
      <c r="I28" s="54"/>
      <c r="J28" s="54"/>
      <c r="K28" s="54"/>
      <c r="L28" s="54"/>
      <c r="M28" s="54">
        <v>0.7</v>
      </c>
    </row>
    <row r="29" spans="1:13" x14ac:dyDescent="0.2">
      <c r="A29" s="66" t="s">
        <v>56</v>
      </c>
      <c r="B29" s="54"/>
      <c r="C29" s="54"/>
      <c r="D29" s="54">
        <v>0</v>
      </c>
      <c r="E29" s="54"/>
      <c r="F29" s="54"/>
      <c r="G29" s="54"/>
      <c r="H29" s="54"/>
      <c r="I29" s="54"/>
      <c r="J29" s="54"/>
      <c r="K29" s="54"/>
      <c r="L29" s="54"/>
      <c r="M29" s="54">
        <v>0</v>
      </c>
    </row>
    <row r="30" spans="1:13" x14ac:dyDescent="0.2">
      <c r="A30" s="65">
        <v>41546</v>
      </c>
      <c r="B30" s="54"/>
      <c r="C30" s="54"/>
      <c r="D30" s="54">
        <v>0.8</v>
      </c>
      <c r="E30" s="54"/>
      <c r="F30" s="54"/>
      <c r="G30" s="54"/>
      <c r="H30" s="54"/>
      <c r="I30" s="54"/>
      <c r="J30" s="54"/>
      <c r="K30" s="54"/>
      <c r="L30" s="54"/>
      <c r="M30" s="54">
        <v>0.8</v>
      </c>
    </row>
    <row r="31" spans="1:13" x14ac:dyDescent="0.2">
      <c r="A31" s="65">
        <v>41543</v>
      </c>
      <c r="B31" s="54"/>
      <c r="C31" s="54"/>
      <c r="D31" s="54"/>
      <c r="E31" s="54"/>
      <c r="F31" s="54"/>
      <c r="G31" s="54"/>
      <c r="H31" s="54"/>
      <c r="I31" s="54"/>
      <c r="J31" s="54">
        <v>0.78749999999999998</v>
      </c>
      <c r="K31" s="54"/>
      <c r="L31" s="54"/>
      <c r="M31" s="54">
        <v>0.78749999999999998</v>
      </c>
    </row>
    <row r="32" spans="1:13" x14ac:dyDescent="0.2">
      <c r="A32" s="65">
        <v>41547</v>
      </c>
      <c r="B32" s="54"/>
      <c r="C32" s="54"/>
      <c r="D32" s="54"/>
      <c r="E32" s="54">
        <v>0.67500000000000004</v>
      </c>
      <c r="F32" s="54"/>
      <c r="G32" s="54"/>
      <c r="H32" s="54"/>
      <c r="I32" s="54"/>
      <c r="J32" s="54"/>
      <c r="K32" s="54"/>
      <c r="L32" s="54"/>
      <c r="M32" s="54">
        <v>0.67500000000000004</v>
      </c>
    </row>
    <row r="33" spans="1:13" x14ac:dyDescent="0.2">
      <c r="A33" s="65">
        <v>41548</v>
      </c>
      <c r="B33" s="54"/>
      <c r="C33" s="54"/>
      <c r="D33" s="54"/>
      <c r="E33" s="54"/>
      <c r="F33" s="54"/>
      <c r="G33" s="54">
        <v>0.77500000000000002</v>
      </c>
      <c r="H33" s="54"/>
      <c r="I33" s="54"/>
      <c r="J33" s="54"/>
      <c r="K33" s="54"/>
      <c r="L33" s="54"/>
      <c r="M33" s="54">
        <v>0.77500000000000002</v>
      </c>
    </row>
    <row r="34" spans="1:13" x14ac:dyDescent="0.2">
      <c r="A34" s="65">
        <v>41556</v>
      </c>
      <c r="B34" s="54">
        <v>0.77500000000000002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>
        <v>0.77500000000000002</v>
      </c>
    </row>
    <row r="35" spans="1:13" x14ac:dyDescent="0.2">
      <c r="A35" s="65">
        <v>41560</v>
      </c>
      <c r="B35" s="54"/>
      <c r="C35" s="54"/>
      <c r="D35" s="54"/>
      <c r="E35" s="54"/>
      <c r="F35" s="54"/>
      <c r="G35" s="54">
        <v>0.88749999999999996</v>
      </c>
      <c r="H35" s="54"/>
      <c r="I35" s="54"/>
      <c r="J35" s="54"/>
      <c r="K35" s="54"/>
      <c r="L35" s="54"/>
      <c r="M35" s="54">
        <v>0.88749999999999996</v>
      </c>
    </row>
    <row r="36" spans="1:13" x14ac:dyDescent="0.2">
      <c r="A36" s="65">
        <v>41573</v>
      </c>
      <c r="B36" s="54"/>
      <c r="C36" s="54"/>
      <c r="D36" s="54"/>
      <c r="E36" s="54"/>
      <c r="F36" s="54"/>
      <c r="G36" s="54"/>
      <c r="H36" s="54"/>
      <c r="I36" s="54"/>
      <c r="J36" s="54"/>
      <c r="K36" s="54">
        <v>0.91249999999999998</v>
      </c>
      <c r="L36" s="54"/>
      <c r="M36" s="54">
        <v>0.91249999999999998</v>
      </c>
    </row>
    <row r="37" spans="1:13" x14ac:dyDescent="0.2">
      <c r="A37" s="65">
        <v>41583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>
        <v>0.96250000000000002</v>
      </c>
      <c r="M37" s="54">
        <v>0.96250000000000002</v>
      </c>
    </row>
    <row r="38" spans="1:13" x14ac:dyDescent="0.2">
      <c r="A38" s="65">
        <v>41584</v>
      </c>
      <c r="B38" s="54"/>
      <c r="C38" s="54"/>
      <c r="D38" s="54"/>
      <c r="E38" s="54"/>
      <c r="F38" s="54"/>
      <c r="G38" s="54"/>
      <c r="H38" s="54"/>
      <c r="I38" s="54"/>
      <c r="J38" s="54"/>
      <c r="K38" s="54">
        <v>0.91249999999999998</v>
      </c>
      <c r="L38" s="54"/>
      <c r="M38" s="54">
        <v>0.91249999999999998</v>
      </c>
    </row>
    <row r="39" spans="1:13" x14ac:dyDescent="0.2">
      <c r="A39" s="66" t="s">
        <v>55</v>
      </c>
      <c r="B39" s="54">
        <v>0.77500000000000002</v>
      </c>
      <c r="C39" s="54">
        <v>2.2999999999999998</v>
      </c>
      <c r="D39" s="54">
        <v>2.2250000000000001</v>
      </c>
      <c r="E39" s="54">
        <v>2.25</v>
      </c>
      <c r="F39" s="54">
        <v>3.2705696202531644</v>
      </c>
      <c r="G39" s="54">
        <v>3.7124999999999995</v>
      </c>
      <c r="H39" s="54"/>
      <c r="I39" s="54"/>
      <c r="J39" s="54">
        <v>3.6750000000000003</v>
      </c>
      <c r="K39" s="54">
        <v>5.4999999999999991</v>
      </c>
      <c r="L39" s="54">
        <v>0.96250000000000002</v>
      </c>
      <c r="M39" s="54">
        <v>24.670569620253165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/>
  </sheetViews>
  <sheetFormatPr defaultRowHeight="12.75" x14ac:dyDescent="0.2"/>
  <cols>
    <col min="1" max="1" width="10.140625" bestFit="1" customWidth="1"/>
    <col min="2" max="2" width="10.28515625" bestFit="1" customWidth="1"/>
    <col min="3" max="3" width="9.85546875" bestFit="1" customWidth="1"/>
    <col min="4" max="4" width="7" bestFit="1" customWidth="1"/>
    <col min="5" max="5" width="8" bestFit="1" customWidth="1"/>
    <col min="6" max="6" width="5.5703125" bestFit="1" customWidth="1"/>
    <col min="7" max="8" width="6" bestFit="1" customWidth="1"/>
    <col min="9" max="9" width="7.28515625" bestFit="1" customWidth="1"/>
    <col min="10" max="10" width="6.28515625" bestFit="1" customWidth="1"/>
    <col min="11" max="11" width="5.5703125" bestFit="1" customWidth="1"/>
    <col min="12" max="12" width="6.5703125" bestFit="1" customWidth="1"/>
    <col min="13" max="13" width="7.5703125" bestFit="1" customWidth="1"/>
  </cols>
  <sheetData>
    <row r="1" spans="1:13" ht="25.5" x14ac:dyDescent="0.2">
      <c r="A1" s="64" t="s">
        <v>59</v>
      </c>
      <c r="B1" s="64" t="s">
        <v>53</v>
      </c>
    </row>
    <row r="2" spans="1:13" ht="38.25" x14ac:dyDescent="0.2">
      <c r="A2" s="64" t="s">
        <v>54</v>
      </c>
      <c r="B2" t="s">
        <v>21</v>
      </c>
      <c r="C2" t="s">
        <v>16</v>
      </c>
      <c r="D2" t="s">
        <v>15</v>
      </c>
      <c r="E2" t="s">
        <v>17</v>
      </c>
      <c r="F2" t="s">
        <v>18</v>
      </c>
      <c r="G2" t="s">
        <v>19</v>
      </c>
      <c r="H2" t="s">
        <v>23</v>
      </c>
      <c r="I2" t="s">
        <v>33</v>
      </c>
      <c r="J2" t="s">
        <v>20</v>
      </c>
      <c r="K2" t="s">
        <v>13</v>
      </c>
      <c r="L2" t="s">
        <v>65</v>
      </c>
      <c r="M2" t="s">
        <v>55</v>
      </c>
    </row>
    <row r="3" spans="1:13" x14ac:dyDescent="0.2">
      <c r="A3" s="65">
        <v>41450</v>
      </c>
      <c r="B3" s="54"/>
      <c r="C3" s="54"/>
      <c r="D3" s="54">
        <v>0.25</v>
      </c>
      <c r="E3" s="54"/>
      <c r="F3" s="54"/>
      <c r="G3" s="54"/>
      <c r="H3" s="54"/>
      <c r="I3" s="54"/>
      <c r="J3" s="54"/>
      <c r="K3" s="54"/>
      <c r="L3" s="54"/>
      <c r="M3" s="54">
        <v>0.25</v>
      </c>
    </row>
    <row r="4" spans="1:13" x14ac:dyDescent="0.2">
      <c r="A4" s="65">
        <v>41454</v>
      </c>
      <c r="B4" s="54"/>
      <c r="C4" s="54"/>
      <c r="D4" s="54">
        <v>0.25</v>
      </c>
      <c r="E4" s="54"/>
      <c r="F4" s="54"/>
      <c r="G4" s="54"/>
      <c r="H4" s="54"/>
      <c r="I4" s="54"/>
      <c r="J4" s="54"/>
      <c r="K4" s="54"/>
      <c r="L4" s="54"/>
      <c r="M4" s="54">
        <v>0.25</v>
      </c>
    </row>
    <row r="5" spans="1:13" x14ac:dyDescent="0.2">
      <c r="A5" s="65">
        <v>41456</v>
      </c>
      <c r="B5" s="54"/>
      <c r="C5" s="54">
        <v>0.45</v>
      </c>
      <c r="D5" s="54"/>
      <c r="E5" s="54"/>
      <c r="F5" s="54"/>
      <c r="G5" s="54"/>
      <c r="H5" s="54"/>
      <c r="I5" s="54"/>
      <c r="J5" s="54"/>
      <c r="K5" s="54"/>
      <c r="L5" s="54"/>
      <c r="M5" s="54">
        <v>0.45</v>
      </c>
    </row>
    <row r="6" spans="1:13" x14ac:dyDescent="0.2">
      <c r="A6" s="65">
        <v>41459</v>
      </c>
      <c r="B6" s="54"/>
      <c r="C6" s="54"/>
      <c r="D6" s="54"/>
      <c r="E6" s="54"/>
      <c r="F6" s="54">
        <v>0.47499999999999998</v>
      </c>
      <c r="G6" s="54"/>
      <c r="H6" s="54"/>
      <c r="I6" s="54"/>
      <c r="J6" s="54"/>
      <c r="K6" s="54"/>
      <c r="L6" s="54"/>
      <c r="M6" s="54">
        <v>0.47499999999999998</v>
      </c>
    </row>
    <row r="7" spans="1:13" x14ac:dyDescent="0.2">
      <c r="A7" s="65">
        <v>41463</v>
      </c>
      <c r="B7" s="54"/>
      <c r="C7" s="54"/>
      <c r="D7" s="54"/>
      <c r="E7" s="54"/>
      <c r="F7" s="54"/>
      <c r="G7" s="54">
        <v>0.25</v>
      </c>
      <c r="H7" s="54"/>
      <c r="I7" s="54"/>
      <c r="J7" s="54"/>
      <c r="K7" s="54"/>
      <c r="L7" s="54"/>
      <c r="M7" s="54">
        <v>0.25</v>
      </c>
    </row>
    <row r="8" spans="1:13" x14ac:dyDescent="0.2">
      <c r="A8" s="65">
        <v>41468</v>
      </c>
      <c r="B8" s="54"/>
      <c r="C8" s="54"/>
      <c r="D8" s="54"/>
      <c r="E8" s="54">
        <v>0.17499999999999999</v>
      </c>
      <c r="F8" s="54"/>
      <c r="G8" s="54"/>
      <c r="H8" s="54"/>
      <c r="I8" s="54"/>
      <c r="J8" s="54"/>
      <c r="K8" s="54"/>
      <c r="L8" s="54"/>
      <c r="M8" s="54">
        <v>0.17499999999999999</v>
      </c>
    </row>
    <row r="9" spans="1:13" x14ac:dyDescent="0.2">
      <c r="A9" s="65">
        <v>41471</v>
      </c>
      <c r="B9" s="54"/>
      <c r="C9" s="54"/>
      <c r="D9" s="54"/>
      <c r="E9" s="54">
        <v>0.52500000000000002</v>
      </c>
      <c r="F9" s="54"/>
      <c r="G9" s="54"/>
      <c r="H9" s="54"/>
      <c r="I9" s="54"/>
      <c r="J9" s="54"/>
      <c r="K9" s="54"/>
      <c r="L9" s="54"/>
      <c r="M9" s="54">
        <v>0.52500000000000002</v>
      </c>
    </row>
    <row r="10" spans="1:13" x14ac:dyDescent="0.2">
      <c r="A10" s="65">
        <v>41473</v>
      </c>
      <c r="B10" s="54"/>
      <c r="C10" s="54"/>
      <c r="D10" s="54"/>
      <c r="E10" s="54"/>
      <c r="F10" s="54"/>
      <c r="G10" s="54"/>
      <c r="H10" s="54"/>
      <c r="I10" s="54"/>
      <c r="J10" s="54"/>
      <c r="K10" s="54">
        <v>0.5</v>
      </c>
      <c r="L10" s="54"/>
      <c r="M10" s="54">
        <v>0.5</v>
      </c>
    </row>
    <row r="11" spans="1:13" x14ac:dyDescent="0.2">
      <c r="A11" s="65">
        <v>41476</v>
      </c>
      <c r="B11" s="54"/>
      <c r="C11" s="54"/>
      <c r="D11" s="54"/>
      <c r="E11" s="54"/>
      <c r="F11" s="54"/>
      <c r="G11" s="54"/>
      <c r="H11" s="54"/>
      <c r="I11" s="54"/>
      <c r="J11" s="54"/>
      <c r="K11" s="54">
        <v>0.65</v>
      </c>
      <c r="L11" s="54"/>
      <c r="M11" s="54">
        <v>0.65</v>
      </c>
    </row>
    <row r="12" spans="1:13" x14ac:dyDescent="0.2">
      <c r="A12" s="65">
        <v>41478</v>
      </c>
      <c r="B12" s="54"/>
      <c r="C12" s="54"/>
      <c r="D12" s="54"/>
      <c r="E12" s="54"/>
      <c r="F12" s="54"/>
      <c r="G12" s="54"/>
      <c r="H12" s="54"/>
      <c r="I12" s="54"/>
      <c r="J12" s="54"/>
      <c r="K12" s="54">
        <v>0.625</v>
      </c>
      <c r="L12" s="54"/>
      <c r="M12" s="54">
        <v>0.625</v>
      </c>
    </row>
    <row r="13" spans="1:13" x14ac:dyDescent="0.2">
      <c r="A13" s="65">
        <v>41483</v>
      </c>
      <c r="B13" s="54"/>
      <c r="C13" s="54"/>
      <c r="D13" s="54"/>
      <c r="E13" s="54"/>
      <c r="F13" s="54"/>
      <c r="G13" s="54"/>
      <c r="H13" s="54"/>
      <c r="I13" s="54"/>
      <c r="J13" s="54"/>
      <c r="K13" s="54">
        <v>0.65</v>
      </c>
      <c r="L13" s="54"/>
      <c r="M13" s="54">
        <v>0.65</v>
      </c>
    </row>
    <row r="14" spans="1:13" x14ac:dyDescent="0.2">
      <c r="A14" s="65">
        <v>41484</v>
      </c>
      <c r="B14" s="54"/>
      <c r="C14" s="54"/>
      <c r="D14" s="54"/>
      <c r="E14" s="54"/>
      <c r="F14" s="54"/>
      <c r="G14" s="54"/>
      <c r="H14" s="54"/>
      <c r="I14" s="54"/>
      <c r="J14" s="54"/>
      <c r="K14" s="54">
        <v>0.47499999999999998</v>
      </c>
      <c r="L14" s="54"/>
      <c r="M14" s="54">
        <v>0.47499999999999998</v>
      </c>
    </row>
    <row r="15" spans="1:13" x14ac:dyDescent="0.2">
      <c r="A15" s="65">
        <v>41485</v>
      </c>
      <c r="B15" s="54"/>
      <c r="C15" s="54"/>
      <c r="D15" s="54"/>
      <c r="E15" s="54"/>
      <c r="F15" s="54"/>
      <c r="G15" s="54"/>
      <c r="H15" s="54">
        <v>0.6</v>
      </c>
      <c r="I15" s="54"/>
      <c r="J15" s="54"/>
      <c r="K15" s="54"/>
      <c r="L15" s="54"/>
      <c r="M15" s="54">
        <v>0.6</v>
      </c>
    </row>
    <row r="16" spans="1:13" x14ac:dyDescent="0.2">
      <c r="A16" s="65">
        <v>41492</v>
      </c>
      <c r="B16" s="54"/>
      <c r="C16" s="54"/>
      <c r="D16" s="54"/>
      <c r="E16" s="54">
        <v>0.42499999999999999</v>
      </c>
      <c r="F16" s="54"/>
      <c r="G16" s="54"/>
      <c r="H16" s="54"/>
      <c r="I16" s="54"/>
      <c r="J16" s="54"/>
      <c r="K16" s="54"/>
      <c r="L16" s="54"/>
      <c r="M16" s="54">
        <v>0.42499999999999999</v>
      </c>
    </row>
    <row r="17" spans="1:13" x14ac:dyDescent="0.2">
      <c r="A17" s="65">
        <v>41493</v>
      </c>
      <c r="B17" s="54"/>
      <c r="C17" s="54"/>
      <c r="D17" s="54"/>
      <c r="E17" s="54"/>
      <c r="F17" s="54"/>
      <c r="G17" s="54"/>
      <c r="H17" s="54">
        <v>0.47499999999999998</v>
      </c>
      <c r="I17" s="54"/>
      <c r="J17" s="54"/>
      <c r="K17" s="54"/>
      <c r="L17" s="54"/>
      <c r="M17" s="54">
        <v>0.47499999999999998</v>
      </c>
    </row>
    <row r="18" spans="1:13" x14ac:dyDescent="0.2">
      <c r="A18" s="65">
        <v>41500</v>
      </c>
      <c r="B18" s="54"/>
      <c r="C18" s="54"/>
      <c r="D18" s="54"/>
      <c r="E18" s="54"/>
      <c r="F18" s="54">
        <v>0.57499999999999996</v>
      </c>
      <c r="G18" s="54"/>
      <c r="H18" s="54"/>
      <c r="I18" s="54"/>
      <c r="J18" s="54"/>
      <c r="K18" s="54"/>
      <c r="L18" s="54"/>
      <c r="M18" s="54">
        <v>0.57499999999999996</v>
      </c>
    </row>
    <row r="19" spans="1:13" x14ac:dyDescent="0.2">
      <c r="A19" s="65">
        <v>41501</v>
      </c>
      <c r="B19" s="54"/>
      <c r="C19" s="54"/>
      <c r="D19" s="54"/>
      <c r="E19" s="54"/>
      <c r="F19" s="54"/>
      <c r="G19" s="54">
        <v>0.52500000000000002</v>
      </c>
      <c r="H19" s="54"/>
      <c r="I19" s="54"/>
      <c r="J19" s="54"/>
      <c r="K19" s="54"/>
      <c r="L19" s="54"/>
      <c r="M19" s="54">
        <v>0.52500000000000002</v>
      </c>
    </row>
    <row r="20" spans="1:13" x14ac:dyDescent="0.2">
      <c r="A20" s="65">
        <v>41504</v>
      </c>
      <c r="B20" s="54"/>
      <c r="C20" s="54"/>
      <c r="D20" s="54"/>
      <c r="E20" s="54"/>
      <c r="F20" s="54"/>
      <c r="G20" s="54"/>
      <c r="H20" s="54"/>
      <c r="I20" s="54"/>
      <c r="J20" s="54">
        <v>0.875</v>
      </c>
      <c r="K20" s="54"/>
      <c r="L20" s="54"/>
      <c r="M20" s="54">
        <v>0.875</v>
      </c>
    </row>
    <row r="21" spans="1:13" x14ac:dyDescent="0.2">
      <c r="A21" s="65">
        <v>41506</v>
      </c>
      <c r="B21" s="54"/>
      <c r="C21" s="54"/>
      <c r="D21" s="54">
        <v>0.52500000000000002</v>
      </c>
      <c r="E21" s="54"/>
      <c r="F21" s="54"/>
      <c r="G21" s="54"/>
      <c r="H21" s="54"/>
      <c r="I21" s="54"/>
      <c r="J21" s="54"/>
      <c r="K21" s="54"/>
      <c r="L21" s="54"/>
      <c r="M21" s="54">
        <v>0.52500000000000002</v>
      </c>
    </row>
    <row r="22" spans="1:13" x14ac:dyDescent="0.2">
      <c r="A22" s="65">
        <v>41516</v>
      </c>
      <c r="B22" s="54"/>
      <c r="C22" s="54"/>
      <c r="D22" s="54"/>
      <c r="E22" s="54">
        <v>0.57499999999999996</v>
      </c>
      <c r="F22" s="54"/>
      <c r="G22" s="54"/>
      <c r="H22" s="54"/>
      <c r="I22" s="54"/>
      <c r="J22" s="54"/>
      <c r="K22" s="54"/>
      <c r="L22" s="54"/>
      <c r="M22" s="54">
        <v>0.57499999999999996</v>
      </c>
    </row>
    <row r="23" spans="1:13" x14ac:dyDescent="0.2">
      <c r="A23" s="65">
        <v>41517</v>
      </c>
      <c r="B23" s="54"/>
      <c r="C23" s="54"/>
      <c r="D23" s="54"/>
      <c r="E23" s="54"/>
      <c r="F23" s="54">
        <v>0.8</v>
      </c>
      <c r="G23" s="54"/>
      <c r="H23" s="54"/>
      <c r="I23" s="54"/>
      <c r="J23" s="54"/>
      <c r="K23" s="54"/>
      <c r="L23" s="54"/>
      <c r="M23" s="54">
        <v>0.8</v>
      </c>
    </row>
    <row r="24" spans="1:13" x14ac:dyDescent="0.2">
      <c r="A24" s="65">
        <v>41518</v>
      </c>
      <c r="B24" s="54"/>
      <c r="C24" s="54"/>
      <c r="D24" s="54"/>
      <c r="E24" s="54"/>
      <c r="F24" s="54"/>
      <c r="G24" s="54">
        <v>0.6</v>
      </c>
      <c r="H24" s="54"/>
      <c r="I24" s="54"/>
      <c r="J24" s="54"/>
      <c r="K24" s="54"/>
      <c r="L24" s="54"/>
      <c r="M24" s="54">
        <v>0.6</v>
      </c>
    </row>
    <row r="25" spans="1:13" x14ac:dyDescent="0.2">
      <c r="A25" s="65">
        <v>41523</v>
      </c>
      <c r="B25" s="54"/>
      <c r="C25" s="54"/>
      <c r="D25" s="54"/>
      <c r="E25" s="54"/>
      <c r="F25" s="54"/>
      <c r="G25" s="54"/>
      <c r="H25" s="54"/>
      <c r="I25" s="54"/>
      <c r="J25" s="54">
        <v>0.7</v>
      </c>
      <c r="K25" s="54"/>
      <c r="L25" s="54"/>
      <c r="M25" s="54">
        <v>0.7</v>
      </c>
    </row>
    <row r="26" spans="1:13" x14ac:dyDescent="0.2">
      <c r="A26" s="65">
        <v>41527</v>
      </c>
      <c r="B26" s="54"/>
      <c r="C26" s="54">
        <v>0.8</v>
      </c>
      <c r="D26" s="54"/>
      <c r="E26" s="54"/>
      <c r="F26" s="54"/>
      <c r="G26" s="54"/>
      <c r="H26" s="54"/>
      <c r="I26" s="54"/>
      <c r="J26" s="54"/>
      <c r="K26" s="54"/>
      <c r="L26" s="54"/>
      <c r="M26" s="54">
        <v>0.8</v>
      </c>
    </row>
    <row r="27" spans="1:13" x14ac:dyDescent="0.2">
      <c r="A27" s="65">
        <v>41533</v>
      </c>
      <c r="B27" s="54"/>
      <c r="C27" s="54"/>
      <c r="D27" s="54"/>
      <c r="E27" s="54"/>
      <c r="F27" s="54"/>
      <c r="G27" s="54">
        <v>0.67500000000000004</v>
      </c>
      <c r="H27" s="54"/>
      <c r="I27" s="54"/>
      <c r="J27" s="54"/>
      <c r="K27" s="54"/>
      <c r="L27" s="54"/>
      <c r="M27" s="54">
        <v>0.67500000000000004</v>
      </c>
    </row>
    <row r="28" spans="1:13" x14ac:dyDescent="0.2">
      <c r="A28" s="65">
        <v>41536</v>
      </c>
      <c r="B28" s="54"/>
      <c r="C28" s="54">
        <v>0.77500000000000002</v>
      </c>
      <c r="D28" s="54"/>
      <c r="E28" s="54"/>
      <c r="F28" s="54"/>
      <c r="G28" s="54"/>
      <c r="H28" s="54"/>
      <c r="I28" s="54"/>
      <c r="J28" s="54">
        <v>0.82499999999999996</v>
      </c>
      <c r="K28" s="54"/>
      <c r="L28" s="54"/>
      <c r="M28" s="54">
        <v>1.6</v>
      </c>
    </row>
    <row r="29" spans="1:13" x14ac:dyDescent="0.2">
      <c r="A29" s="65">
        <v>41541</v>
      </c>
      <c r="B29" s="54"/>
      <c r="C29" s="54"/>
      <c r="D29" s="54"/>
      <c r="E29" s="54">
        <v>0.6</v>
      </c>
      <c r="F29" s="54"/>
      <c r="G29" s="54"/>
      <c r="H29" s="54"/>
      <c r="I29" s="54"/>
      <c r="J29" s="54"/>
      <c r="K29" s="54"/>
      <c r="L29" s="54"/>
      <c r="M29" s="54">
        <v>0.6</v>
      </c>
    </row>
    <row r="30" spans="1:13" x14ac:dyDescent="0.2">
      <c r="A30" s="65">
        <v>41542</v>
      </c>
      <c r="B30" s="54"/>
      <c r="C30" s="54"/>
      <c r="D30" s="54"/>
      <c r="E30" s="54"/>
      <c r="F30" s="54">
        <v>0.77500000000000002</v>
      </c>
      <c r="G30" s="54"/>
      <c r="H30" s="54"/>
      <c r="I30" s="54"/>
      <c r="J30" s="54"/>
      <c r="K30" s="54"/>
      <c r="L30" s="54"/>
      <c r="M30" s="54">
        <v>0.77500000000000002</v>
      </c>
    </row>
    <row r="31" spans="1:13" x14ac:dyDescent="0.2">
      <c r="A31" s="65">
        <v>41543</v>
      </c>
      <c r="B31" s="54"/>
      <c r="C31" s="54"/>
      <c r="D31" s="54"/>
      <c r="E31" s="54"/>
      <c r="F31" s="54"/>
      <c r="G31" s="54">
        <v>0.65</v>
      </c>
      <c r="H31" s="54"/>
      <c r="I31" s="54"/>
      <c r="J31" s="54"/>
      <c r="K31" s="54"/>
      <c r="L31" s="54"/>
      <c r="M31" s="54">
        <v>0.65</v>
      </c>
    </row>
    <row r="32" spans="1:13" x14ac:dyDescent="0.2">
      <c r="A32" s="65">
        <v>41544</v>
      </c>
      <c r="B32" s="54"/>
      <c r="C32" s="54"/>
      <c r="D32" s="54">
        <v>0.72499999999999998</v>
      </c>
      <c r="E32" s="54"/>
      <c r="F32" s="54"/>
      <c r="G32" s="54"/>
      <c r="H32" s="54"/>
      <c r="I32" s="54"/>
      <c r="J32" s="54">
        <v>0.875</v>
      </c>
      <c r="K32" s="54"/>
      <c r="L32" s="54"/>
      <c r="M32" s="54">
        <v>1.6</v>
      </c>
    </row>
    <row r="33" spans="1:13" x14ac:dyDescent="0.2">
      <c r="A33" s="66" t="s">
        <v>56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1:13" x14ac:dyDescent="0.2">
      <c r="A34" s="65">
        <v>41547</v>
      </c>
      <c r="B34" s="54"/>
      <c r="C34" s="54">
        <v>0.72499999999999998</v>
      </c>
      <c r="D34" s="54"/>
      <c r="E34" s="54"/>
      <c r="F34" s="54">
        <v>0.82499999999999996</v>
      </c>
      <c r="G34" s="54"/>
      <c r="H34" s="54"/>
      <c r="I34" s="54"/>
      <c r="J34" s="54"/>
      <c r="K34" s="54"/>
      <c r="L34" s="54"/>
      <c r="M34" s="54">
        <v>1.5499999999999998</v>
      </c>
    </row>
    <row r="35" spans="1:13" x14ac:dyDescent="0.2">
      <c r="A35" s="65">
        <v>41549</v>
      </c>
      <c r="B35" s="54"/>
      <c r="C35" s="54"/>
      <c r="D35" s="54"/>
      <c r="E35" s="54"/>
      <c r="F35" s="54"/>
      <c r="G35" s="54">
        <v>0.6</v>
      </c>
      <c r="H35" s="54"/>
      <c r="I35" s="54"/>
      <c r="J35" s="54"/>
      <c r="K35" s="54"/>
      <c r="L35" s="54"/>
      <c r="M35" s="54">
        <v>0.6</v>
      </c>
    </row>
    <row r="36" spans="1:13" x14ac:dyDescent="0.2">
      <c r="A36" s="65">
        <v>41551</v>
      </c>
      <c r="B36" s="54"/>
      <c r="C36" s="54"/>
      <c r="D36" s="54">
        <v>0.85</v>
      </c>
      <c r="E36" s="54"/>
      <c r="F36" s="54"/>
      <c r="G36" s="54"/>
      <c r="H36" s="54"/>
      <c r="I36" s="54"/>
      <c r="J36" s="54"/>
      <c r="K36" s="54"/>
      <c r="L36" s="54"/>
      <c r="M36" s="54">
        <v>0.85</v>
      </c>
    </row>
    <row r="37" spans="1:13" x14ac:dyDescent="0.2">
      <c r="A37" s="65">
        <v>41559</v>
      </c>
      <c r="B37" s="54"/>
      <c r="C37" s="54"/>
      <c r="D37" s="54"/>
      <c r="E37" s="54"/>
      <c r="F37" s="54">
        <v>0.57499999999999996</v>
      </c>
      <c r="G37" s="54"/>
      <c r="H37" s="54"/>
      <c r="I37" s="54"/>
      <c r="J37" s="54"/>
      <c r="K37" s="54"/>
      <c r="L37" s="54"/>
      <c r="M37" s="54">
        <v>0.57499999999999996</v>
      </c>
    </row>
    <row r="38" spans="1:13" x14ac:dyDescent="0.2">
      <c r="A38" s="65">
        <v>41560</v>
      </c>
      <c r="B38" s="54"/>
      <c r="C38" s="54"/>
      <c r="D38" s="54"/>
      <c r="E38" s="54"/>
      <c r="F38" s="54"/>
      <c r="G38" s="54"/>
      <c r="H38" s="54"/>
      <c r="I38" s="54"/>
      <c r="J38" s="54">
        <v>0.875</v>
      </c>
      <c r="K38" s="54"/>
      <c r="L38" s="54"/>
      <c r="M38" s="54">
        <v>0.875</v>
      </c>
    </row>
    <row r="39" spans="1:13" x14ac:dyDescent="0.2">
      <c r="A39" s="65">
        <v>41562</v>
      </c>
      <c r="B39" s="54"/>
      <c r="C39" s="54"/>
      <c r="D39" s="54"/>
      <c r="E39" s="54"/>
      <c r="F39" s="54"/>
      <c r="G39" s="54"/>
      <c r="H39" s="54"/>
      <c r="I39" s="54"/>
      <c r="J39" s="54">
        <v>0.57499999999999996</v>
      </c>
      <c r="K39" s="54"/>
      <c r="L39" s="54"/>
      <c r="M39" s="54">
        <v>0.57499999999999996</v>
      </c>
    </row>
    <row r="40" spans="1:13" x14ac:dyDescent="0.2">
      <c r="A40" s="65">
        <v>41563</v>
      </c>
      <c r="B40" s="54"/>
      <c r="C40" s="54"/>
      <c r="D40" s="54"/>
      <c r="E40" s="54"/>
      <c r="F40" s="54"/>
      <c r="G40" s="54"/>
      <c r="H40" s="54"/>
      <c r="I40" s="54"/>
      <c r="J40" s="54"/>
      <c r="K40" s="54">
        <v>0.8</v>
      </c>
      <c r="L40" s="54"/>
      <c r="M40" s="54">
        <v>0.8</v>
      </c>
    </row>
    <row r="41" spans="1:13" x14ac:dyDescent="0.2">
      <c r="A41" s="65">
        <v>41575</v>
      </c>
      <c r="B41" s="54"/>
      <c r="C41" s="54"/>
      <c r="D41" s="54"/>
      <c r="E41" s="54"/>
      <c r="F41" s="54"/>
      <c r="G41" s="54"/>
      <c r="H41" s="54"/>
      <c r="I41" s="54"/>
      <c r="J41" s="54"/>
      <c r="K41" s="54">
        <v>0.82499999999999996</v>
      </c>
      <c r="L41" s="54">
        <v>0.75</v>
      </c>
      <c r="M41" s="54">
        <v>1.575</v>
      </c>
    </row>
    <row r="42" spans="1:13" x14ac:dyDescent="0.2">
      <c r="A42" s="65">
        <v>41577</v>
      </c>
      <c r="B42" s="54"/>
      <c r="C42" s="54"/>
      <c r="D42" s="54"/>
      <c r="E42" s="54"/>
      <c r="F42" s="54"/>
      <c r="G42" s="54"/>
      <c r="H42" s="54"/>
      <c r="I42" s="54"/>
      <c r="J42" s="54"/>
      <c r="K42" s="54">
        <v>0.85</v>
      </c>
      <c r="L42" s="54"/>
      <c r="M42" s="54">
        <v>0.85</v>
      </c>
    </row>
    <row r="43" spans="1:13" x14ac:dyDescent="0.2">
      <c r="A43" s="65">
        <v>41581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>
        <v>0.83750000000000002</v>
      </c>
      <c r="M43" s="54">
        <v>0.83750000000000002</v>
      </c>
    </row>
    <row r="44" spans="1:13" x14ac:dyDescent="0.2">
      <c r="A44" s="65">
        <v>41583</v>
      </c>
      <c r="B44" s="54"/>
      <c r="C44" s="54"/>
      <c r="D44" s="54"/>
      <c r="E44" s="54"/>
      <c r="F44" s="54"/>
      <c r="G44" s="54"/>
      <c r="H44" s="54"/>
      <c r="I44" s="54"/>
      <c r="J44" s="54"/>
      <c r="K44" s="54">
        <v>0.9</v>
      </c>
      <c r="L44" s="54">
        <v>0.92500000000000004</v>
      </c>
      <c r="M44" s="54">
        <v>1.8250000000000002</v>
      </c>
    </row>
    <row r="45" spans="1:13" ht="25.5" x14ac:dyDescent="0.2">
      <c r="A45" s="66" t="s">
        <v>55</v>
      </c>
      <c r="B45" s="54"/>
      <c r="C45" s="54">
        <v>2.75</v>
      </c>
      <c r="D45" s="54">
        <v>2.6</v>
      </c>
      <c r="E45" s="54">
        <v>2.2999999999999998</v>
      </c>
      <c r="F45" s="54">
        <v>4.0250000000000004</v>
      </c>
      <c r="G45" s="54">
        <v>3.3</v>
      </c>
      <c r="H45" s="54">
        <v>1.075</v>
      </c>
      <c r="I45" s="54"/>
      <c r="J45" s="54">
        <v>4.7250000000000005</v>
      </c>
      <c r="K45" s="54">
        <v>6.2750000000000004</v>
      </c>
      <c r="L45" s="54">
        <v>2.5125000000000002</v>
      </c>
      <c r="M45" s="54">
        <v>29.5625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/>
  </sheetViews>
  <sheetFormatPr defaultColWidth="8.7109375" defaultRowHeight="12.75" customHeight="1" x14ac:dyDescent="0.2"/>
  <cols>
    <col min="1" max="1" width="13.85546875" customWidth="1"/>
    <col min="2" max="2" width="10.28515625" customWidth="1"/>
    <col min="3" max="3" width="6.5703125" customWidth="1"/>
    <col min="4" max="4" width="6.42578125" customWidth="1"/>
    <col min="5" max="5" width="6.85546875" customWidth="1"/>
    <col min="6" max="6" width="10.5703125" customWidth="1"/>
    <col min="7" max="7" width="6.5703125" customWidth="1"/>
    <col min="8" max="8" width="6" customWidth="1"/>
    <col min="9" max="9" width="5.5703125" customWidth="1"/>
    <col min="10" max="11" width="6.5703125" customWidth="1"/>
    <col min="12" max="12" width="11.5703125" customWidth="1"/>
    <col min="13" max="21" width="7.42578125" customWidth="1"/>
    <col min="22" max="23" width="11.5703125" customWidth="1"/>
  </cols>
  <sheetData>
    <row r="1" spans="1:23" ht="25.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38.25" customHeight="1" x14ac:dyDescent="0.2">
      <c r="A2" s="49" t="s">
        <v>10</v>
      </c>
      <c r="B2" s="50" t="s">
        <v>56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25.5" customHeight="1" x14ac:dyDescent="0.2">
      <c r="A4" s="36" t="s">
        <v>52</v>
      </c>
      <c r="B4" s="36" t="s">
        <v>53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8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38.25" customHeight="1" x14ac:dyDescent="0.2">
      <c r="A5" s="36" t="s">
        <v>54</v>
      </c>
      <c r="B5" s="39" t="s">
        <v>21</v>
      </c>
      <c r="C5" s="40" t="s">
        <v>16</v>
      </c>
      <c r="D5" s="40" t="s">
        <v>15</v>
      </c>
      <c r="E5" s="40" t="s">
        <v>17</v>
      </c>
      <c r="F5" s="40" t="s">
        <v>18</v>
      </c>
      <c r="G5" s="40" t="s">
        <v>19</v>
      </c>
      <c r="H5" s="40" t="s">
        <v>23</v>
      </c>
      <c r="I5" s="40" t="s">
        <v>33</v>
      </c>
      <c r="J5" s="40" t="s">
        <v>20</v>
      </c>
      <c r="K5" s="40" t="s">
        <v>13</v>
      </c>
      <c r="L5" s="40" t="s">
        <v>65</v>
      </c>
      <c r="M5" s="41" t="s">
        <v>55</v>
      </c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x14ac:dyDescent="0.2">
      <c r="A6" s="39" t="s">
        <v>56</v>
      </c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x14ac:dyDescent="0.2">
      <c r="A7" s="45" t="s">
        <v>55</v>
      </c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8.7109375" defaultRowHeight="12.75" customHeight="1" x14ac:dyDescent="0.2"/>
  <cols>
    <col min="1" max="1" width="10.140625" customWidth="1"/>
    <col min="2" max="2" width="10.28515625" customWidth="1"/>
    <col min="3" max="3" width="8.7109375" customWidth="1"/>
    <col min="4" max="4" width="7" customWidth="1"/>
    <col min="6" max="6" width="5.5703125" customWidth="1"/>
    <col min="7" max="8" width="6" customWidth="1"/>
    <col min="9" max="9" width="7.28515625" customWidth="1"/>
    <col min="10" max="10" width="6.28515625" customWidth="1"/>
    <col min="11" max="11" width="6.140625" customWidth="1"/>
    <col min="12" max="12" width="6.5703125" customWidth="1"/>
  </cols>
  <sheetData>
    <row r="1" spans="1:13" ht="25.5" customHeight="1" x14ac:dyDescent="0.2">
      <c r="A1" s="36" t="s">
        <v>57</v>
      </c>
      <c r="B1" s="36" t="s">
        <v>53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25.5" customHeight="1" x14ac:dyDescent="0.2">
      <c r="A2" s="36" t="s">
        <v>54</v>
      </c>
      <c r="B2" s="39" t="s">
        <v>21</v>
      </c>
      <c r="C2" s="40" t="s">
        <v>16</v>
      </c>
      <c r="D2" s="40" t="s">
        <v>15</v>
      </c>
      <c r="E2" s="40" t="s">
        <v>17</v>
      </c>
      <c r="F2" s="40" t="s">
        <v>18</v>
      </c>
      <c r="G2" s="40" t="s">
        <v>19</v>
      </c>
      <c r="H2" s="40" t="s">
        <v>23</v>
      </c>
      <c r="I2" s="40" t="s">
        <v>33</v>
      </c>
      <c r="J2" s="40" t="s">
        <v>20</v>
      </c>
      <c r="K2" s="40" t="s">
        <v>13</v>
      </c>
      <c r="L2" s="40" t="s">
        <v>65</v>
      </c>
      <c r="M2" s="41" t="s">
        <v>55</v>
      </c>
    </row>
    <row r="3" spans="1:13" x14ac:dyDescent="0.2">
      <c r="A3" s="51">
        <v>41449</v>
      </c>
      <c r="B3" s="42"/>
      <c r="C3" s="43"/>
      <c r="D3" s="43"/>
      <c r="E3" s="43"/>
      <c r="F3" s="43"/>
      <c r="G3" s="43"/>
      <c r="H3" s="43"/>
      <c r="I3" s="43"/>
      <c r="J3" s="43"/>
      <c r="K3" s="43">
        <v>0.65</v>
      </c>
      <c r="L3" s="43"/>
      <c r="M3" s="44">
        <v>0.65</v>
      </c>
    </row>
    <row r="4" spans="1:13" x14ac:dyDescent="0.2">
      <c r="A4" s="52">
        <v>41451</v>
      </c>
      <c r="B4" s="53"/>
      <c r="C4" s="54"/>
      <c r="D4" s="54"/>
      <c r="E4" s="54"/>
      <c r="F4" s="54"/>
      <c r="G4" s="54"/>
      <c r="H4" s="54"/>
      <c r="I4" s="54"/>
      <c r="J4" s="54">
        <v>0.875</v>
      </c>
      <c r="K4" s="54"/>
      <c r="L4" s="54"/>
      <c r="M4" s="55">
        <v>0.875</v>
      </c>
    </row>
    <row r="5" spans="1:13" x14ac:dyDescent="0.2">
      <c r="A5" s="52">
        <v>41453</v>
      </c>
      <c r="B5" s="53"/>
      <c r="C5" s="54"/>
      <c r="D5" s="54"/>
      <c r="E5" s="54"/>
      <c r="F5" s="54"/>
      <c r="G5" s="54"/>
      <c r="H5" s="54"/>
      <c r="I5" s="54"/>
      <c r="J5" s="54"/>
      <c r="K5" s="54">
        <v>0.47499999999999998</v>
      </c>
      <c r="L5" s="54"/>
      <c r="M5" s="55">
        <v>0.47499999999999998</v>
      </c>
    </row>
    <row r="6" spans="1:13" x14ac:dyDescent="0.2">
      <c r="A6" s="52">
        <v>41454</v>
      </c>
      <c r="B6" s="53"/>
      <c r="C6" s="54"/>
      <c r="D6" s="54"/>
      <c r="E6" s="54"/>
      <c r="F6" s="54"/>
      <c r="G6" s="54">
        <v>0.6</v>
      </c>
      <c r="H6" s="54"/>
      <c r="I6" s="54"/>
      <c r="J6" s="54"/>
      <c r="K6" s="54"/>
      <c r="L6" s="54"/>
      <c r="M6" s="55">
        <v>0.6</v>
      </c>
    </row>
    <row r="7" spans="1:13" x14ac:dyDescent="0.2">
      <c r="A7" s="52">
        <v>41457</v>
      </c>
      <c r="B7" s="53"/>
      <c r="C7" s="54"/>
      <c r="D7" s="54"/>
      <c r="E7" s="54"/>
      <c r="F7" s="54"/>
      <c r="G7" s="54"/>
      <c r="H7" s="54"/>
      <c r="I7" s="54"/>
      <c r="J7" s="54"/>
      <c r="K7" s="54"/>
      <c r="L7" s="54"/>
      <c r="M7" s="55"/>
    </row>
    <row r="8" spans="1:13" x14ac:dyDescent="0.2">
      <c r="A8" s="52">
        <v>41458</v>
      </c>
      <c r="B8" s="53"/>
      <c r="C8" s="54"/>
      <c r="D8" s="54"/>
      <c r="E8" s="54"/>
      <c r="F8" s="54"/>
      <c r="G8" s="54"/>
      <c r="H8" s="54"/>
      <c r="I8" s="54"/>
      <c r="J8" s="54">
        <v>0.875</v>
      </c>
      <c r="K8" s="54"/>
      <c r="L8" s="54"/>
      <c r="M8" s="55">
        <v>0.875</v>
      </c>
    </row>
    <row r="9" spans="1:13" x14ac:dyDescent="0.2">
      <c r="A9" s="52">
        <v>41469</v>
      </c>
      <c r="B9" s="53"/>
      <c r="C9" s="54"/>
      <c r="D9" s="54"/>
      <c r="E9" s="54"/>
      <c r="F9" s="54">
        <v>0.57499999999999996</v>
      </c>
      <c r="G9" s="54"/>
      <c r="H9" s="54"/>
      <c r="I9" s="54"/>
      <c r="J9" s="54"/>
      <c r="K9" s="54"/>
      <c r="L9" s="54"/>
      <c r="M9" s="55">
        <v>0.57499999999999996</v>
      </c>
    </row>
    <row r="10" spans="1:13" x14ac:dyDescent="0.2">
      <c r="A10" s="52">
        <v>41470</v>
      </c>
      <c r="B10" s="53"/>
      <c r="C10" s="54"/>
      <c r="D10" s="54"/>
      <c r="E10" s="54"/>
      <c r="F10" s="54"/>
      <c r="G10" s="54"/>
      <c r="H10" s="54"/>
      <c r="I10" s="54"/>
      <c r="J10" s="54"/>
      <c r="K10" s="54">
        <v>0.82499999999999996</v>
      </c>
      <c r="L10" s="54"/>
      <c r="M10" s="55">
        <v>0.82499999999999996</v>
      </c>
    </row>
    <row r="11" spans="1:13" x14ac:dyDescent="0.2">
      <c r="A11" s="52">
        <v>41472</v>
      </c>
      <c r="B11" s="53"/>
      <c r="C11" s="54"/>
      <c r="D11" s="54"/>
      <c r="E11" s="54"/>
      <c r="F11" s="54"/>
      <c r="G11" s="54"/>
      <c r="H11" s="54"/>
      <c r="I11" s="54"/>
      <c r="J11" s="54"/>
      <c r="K11" s="54">
        <v>0.5</v>
      </c>
      <c r="L11" s="54"/>
      <c r="M11" s="55">
        <v>0.5</v>
      </c>
    </row>
    <row r="12" spans="1:13" x14ac:dyDescent="0.2">
      <c r="A12" s="52">
        <v>41474</v>
      </c>
      <c r="B12" s="53"/>
      <c r="C12" s="54"/>
      <c r="D12" s="54"/>
      <c r="E12" s="54"/>
      <c r="F12" s="54"/>
      <c r="G12" s="54"/>
      <c r="H12" s="54"/>
      <c r="I12" s="54"/>
      <c r="J12" s="54"/>
      <c r="K12" s="54">
        <v>0.65</v>
      </c>
      <c r="L12" s="54"/>
      <c r="M12" s="55">
        <v>0.65</v>
      </c>
    </row>
    <row r="13" spans="1:13" x14ac:dyDescent="0.2">
      <c r="A13" s="52">
        <v>41475</v>
      </c>
      <c r="B13" s="53"/>
      <c r="C13" s="54"/>
      <c r="D13" s="54"/>
      <c r="E13" s="54"/>
      <c r="F13" s="54"/>
      <c r="G13" s="54"/>
      <c r="H13" s="54"/>
      <c r="I13" s="54"/>
      <c r="J13" s="54"/>
      <c r="K13" s="54">
        <v>0.625</v>
      </c>
      <c r="L13" s="54"/>
      <c r="M13" s="55">
        <v>0.625</v>
      </c>
    </row>
    <row r="14" spans="1:13" x14ac:dyDescent="0.2">
      <c r="A14" s="52">
        <v>41477</v>
      </c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 spans="1:13" x14ac:dyDescent="0.2">
      <c r="A15" s="52">
        <v>41490</v>
      </c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5"/>
    </row>
    <row r="16" spans="1:13" x14ac:dyDescent="0.2">
      <c r="A16" s="52">
        <v>41494</v>
      </c>
      <c r="B16" s="53"/>
      <c r="C16" s="54"/>
      <c r="D16" s="54"/>
      <c r="E16" s="54">
        <v>0.42499999999999999</v>
      </c>
      <c r="F16" s="54"/>
      <c r="G16" s="54"/>
      <c r="H16" s="54"/>
      <c r="I16" s="54"/>
      <c r="J16" s="54"/>
      <c r="K16" s="54"/>
      <c r="L16" s="54"/>
      <c r="M16" s="55">
        <v>0.42499999999999999</v>
      </c>
    </row>
    <row r="17" spans="1:13" x14ac:dyDescent="0.2">
      <c r="A17" s="52">
        <v>41495</v>
      </c>
      <c r="B17" s="53"/>
      <c r="C17" s="54"/>
      <c r="D17" s="54"/>
      <c r="E17" s="54"/>
      <c r="F17" s="54">
        <v>0.57499999999999996</v>
      </c>
      <c r="G17" s="54"/>
      <c r="H17" s="54"/>
      <c r="I17" s="54"/>
      <c r="J17" s="54"/>
      <c r="K17" s="54"/>
      <c r="L17" s="54"/>
      <c r="M17" s="55">
        <v>0.57499999999999996</v>
      </c>
    </row>
    <row r="18" spans="1:13" x14ac:dyDescent="0.2">
      <c r="A18" s="52">
        <v>41498</v>
      </c>
      <c r="B18" s="53"/>
      <c r="C18" s="54"/>
      <c r="D18" s="54"/>
      <c r="E18" s="54"/>
      <c r="F18" s="54"/>
      <c r="G18" s="54">
        <v>0.52500000000000002</v>
      </c>
      <c r="H18" s="54"/>
      <c r="I18" s="54"/>
      <c r="J18" s="54"/>
      <c r="K18" s="54"/>
      <c r="L18" s="54"/>
      <c r="M18" s="55">
        <v>0.52500000000000002</v>
      </c>
    </row>
    <row r="19" spans="1:13" x14ac:dyDescent="0.2">
      <c r="A19" s="52">
        <v>41507</v>
      </c>
      <c r="B19" s="53"/>
      <c r="C19" s="54"/>
      <c r="D19" s="54">
        <v>0.52500000000000002</v>
      </c>
      <c r="E19" s="54"/>
      <c r="F19" s="54"/>
      <c r="G19" s="54"/>
      <c r="H19" s="54"/>
      <c r="I19" s="54"/>
      <c r="J19" s="54"/>
      <c r="K19" s="54"/>
      <c r="L19" s="54"/>
      <c r="M19" s="55">
        <v>0.52500000000000002</v>
      </c>
    </row>
    <row r="20" spans="1:13" x14ac:dyDescent="0.2">
      <c r="A20" s="52">
        <v>41515</v>
      </c>
      <c r="B20" s="53"/>
      <c r="C20" s="54"/>
      <c r="D20" s="54"/>
      <c r="E20" s="54"/>
      <c r="F20" s="54">
        <v>0.8</v>
      </c>
      <c r="G20" s="54"/>
      <c r="H20" s="54"/>
      <c r="I20" s="54"/>
      <c r="J20" s="54"/>
      <c r="K20" s="54"/>
      <c r="L20" s="54"/>
      <c r="M20" s="55">
        <v>0.8</v>
      </c>
    </row>
    <row r="21" spans="1:13" x14ac:dyDescent="0.2">
      <c r="A21" s="52">
        <v>41520</v>
      </c>
      <c r="B21" s="53"/>
      <c r="C21" s="54"/>
      <c r="D21" s="54"/>
      <c r="E21" s="54"/>
      <c r="F21" s="54"/>
      <c r="G21" s="54"/>
      <c r="H21" s="54"/>
      <c r="I21" s="54"/>
      <c r="J21" s="54">
        <v>0.7</v>
      </c>
      <c r="K21" s="54"/>
      <c r="L21" s="54"/>
      <c r="M21" s="55">
        <v>0.7</v>
      </c>
    </row>
    <row r="22" spans="1:13" x14ac:dyDescent="0.2">
      <c r="A22" s="52">
        <v>41524</v>
      </c>
      <c r="B22" s="5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5"/>
    </row>
    <row r="23" spans="1:13" x14ac:dyDescent="0.2">
      <c r="A23" s="52">
        <v>41525</v>
      </c>
      <c r="B23" s="53"/>
      <c r="C23" s="54">
        <v>0.8</v>
      </c>
      <c r="D23" s="54"/>
      <c r="E23" s="54"/>
      <c r="F23" s="54"/>
      <c r="G23" s="54"/>
      <c r="H23" s="54"/>
      <c r="I23" s="54"/>
      <c r="J23" s="54"/>
      <c r="K23" s="54"/>
      <c r="L23" s="54"/>
      <c r="M23" s="55">
        <v>0.8</v>
      </c>
    </row>
    <row r="24" spans="1:13" x14ac:dyDescent="0.2">
      <c r="A24" s="52">
        <v>41534</v>
      </c>
      <c r="B24" s="53"/>
      <c r="C24" s="54"/>
      <c r="D24" s="54"/>
      <c r="E24" s="54"/>
      <c r="F24" s="54"/>
      <c r="G24" s="54"/>
      <c r="H24" s="54"/>
      <c r="I24" s="54"/>
      <c r="J24" s="54">
        <v>0.82499999999999996</v>
      </c>
      <c r="K24" s="54"/>
      <c r="L24" s="54"/>
      <c r="M24" s="55">
        <v>0.82499999999999996</v>
      </c>
    </row>
    <row r="25" spans="1:13" x14ac:dyDescent="0.2">
      <c r="A25" s="52">
        <v>41538</v>
      </c>
      <c r="B25" s="53"/>
      <c r="C25" s="54">
        <v>0.77500000000000002</v>
      </c>
      <c r="D25" s="54"/>
      <c r="E25" s="54"/>
      <c r="F25" s="54"/>
      <c r="G25" s="54"/>
      <c r="H25" s="54"/>
      <c r="I25" s="54"/>
      <c r="J25" s="54"/>
      <c r="K25" s="54"/>
      <c r="L25" s="54"/>
      <c r="M25" s="55">
        <v>0.77500000000000002</v>
      </c>
    </row>
    <row r="26" spans="1:13" x14ac:dyDescent="0.2">
      <c r="A26" s="52">
        <v>41540</v>
      </c>
      <c r="B26" s="53"/>
      <c r="C26" s="54"/>
      <c r="D26" s="54"/>
      <c r="E26" s="54">
        <v>0.6</v>
      </c>
      <c r="F26" s="54"/>
      <c r="G26" s="54"/>
      <c r="H26" s="54"/>
      <c r="I26" s="54"/>
      <c r="J26" s="54"/>
      <c r="K26" s="54"/>
      <c r="L26" s="54"/>
      <c r="M26" s="55">
        <v>0.6</v>
      </c>
    </row>
    <row r="27" spans="1:13" ht="25.5" customHeight="1" x14ac:dyDescent="0.2">
      <c r="A27" s="52">
        <v>41541</v>
      </c>
      <c r="B27" s="53"/>
      <c r="C27" s="54"/>
      <c r="D27" s="54"/>
      <c r="E27" s="54"/>
      <c r="F27" s="54">
        <v>0.77500000000000002</v>
      </c>
      <c r="G27" s="54"/>
      <c r="H27" s="54"/>
      <c r="I27" s="54"/>
      <c r="J27" s="54"/>
      <c r="K27" s="54"/>
      <c r="L27" s="54"/>
      <c r="M27" s="55">
        <v>0.77500000000000002</v>
      </c>
    </row>
    <row r="28" spans="1:13" x14ac:dyDescent="0.2">
      <c r="A28" s="52">
        <v>41542</v>
      </c>
      <c r="B28" s="53"/>
      <c r="C28" s="54"/>
      <c r="D28" s="54"/>
      <c r="E28" s="54"/>
      <c r="F28" s="54"/>
      <c r="G28" s="54">
        <v>0.65</v>
      </c>
      <c r="H28" s="54"/>
      <c r="I28" s="54"/>
      <c r="J28" s="54"/>
      <c r="K28" s="54"/>
      <c r="L28" s="54"/>
      <c r="M28" s="55">
        <v>0.65</v>
      </c>
    </row>
    <row r="29" spans="1:13" x14ac:dyDescent="0.2">
      <c r="A29" s="52">
        <v>41543</v>
      </c>
      <c r="B29" s="53"/>
      <c r="C29" s="54"/>
      <c r="D29" s="54"/>
      <c r="E29" s="54"/>
      <c r="F29" s="54"/>
      <c r="G29" s="54"/>
      <c r="H29" s="54"/>
      <c r="I29" s="54"/>
      <c r="J29" s="54">
        <v>0.875</v>
      </c>
      <c r="K29" s="54"/>
      <c r="L29" s="54"/>
      <c r="M29" s="55">
        <v>0.875</v>
      </c>
    </row>
    <row r="30" spans="1:13" ht="12.75" customHeight="1" x14ac:dyDescent="0.2">
      <c r="A30" s="52">
        <v>41546</v>
      </c>
      <c r="B30" s="53"/>
      <c r="C30" s="54"/>
      <c r="D30" s="54">
        <v>0.72499999999999998</v>
      </c>
      <c r="E30" s="54"/>
      <c r="F30" s="54"/>
      <c r="G30" s="54"/>
      <c r="H30" s="54"/>
      <c r="I30" s="54"/>
      <c r="J30" s="54"/>
      <c r="K30" s="54"/>
      <c r="L30" s="54"/>
      <c r="M30" s="55">
        <v>0.72499999999999998</v>
      </c>
    </row>
    <row r="31" spans="1:13" ht="12.75" customHeight="1" x14ac:dyDescent="0.2">
      <c r="A31" s="52">
        <v>41547</v>
      </c>
      <c r="B31" s="53"/>
      <c r="C31" s="54"/>
      <c r="D31" s="54"/>
      <c r="E31" s="54">
        <v>0.17499999999999999</v>
      </c>
      <c r="F31" s="54"/>
      <c r="G31" s="54"/>
      <c r="H31" s="54"/>
      <c r="I31" s="54"/>
      <c r="J31" s="54"/>
      <c r="K31" s="54"/>
      <c r="L31" s="54"/>
      <c r="M31" s="55">
        <v>0.17499999999999999</v>
      </c>
    </row>
    <row r="32" spans="1:13" ht="12.75" customHeight="1" x14ac:dyDescent="0.2">
      <c r="A32" s="52">
        <v>41548</v>
      </c>
      <c r="B32" s="53"/>
      <c r="C32" s="54"/>
      <c r="D32" s="54"/>
      <c r="E32" s="54"/>
      <c r="F32" s="54"/>
      <c r="G32" s="54">
        <v>0.6</v>
      </c>
      <c r="H32" s="54"/>
      <c r="I32" s="54"/>
      <c r="J32" s="54"/>
      <c r="K32" s="54"/>
      <c r="L32" s="54"/>
      <c r="M32" s="55">
        <v>0.6</v>
      </c>
    </row>
    <row r="33" spans="1:13" ht="12.75" customHeight="1" x14ac:dyDescent="0.2">
      <c r="A33" s="52">
        <v>41556</v>
      </c>
      <c r="B33" s="53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5"/>
    </row>
    <row r="34" spans="1:13" ht="12.75" customHeight="1" x14ac:dyDescent="0.2">
      <c r="A34" s="52">
        <v>41560</v>
      </c>
      <c r="B34" s="53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5"/>
    </row>
    <row r="35" spans="1:13" ht="12.75" customHeight="1" x14ac:dyDescent="0.2">
      <c r="A35" s="52">
        <v>41573</v>
      </c>
      <c r="B35" s="53"/>
      <c r="C35" s="54"/>
      <c r="D35" s="54"/>
      <c r="E35" s="54"/>
      <c r="F35" s="54"/>
      <c r="G35" s="54"/>
      <c r="H35" s="54"/>
      <c r="I35" s="54"/>
      <c r="J35" s="54"/>
      <c r="K35" s="54">
        <v>0.85</v>
      </c>
      <c r="L35" s="54"/>
      <c r="M35" s="55">
        <v>0.85</v>
      </c>
    </row>
    <row r="36" spans="1:13" ht="12.75" customHeight="1" x14ac:dyDescent="0.2">
      <c r="A36" s="52">
        <v>41583</v>
      </c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>
        <v>0.92500000000000004</v>
      </c>
      <c r="M36" s="55">
        <v>0.92500000000000004</v>
      </c>
    </row>
    <row r="37" spans="1:13" ht="12.75" customHeight="1" x14ac:dyDescent="0.2">
      <c r="A37" s="52">
        <v>41584</v>
      </c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5"/>
    </row>
    <row r="38" spans="1:13" ht="12.75" customHeight="1" x14ac:dyDescent="0.2">
      <c r="A38" s="56" t="s">
        <v>56</v>
      </c>
      <c r="B38" s="53"/>
      <c r="C38" s="54">
        <v>1.175</v>
      </c>
      <c r="D38" s="54">
        <v>1.35</v>
      </c>
      <c r="E38" s="54">
        <v>1.1000000000000001</v>
      </c>
      <c r="F38" s="54">
        <v>1.2999999999999998</v>
      </c>
      <c r="G38" s="54">
        <v>0.92500000000000004</v>
      </c>
      <c r="H38" s="54">
        <v>1.075</v>
      </c>
      <c r="I38" s="54"/>
      <c r="J38" s="54">
        <v>0.57499999999999996</v>
      </c>
      <c r="K38" s="54">
        <v>1.7000000000000002</v>
      </c>
      <c r="L38" s="54">
        <v>1.5874999999999999</v>
      </c>
      <c r="M38" s="55">
        <v>10.787500000000001</v>
      </c>
    </row>
    <row r="39" spans="1:13" ht="12.75" customHeight="1" x14ac:dyDescent="0.2">
      <c r="A39" s="45" t="s">
        <v>55</v>
      </c>
      <c r="B39" s="46"/>
      <c r="C39" s="47">
        <v>2.75</v>
      </c>
      <c r="D39" s="47">
        <v>2.6</v>
      </c>
      <c r="E39" s="47">
        <v>2.2999999999999998</v>
      </c>
      <c r="F39" s="47">
        <v>4.0250000000000004</v>
      </c>
      <c r="G39" s="47">
        <v>3.3</v>
      </c>
      <c r="H39" s="47">
        <v>1.075</v>
      </c>
      <c r="I39" s="47"/>
      <c r="J39" s="47">
        <v>4.7250000000000005</v>
      </c>
      <c r="K39" s="47">
        <v>6.2750000000000004</v>
      </c>
      <c r="L39" s="47">
        <v>2.5125000000000002</v>
      </c>
      <c r="M39" s="48">
        <v>29.562500000000007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Sheet5</vt:lpstr>
      <vt:lpstr>Paper</vt:lpstr>
      <vt:lpstr>Sheet3</vt:lpstr>
      <vt:lpstr>Sheet4</vt:lpstr>
      <vt:lpstr>Sheet1</vt:lpstr>
      <vt:lpstr>Sheet2</vt:lpstr>
      <vt:lpstr>Exam 1</vt:lpstr>
      <vt:lpstr>Exam 2</vt:lpstr>
      <vt:lpstr>IT Apps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Stone</cp:lastModifiedBy>
  <dcterms:modified xsi:type="dcterms:W3CDTF">2014-11-01T12:13:37Z</dcterms:modified>
</cp:coreProperties>
</file>