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740" yWindow="0" windowWidth="25600" windowHeight="16060" tabRatio="869"/>
  </bookViews>
  <sheets>
    <sheet name="PIC &amp; POC export rates" sheetId="3" r:id="rId1"/>
    <sheet name="PIT deployment data" sheetId="5" r:id="rId2"/>
    <sheet name="Master data" sheetId="1" r:id="rId3"/>
    <sheet name="Constants" sheetId="2" r:id="rId4"/>
    <sheet name="Data for MATLAB export" sheetId="4" r:id="rId5"/>
    <sheet name="Data for Igor depth profiles" sheetId="6" r:id="rId6"/>
  </sheets>
  <definedNames>
    <definedName name="_xlnm._FilterDatabase" localSheetId="2" hidden="1">'Master data'!$A$5:$R$87</definedName>
    <definedName name="solver_adj" localSheetId="0" hidden="1">'PIC &amp; POC export rates'!$V$6:$V$7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'PIC &amp; POC export rates'!$V$11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8" i="3" l="1"/>
  <c r="T27" i="3"/>
  <c r="T24" i="3"/>
  <c r="T23" i="3"/>
  <c r="T20" i="3"/>
  <c r="T19" i="3"/>
  <c r="T11" i="3"/>
  <c r="T12" i="3"/>
  <c r="T8" i="3"/>
  <c r="T7" i="3"/>
  <c r="N23" i="3"/>
  <c r="N24" i="3"/>
  <c r="S24" i="3"/>
  <c r="N27" i="3"/>
  <c r="N28" i="3"/>
  <c r="S28" i="3"/>
  <c r="N26" i="3"/>
  <c r="S27" i="3"/>
  <c r="N22" i="3"/>
  <c r="S23" i="3"/>
  <c r="N19" i="3"/>
  <c r="N20" i="3"/>
  <c r="S20" i="3"/>
  <c r="N18" i="3"/>
  <c r="S19" i="3"/>
  <c r="N11" i="3"/>
  <c r="N12" i="3"/>
  <c r="S12" i="3"/>
  <c r="N10" i="3"/>
  <c r="S11" i="3"/>
  <c r="N7" i="3"/>
  <c r="N8" i="3"/>
  <c r="S8" i="3"/>
  <c r="N6" i="3"/>
  <c r="S7" i="3"/>
  <c r="O28" i="3"/>
  <c r="O27" i="3"/>
  <c r="O26" i="3"/>
  <c r="O24" i="3"/>
  <c r="O23" i="3"/>
  <c r="O19" i="3"/>
  <c r="O18" i="3"/>
  <c r="O12" i="3"/>
  <c r="O11" i="3"/>
  <c r="O10" i="3"/>
  <c r="O8" i="3"/>
  <c r="O7" i="3"/>
  <c r="O6" i="3"/>
  <c r="F31" i="3"/>
  <c r="F30" i="3"/>
  <c r="E31" i="3"/>
  <c r="E30" i="3"/>
  <c r="G4" i="4"/>
  <c r="F4" i="4"/>
  <c r="F50" i="4"/>
  <c r="G50" i="4"/>
  <c r="P8" i="3"/>
  <c r="E51" i="4"/>
  <c r="E49" i="4"/>
  <c r="H7" i="5"/>
  <c r="H6" i="5"/>
  <c r="H5" i="5"/>
  <c r="H4" i="5"/>
  <c r="H3" i="5"/>
  <c r="H2" i="5"/>
  <c r="G57" i="4"/>
  <c r="G56" i="4"/>
  <c r="G54" i="4"/>
  <c r="G53" i="4"/>
  <c r="G52" i="4"/>
  <c r="G51" i="4"/>
  <c r="G49" i="4"/>
  <c r="F57" i="4"/>
  <c r="F56" i="4"/>
  <c r="F54" i="4"/>
  <c r="F53" i="4"/>
  <c r="F52" i="4"/>
  <c r="F51" i="4"/>
  <c r="F49" i="4"/>
  <c r="G47" i="4"/>
  <c r="G46" i="4"/>
  <c r="F47" i="4"/>
  <c r="F46" i="4"/>
  <c r="G45" i="4"/>
  <c r="G44" i="4"/>
  <c r="G43" i="4"/>
  <c r="F45" i="4"/>
  <c r="F44" i="4"/>
  <c r="F43" i="4"/>
  <c r="G41" i="4"/>
  <c r="F41" i="4"/>
  <c r="G37" i="4"/>
  <c r="F37" i="4"/>
  <c r="G36" i="4"/>
  <c r="G35" i="4"/>
  <c r="G34" i="4"/>
  <c r="F36" i="4"/>
  <c r="F35" i="4"/>
  <c r="F34" i="4"/>
  <c r="G33" i="4"/>
  <c r="G32" i="4"/>
  <c r="G31" i="4"/>
  <c r="F33" i="4"/>
  <c r="F32" i="4"/>
  <c r="F31" i="4"/>
  <c r="G20" i="4"/>
  <c r="G19" i="4"/>
  <c r="G18" i="4"/>
  <c r="G17" i="4"/>
  <c r="G16" i="4"/>
  <c r="G15" i="4"/>
  <c r="G14" i="4"/>
  <c r="G13" i="4"/>
  <c r="F13" i="4"/>
  <c r="F20" i="4"/>
  <c r="F19" i="4"/>
  <c r="F18" i="4"/>
  <c r="F17" i="4"/>
  <c r="F16" i="4"/>
  <c r="F15" i="4"/>
  <c r="F14" i="4"/>
  <c r="G12" i="4"/>
  <c r="G11" i="4"/>
  <c r="G10" i="4"/>
  <c r="G9" i="4"/>
  <c r="G8" i="4"/>
  <c r="G7" i="4"/>
  <c r="G6" i="4"/>
  <c r="F6" i="4"/>
  <c r="G5" i="4"/>
  <c r="F12" i="4"/>
  <c r="F11" i="4"/>
  <c r="F10" i="4"/>
  <c r="F9" i="4"/>
  <c r="F8" i="4"/>
  <c r="F7" i="4"/>
  <c r="F5" i="4"/>
  <c r="E57" i="4"/>
  <c r="E56" i="4"/>
  <c r="E55" i="4"/>
  <c r="E54" i="4"/>
  <c r="E53" i="4"/>
  <c r="E52" i="4"/>
  <c r="E48" i="4"/>
  <c r="E47" i="4"/>
  <c r="E46" i="4"/>
  <c r="E45" i="4"/>
  <c r="E44" i="4"/>
  <c r="E43" i="4"/>
  <c r="E41" i="4"/>
  <c r="E40" i="4"/>
  <c r="E39" i="4"/>
  <c r="E38" i="4"/>
  <c r="E37" i="4"/>
  <c r="E36" i="4"/>
  <c r="E35" i="4"/>
  <c r="E34" i="4"/>
  <c r="E33" i="4"/>
  <c r="E32" i="4"/>
  <c r="E31" i="4"/>
  <c r="E29" i="4"/>
  <c r="E28" i="4"/>
  <c r="E26" i="4"/>
  <c r="E25" i="4"/>
  <c r="E23" i="4"/>
  <c r="E22" i="4"/>
  <c r="E21" i="4"/>
  <c r="E20" i="4"/>
  <c r="E19" i="4"/>
  <c r="E18" i="4"/>
  <c r="E17" i="4"/>
  <c r="E16" i="4"/>
  <c r="E15" i="4"/>
  <c r="E14" i="4"/>
  <c r="E13" i="4"/>
  <c r="E6" i="4"/>
  <c r="E5" i="4"/>
  <c r="E12" i="4"/>
  <c r="E11" i="4"/>
  <c r="E10" i="4"/>
  <c r="E9" i="4"/>
  <c r="E8" i="4"/>
  <c r="E7" i="4"/>
  <c r="E4" i="4"/>
  <c r="L28" i="3"/>
  <c r="L27" i="3"/>
  <c r="L26" i="3"/>
  <c r="L24" i="3"/>
  <c r="L23" i="3"/>
  <c r="L22" i="3"/>
  <c r="L20" i="3"/>
  <c r="L19" i="3"/>
  <c r="L18" i="3"/>
  <c r="L16" i="3"/>
  <c r="L15" i="3"/>
  <c r="L14" i="3"/>
  <c r="L12" i="3"/>
  <c r="L11" i="3"/>
  <c r="L10" i="3"/>
  <c r="M28" i="3"/>
  <c r="M27" i="3"/>
  <c r="M26" i="3"/>
  <c r="M24" i="3"/>
  <c r="M23" i="3"/>
  <c r="M22" i="3"/>
  <c r="M20" i="3"/>
  <c r="M19" i="3"/>
  <c r="M18" i="3"/>
  <c r="M16" i="3"/>
  <c r="M15" i="3"/>
  <c r="M14" i="3"/>
  <c r="M12" i="3"/>
  <c r="M11" i="3"/>
  <c r="M10" i="3"/>
  <c r="L8" i="3"/>
  <c r="M8" i="3"/>
  <c r="L7" i="3"/>
  <c r="M7" i="3"/>
  <c r="L6" i="3"/>
  <c r="M6" i="3"/>
  <c r="AI83" i="1"/>
  <c r="AI82" i="1"/>
  <c r="AI81" i="1"/>
  <c r="AI79" i="1"/>
  <c r="AI78" i="1"/>
  <c r="AI77" i="1"/>
  <c r="AI76" i="1"/>
  <c r="AI74" i="1"/>
  <c r="AI73" i="1"/>
  <c r="AI72" i="1"/>
  <c r="AH83" i="1"/>
  <c r="AH82" i="1"/>
  <c r="AH81" i="1"/>
  <c r="AH79" i="1"/>
  <c r="AH78" i="1"/>
  <c r="AH77" i="1"/>
  <c r="AH76" i="1"/>
  <c r="AH74" i="1"/>
  <c r="AH73" i="1"/>
  <c r="AH72" i="1"/>
  <c r="AG83" i="1"/>
  <c r="AF83" i="1"/>
  <c r="AD69" i="1"/>
  <c r="AE69" i="1"/>
  <c r="AG69" i="1"/>
  <c r="AG55" i="1"/>
  <c r="AF69" i="1"/>
  <c r="AF55" i="1"/>
  <c r="AD72" i="1"/>
  <c r="AF72" i="1"/>
  <c r="AD82" i="1"/>
  <c r="AF82" i="1"/>
  <c r="AJ72" i="1"/>
  <c r="AL72" i="1"/>
  <c r="V72" i="1"/>
  <c r="AN72" i="1"/>
  <c r="AD73" i="1"/>
  <c r="AF73" i="1"/>
  <c r="AJ73" i="1"/>
  <c r="AL73" i="1"/>
  <c r="V73" i="1"/>
  <c r="AN73" i="1"/>
  <c r="P28" i="3"/>
  <c r="AD74" i="1"/>
  <c r="AF74" i="1"/>
  <c r="AJ74" i="1"/>
  <c r="AL74" i="1"/>
  <c r="V74" i="1"/>
  <c r="AN74" i="1"/>
  <c r="AD76" i="1"/>
  <c r="AF76" i="1"/>
  <c r="AJ76" i="1"/>
  <c r="AL76" i="1"/>
  <c r="V76" i="1"/>
  <c r="AN76" i="1"/>
  <c r="AD77" i="1"/>
  <c r="AF77" i="1"/>
  <c r="AJ77" i="1"/>
  <c r="AL77" i="1"/>
  <c r="V77" i="1"/>
  <c r="AN77" i="1"/>
  <c r="P27" i="3"/>
  <c r="V71" i="1"/>
  <c r="K28" i="3"/>
  <c r="Q28" i="3"/>
  <c r="K27" i="3"/>
  <c r="Q27" i="3"/>
  <c r="R28" i="3"/>
  <c r="R27" i="3"/>
  <c r="V78" i="1"/>
  <c r="V81" i="1"/>
  <c r="K26" i="3"/>
  <c r="AD78" i="1"/>
  <c r="AF78" i="1"/>
  <c r="AJ78" i="1"/>
  <c r="AL78" i="1"/>
  <c r="AN78" i="1"/>
  <c r="AD81" i="1"/>
  <c r="AF81" i="1"/>
  <c r="AJ81" i="1"/>
  <c r="AL81" i="1"/>
  <c r="AN81" i="1"/>
  <c r="R26" i="3"/>
  <c r="Q26" i="3"/>
  <c r="P26" i="3"/>
  <c r="AE81" i="1"/>
  <c r="AG81" i="1"/>
  <c r="AE82" i="1"/>
  <c r="AG82" i="1"/>
  <c r="AK81" i="1"/>
  <c r="AM81" i="1"/>
  <c r="AL82" i="1"/>
  <c r="AD54" i="1"/>
  <c r="AD84" i="1"/>
  <c r="AE84" i="1"/>
  <c r="AD79" i="1"/>
  <c r="AE79" i="1"/>
  <c r="AE78" i="1"/>
  <c r="AE77" i="1"/>
  <c r="AE76" i="1"/>
  <c r="AE74" i="1"/>
  <c r="AE73" i="1"/>
  <c r="AE72" i="1"/>
  <c r="V58" i="1"/>
  <c r="V59" i="1"/>
  <c r="V60" i="1"/>
  <c r="K24" i="3"/>
  <c r="AD58" i="1"/>
  <c r="AF58" i="1"/>
  <c r="AH58" i="1"/>
  <c r="AJ58" i="1"/>
  <c r="AL58" i="1"/>
  <c r="AN58" i="1"/>
  <c r="AD59" i="1"/>
  <c r="AF59" i="1"/>
  <c r="AH59" i="1"/>
  <c r="AJ59" i="1"/>
  <c r="AL59" i="1"/>
  <c r="AN59" i="1"/>
  <c r="R24" i="3"/>
  <c r="V61" i="1"/>
  <c r="V62" i="1"/>
  <c r="V64" i="1"/>
  <c r="K23" i="3"/>
  <c r="AD61" i="1"/>
  <c r="AF61" i="1"/>
  <c r="AH61" i="1"/>
  <c r="AJ61" i="1"/>
  <c r="AL61" i="1"/>
  <c r="AN61" i="1"/>
  <c r="AD62" i="1"/>
  <c r="AF62" i="1"/>
  <c r="AH62" i="1"/>
  <c r="AJ62" i="1"/>
  <c r="AL62" i="1"/>
  <c r="AN62" i="1"/>
  <c r="AD64" i="1"/>
  <c r="AF64" i="1"/>
  <c r="AH64" i="1"/>
  <c r="AJ64" i="1"/>
  <c r="AL64" i="1"/>
  <c r="AN64" i="1"/>
  <c r="R23" i="3"/>
  <c r="V65" i="1"/>
  <c r="V66" i="1"/>
  <c r="K22" i="3"/>
  <c r="AD66" i="1"/>
  <c r="AF66" i="1"/>
  <c r="AH66" i="1"/>
  <c r="AJ66" i="1"/>
  <c r="AL66" i="1"/>
  <c r="AN66" i="1"/>
  <c r="R22" i="3"/>
  <c r="V43" i="1"/>
  <c r="V44" i="1"/>
  <c r="V45" i="1"/>
  <c r="K20" i="3"/>
  <c r="AD43" i="1"/>
  <c r="AF43" i="1"/>
  <c r="AH43" i="1"/>
  <c r="AJ43" i="1"/>
  <c r="AL43" i="1"/>
  <c r="AN43" i="1"/>
  <c r="R20" i="3"/>
  <c r="V46" i="1"/>
  <c r="V47" i="1"/>
  <c r="V48" i="1"/>
  <c r="K19" i="3"/>
  <c r="AD46" i="1"/>
  <c r="AF46" i="1"/>
  <c r="AH46" i="1"/>
  <c r="AJ46" i="1"/>
  <c r="AL46" i="1"/>
  <c r="AN46" i="1"/>
  <c r="AD47" i="1"/>
  <c r="AF47" i="1"/>
  <c r="AH47" i="1"/>
  <c r="AJ47" i="1"/>
  <c r="AL47" i="1"/>
  <c r="AN47" i="1"/>
  <c r="AD48" i="1"/>
  <c r="AF48" i="1"/>
  <c r="AH48" i="1"/>
  <c r="AJ48" i="1"/>
  <c r="AL48" i="1"/>
  <c r="AN48" i="1"/>
  <c r="R19" i="3"/>
  <c r="V50" i="1"/>
  <c r="V51" i="1"/>
  <c r="V52" i="1"/>
  <c r="K18" i="3"/>
  <c r="AD50" i="1"/>
  <c r="AF50" i="1"/>
  <c r="AH50" i="1"/>
  <c r="AJ50" i="1"/>
  <c r="AL50" i="1"/>
  <c r="AN50" i="1"/>
  <c r="AD51" i="1"/>
  <c r="AF51" i="1"/>
  <c r="AH51" i="1"/>
  <c r="AJ51" i="1"/>
  <c r="AL51" i="1"/>
  <c r="AN51" i="1"/>
  <c r="AD52" i="1"/>
  <c r="AF52" i="1"/>
  <c r="AH52" i="1"/>
  <c r="AJ52" i="1"/>
  <c r="AL52" i="1"/>
  <c r="AN52" i="1"/>
  <c r="R18" i="3"/>
  <c r="V20" i="1"/>
  <c r="V22" i="1"/>
  <c r="V23" i="1"/>
  <c r="K12" i="3"/>
  <c r="AD28" i="1"/>
  <c r="AF28" i="1"/>
  <c r="AD32" i="1"/>
  <c r="AF32" i="1"/>
  <c r="AH28" i="1"/>
  <c r="AJ28" i="1"/>
  <c r="AL28" i="1"/>
  <c r="V28" i="1"/>
  <c r="AN28" i="1"/>
  <c r="AD22" i="1"/>
  <c r="AF22" i="1"/>
  <c r="AH22" i="1"/>
  <c r="AJ22" i="1"/>
  <c r="AL22" i="1"/>
  <c r="AN22" i="1"/>
  <c r="R12" i="3"/>
  <c r="V25" i="1"/>
  <c r="V26" i="1"/>
  <c r="V27" i="1"/>
  <c r="K11" i="3"/>
  <c r="AD25" i="1"/>
  <c r="AF25" i="1"/>
  <c r="AH25" i="1"/>
  <c r="AJ25" i="1"/>
  <c r="AL25" i="1"/>
  <c r="AN25" i="1"/>
  <c r="AD26" i="1"/>
  <c r="AF26" i="1"/>
  <c r="AH26" i="1"/>
  <c r="AJ26" i="1"/>
  <c r="AL26" i="1"/>
  <c r="AN26" i="1"/>
  <c r="AD27" i="1"/>
  <c r="AF27" i="1"/>
  <c r="AH27" i="1"/>
  <c r="AJ27" i="1"/>
  <c r="AL27" i="1"/>
  <c r="AN27" i="1"/>
  <c r="R11" i="3"/>
  <c r="V29" i="1"/>
  <c r="V30" i="1"/>
  <c r="K10" i="3"/>
  <c r="AD29" i="1"/>
  <c r="AF29" i="1"/>
  <c r="AH29" i="1"/>
  <c r="AJ29" i="1"/>
  <c r="AL29" i="1"/>
  <c r="AN29" i="1"/>
  <c r="AD30" i="1"/>
  <c r="AF30" i="1"/>
  <c r="AH30" i="1"/>
  <c r="AJ30" i="1"/>
  <c r="AL30" i="1"/>
  <c r="AN30" i="1"/>
  <c r="AD23" i="1"/>
  <c r="AF23" i="1"/>
  <c r="AH23" i="1"/>
  <c r="AJ23" i="1"/>
  <c r="AL23" i="1"/>
  <c r="AN23" i="1"/>
  <c r="R10" i="3"/>
  <c r="V6" i="1"/>
  <c r="V7" i="1"/>
  <c r="V8" i="1"/>
  <c r="K8" i="3"/>
  <c r="AD6" i="1"/>
  <c r="AF6" i="1"/>
  <c r="AF19" i="1"/>
  <c r="AH6" i="1"/>
  <c r="AJ6" i="1"/>
  <c r="AL6" i="1"/>
  <c r="AN6" i="1"/>
  <c r="AD7" i="1"/>
  <c r="AF7" i="1"/>
  <c r="AH7" i="1"/>
  <c r="AJ7" i="1"/>
  <c r="AL7" i="1"/>
  <c r="AN7" i="1"/>
  <c r="AD8" i="1"/>
  <c r="AF8" i="1"/>
  <c r="AH8" i="1"/>
  <c r="AJ8" i="1"/>
  <c r="AL8" i="1"/>
  <c r="AN8" i="1"/>
  <c r="R8" i="3"/>
  <c r="V14" i="1"/>
  <c r="V15" i="1"/>
  <c r="V17" i="1"/>
  <c r="K7" i="3"/>
  <c r="AD14" i="1"/>
  <c r="AF14" i="1"/>
  <c r="AH14" i="1"/>
  <c r="AJ14" i="1"/>
  <c r="AL14" i="1"/>
  <c r="AN14" i="1"/>
  <c r="AD15" i="1"/>
  <c r="AF15" i="1"/>
  <c r="AH15" i="1"/>
  <c r="AJ15" i="1"/>
  <c r="AL15" i="1"/>
  <c r="AN15" i="1"/>
  <c r="AD17" i="1"/>
  <c r="AF17" i="1"/>
  <c r="AH17" i="1"/>
  <c r="AJ17" i="1"/>
  <c r="AL17" i="1"/>
  <c r="AN17" i="1"/>
  <c r="R7" i="3"/>
  <c r="V10" i="1"/>
  <c r="V11" i="1"/>
  <c r="V13" i="1"/>
  <c r="K6" i="3"/>
  <c r="AD10" i="1"/>
  <c r="AF10" i="1"/>
  <c r="AH10" i="1"/>
  <c r="AJ10" i="1"/>
  <c r="AL10" i="1"/>
  <c r="AN10" i="1"/>
  <c r="AD11" i="1"/>
  <c r="AF11" i="1"/>
  <c r="AH11" i="1"/>
  <c r="AJ11" i="1"/>
  <c r="AL11" i="1"/>
  <c r="AN11" i="1"/>
  <c r="AD13" i="1"/>
  <c r="AF13" i="1"/>
  <c r="AH13" i="1"/>
  <c r="AJ13" i="1"/>
  <c r="AL13" i="1"/>
  <c r="AN13" i="1"/>
  <c r="R6" i="3"/>
  <c r="Q24" i="3"/>
  <c r="Q23" i="3"/>
  <c r="Q22" i="3"/>
  <c r="Q20" i="3"/>
  <c r="Q19" i="3"/>
  <c r="Q18" i="3"/>
  <c r="Q12" i="3"/>
  <c r="Q11" i="3"/>
  <c r="Q10" i="3"/>
  <c r="Q8" i="3"/>
  <c r="Q7" i="3"/>
  <c r="Q6" i="3"/>
  <c r="P24" i="3"/>
  <c r="P23" i="3"/>
  <c r="P19" i="3"/>
  <c r="P18" i="3"/>
  <c r="P12" i="3"/>
  <c r="P11" i="3"/>
  <c r="P10" i="3"/>
  <c r="P7" i="3"/>
  <c r="P6" i="3"/>
  <c r="AM82" i="1"/>
  <c r="AO82" i="1"/>
  <c r="V82" i="1"/>
  <c r="AN82" i="1"/>
  <c r="AO81" i="1"/>
  <c r="AG79" i="1"/>
  <c r="AK79" i="1"/>
  <c r="AM79" i="1"/>
  <c r="AF79" i="1"/>
  <c r="AJ79" i="1"/>
  <c r="AL79" i="1"/>
  <c r="AG78" i="1"/>
  <c r="AK78" i="1"/>
  <c r="AM78" i="1"/>
  <c r="AO78" i="1"/>
  <c r="AG77" i="1"/>
  <c r="AK77" i="1"/>
  <c r="AM77" i="1"/>
  <c r="AO77" i="1"/>
  <c r="AG76" i="1"/>
  <c r="AK76" i="1"/>
  <c r="AM76" i="1"/>
  <c r="AO76" i="1"/>
  <c r="AG74" i="1"/>
  <c r="AK74" i="1"/>
  <c r="AM74" i="1"/>
  <c r="AO74" i="1"/>
  <c r="AG73" i="1"/>
  <c r="AK73" i="1"/>
  <c r="AM73" i="1"/>
  <c r="AO73" i="1"/>
  <c r="AG72" i="1"/>
  <c r="AK72" i="1"/>
  <c r="AM72" i="1"/>
  <c r="AO72" i="1"/>
  <c r="AE66" i="1"/>
  <c r="AG66" i="1"/>
  <c r="AI66" i="1"/>
  <c r="AK66" i="1"/>
  <c r="AM66" i="1"/>
  <c r="AO66" i="1"/>
  <c r="AM65" i="1"/>
  <c r="AO65" i="1"/>
  <c r="AL65" i="1"/>
  <c r="AN65" i="1"/>
  <c r="AE64" i="1"/>
  <c r="AG64" i="1"/>
  <c r="AI64" i="1"/>
  <c r="AK64" i="1"/>
  <c r="AM64" i="1"/>
  <c r="AO64" i="1"/>
  <c r="AE62" i="1"/>
  <c r="AG62" i="1"/>
  <c r="AI62" i="1"/>
  <c r="AK62" i="1"/>
  <c r="AM62" i="1"/>
  <c r="AO62" i="1"/>
  <c r="AE61" i="1"/>
  <c r="AG61" i="1"/>
  <c r="AI61" i="1"/>
  <c r="AK61" i="1"/>
  <c r="AM61" i="1"/>
  <c r="AO61" i="1"/>
  <c r="AE59" i="1"/>
  <c r="AG59" i="1"/>
  <c r="AI59" i="1"/>
  <c r="AK59" i="1"/>
  <c r="AM59" i="1"/>
  <c r="AO59" i="1"/>
  <c r="AE58" i="1"/>
  <c r="AG58" i="1"/>
  <c r="AI58" i="1"/>
  <c r="AK58" i="1"/>
  <c r="AM58" i="1"/>
  <c r="AO58" i="1"/>
  <c r="AE54" i="1"/>
  <c r="AG54" i="1"/>
  <c r="AI54" i="1"/>
  <c r="AK54" i="1"/>
  <c r="AM54" i="1"/>
  <c r="AO54" i="1"/>
  <c r="AF54" i="1"/>
  <c r="AH54" i="1"/>
  <c r="AJ54" i="1"/>
  <c r="AL54" i="1"/>
  <c r="V54" i="1"/>
  <c r="AN54" i="1"/>
  <c r="AE52" i="1"/>
  <c r="AG52" i="1"/>
  <c r="AI52" i="1"/>
  <c r="AK52" i="1"/>
  <c r="AM52" i="1"/>
  <c r="AO52" i="1"/>
  <c r="AE51" i="1"/>
  <c r="AG51" i="1"/>
  <c r="AI51" i="1"/>
  <c r="AK51" i="1"/>
  <c r="AM51" i="1"/>
  <c r="AO51" i="1"/>
  <c r="AE50" i="1"/>
  <c r="AG50" i="1"/>
  <c r="AI50" i="1"/>
  <c r="AK50" i="1"/>
  <c r="AM50" i="1"/>
  <c r="AO50" i="1"/>
  <c r="AE48" i="1"/>
  <c r="AG48" i="1"/>
  <c r="AI48" i="1"/>
  <c r="AK48" i="1"/>
  <c r="AM48" i="1"/>
  <c r="AO48" i="1"/>
  <c r="AE47" i="1"/>
  <c r="AG47" i="1"/>
  <c r="AI47" i="1"/>
  <c r="AK47" i="1"/>
  <c r="AM47" i="1"/>
  <c r="AO47" i="1"/>
  <c r="AE46" i="1"/>
  <c r="AG46" i="1"/>
  <c r="AI46" i="1"/>
  <c r="AK46" i="1"/>
  <c r="AM46" i="1"/>
  <c r="AO46" i="1"/>
  <c r="AM45" i="1"/>
  <c r="AO45" i="1"/>
  <c r="AL45" i="1"/>
  <c r="AN45" i="1"/>
  <c r="AM44" i="1"/>
  <c r="AO44" i="1"/>
  <c r="AL44" i="1"/>
  <c r="AN44" i="1"/>
  <c r="AE43" i="1"/>
  <c r="AG43" i="1"/>
  <c r="AI43" i="1"/>
  <c r="AK43" i="1"/>
  <c r="AM43" i="1"/>
  <c r="AO43" i="1"/>
  <c r="AM40" i="1"/>
  <c r="AO40" i="1"/>
  <c r="AL40" i="1"/>
  <c r="V40" i="1"/>
  <c r="AN40" i="1"/>
  <c r="AM39" i="1"/>
  <c r="AO39" i="1"/>
  <c r="AL39" i="1"/>
  <c r="V39" i="1"/>
  <c r="AN39" i="1"/>
  <c r="AM38" i="1"/>
  <c r="AO38" i="1"/>
  <c r="AL38" i="1"/>
  <c r="V38" i="1"/>
  <c r="AN38" i="1"/>
  <c r="AM37" i="1"/>
  <c r="AO37" i="1"/>
  <c r="AL37" i="1"/>
  <c r="V37" i="1"/>
  <c r="AN37" i="1"/>
  <c r="AM35" i="1"/>
  <c r="AO35" i="1"/>
  <c r="AL35" i="1"/>
  <c r="V35" i="1"/>
  <c r="AN35" i="1"/>
  <c r="AM34" i="1"/>
  <c r="AO34" i="1"/>
  <c r="AL34" i="1"/>
  <c r="V34" i="1"/>
  <c r="AN34" i="1"/>
  <c r="AM33" i="1"/>
  <c r="AO33" i="1"/>
  <c r="AL33" i="1"/>
  <c r="V33" i="1"/>
  <c r="AN33" i="1"/>
  <c r="AM32" i="1"/>
  <c r="AO32" i="1"/>
  <c r="AL32" i="1"/>
  <c r="V32" i="1"/>
  <c r="AN32" i="1"/>
  <c r="AE30" i="1"/>
  <c r="AG30" i="1"/>
  <c r="AE32" i="1"/>
  <c r="AG32" i="1"/>
  <c r="AI30" i="1"/>
  <c r="AK30" i="1"/>
  <c r="AM30" i="1"/>
  <c r="AO30" i="1"/>
  <c r="AE29" i="1"/>
  <c r="AG29" i="1"/>
  <c r="AI29" i="1"/>
  <c r="AK29" i="1"/>
  <c r="AM29" i="1"/>
  <c r="AO29" i="1"/>
  <c r="AE28" i="1"/>
  <c r="AG28" i="1"/>
  <c r="AI28" i="1"/>
  <c r="AK28" i="1"/>
  <c r="AM28" i="1"/>
  <c r="AO28" i="1"/>
  <c r="AE27" i="1"/>
  <c r="AG27" i="1"/>
  <c r="AI27" i="1"/>
  <c r="AK27" i="1"/>
  <c r="AM27" i="1"/>
  <c r="AO27" i="1"/>
  <c r="AE26" i="1"/>
  <c r="AG26" i="1"/>
  <c r="AI26" i="1"/>
  <c r="AK26" i="1"/>
  <c r="AM26" i="1"/>
  <c r="AO26" i="1"/>
  <c r="AE25" i="1"/>
  <c r="AG25" i="1"/>
  <c r="AI25" i="1"/>
  <c r="AK25" i="1"/>
  <c r="AM25" i="1"/>
  <c r="AO25" i="1"/>
  <c r="AE23" i="1"/>
  <c r="AG23" i="1"/>
  <c r="AI23" i="1"/>
  <c r="AK23" i="1"/>
  <c r="AM23" i="1"/>
  <c r="AO23" i="1"/>
  <c r="AE22" i="1"/>
  <c r="AG22" i="1"/>
  <c r="AI22" i="1"/>
  <c r="AK22" i="1"/>
  <c r="AM22" i="1"/>
  <c r="AO22" i="1"/>
  <c r="AE17" i="1"/>
  <c r="AG17" i="1"/>
  <c r="AG19" i="1"/>
  <c r="AI17" i="1"/>
  <c r="AK17" i="1"/>
  <c r="AM17" i="1"/>
  <c r="AO17" i="1"/>
  <c r="AE15" i="1"/>
  <c r="AG15" i="1"/>
  <c r="AI15" i="1"/>
  <c r="AK15" i="1"/>
  <c r="AM15" i="1"/>
  <c r="AO15" i="1"/>
  <c r="AE14" i="1"/>
  <c r="AG14" i="1"/>
  <c r="AI14" i="1"/>
  <c r="AK14" i="1"/>
  <c r="AM14" i="1"/>
  <c r="AO14" i="1"/>
  <c r="AE13" i="1"/>
  <c r="AG13" i="1"/>
  <c r="AI13" i="1"/>
  <c r="AK13" i="1"/>
  <c r="AM13" i="1"/>
  <c r="AO13" i="1"/>
  <c r="AE11" i="1"/>
  <c r="AG11" i="1"/>
  <c r="AI11" i="1"/>
  <c r="AK11" i="1"/>
  <c r="AM11" i="1"/>
  <c r="AO11" i="1"/>
  <c r="AE10" i="1"/>
  <c r="AG10" i="1"/>
  <c r="AI10" i="1"/>
  <c r="AK10" i="1"/>
  <c r="AM10" i="1"/>
  <c r="AO10" i="1"/>
  <c r="AE8" i="1"/>
  <c r="AG8" i="1"/>
  <c r="AI8" i="1"/>
  <c r="AK8" i="1"/>
  <c r="AM8" i="1"/>
  <c r="AO8" i="1"/>
  <c r="AE7" i="1"/>
  <c r="AG7" i="1"/>
  <c r="AI7" i="1"/>
  <c r="AK7" i="1"/>
  <c r="AM7" i="1"/>
  <c r="AO7" i="1"/>
  <c r="AE6" i="1"/>
  <c r="AG6" i="1"/>
  <c r="AI6" i="1"/>
  <c r="AK6" i="1"/>
  <c r="AM6" i="1"/>
  <c r="AO6" i="1"/>
  <c r="AM69" i="1"/>
  <c r="AM60" i="1"/>
  <c r="AL69" i="1"/>
  <c r="AL60" i="1"/>
  <c r="N79" i="1"/>
  <c r="P79" i="1"/>
  <c r="AI69" i="1"/>
  <c r="AH69" i="1"/>
  <c r="AI55" i="1"/>
  <c r="AH55" i="1"/>
  <c r="AI32" i="1"/>
  <c r="AH32" i="1"/>
  <c r="AI19" i="1"/>
  <c r="AH19" i="1"/>
  <c r="AD99" i="1"/>
  <c r="AE99" i="1"/>
  <c r="AG99" i="1"/>
  <c r="AF99" i="1"/>
  <c r="AD98" i="1"/>
  <c r="AE98" i="1"/>
  <c r="AG98" i="1"/>
  <c r="AF98" i="1"/>
  <c r="AG84" i="1"/>
  <c r="AF84" i="1"/>
  <c r="AD56" i="1"/>
  <c r="AE56" i="1"/>
  <c r="AG56" i="1"/>
  <c r="AF56" i="1"/>
  <c r="AG45" i="1"/>
  <c r="AF45" i="1"/>
  <c r="AG44" i="1"/>
  <c r="AF44" i="1"/>
  <c r="AG42" i="1"/>
  <c r="AG41" i="1"/>
  <c r="AG40" i="1"/>
  <c r="AG39" i="1"/>
  <c r="AG38" i="1"/>
  <c r="AG37" i="1"/>
  <c r="AG36" i="1"/>
  <c r="AG35" i="1"/>
  <c r="AG34" i="1"/>
  <c r="AG33" i="1"/>
  <c r="AF42" i="1"/>
  <c r="AF41" i="1"/>
  <c r="AF40" i="1"/>
  <c r="AF39" i="1"/>
  <c r="AF38" i="1"/>
  <c r="AF37" i="1"/>
  <c r="AF36" i="1"/>
  <c r="AF35" i="1"/>
  <c r="AF34" i="1"/>
  <c r="AF33" i="1"/>
  <c r="D31" i="2"/>
  <c r="C31" i="2"/>
  <c r="D26" i="2"/>
  <c r="C26" i="2"/>
  <c r="F37" i="2"/>
  <c r="G39" i="2"/>
  <c r="F41" i="2"/>
  <c r="G43" i="2"/>
  <c r="I39" i="2"/>
  <c r="C21" i="2"/>
  <c r="K39" i="2"/>
  <c r="E21" i="2"/>
  <c r="C18" i="2"/>
  <c r="H87" i="1"/>
  <c r="G87" i="1"/>
  <c r="H86" i="1"/>
  <c r="G86" i="1"/>
  <c r="H85" i="1"/>
  <c r="G85" i="1"/>
  <c r="H84" i="1"/>
  <c r="G84" i="1"/>
  <c r="H82" i="1"/>
  <c r="G82" i="1"/>
  <c r="H81" i="1"/>
  <c r="G81" i="1"/>
  <c r="H79" i="1"/>
  <c r="G79" i="1"/>
  <c r="H78" i="1"/>
  <c r="G78" i="1"/>
  <c r="H77" i="1"/>
  <c r="G77" i="1"/>
  <c r="H76" i="1"/>
  <c r="G76" i="1"/>
  <c r="H74" i="1"/>
  <c r="G74" i="1"/>
  <c r="H73" i="1"/>
  <c r="G73" i="1"/>
  <c r="H72" i="1"/>
  <c r="G72" i="1"/>
  <c r="H71" i="1"/>
  <c r="G71" i="1"/>
  <c r="H69" i="1"/>
  <c r="G69" i="1"/>
  <c r="H66" i="1"/>
  <c r="G66" i="1"/>
  <c r="H65" i="1"/>
  <c r="G65" i="1"/>
  <c r="H64" i="1"/>
  <c r="G64" i="1"/>
  <c r="H62" i="1"/>
  <c r="G62" i="1"/>
  <c r="H61" i="1"/>
  <c r="G61" i="1"/>
  <c r="H60" i="1"/>
  <c r="G60" i="1"/>
  <c r="H59" i="1"/>
  <c r="G59" i="1"/>
  <c r="H58" i="1"/>
  <c r="G58" i="1"/>
  <c r="H56" i="1"/>
  <c r="G56" i="1"/>
  <c r="H54" i="1"/>
  <c r="G54" i="1"/>
  <c r="H52" i="1"/>
  <c r="G52" i="1"/>
  <c r="H51" i="1"/>
  <c r="G51" i="1"/>
  <c r="H50" i="1"/>
  <c r="G50" i="1"/>
  <c r="H48" i="1"/>
  <c r="G48" i="1"/>
  <c r="H47" i="1"/>
  <c r="G47" i="1"/>
  <c r="H46" i="1"/>
  <c r="G46" i="1"/>
  <c r="H45" i="1"/>
  <c r="G45" i="1"/>
  <c r="H44" i="1"/>
  <c r="G44" i="1"/>
  <c r="H43" i="1"/>
  <c r="G43" i="1"/>
  <c r="H39" i="1"/>
  <c r="G39" i="1"/>
  <c r="H38" i="1"/>
  <c r="G38" i="1"/>
  <c r="H37" i="1"/>
  <c r="G37" i="1"/>
  <c r="H34" i="1"/>
  <c r="G34" i="1"/>
  <c r="H35" i="1"/>
  <c r="G35" i="1"/>
  <c r="H33" i="1"/>
  <c r="G33" i="1"/>
  <c r="H32" i="1"/>
  <c r="G32" i="1"/>
  <c r="H30" i="1"/>
  <c r="G30" i="1"/>
  <c r="H29" i="1"/>
  <c r="G29" i="1"/>
  <c r="H28" i="1"/>
  <c r="G28" i="1"/>
  <c r="H27" i="1"/>
  <c r="G27" i="1"/>
  <c r="H26" i="1"/>
  <c r="G26" i="1"/>
  <c r="H25" i="1"/>
  <c r="G25" i="1"/>
  <c r="H23" i="1"/>
  <c r="G23" i="1"/>
  <c r="H22" i="1"/>
  <c r="G22" i="1"/>
  <c r="H20" i="1"/>
  <c r="G20" i="1"/>
  <c r="H18" i="1"/>
  <c r="G18" i="1"/>
  <c r="H17" i="1"/>
  <c r="G17" i="1"/>
  <c r="H15" i="1"/>
  <c r="G15" i="1"/>
  <c r="H14" i="1"/>
  <c r="G14" i="1"/>
  <c r="H13" i="1"/>
  <c r="G13" i="1"/>
  <c r="H11" i="1"/>
  <c r="G11" i="1"/>
  <c r="H10" i="1"/>
  <c r="G10" i="1"/>
  <c r="H8" i="1"/>
  <c r="G8" i="1"/>
  <c r="H7" i="1"/>
  <c r="G7" i="1"/>
  <c r="H6" i="1"/>
  <c r="G6" i="1"/>
  <c r="S69" i="1"/>
  <c r="S82" i="1"/>
  <c r="S54" i="1"/>
  <c r="S40" i="1"/>
  <c r="S32" i="1"/>
  <c r="S18" i="1"/>
  <c r="B1" i="2"/>
  <c r="S71" i="1"/>
  <c r="T71" i="1"/>
  <c r="U71" i="1"/>
  <c r="I12" i="2"/>
  <c r="S72" i="1"/>
  <c r="T72" i="1"/>
  <c r="U72" i="1"/>
  <c r="S73" i="1"/>
  <c r="T73" i="1"/>
  <c r="U73" i="1"/>
  <c r="S76" i="1"/>
  <c r="T76" i="1"/>
  <c r="U76" i="1"/>
  <c r="S77" i="1"/>
  <c r="T77" i="1"/>
  <c r="U77" i="1"/>
  <c r="S74" i="1"/>
  <c r="T74" i="1"/>
  <c r="U74" i="1"/>
  <c r="S78" i="1"/>
  <c r="T78" i="1"/>
  <c r="U78" i="1"/>
  <c r="I13" i="2"/>
  <c r="S81" i="1"/>
  <c r="T81" i="1"/>
  <c r="U81" i="1"/>
  <c r="S58" i="1"/>
  <c r="T58" i="1"/>
  <c r="U58" i="1"/>
  <c r="I10" i="2"/>
  <c r="S59" i="1"/>
  <c r="T59" i="1"/>
  <c r="U59" i="1"/>
  <c r="S60" i="1"/>
  <c r="T60" i="1"/>
  <c r="U60" i="1"/>
  <c r="S61" i="1"/>
  <c r="T61" i="1"/>
  <c r="U61" i="1"/>
  <c r="S62" i="1"/>
  <c r="T62" i="1"/>
  <c r="U62" i="1"/>
  <c r="S64" i="1"/>
  <c r="T64" i="1"/>
  <c r="U64" i="1"/>
  <c r="S65" i="1"/>
  <c r="T65" i="1"/>
  <c r="U65" i="1"/>
  <c r="I11" i="2"/>
  <c r="S66" i="1"/>
  <c r="T66" i="1"/>
  <c r="U66" i="1"/>
  <c r="S43" i="1"/>
  <c r="T43" i="1"/>
  <c r="U43" i="1"/>
  <c r="I8" i="2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50" i="1"/>
  <c r="T50" i="1"/>
  <c r="U50" i="1"/>
  <c r="I9" i="2"/>
  <c r="S51" i="1"/>
  <c r="T51" i="1"/>
  <c r="U51" i="1"/>
  <c r="S52" i="1"/>
  <c r="T52" i="1"/>
  <c r="U52" i="1"/>
  <c r="S34" i="1"/>
  <c r="T34" i="1"/>
  <c r="U34" i="1"/>
  <c r="I7" i="2"/>
  <c r="S35" i="1"/>
  <c r="T35" i="1"/>
  <c r="U35" i="1"/>
  <c r="S39" i="1"/>
  <c r="T39" i="1"/>
  <c r="U39" i="1"/>
  <c r="S37" i="1"/>
  <c r="T37" i="1"/>
  <c r="U37" i="1"/>
  <c r="S33" i="1"/>
  <c r="T33" i="1"/>
  <c r="U33" i="1"/>
  <c r="S38" i="1"/>
  <c r="T38" i="1"/>
  <c r="U38" i="1"/>
  <c r="S14" i="1"/>
  <c r="T14" i="1"/>
  <c r="U14" i="1"/>
  <c r="I4" i="2"/>
  <c r="S15" i="1"/>
  <c r="T15" i="1"/>
  <c r="U15" i="1"/>
  <c r="S17" i="1"/>
  <c r="T17" i="1"/>
  <c r="U17" i="1"/>
  <c r="N20" i="1"/>
  <c r="S20" i="1"/>
  <c r="T20" i="1"/>
  <c r="O20" i="1"/>
  <c r="U20" i="1"/>
  <c r="I5" i="2"/>
  <c r="S22" i="1"/>
  <c r="T22" i="1"/>
  <c r="U22" i="1"/>
  <c r="S23" i="1"/>
  <c r="T23" i="1"/>
  <c r="U23" i="1"/>
  <c r="S25" i="1"/>
  <c r="T25" i="1"/>
  <c r="U25" i="1"/>
  <c r="I6" i="2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6" i="1"/>
  <c r="T6" i="1"/>
  <c r="U6" i="1"/>
  <c r="S7" i="1"/>
  <c r="T7" i="1"/>
  <c r="U7" i="1"/>
  <c r="S8" i="1"/>
  <c r="T8" i="1"/>
  <c r="U8" i="1"/>
  <c r="S10" i="1"/>
  <c r="T10" i="1"/>
  <c r="U10" i="1"/>
  <c r="S11" i="1"/>
  <c r="T11" i="1"/>
  <c r="U11" i="1"/>
  <c r="S13" i="1"/>
  <c r="T13" i="1"/>
  <c r="U13" i="1"/>
  <c r="K16" i="3"/>
  <c r="K15" i="3"/>
  <c r="K14" i="3"/>
  <c r="I25" i="3"/>
  <c r="I21" i="3"/>
  <c r="I17" i="3"/>
  <c r="I13" i="3"/>
  <c r="I9" i="3"/>
  <c r="I5" i="3"/>
  <c r="T82" i="1"/>
  <c r="U82" i="1"/>
  <c r="T69" i="1"/>
  <c r="U69" i="1"/>
  <c r="V69" i="1"/>
  <c r="T54" i="1"/>
  <c r="U54" i="1"/>
  <c r="T40" i="1"/>
  <c r="U40" i="1"/>
  <c r="T32" i="1"/>
  <c r="U32" i="1"/>
  <c r="T18" i="1"/>
  <c r="U18" i="1"/>
  <c r="V18" i="1"/>
  <c r="S79" i="1"/>
  <c r="S86" i="1"/>
  <c r="S85" i="1"/>
  <c r="S84" i="1"/>
  <c r="S56" i="1"/>
  <c r="O79" i="1"/>
  <c r="P20" i="1"/>
</calcChain>
</file>

<file path=xl/sharedStrings.xml><?xml version="1.0" encoding="utf-8"?>
<sst xmlns="http://schemas.openxmlformats.org/spreadsheetml/2006/main" count="668" uniqueCount="204">
  <si>
    <t>KN207</t>
  </si>
  <si>
    <t>QL</t>
  </si>
  <si>
    <t>Reserved for IPLs</t>
  </si>
  <si>
    <t>Total weight (mg)</t>
  </si>
  <si>
    <t>PIC 1/2 (mg)</t>
  </si>
  <si>
    <t>POC 1/2 (mg)</t>
  </si>
  <si>
    <t>Cruise ID</t>
  </si>
  <si>
    <t>Station name</t>
  </si>
  <si>
    <t>Trap number</t>
  </si>
  <si>
    <t>Depth (m)</t>
  </si>
  <si>
    <t>TUBE BLANK</t>
  </si>
  <si>
    <t>Date began drying</t>
  </si>
  <si>
    <t>Date split</t>
  </si>
  <si>
    <t>No. filters</t>
  </si>
  <si>
    <t>Type GF/F (mm)</t>
  </si>
  <si>
    <t>Date run PIC</t>
  </si>
  <si>
    <t>PIC result (ug C)</t>
  </si>
  <si>
    <t>PS</t>
  </si>
  <si>
    <t>?</t>
  </si>
  <si>
    <t>FILTER BLANK</t>
  </si>
  <si>
    <t>Discarded in field</t>
  </si>
  <si>
    <t>FILTER w/500 mL BRINE</t>
  </si>
  <si>
    <t>FILTER w/500 mL BRINE + COLOR</t>
  </si>
  <si>
    <t>BAKED FILTER BLANK (6 x 1/2 of 25 mm GF/F)</t>
  </si>
  <si>
    <t>Lost during analysis</t>
  </si>
  <si>
    <t>PIC analytical blank</t>
  </si>
  <si>
    <t>Tube blank approximation for KN207-3-PS1</t>
  </si>
  <si>
    <t>PIC per trap tube (ug C, corrected &amp; normalized)</t>
  </si>
  <si>
    <t>Particle flux analysis from BLATZ II (KN207-1) and NA VICE (KN207-3) cruises</t>
  </si>
  <si>
    <t>J. R. Collins, MIT/WHOI Joint Program</t>
  </si>
  <si>
    <t>B. A. S. Van Mooy, WHOI</t>
  </si>
  <si>
    <t>PIT trap collection area:</t>
  </si>
  <si>
    <t>m2</t>
  </si>
  <si>
    <t>Start time</t>
  </si>
  <si>
    <t>Close time</t>
  </si>
  <si>
    <t>Notes</t>
  </si>
  <si>
    <t>Deployment data:</t>
  </si>
  <si>
    <t>Cruise</t>
  </si>
  <si>
    <t>Station</t>
  </si>
  <si>
    <t>Trap came up open</t>
  </si>
  <si>
    <t>PIT controllers not programmed properly; all tubes came up open except trap 11; impossible to tell when #11 closed</t>
  </si>
  <si>
    <t>For 50, 150m traps except #10</t>
  </si>
  <si>
    <t>Trap came up closed but impossible to tell when closure occurred</t>
  </si>
  <si>
    <t>Trap came up open (sheared cover); large leak</t>
  </si>
  <si>
    <t>For 300m traps and #10 (300m PIT controller failed); cruise ship in close proximity to array for much of deployment</t>
  </si>
  <si>
    <t>Times local or GMT</t>
  </si>
  <si>
    <t>Local</t>
  </si>
  <si>
    <t>GMT</t>
  </si>
  <si>
    <t>All traps came up open (premature recovery); suspect something wrong w/formalin brine - traps very difficult to filter down &amp; contained viscous milky liquid</t>
  </si>
  <si>
    <t>Trap came up open; viscous milky substance in brine layer</t>
  </si>
  <si>
    <t>For 150, 300m traps</t>
  </si>
  <si>
    <t>For 50m traps; PIT controller failed &amp; traps came up open</t>
  </si>
  <si>
    <t>Slow leak</t>
  </si>
  <si>
    <t>Trap came up open; slow leak</t>
  </si>
  <si>
    <t>Trap came up open; bad leak</t>
  </si>
  <si>
    <t>Delta (days)</t>
  </si>
  <si>
    <t>PIC flux (mg C/m2/d)</t>
  </si>
  <si>
    <t>Station ID</t>
  </si>
  <si>
    <t>Lat</t>
  </si>
  <si>
    <t>Long</t>
  </si>
  <si>
    <t>Deployment start</t>
  </si>
  <si>
    <t>Deployment end</t>
  </si>
  <si>
    <t>Deployment duration (days)</t>
  </si>
  <si>
    <t>± 95% CI</t>
  </si>
  <si>
    <t>* data from this station not reliable - bad batch of brine resulted in clogged filters &amp; multiple burst fittings</t>
  </si>
  <si>
    <t>Fye 105 vacuum line volumes:</t>
  </si>
  <si>
    <t>V1</t>
  </si>
  <si>
    <t>V2</t>
  </si>
  <si>
    <t>V3</t>
  </si>
  <si>
    <t>V4</t>
  </si>
  <si>
    <t>±</t>
  </si>
  <si>
    <t>mL</t>
  </si>
  <si>
    <t>V1+V2</t>
  </si>
  <si>
    <t>V1+V2+V3</t>
  </si>
  <si>
    <t>V1+V2+V3+V4</t>
  </si>
  <si>
    <t>PIC full sample ID</t>
  </si>
  <si>
    <t>PIC instrument blank corrected</t>
  </si>
  <si>
    <t>PIC tube blank corrected</t>
  </si>
  <si>
    <t>Starting pressure (torr)</t>
  </si>
  <si>
    <t>Pressure + incondensibles (torr)</t>
  </si>
  <si>
    <t>pCO2 (torr)</t>
  </si>
  <si>
    <t>T (ºC)</t>
  </si>
  <si>
    <t>Calibrated volumes used on vac line</t>
  </si>
  <si>
    <t>PIC split lost during analysis</t>
  </si>
  <si>
    <t>1/2 of 1 x 47 mm GF/F</t>
  </si>
  <si>
    <t>1/2 of 1 x 47mm GF/F</t>
  </si>
  <si>
    <t>V4 calculation:</t>
  </si>
  <si>
    <t>PV=nRT</t>
  </si>
  <si>
    <t>V1+V2+V3=</t>
  </si>
  <si>
    <t>nRT/P</t>
  </si>
  <si>
    <t>75.44 =</t>
  </si>
  <si>
    <t>V1+V2+V3+V4=</t>
  </si>
  <si>
    <t>nR=</t>
  </si>
  <si>
    <t>(n*R*(24+273.15))/(99.70+2.11)</t>
  </si>
  <si>
    <t>(n*R*(24+273.15))/(45.67+2.11)</t>
  </si>
  <si>
    <t>(V*(45.67+2.11))/(24+273.15)</t>
  </si>
  <si>
    <t>(V*(-1.24+2.11))/(24+273.15)</t>
  </si>
  <si>
    <t>KN207-3-PS3-6-300</t>
  </si>
  <si>
    <t>KN207-3-PS3-11-TUBE BLANK</t>
  </si>
  <si>
    <t>TPC result may be suspect</t>
  </si>
  <si>
    <t>TPC split came out of oven with severe cracking; awaiting analysis</t>
  </si>
  <si>
    <t>TPC split lost in oven</t>
  </si>
  <si>
    <t>TPC split cracked while scoring</t>
  </si>
  <si>
    <t>Sample overscale on baratron; did not get TPC data</t>
  </si>
  <si>
    <t>TPC split lost during scoring</t>
  </si>
  <si>
    <t>TPC analytical filter blank 3 x 47 mm GF/F (not freshly combusted)</t>
  </si>
  <si>
    <t>TPC analytical filter blank 6 x 25 mm GF/F (not freshly combusted)</t>
  </si>
  <si>
    <t>Date TPC quantified</t>
  </si>
  <si>
    <t>TPC full sample ID</t>
  </si>
  <si>
    <t>TPC analytical blanks</t>
  </si>
  <si>
    <t>47 mm</t>
  </si>
  <si>
    <t>25 mm</t>
  </si>
  <si>
    <t>TPC (µmol; uncorrected)</t>
  </si>
  <si>
    <t>Volume analytical uncertainty</t>
  </si>
  <si>
    <t>TPC (µmol; instrument blank corrected)</t>
  </si>
  <si>
    <t>3 filters</t>
  </si>
  <si>
    <t>6 filters</t>
  </si>
  <si>
    <t>1/2 filter</t>
  </si>
  <si>
    <t>TPC (µmol; tube blank corrected)</t>
  </si>
  <si>
    <t>TPC tube blank approximation for KN207-1-QL1 (using values from KN207-1-QL2)</t>
  </si>
  <si>
    <t>TPC per trap (µg C, corrected and normalized)</t>
  </si>
  <si>
    <t>TPC flux (mg C/m2/d)</t>
  </si>
  <si>
    <t>POC flux (mg C/m2/d)</t>
  </si>
  <si>
    <t>POC: PIC</t>
  </si>
  <si>
    <t>Rain ratio (PIC:POC)</t>
  </si>
  <si>
    <t>McCorkle lab (McLean) autoline volumes:</t>
  </si>
  <si>
    <t>A</t>
  </si>
  <si>
    <t>A+B</t>
  </si>
  <si>
    <t>A+B+C</t>
  </si>
  <si>
    <t>cm^3</t>
  </si>
  <si>
    <t>errors: ±0.1%</t>
  </si>
  <si>
    <t>Vac line used</t>
  </si>
  <si>
    <t>Fye 105</t>
  </si>
  <si>
    <t>McCorkle autoline (McLean)</t>
  </si>
  <si>
    <t>TPC split lost when Fye vacuum line broke again</t>
  </si>
  <si>
    <t>Valves open</t>
  </si>
  <si>
    <t>None</t>
  </si>
  <si>
    <t>P+N</t>
  </si>
  <si>
    <t>P</t>
  </si>
  <si>
    <t>Tube blank approximation for KN207-3-PS2; using mean of values from next station because measured tube blank value is suspect</t>
  </si>
  <si>
    <t>Tube blank approximation for KN207-3-PS4; using mean of values from prev station because measured tube blank value is suspect</t>
  </si>
  <si>
    <t>Sample loss during array recovery &amp; analysis left only one replicate</t>
  </si>
  <si>
    <t>Stdev PIC flux (mg C/m2/d)</t>
  </si>
  <si>
    <t>TPC analytical error (mg C/m2/d)</t>
  </si>
  <si>
    <t>Instrument and filter blank corrected carbon flux data</t>
  </si>
  <si>
    <t>TPC sample was swapped with KN207-1-QL2-11-50</t>
  </si>
  <si>
    <t>TPC sample was swapped with KN207-1-QL2-14-300</t>
  </si>
  <si>
    <t>Station type</t>
  </si>
  <si>
    <t>Deploy start</t>
  </si>
  <si>
    <t>Deploy end</t>
  </si>
  <si>
    <t>Deploy duration (d)</t>
  </si>
  <si>
    <t>JRC, BVM, JEO</t>
  </si>
  <si>
    <t>POLYGON ((-69.60533333 39.37983333, -68.60533333 39.37983333, -68.60533333 38.37983333, -69.60533333 38.37983333, -69.60533333 39.37983333))</t>
  </si>
  <si>
    <t>Stdev POC flux (mg C/m2/d)</t>
  </si>
  <si>
    <t>QL1_PIC_mg_m2_d</t>
  </si>
  <si>
    <t>QL2_PIC_mg_m2_d</t>
  </si>
  <si>
    <t>PS2_PIC_mg_m2_d</t>
  </si>
  <si>
    <t>PS3_PIC_mg_m2_d</t>
  </si>
  <si>
    <t>PS4_PIC_mg_m2_d</t>
  </si>
  <si>
    <t>QL1_PIC_mg_m2_d_SD</t>
  </si>
  <si>
    <t>QL2_PIC_mg_m2_d_SD</t>
  </si>
  <si>
    <t>PS2_PIC_mg_m2_d_SD</t>
  </si>
  <si>
    <t>PS3_PIC_mg_m2_d_SD</t>
  </si>
  <si>
    <t>PS4_PIC_mg_m2_d_SD</t>
  </si>
  <si>
    <t>QL1_POC_mg_m2_d</t>
  </si>
  <si>
    <t>QL2_POC_mg_m2_d</t>
  </si>
  <si>
    <t>PS2_POC_mg_m2_d</t>
  </si>
  <si>
    <t>PS3_POC_mg_m2_d</t>
  </si>
  <si>
    <t>PS4_POC_mg_m2_d</t>
  </si>
  <si>
    <t>QL1_POC_mg_m2_d_SD</t>
  </si>
  <si>
    <t>QL2_POC_mg_m2_d_SD</t>
  </si>
  <si>
    <t>PS2_POC_mg_m2_d_SD</t>
  </si>
  <si>
    <t>PS3_POC_mg_m2_d_SD</t>
  </si>
  <si>
    <t>PS4_POC_mg_m2_d_SD</t>
  </si>
  <si>
    <t>Depth_flux</t>
  </si>
  <si>
    <t>PS3_mmolO2_m3_d</t>
  </si>
  <si>
    <t>PS4_mmolO2_m3_d</t>
  </si>
  <si>
    <t>PS2_mmolO2_m3_d</t>
  </si>
  <si>
    <t>PS3_mmolO2_m3_d_SD</t>
  </si>
  <si>
    <t>PS4_mmolO2_m3_d_SD</t>
  </si>
  <si>
    <t>PS2_mmolO2_m3_d_SD</t>
  </si>
  <si>
    <t>PS3_resp_depth</t>
  </si>
  <si>
    <t>PS4_resp_depth</t>
  </si>
  <si>
    <t>PS2_resp_depth</t>
  </si>
  <si>
    <t>QL1_BP_depth</t>
  </si>
  <si>
    <t>QL1_BP_mg_C_m3_d</t>
  </si>
  <si>
    <t>QL1_BP_mg_C_m3_d_SD</t>
  </si>
  <si>
    <t>QL2_BP_depth</t>
  </si>
  <si>
    <t>QL2_BP_mg_C_m3_d</t>
  </si>
  <si>
    <t>QL2_BP_mg_C_m3_d_SD</t>
  </si>
  <si>
    <t>PS1_BP_depth</t>
  </si>
  <si>
    <t>PS1_BP_mg_C_m3_d</t>
  </si>
  <si>
    <t>PS1_BP_mg_C_m3_d_SD</t>
  </si>
  <si>
    <t>PS2_BP_depth</t>
  </si>
  <si>
    <t>PS2_BP_mg_C_m3_d</t>
  </si>
  <si>
    <t>PS2_BP_mg_C_m3_d_SD</t>
  </si>
  <si>
    <t>PS3_BP_depth</t>
  </si>
  <si>
    <t>PS3_BP_mg_C_m3_d</t>
  </si>
  <si>
    <t>PS3_BP_mg_C_m3_d_SD</t>
  </si>
  <si>
    <t>PS4_BP_depth</t>
  </si>
  <si>
    <t>PS4_BP_mg_C_m3_d</t>
  </si>
  <si>
    <t>PS4_BP_mg_C_m3_d_SD</t>
  </si>
  <si>
    <t>∆ POC</t>
  </si>
  <si>
    <t>±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</si>
</sst>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3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5" fontId="0" fillId="0" borderId="0" xfId="0" applyNumberFormat="1"/>
    <xf numFmtId="15" fontId="3" fillId="0" borderId="0" xfId="0" applyNumberFormat="1" applyFont="1"/>
    <xf numFmtId="4" fontId="0" fillId="0" borderId="0" xfId="0" applyNumberFormat="1"/>
    <xf numFmtId="4" fontId="3" fillId="0" borderId="0" xfId="0" applyNumberFormat="1" applyFont="1"/>
    <xf numFmtId="0" fontId="0" fillId="0" borderId="0" xfId="0" applyBorder="1"/>
    <xf numFmtId="0" fontId="0" fillId="0" borderId="0" xfId="0" applyNumberFormat="1"/>
    <xf numFmtId="0" fontId="4" fillId="0" borderId="0" xfId="0" applyFont="1"/>
    <xf numFmtId="0" fontId="5" fillId="0" borderId="0" xfId="0" applyFont="1"/>
    <xf numFmtId="22" fontId="0" fillId="0" borderId="0" xfId="0" applyNumberForma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ill="1"/>
  </cellXfs>
  <cellStyles count="10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J1" workbookViewId="0">
      <selection activeCell="T28" sqref="T28"/>
    </sheetView>
  </sheetViews>
  <sheetFormatPr baseColWidth="10" defaultRowHeight="15" x14ac:dyDescent="0"/>
  <cols>
    <col min="1" max="1" width="6.83203125" customWidth="1"/>
    <col min="2" max="2" width="1.83203125" customWidth="1"/>
    <col min="3" max="3" width="5.1640625" customWidth="1"/>
    <col min="4" max="4" width="3.6640625" customWidth="1"/>
    <col min="5" max="5" width="14.5" customWidth="1"/>
    <col min="6" max="6" width="15.33203125" customWidth="1"/>
    <col min="7" max="7" width="19" customWidth="1"/>
    <col min="8" max="8" width="14.83203125" bestFit="1" customWidth="1"/>
    <col min="9" max="9" width="24" bestFit="1" customWidth="1"/>
    <col min="11" max="12" width="18.83203125" customWidth="1"/>
    <col min="14" max="15" width="18.33203125" customWidth="1"/>
    <col min="18" max="18" width="16.83203125" customWidth="1"/>
    <col min="19" max="19" width="10.33203125" customWidth="1"/>
    <col min="20" max="20" width="16.83203125" customWidth="1"/>
  </cols>
  <sheetData>
    <row r="1" spans="1:21">
      <c r="A1" s="8" t="s">
        <v>28</v>
      </c>
    </row>
    <row r="2" spans="1:21">
      <c r="A2" s="9" t="s">
        <v>151</v>
      </c>
    </row>
    <row r="3" spans="1:21">
      <c r="N3" s="11"/>
      <c r="O3" s="11"/>
      <c r="P3" s="11"/>
      <c r="Q3" s="11"/>
      <c r="R3" s="11"/>
      <c r="S3" s="11"/>
      <c r="T3" s="11"/>
    </row>
    <row r="4" spans="1:21">
      <c r="A4" s="11" t="s">
        <v>6</v>
      </c>
      <c r="B4" s="11"/>
      <c r="C4" s="11" t="s">
        <v>57</v>
      </c>
      <c r="D4" s="11"/>
      <c r="E4" s="11" t="s">
        <v>58</v>
      </c>
      <c r="F4" s="11" t="s">
        <v>59</v>
      </c>
      <c r="G4" s="11" t="s">
        <v>60</v>
      </c>
      <c r="H4" s="11" t="s">
        <v>61</v>
      </c>
      <c r="I4" s="11" t="s">
        <v>62</v>
      </c>
      <c r="J4" s="11" t="s">
        <v>9</v>
      </c>
      <c r="K4" s="11" t="s">
        <v>56</v>
      </c>
      <c r="L4" s="11" t="s">
        <v>142</v>
      </c>
      <c r="M4" s="11" t="s">
        <v>63</v>
      </c>
      <c r="N4" s="11" t="s">
        <v>122</v>
      </c>
      <c r="O4" s="11" t="s">
        <v>153</v>
      </c>
      <c r="P4" s="11" t="s">
        <v>63</v>
      </c>
      <c r="Q4" s="11" t="s">
        <v>123</v>
      </c>
      <c r="R4" s="11" t="s">
        <v>124</v>
      </c>
      <c r="S4" s="11" t="s">
        <v>202</v>
      </c>
      <c r="T4" s="11" t="s">
        <v>203</v>
      </c>
      <c r="U4" s="11" t="s">
        <v>35</v>
      </c>
    </row>
    <row r="5" spans="1:21">
      <c r="A5" t="s">
        <v>0</v>
      </c>
      <c r="B5">
        <v>1</v>
      </c>
      <c r="C5" t="s">
        <v>1</v>
      </c>
      <c r="D5">
        <v>1</v>
      </c>
      <c r="E5">
        <v>38.879833333333302</v>
      </c>
      <c r="F5">
        <v>-69.105333333333306</v>
      </c>
      <c r="G5" s="10">
        <v>41023.697916666664</v>
      </c>
      <c r="H5" s="10">
        <v>41026.71875</v>
      </c>
      <c r="I5">
        <f>H5-G5</f>
        <v>3.0208333333357587</v>
      </c>
    </row>
    <row r="6" spans="1:21">
      <c r="G6" s="10"/>
      <c r="H6" s="10"/>
      <c r="J6">
        <v>50</v>
      </c>
      <c r="K6">
        <f>AVERAGE('Master data'!V10:V11,'Master data'!V13)</f>
        <v>2.8880633877666226</v>
      </c>
      <c r="L6">
        <f>STDEV('Master data'!V10:V11,'Master data'!V13)</f>
        <v>1.6002207522680274</v>
      </c>
      <c r="M6">
        <f>CONFIDENCE(0.05,STDEV('Master data'!V10:V11,'Master data'!V13),3)</f>
        <v>1.8107869746391392</v>
      </c>
      <c r="N6">
        <f>AVERAGE('Master data'!AN10:AN11,'Master data'!AN13)</f>
        <v>47.912439542202236</v>
      </c>
      <c r="O6">
        <f>STDEV('Master data'!AN10:AN11,'Master data'!AN13)</f>
        <v>14.914479194886988</v>
      </c>
      <c r="P6">
        <f>CONFIDENCE(0.05,STDEV('Master data'!AN10:AN11,'Master data'!AN13),3)</f>
        <v>16.877011888109983</v>
      </c>
      <c r="Q6">
        <f>N6/K6</f>
        <v>16.589815772448663</v>
      </c>
      <c r="R6">
        <f>K6/N6</f>
        <v>6.0277944837744249E-2</v>
      </c>
    </row>
    <row r="7" spans="1:21">
      <c r="G7" s="10"/>
      <c r="H7" s="10"/>
      <c r="J7">
        <v>150</v>
      </c>
      <c r="K7">
        <f>AVERAGE('Master data'!V14:V15,'Master data'!V17)</f>
        <v>2.1128614661252443</v>
      </c>
      <c r="L7">
        <f>STDEV('Master data'!V14:V15,'Master data'!V17)</f>
        <v>0.94686697743134485</v>
      </c>
      <c r="M7">
        <f>CONFIDENCE(0.05,STDEV('Master data'!V14:V15,'Master data'!V17),3)</f>
        <v>1.0714611637291342</v>
      </c>
      <c r="N7">
        <f>AVERAGE('Master data'!AN14:AN15,'Master data'!AN17)</f>
        <v>40.730029586193716</v>
      </c>
      <c r="O7">
        <f>STDEV('Master data'!AN14:AN15,'Master data'!AN17)</f>
        <v>7.0174896811383674</v>
      </c>
      <c r="P7">
        <f>CONFIDENCE(0.05,STDEV('Master data'!AN14:AN15,'Master data'!AN17),3)</f>
        <v>7.940891212202918</v>
      </c>
      <c r="Q7">
        <f>N7/K7</f>
        <v>19.2771888925061</v>
      </c>
      <c r="R7">
        <f>K7/N7</f>
        <v>5.1874783485093327E-2</v>
      </c>
      <c r="S7">
        <f>N6-N7</f>
        <v>7.1824099560085202</v>
      </c>
      <c r="T7">
        <f>SQRT(SUM(O6^2+O7^2))</f>
        <v>16.482926047264797</v>
      </c>
    </row>
    <row r="8" spans="1:21">
      <c r="G8" s="10"/>
      <c r="H8" s="10"/>
      <c r="J8">
        <v>300</v>
      </c>
      <c r="K8">
        <f>AVERAGE('Master data'!V6:V8)</f>
        <v>1.1557438499416284</v>
      </c>
      <c r="L8">
        <f>STDEV('Master data'!V6:V8)</f>
        <v>0.18131891745559153</v>
      </c>
      <c r="M8">
        <f>CONFIDENCE(0.05,STDEV('Master data'!V6:V8),3)</f>
        <v>0.20517790031088229</v>
      </c>
      <c r="N8">
        <f>AVERAGE('Master data'!AN7:AN8)</f>
        <v>24.069005664467124</v>
      </c>
      <c r="O8">
        <f>STDEV('Master data'!AN7:AN8)</f>
        <v>11.707491501028573</v>
      </c>
      <c r="P8">
        <f>CONFIDENCE(0.05,STDEV('Master data'!AN7:AN8),3)</f>
        <v>13.248030364381956</v>
      </c>
      <c r="Q8">
        <f>N8/K8</f>
        <v>20.825553746777665</v>
      </c>
      <c r="R8">
        <f>K8/N8</f>
        <v>4.8017930863169953E-2</v>
      </c>
      <c r="S8">
        <f>N7-N8</f>
        <v>16.661023921726592</v>
      </c>
      <c r="T8">
        <f>SQRT(SUM(O7^2+O8^2))</f>
        <v>13.649561116443991</v>
      </c>
    </row>
    <row r="9" spans="1:21">
      <c r="A9" t="s">
        <v>0</v>
      </c>
      <c r="B9">
        <v>1</v>
      </c>
      <c r="C9" t="s">
        <v>1</v>
      </c>
      <c r="D9">
        <v>2</v>
      </c>
      <c r="E9">
        <v>32.950666666666599</v>
      </c>
      <c r="F9">
        <v>-65.749666666666599</v>
      </c>
      <c r="G9" s="10">
        <v>41029.795138888891</v>
      </c>
      <c r="H9" s="10">
        <v>41032.604166666664</v>
      </c>
      <c r="I9">
        <f>H9-G9</f>
        <v>2.8090277777737356</v>
      </c>
    </row>
    <row r="10" spans="1:21">
      <c r="G10" s="10"/>
      <c r="H10" s="10"/>
      <c r="J10">
        <v>50</v>
      </c>
      <c r="K10">
        <f>AVERAGE('Master data'!V28:V30)</f>
        <v>3.8457166866279935</v>
      </c>
      <c r="L10">
        <f>STDEV('Master data'!V28:V30)</f>
        <v>1.1371850727443591</v>
      </c>
      <c r="M10">
        <f>CONFIDENCE(0.05,STDEV('Master data'!V28:V30),3)</f>
        <v>1.28682240532189</v>
      </c>
      <c r="N10">
        <f>AVERAGE('Master data'!AN29:AN30,'Master data'!AN23)</f>
        <v>51.759334107904124</v>
      </c>
      <c r="O10">
        <f>STDEV('Master data'!AN29:AN30,'Master data'!AN23)</f>
        <v>4.3028840842610823</v>
      </c>
      <c r="P10">
        <f>CONFIDENCE(0.05,STDEV('Master data'!AN29:AN30,'Master data'!AN23),3)</f>
        <v>4.8690822451332512</v>
      </c>
      <c r="Q10">
        <f>N10/K10</f>
        <v>13.458956632941106</v>
      </c>
      <c r="R10">
        <f>K10/N10</f>
        <v>7.4299964497431925E-2</v>
      </c>
    </row>
    <row r="11" spans="1:21">
      <c r="G11" s="10"/>
      <c r="H11" s="10"/>
      <c r="J11">
        <v>150</v>
      </c>
      <c r="K11">
        <f>AVERAGE('Master data'!V25:V27)</f>
        <v>8.5991335045582691</v>
      </c>
      <c r="L11">
        <f>STDEV('Master data'!V25:V27)</f>
        <v>0.45218642414576293</v>
      </c>
      <c r="M11">
        <f>CONFIDENCE(0.05,STDEV('Master data'!V25:V27),3)</f>
        <v>0.51168770670626218</v>
      </c>
      <c r="N11">
        <f>AVERAGE('Master data'!AN25:AN27)</f>
        <v>25.164236106568353</v>
      </c>
      <c r="O11">
        <f>STDEV('Master data'!AN25:AN27)</f>
        <v>2.2241808028158716</v>
      </c>
      <c r="P11">
        <f>CONFIDENCE(0.05,STDEV('Master data'!AN25:AN27),3)</f>
        <v>2.5168512664725267</v>
      </c>
      <c r="Q11">
        <f>N11/K11</f>
        <v>2.9263688130006562</v>
      </c>
      <c r="R11">
        <f>K11/N11</f>
        <v>0.34172042688447551</v>
      </c>
      <c r="S11">
        <f>N10-N11</f>
        <v>26.595098001335771</v>
      </c>
      <c r="T11">
        <f>SQRT(SUM(O10^2+O11^2))</f>
        <v>4.8437373675914746</v>
      </c>
    </row>
    <row r="12" spans="1:21">
      <c r="G12" s="10"/>
      <c r="H12" s="10"/>
      <c r="J12">
        <v>300</v>
      </c>
      <c r="K12">
        <f>AVERAGE('Master data'!V20,'Master data'!V22:V23)</f>
        <v>3.2637140318850535</v>
      </c>
      <c r="L12">
        <f>STDEV('Master data'!V20,'Master data'!V22:V23)</f>
        <v>0.34720763636265439</v>
      </c>
      <c r="M12">
        <f>CONFIDENCE(0.05,STDEV('Master data'!V20,'Master data'!V22:V23),3)</f>
        <v>0.39289520807028672</v>
      </c>
      <c r="N12">
        <f>AVERAGE('Master data'!AN28,'Master data'!AN22)</f>
        <v>14.086096756363808</v>
      </c>
      <c r="O12">
        <f>STDEV('Master data'!AN28,'Master data'!AN22)</f>
        <v>3.4878057912340403</v>
      </c>
      <c r="P12">
        <f>CONFIDENCE(0.05,STDEV('Master data'!AN28,'Master data'!AN22),2)</f>
        <v>4.8337633846602097</v>
      </c>
      <c r="Q12">
        <f>N12/K12</f>
        <v>4.3159715032471677</v>
      </c>
      <c r="R12">
        <f>K12/N12</f>
        <v>0.23169754463106146</v>
      </c>
      <c r="S12">
        <f>N11-N12</f>
        <v>11.078139350204545</v>
      </c>
      <c r="T12">
        <f>SQRT(SUM(O11^2+O12^2))</f>
        <v>4.1366374606654093</v>
      </c>
    </row>
    <row r="13" spans="1:21">
      <c r="A13" t="s">
        <v>0</v>
      </c>
      <c r="B13">
        <v>3</v>
      </c>
      <c r="C13" t="s">
        <v>17</v>
      </c>
      <c r="D13">
        <v>1</v>
      </c>
      <c r="E13">
        <v>43.032936111111098</v>
      </c>
      <c r="F13">
        <v>-27.258830555555502</v>
      </c>
      <c r="G13" s="10">
        <v>41077.681250000001</v>
      </c>
      <c r="H13" s="10">
        <v>41081.4375</v>
      </c>
      <c r="I13">
        <f>H13-G13</f>
        <v>3.7562499999985448</v>
      </c>
    </row>
    <row r="14" spans="1:21">
      <c r="A14" t="s">
        <v>64</v>
      </c>
      <c r="G14" s="10"/>
      <c r="H14" s="10"/>
      <c r="J14">
        <v>50</v>
      </c>
      <c r="K14">
        <f>AVERAGE('Master data'!V33,'Master data'!V38)</f>
        <v>20.638816701609251</v>
      </c>
      <c r="L14">
        <f>STDEV('Master data'!V33,'Master data'!V38)</f>
        <v>0.60215959441362699</v>
      </c>
      <c r="M14">
        <f>CONFIDENCE(0.05,STDEV('Master data'!V33,'Master data'!V38),2)</f>
        <v>0.83453528476669625</v>
      </c>
    </row>
    <row r="15" spans="1:21">
      <c r="G15" s="10"/>
      <c r="H15" s="10"/>
      <c r="J15">
        <v>150</v>
      </c>
      <c r="K15">
        <f>AVERAGE('Master data'!V39,'Master data'!V37)</f>
        <v>5.0429368407577826</v>
      </c>
      <c r="L15">
        <f>STDEV('Master data'!V39,'Master data'!V37)</f>
        <v>0.87934839543932952</v>
      </c>
      <c r="M15">
        <f>CONFIDENCE(0.05,STDEV('Master data'!V39,'Master data'!V37),2)</f>
        <v>1.2186923041751192</v>
      </c>
    </row>
    <row r="16" spans="1:21">
      <c r="G16" s="10"/>
      <c r="H16" s="10"/>
      <c r="J16">
        <v>300</v>
      </c>
      <c r="K16">
        <f>AVERAGE('Master data'!V34:V35)</f>
        <v>2.6736510408901277</v>
      </c>
      <c r="L16">
        <f>STDEV('Master data'!V34:V35)</f>
        <v>0.479929716486939</v>
      </c>
      <c r="M16">
        <f>CONFIDENCE(0.05,STDEV('Master data'!V34:V35),2)</f>
        <v>0.6651364294983052</v>
      </c>
    </row>
    <row r="17" spans="1:21">
      <c r="A17" t="s">
        <v>0</v>
      </c>
      <c r="B17">
        <v>3</v>
      </c>
      <c r="C17" t="s">
        <v>17</v>
      </c>
      <c r="D17">
        <v>2</v>
      </c>
      <c r="E17">
        <v>53.495288888888801</v>
      </c>
      <c r="F17">
        <v>-30.7507194444444</v>
      </c>
      <c r="G17" s="10">
        <v>41083.65625</v>
      </c>
      <c r="H17" s="10">
        <v>41087.5</v>
      </c>
      <c r="I17">
        <f>H17-G17</f>
        <v>3.84375</v>
      </c>
    </row>
    <row r="18" spans="1:21">
      <c r="G18" s="10"/>
      <c r="H18" s="10"/>
      <c r="J18">
        <v>50</v>
      </c>
      <c r="K18" s="4">
        <f>AVERAGE('Master data'!V50:V52)</f>
        <v>7.3820206908297727</v>
      </c>
      <c r="L18">
        <f>STDEV('Master data'!V50:V52)</f>
        <v>0.28209618260593994</v>
      </c>
      <c r="M18">
        <f>CONFIDENCE(0.05,STDEV('Master data'!V50:V52),3)</f>
        <v>0.31921601587422826</v>
      </c>
      <c r="N18">
        <f>AVERAGE('Master data'!AN50:AN52)</f>
        <v>58.610495255732751</v>
      </c>
      <c r="O18">
        <f>STDEV('Master data'!AN50:AN52)</f>
        <v>13.78343558719069</v>
      </c>
      <c r="P18">
        <f>CONFIDENCE(0.05,STDEV('Master data'!AN50:AN52),3)</f>
        <v>15.597139077022803</v>
      </c>
      <c r="Q18">
        <f>N18/K18</f>
        <v>7.9396276047479706</v>
      </c>
      <c r="R18">
        <f>K18/N18</f>
        <v>0.12595049160769087</v>
      </c>
    </row>
    <row r="19" spans="1:21">
      <c r="G19" s="10"/>
      <c r="H19" s="10"/>
      <c r="J19">
        <v>150</v>
      </c>
      <c r="K19" s="4">
        <f>AVERAGE('Master data'!V46:V48)</f>
        <v>6.1603478152703275</v>
      </c>
      <c r="L19">
        <f>STDEV('Master data'!V46:V48)</f>
        <v>0.72800082912330966</v>
      </c>
      <c r="M19">
        <f>CONFIDENCE(0.05,STDEV('Master data'!V46:V48),3)</f>
        <v>0.82379535263156189</v>
      </c>
      <c r="N19">
        <f>AVERAGE('Master data'!AN46:AN48)</f>
        <v>16.578006207428274</v>
      </c>
      <c r="O19">
        <f>STDEV('Master data'!AN46:AN48)</f>
        <v>7.6856421787899487</v>
      </c>
      <c r="P19">
        <f>CONFIDENCE(0.05,STDEV('Master data'!AN46:AN48),3)</f>
        <v>8.6969630467328116</v>
      </c>
      <c r="Q19">
        <f>N19/K19</f>
        <v>2.6910828259298212</v>
      </c>
      <c r="R19">
        <f>K19/N19</f>
        <v>0.37159762990738887</v>
      </c>
      <c r="S19">
        <f>N18-N19</f>
        <v>42.032489048304477</v>
      </c>
      <c r="T19">
        <f>SQRT(SUM(O18^2+O19^2))</f>
        <v>15.781387527293976</v>
      </c>
    </row>
    <row r="20" spans="1:21">
      <c r="G20" s="10"/>
      <c r="H20" s="10"/>
      <c r="J20">
        <v>300</v>
      </c>
      <c r="K20" s="4">
        <f>AVERAGE('Master data'!V43:V45)</f>
        <v>2.9328148304742103</v>
      </c>
      <c r="L20">
        <f>STDEV('Master data'!V43:V45)</f>
        <v>0.91225549311345577</v>
      </c>
      <c r="M20">
        <f>CONFIDENCE(0.05,STDEV('Master data'!V43:V45),3)</f>
        <v>1.0322953018398096</v>
      </c>
      <c r="N20">
        <f>AVERAGE('Master data'!AN43)</f>
        <v>9.6331816089857867</v>
      </c>
      <c r="Q20">
        <f>N20/K20</f>
        <v>3.2846197819547256</v>
      </c>
      <c r="R20">
        <f>K20/N20</f>
        <v>0.304449241124915</v>
      </c>
      <c r="S20">
        <f>N19-N20</f>
        <v>6.9448245984424872</v>
      </c>
      <c r="T20">
        <f>SQRT(SUM(O19^2+O20^2))</f>
        <v>7.6856421787899487</v>
      </c>
      <c r="U20" t="s">
        <v>141</v>
      </c>
    </row>
    <row r="21" spans="1:21">
      <c r="A21" t="s">
        <v>0</v>
      </c>
      <c r="B21">
        <v>3</v>
      </c>
      <c r="C21" t="s">
        <v>17</v>
      </c>
      <c r="D21">
        <v>3</v>
      </c>
      <c r="E21">
        <v>61.619228</v>
      </c>
      <c r="F21">
        <v>-34.102677999999997</v>
      </c>
      <c r="G21" s="10">
        <v>41091.652777777781</v>
      </c>
      <c r="H21" s="10">
        <v>41095.5</v>
      </c>
      <c r="I21">
        <f>H21-G21</f>
        <v>3.8472222222189885</v>
      </c>
    </row>
    <row r="22" spans="1:21">
      <c r="G22" s="10"/>
      <c r="H22" s="10"/>
      <c r="J22">
        <v>50</v>
      </c>
      <c r="K22" s="4">
        <f>AVERAGE('Master data'!V65:V66)</f>
        <v>108.79864139200589</v>
      </c>
      <c r="L22">
        <f>STDEV('Master data'!V65:V66)</f>
        <v>16.26039435053562</v>
      </c>
      <c r="M22">
        <f>CONFIDENCE(0.05,STDEV('Master data'!V65:V66),2)</f>
        <v>22.535342715841203</v>
      </c>
      <c r="N22">
        <f>AVERAGE('Master data'!AN66)</f>
        <v>249.14236450167061</v>
      </c>
      <c r="Q22">
        <f>N22/K22</f>
        <v>2.2899400333870039</v>
      </c>
      <c r="R22">
        <f>K22/N22</f>
        <v>0.43669265806970514</v>
      </c>
      <c r="U22" t="s">
        <v>141</v>
      </c>
    </row>
    <row r="23" spans="1:21">
      <c r="G23" s="10"/>
      <c r="H23" s="10"/>
      <c r="J23">
        <v>150</v>
      </c>
      <c r="K23">
        <f>AVERAGE('Master data'!V61:V62,'Master data'!V64)</f>
        <v>81.780460203192263</v>
      </c>
      <c r="L23">
        <f>STDEV('Master data'!V61:V62,'Master data'!V64)</f>
        <v>12.672357265057036</v>
      </c>
      <c r="M23">
        <f>CONFIDENCE(0.05,STDEV('Master data'!V61:V62,'Master data'!V64),3)</f>
        <v>14.339858698255071</v>
      </c>
      <c r="N23">
        <f>AVERAGE('Master data'!AN61:AN62,'Master data'!AN64)</f>
        <v>208.25045984489239</v>
      </c>
      <c r="O23">
        <f>STDEV('Master data'!AN61:AN62,'Master data'!AN64)</f>
        <v>22.815759157631412</v>
      </c>
      <c r="P23">
        <f>CONFIDENCE(0.05,STDEV('Master data'!AN61:AN62,'Master data'!AN64),3)</f>
        <v>25.817987574893476</v>
      </c>
      <c r="Q23">
        <f>N23/K23</f>
        <v>2.5464574218275606</v>
      </c>
      <c r="R23">
        <f>K23/N23</f>
        <v>0.39270242315000597</v>
      </c>
      <c r="S23">
        <f>N22-N23</f>
        <v>40.891904656778223</v>
      </c>
      <c r="T23">
        <f>SQRT(SUM(O22^2+O23^2))</f>
        <v>22.815759157631412</v>
      </c>
    </row>
    <row r="24" spans="1:21">
      <c r="G24" s="10"/>
      <c r="H24" s="10"/>
      <c r="J24">
        <v>300</v>
      </c>
      <c r="K24">
        <f>AVERAGE('Master data'!V58:V60)</f>
        <v>75.078767295218469</v>
      </c>
      <c r="L24">
        <f>STDEV('Master data'!V58:V60)</f>
        <v>14.328478471632147</v>
      </c>
      <c r="M24">
        <f>CONFIDENCE(0.05,STDEV('Master data'!V58:V60),3)</f>
        <v>16.213901829516484</v>
      </c>
      <c r="N24">
        <f>AVERAGE('Master data'!AN58:AN59)</f>
        <v>131.47458163907368</v>
      </c>
      <c r="O24">
        <f>STDEV('Master data'!AN58:AN59)</f>
        <v>4.7315003821554331</v>
      </c>
      <c r="P24">
        <f>CONFIDENCE(0.05,STDEV('Master data'!AN58:AN59),2)</f>
        <v>6.5574044745411753</v>
      </c>
      <c r="Q24">
        <f>N24/K24</f>
        <v>1.7511553049625908</v>
      </c>
      <c r="R24">
        <f>K24/N24</f>
        <v>0.57105157787325023</v>
      </c>
      <c r="S24">
        <f>N23-N24</f>
        <v>76.775878205818714</v>
      </c>
      <c r="T24">
        <f>SQRT(SUM(O23^2+O24^2))</f>
        <v>23.301200866165217</v>
      </c>
    </row>
    <row r="25" spans="1:21">
      <c r="A25" t="s">
        <v>0</v>
      </c>
      <c r="B25">
        <v>3</v>
      </c>
      <c r="C25" t="s">
        <v>17</v>
      </c>
      <c r="D25">
        <v>4</v>
      </c>
      <c r="E25">
        <v>61.694541666666602</v>
      </c>
      <c r="F25">
        <v>-33.772705555555497</v>
      </c>
      <c r="G25" s="10">
        <v>41097.645138888889</v>
      </c>
      <c r="H25" s="10">
        <v>41101.541666666664</v>
      </c>
      <c r="I25">
        <f>H25-G25</f>
        <v>3.8965277777751908</v>
      </c>
    </row>
    <row r="26" spans="1:21">
      <c r="J26">
        <v>50</v>
      </c>
      <c r="K26">
        <f>AVERAGE('Master data'!V78,'Master data'!V81)</f>
        <v>42.011397362305686</v>
      </c>
      <c r="L26">
        <f>STDEV('Master data'!V78,'Master data'!V81)</f>
        <v>6.1150331905375923</v>
      </c>
      <c r="M26">
        <f>CONFIDENCE(0.05,STDEV('Master data'!V78,'Master data'!V81),2)</f>
        <v>8.4748478847912594</v>
      </c>
      <c r="N26">
        <f>AVERAGE('Master data'!AN78,'Master data'!AN81)</f>
        <v>179.25308602100569</v>
      </c>
      <c r="O26">
        <f>STDEV('Master data'!AN78,'Master data'!AN81)</f>
        <v>3.93792934281297</v>
      </c>
      <c r="P26">
        <f>CONFIDENCE(0.05,STDEV('Master data'!AN78,'Master data'!AN81),2)</f>
        <v>5.4575913362233068</v>
      </c>
      <c r="Q26">
        <f>N26/K26</f>
        <v>4.2667727634748651</v>
      </c>
      <c r="R26">
        <f>K26/N26</f>
        <v>0.23436917207318039</v>
      </c>
    </row>
    <row r="27" spans="1:21">
      <c r="J27">
        <v>150</v>
      </c>
      <c r="K27">
        <f>AVERAGE('Master data'!V76:V77,'Master data'!V74)</f>
        <v>62.158497886304268</v>
      </c>
      <c r="L27">
        <f>STDEV('Master data'!V76:V77,'Master data'!V74)</f>
        <v>5.7401017348733392</v>
      </c>
      <c r="M27">
        <f>CONFIDENCE(0.05,STDEV('Master data'!V76:V77,'Master data'!V74),3)</f>
        <v>6.4954172353285538</v>
      </c>
      <c r="N27">
        <f>AVERAGE('Master data'!AN74,'Master data'!AN76:AN77)</f>
        <v>157.50548299968236</v>
      </c>
      <c r="O27">
        <f>STDEV('Master data'!AN74,'Master data'!AN76:AN77)</f>
        <v>14.752215285361133</v>
      </c>
      <c r="P27">
        <f>CONFIDENCE(0.05,STDEV('Master data'!AN74,'Master data'!AN76:AN77),3)</f>
        <v>16.693396362935097</v>
      </c>
      <c r="Q27">
        <f>N27/K27</f>
        <v>2.5339332248308146</v>
      </c>
      <c r="R27">
        <f>K27/N27</f>
        <v>0.39464339083630268</v>
      </c>
      <c r="S27">
        <f>N26-N27</f>
        <v>21.747603021323329</v>
      </c>
      <c r="T27">
        <f>SQRT(SUM(O26^2+O27^2))</f>
        <v>15.268763647873723</v>
      </c>
    </row>
    <row r="28" spans="1:21">
      <c r="J28">
        <v>300</v>
      </c>
      <c r="K28">
        <f>AVERAGE('Master data'!V71:V73)</f>
        <v>48.110588231414376</v>
      </c>
      <c r="L28">
        <f>STDEV('Master data'!V71:V73)</f>
        <v>8.2806585679456894</v>
      </c>
      <c r="M28">
        <f>CONFIDENCE(0.05,STDEV('Master data'!V71:V73),3)</f>
        <v>9.3702751042429622</v>
      </c>
      <c r="N28">
        <f>AVERAGE('Master data'!AN72:AN73)</f>
        <v>101.17350597275144</v>
      </c>
      <c r="O28">
        <f>STDEV('Master data'!AN72:AN73)</f>
        <v>20.79158500770226</v>
      </c>
      <c r="P28">
        <f>CONFIDENCE(0.05,STDEV('Master data'!AN72:AN73),2)</f>
        <v>28.815137176465978</v>
      </c>
      <c r="Q28">
        <f>N28/K28</f>
        <v>2.1029363741324829</v>
      </c>
      <c r="R28">
        <f>K28/N28</f>
        <v>0.47552556144858477</v>
      </c>
      <c r="S28">
        <f>N27-N28</f>
        <v>56.331977026930915</v>
      </c>
      <c r="T28">
        <f>SQRT(SUM(O27^2+O28^2))</f>
        <v>25.4934866771525</v>
      </c>
    </row>
    <row r="30" spans="1:21">
      <c r="E30">
        <f>F5+0.5</f>
        <v>-68.605333333333306</v>
      </c>
      <c r="F30">
        <f>E5+0.5</f>
        <v>39.379833333333302</v>
      </c>
    </row>
    <row r="31" spans="1:21">
      <c r="E31">
        <f>F5-0.5</f>
        <v>-69.605333333333306</v>
      </c>
      <c r="F31">
        <f>E5-0.5</f>
        <v>38.379833333333302</v>
      </c>
    </row>
    <row r="32" spans="1:21" ht="18">
      <c r="E32" s="14" t="s">
        <v>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" sqref="I1:I1048576"/>
    </sheetView>
  </sheetViews>
  <sheetFormatPr baseColWidth="10" defaultRowHeight="15" x14ac:dyDescent="0"/>
  <cols>
    <col min="6" max="7" width="12.83203125" bestFit="1" customWidth="1"/>
  </cols>
  <sheetData>
    <row r="1" spans="1:8">
      <c r="A1" s="11" t="s">
        <v>6</v>
      </c>
      <c r="B1" s="11" t="s">
        <v>147</v>
      </c>
      <c r="C1" s="11" t="s">
        <v>57</v>
      </c>
      <c r="D1" s="11" t="s">
        <v>58</v>
      </c>
      <c r="E1" s="11" t="s">
        <v>59</v>
      </c>
      <c r="F1" s="11" t="s">
        <v>148</v>
      </c>
      <c r="G1" s="11" t="s">
        <v>149</v>
      </c>
      <c r="H1" s="11" t="s">
        <v>150</v>
      </c>
    </row>
    <row r="2" spans="1:8">
      <c r="A2">
        <v>2071</v>
      </c>
      <c r="B2" t="s">
        <v>1</v>
      </c>
      <c r="C2">
        <v>1</v>
      </c>
      <c r="D2">
        <v>38.879833333333302</v>
      </c>
      <c r="E2">
        <v>-69.105333333333306</v>
      </c>
      <c r="F2" s="10">
        <v>41023.697916666664</v>
      </c>
      <c r="G2" s="10">
        <v>41026.71875</v>
      </c>
      <c r="H2">
        <f t="shared" ref="H2:H7" si="0">G2-F2</f>
        <v>3.0208333333357587</v>
      </c>
    </row>
    <row r="3" spans="1:8">
      <c r="A3">
        <v>2071</v>
      </c>
      <c r="B3" t="s">
        <v>1</v>
      </c>
      <c r="C3">
        <v>2</v>
      </c>
      <c r="D3">
        <v>32.950666666666599</v>
      </c>
      <c r="E3">
        <v>-65.749666666666599</v>
      </c>
      <c r="F3" s="10">
        <v>41029.795138888891</v>
      </c>
      <c r="G3" s="10">
        <v>41032.604166666664</v>
      </c>
      <c r="H3">
        <f t="shared" si="0"/>
        <v>2.8090277777737356</v>
      </c>
    </row>
    <row r="4" spans="1:8">
      <c r="A4">
        <v>2073</v>
      </c>
      <c r="B4" t="s">
        <v>17</v>
      </c>
      <c r="C4">
        <v>1</v>
      </c>
      <c r="D4">
        <v>43.032936111111098</v>
      </c>
      <c r="E4">
        <v>-27.258830555555502</v>
      </c>
      <c r="F4" s="10">
        <v>41077.681250000001</v>
      </c>
      <c r="G4" s="10">
        <v>41081.4375</v>
      </c>
      <c r="H4">
        <f t="shared" si="0"/>
        <v>3.7562499999985448</v>
      </c>
    </row>
    <row r="5" spans="1:8">
      <c r="A5">
        <v>2073</v>
      </c>
      <c r="B5" t="s">
        <v>17</v>
      </c>
      <c r="C5">
        <v>2</v>
      </c>
      <c r="D5">
        <v>53.495288888888801</v>
      </c>
      <c r="E5">
        <v>-30.7507194444444</v>
      </c>
      <c r="F5" s="10">
        <v>41083.65625</v>
      </c>
      <c r="G5" s="10">
        <v>41087.5</v>
      </c>
      <c r="H5">
        <f t="shared" si="0"/>
        <v>3.84375</v>
      </c>
    </row>
    <row r="6" spans="1:8">
      <c r="A6">
        <v>2073</v>
      </c>
      <c r="B6" t="s">
        <v>17</v>
      </c>
      <c r="C6">
        <v>3</v>
      </c>
      <c r="D6">
        <v>61.619228</v>
      </c>
      <c r="E6">
        <v>-34.102677999999997</v>
      </c>
      <c r="F6" s="10">
        <v>41091.652777777781</v>
      </c>
      <c r="G6" s="10">
        <v>41095.5</v>
      </c>
      <c r="H6">
        <f t="shared" si="0"/>
        <v>3.8472222222189885</v>
      </c>
    </row>
    <row r="7" spans="1:8">
      <c r="A7">
        <v>2073</v>
      </c>
      <c r="B7" t="s">
        <v>17</v>
      </c>
      <c r="C7">
        <v>4</v>
      </c>
      <c r="D7">
        <v>61.694541666666602</v>
      </c>
      <c r="E7">
        <v>-33.772705555555497</v>
      </c>
      <c r="F7" s="10">
        <v>41097.645138888889</v>
      </c>
      <c r="G7" s="10">
        <v>41101.541666666664</v>
      </c>
      <c r="H7">
        <f t="shared" si="0"/>
        <v>3.8965277777751908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"/>
  <sheetViews>
    <sheetView workbookViewId="0">
      <pane xSplit="11680" ySplit="1760" topLeftCell="AI65" activePane="bottomRight"/>
      <selection activeCell="F2" sqref="F1:F1048576"/>
      <selection pane="topRight" activeCell="V6" sqref="V6"/>
      <selection pane="bottomLeft" activeCell="A6" sqref="A6:G8"/>
      <selection pane="bottomRight" activeCell="AN78" sqref="AL78:AN81"/>
    </sheetView>
  </sheetViews>
  <sheetFormatPr baseColWidth="10" defaultRowHeight="15" x14ac:dyDescent="0"/>
  <cols>
    <col min="2" max="2" width="9.1640625" customWidth="1"/>
    <col min="4" max="4" width="5.6640625" customWidth="1"/>
    <col min="7" max="8" width="28.6640625" customWidth="1"/>
    <col min="9" max="9" width="13.5" customWidth="1"/>
    <col min="12" max="12" width="21.33203125" customWidth="1"/>
    <col min="14" max="14" width="15.5" bestFit="1" customWidth="1"/>
    <col min="15" max="15" width="11.33203125" bestFit="1" customWidth="1"/>
    <col min="17" max="17" width="26.33203125" customWidth="1"/>
    <col min="18" max="20" width="16.5" customWidth="1"/>
    <col min="21" max="21" width="25.6640625" customWidth="1"/>
    <col min="22" max="22" width="26.33203125" customWidth="1"/>
    <col min="28" max="28" width="30.6640625" customWidth="1"/>
    <col min="29" max="29" width="16.6640625" customWidth="1"/>
    <col min="32" max="32" width="18.83203125" customWidth="1"/>
    <col min="34" max="34" width="19" customWidth="1"/>
    <col min="38" max="38" width="20" customWidth="1"/>
    <col min="40" max="40" width="19.5" customWidth="1"/>
  </cols>
  <sheetData>
    <row r="1" spans="1:42">
      <c r="A1" s="8" t="s">
        <v>28</v>
      </c>
    </row>
    <row r="2" spans="1:42">
      <c r="A2" s="9" t="s">
        <v>29</v>
      </c>
    </row>
    <row r="3" spans="1:42">
      <c r="A3" s="9" t="s">
        <v>30</v>
      </c>
    </row>
    <row r="4" spans="1:42">
      <c r="AE4" t="s">
        <v>113</v>
      </c>
    </row>
    <row r="5" spans="1:42">
      <c r="A5" t="s">
        <v>6</v>
      </c>
      <c r="C5" t="s">
        <v>7</v>
      </c>
      <c r="E5" t="s">
        <v>8</v>
      </c>
      <c r="F5" t="s">
        <v>9</v>
      </c>
      <c r="G5" t="s">
        <v>75</v>
      </c>
      <c r="H5" t="s">
        <v>108</v>
      </c>
      <c r="I5" t="s">
        <v>35</v>
      </c>
      <c r="J5" t="s">
        <v>13</v>
      </c>
      <c r="K5" t="s">
        <v>14</v>
      </c>
      <c r="L5" t="s">
        <v>11</v>
      </c>
      <c r="M5" t="s">
        <v>12</v>
      </c>
      <c r="N5" t="s">
        <v>3</v>
      </c>
      <c r="O5" t="s">
        <v>4</v>
      </c>
      <c r="P5" t="s">
        <v>5</v>
      </c>
      <c r="Q5" t="s">
        <v>16</v>
      </c>
      <c r="R5" t="s">
        <v>15</v>
      </c>
      <c r="S5" t="s">
        <v>76</v>
      </c>
      <c r="T5" t="s">
        <v>77</v>
      </c>
      <c r="U5" t="s">
        <v>27</v>
      </c>
      <c r="V5" t="s">
        <v>56</v>
      </c>
      <c r="W5" t="s">
        <v>107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131</v>
      </c>
      <c r="AD5" t="s">
        <v>112</v>
      </c>
      <c r="AE5" t="s">
        <v>70</v>
      </c>
      <c r="AF5" t="s">
        <v>114</v>
      </c>
      <c r="AG5" t="s">
        <v>70</v>
      </c>
      <c r="AH5" t="s">
        <v>118</v>
      </c>
      <c r="AI5" t="s">
        <v>70</v>
      </c>
      <c r="AJ5" t="s">
        <v>120</v>
      </c>
      <c r="AK5" t="s">
        <v>70</v>
      </c>
      <c r="AL5" t="s">
        <v>121</v>
      </c>
      <c r="AM5" t="s">
        <v>70</v>
      </c>
      <c r="AN5" t="s">
        <v>122</v>
      </c>
      <c r="AO5" t="s">
        <v>70</v>
      </c>
      <c r="AP5" t="s">
        <v>35</v>
      </c>
    </row>
    <row r="6" spans="1:42">
      <c r="A6" t="s">
        <v>0</v>
      </c>
      <c r="B6">
        <v>1</v>
      </c>
      <c r="C6" t="s">
        <v>1</v>
      </c>
      <c r="D6">
        <v>1</v>
      </c>
      <c r="E6">
        <v>1</v>
      </c>
      <c r="F6">
        <v>300</v>
      </c>
      <c r="G6" t="str">
        <f>CONCATENATE(A6,"-",B6,"-",C6,D6,"-",E6,"-",F6,"-","PIC")</f>
        <v>KN207-1-QL1-1-300-PIC</v>
      </c>
      <c r="H6" t="str">
        <f>CONCATENATE(A6,"-",B6,"-",C6,D6,"-",E6,"-",F6,"-","POC")</f>
        <v>KN207-1-QL1-1-300-POC</v>
      </c>
      <c r="I6" t="s">
        <v>39</v>
      </c>
      <c r="J6">
        <v>8</v>
      </c>
      <c r="K6">
        <v>25</v>
      </c>
      <c r="L6" s="2">
        <v>41274</v>
      </c>
      <c r="M6" s="2">
        <v>41274</v>
      </c>
      <c r="N6">
        <v>371</v>
      </c>
      <c r="O6">
        <v>178.1</v>
      </c>
      <c r="P6">
        <v>193.4</v>
      </c>
      <c r="Q6" s="4">
        <v>44.71</v>
      </c>
      <c r="R6" s="2">
        <v>41326</v>
      </c>
      <c r="S6" s="7">
        <f>Q6-((SUM($Q$88:$Q$90))/3)</f>
        <v>40.763333333333335</v>
      </c>
      <c r="T6" s="7">
        <f>S6-$S$18</f>
        <v>23.55</v>
      </c>
      <c r="U6">
        <f>(N6*T6)/O6</f>
        <v>49.056990454800683</v>
      </c>
      <c r="V6">
        <f>(U6/1000)*(1/Constants!$B$1)*(1/Constants!$I$4)</f>
        <v>1.3023963341975655</v>
      </c>
      <c r="W6" s="2">
        <v>41537</v>
      </c>
      <c r="X6">
        <v>-2</v>
      </c>
      <c r="Y6">
        <v>-0.25</v>
      </c>
      <c r="Z6">
        <v>83.38</v>
      </c>
      <c r="AA6">
        <v>25</v>
      </c>
      <c r="AB6" t="s">
        <v>72</v>
      </c>
      <c r="AC6" t="s">
        <v>132</v>
      </c>
      <c r="AD6">
        <f>((Z6-X6)*(Constants!$C$19/1000)*10^6)/(62.364*(273.15+AA6))</f>
        <v>138.53601280760574</v>
      </c>
      <c r="AE6">
        <f>AD6-((Z6-X6)*((Constants!$C$19-Constants!$E$19)/1000)*10^6)/(62.364*(273.15+AA6))</f>
        <v>0.4132661966418425</v>
      </c>
      <c r="AF6">
        <f>AD6-J6*Constants!$C$31</f>
        <v>136.56644153782383</v>
      </c>
      <c r="AG6">
        <f>SQRT(AE6^2+(Constants!$D$31*J6)^2)</f>
        <v>0.41331793856078158</v>
      </c>
      <c r="AH6">
        <f>AF6-$AF$19</f>
        <v>113.92609021462354</v>
      </c>
      <c r="AI6">
        <f>SQRT(AG6^2+$AG$19^2)</f>
        <v>0.42024673373786026</v>
      </c>
      <c r="AJ6">
        <f>(N6*AH6*12.01)/P6</f>
        <v>2624.7239887807664</v>
      </c>
      <c r="AK6">
        <f>12.01*AI6</f>
        <v>5.0471632721917015</v>
      </c>
      <c r="AL6">
        <f>(AJ6/1000)*(1/Constants!$B$1)*(1/Constants!$I$4)</f>
        <v>69.682849876779528</v>
      </c>
      <c r="AM6">
        <f>(AK6/1000)*(1/Constants!$B$1)*(1/Constants!$I$4)</f>
        <v>0.13399531611821069</v>
      </c>
      <c r="AN6">
        <f>AL6-V6</f>
        <v>68.380453542581961</v>
      </c>
      <c r="AO6">
        <f>AM6</f>
        <v>0.13399531611821069</v>
      </c>
      <c r="AP6" t="s">
        <v>99</v>
      </c>
    </row>
    <row r="7" spans="1:42">
      <c r="A7" t="s">
        <v>0</v>
      </c>
      <c r="B7">
        <v>1</v>
      </c>
      <c r="C7" t="s">
        <v>1</v>
      </c>
      <c r="D7">
        <v>1</v>
      </c>
      <c r="E7">
        <v>2</v>
      </c>
      <c r="F7">
        <v>300</v>
      </c>
      <c r="G7" t="str">
        <f>CONCATENATE(A7,"-",B7,"-",C7,D7,"-",E7,"-",F7,"-","PIC")</f>
        <v>KN207-1-QL1-2-300-PIC</v>
      </c>
      <c r="H7" t="str">
        <f>CONCATENATE(A7,"-",B7,"-",C7,D7,"-",E7,"-",F7,"-","POC")</f>
        <v>KN207-1-QL1-2-300-POC</v>
      </c>
      <c r="I7" t="s">
        <v>39</v>
      </c>
      <c r="J7">
        <v>4</v>
      </c>
      <c r="K7">
        <v>25</v>
      </c>
      <c r="L7" s="2">
        <v>41274</v>
      </c>
      <c r="M7" s="2">
        <v>41274</v>
      </c>
      <c r="N7">
        <v>175.3</v>
      </c>
      <c r="O7">
        <v>83.8</v>
      </c>
      <c r="P7">
        <v>91</v>
      </c>
      <c r="Q7" s="4">
        <v>38.32</v>
      </c>
      <c r="R7" s="2">
        <v>41326</v>
      </c>
      <c r="S7" s="7">
        <f>Q7-((SUM($Q$88:$Q$90))/3)</f>
        <v>34.373333333333335</v>
      </c>
      <c r="T7" s="7">
        <f>S7-$S$18</f>
        <v>17.16</v>
      </c>
      <c r="U7">
        <f>(N7*T7)/O7</f>
        <v>35.896754176610983</v>
      </c>
      <c r="V7">
        <f>(U7/1000)*(1/Constants!$B$1)*(1/Constants!$I$4)</f>
        <v>0.95300997097008422</v>
      </c>
      <c r="W7" s="2">
        <v>41536</v>
      </c>
      <c r="X7">
        <v>-2.02</v>
      </c>
      <c r="Z7">
        <v>50.34</v>
      </c>
      <c r="AA7">
        <v>25</v>
      </c>
      <c r="AB7" t="s">
        <v>66</v>
      </c>
      <c r="AC7" t="s">
        <v>132</v>
      </c>
      <c r="AD7">
        <f>((Z7-X7)*(Constants!$C$15/1000)*10^6)/(62.364*(273.15+AA7))</f>
        <v>50.884910371273463</v>
      </c>
      <c r="AE7">
        <f>AD7-((Z7-X7)*((Constants!$C$15-Constants!$E$15)/1000)*10^6)/(62.364*(273.15+AA7))</f>
        <v>0.16895930394446168</v>
      </c>
      <c r="AF7">
        <f>AD7-J7*Constants!$C$31</f>
        <v>49.900124736382509</v>
      </c>
      <c r="AG7">
        <f>SQRT(AE7^2+(Constants!$D$31*J7)^2)</f>
        <v>0.16899094251387256</v>
      </c>
      <c r="AH7">
        <f>AF7-$AF$19</f>
        <v>27.259773413182224</v>
      </c>
      <c r="AI7">
        <f>SQRT(AG7^2+$AG$19^2)</f>
        <v>0.18529311248109839</v>
      </c>
      <c r="AJ7">
        <f>(N7*AH7*12.01)/P7</f>
        <v>630.67522785454332</v>
      </c>
      <c r="AK7">
        <f>12.01*AI7</f>
        <v>2.2253702808979918</v>
      </c>
      <c r="AL7">
        <f>(AJ7/1000)*(1/Constants!$B$1)*(1/Constants!$I$4)</f>
        <v>16.743569004376031</v>
      </c>
      <c r="AM7">
        <f>(AK7/1000)*(1/Constants!$B$1)*(1/Constants!$I$4)</f>
        <v>5.9080552418806692E-2</v>
      </c>
      <c r="AN7">
        <f>AL7-V7</f>
        <v>15.790559033405946</v>
      </c>
      <c r="AO7">
        <f>AM7</f>
        <v>5.9080552418806692E-2</v>
      </c>
    </row>
    <row r="8" spans="1:42">
      <c r="A8" t="s">
        <v>0</v>
      </c>
      <c r="B8">
        <v>1</v>
      </c>
      <c r="C8" t="s">
        <v>1</v>
      </c>
      <c r="D8">
        <v>1</v>
      </c>
      <c r="E8">
        <v>3</v>
      </c>
      <c r="F8">
        <v>300</v>
      </c>
      <c r="G8" t="str">
        <f>CONCATENATE(A8,"-",B8,"-",C8,D8,"-",E8,"-",F8,"-","PIC")</f>
        <v>KN207-1-QL1-3-300-PIC</v>
      </c>
      <c r="H8" t="str">
        <f>CONCATENATE(A8,"-",B8,"-",C8,D8,"-",E8,"-",F8,"-","POC")</f>
        <v>KN207-1-QL1-3-300-POC</v>
      </c>
      <c r="I8" t="s">
        <v>39</v>
      </c>
      <c r="J8">
        <v>5</v>
      </c>
      <c r="K8">
        <v>25</v>
      </c>
      <c r="L8" s="2">
        <v>41274</v>
      </c>
      <c r="M8" s="2">
        <v>41274</v>
      </c>
      <c r="N8">
        <v>231.9</v>
      </c>
      <c r="O8">
        <v>110.5</v>
      </c>
      <c r="P8">
        <v>122</v>
      </c>
      <c r="Q8" s="4">
        <v>42.91</v>
      </c>
      <c r="R8" s="2">
        <v>41326</v>
      </c>
      <c r="S8" s="7">
        <f>Q8-((SUM($Q$88:$Q$90))/3)</f>
        <v>38.963333333333331</v>
      </c>
      <c r="T8" s="7">
        <f>S8-$S$18</f>
        <v>21.749999999999996</v>
      </c>
      <c r="U8">
        <f>(N8*T8)/O8</f>
        <v>45.64547511312216</v>
      </c>
      <c r="V8">
        <f>(U8/1000)*(1/Constants!$B$1)*(1/Constants!$I$4)</f>
        <v>1.2118252446572357</v>
      </c>
      <c r="W8" s="2">
        <v>41537</v>
      </c>
      <c r="X8">
        <v>-2.0299999999999998</v>
      </c>
      <c r="Y8">
        <v>-1.1299999999999999</v>
      </c>
      <c r="Z8">
        <v>79.510000000000005</v>
      </c>
      <c r="AA8">
        <v>25</v>
      </c>
      <c r="AB8" t="s">
        <v>66</v>
      </c>
      <c r="AC8" t="s">
        <v>132</v>
      </c>
      <c r="AD8">
        <f>((Z8-X8)*(Constants!$C$15/1000)*10^6)/(62.364*(273.15+AA8))</f>
        <v>79.2428493444163</v>
      </c>
      <c r="AE8">
        <f>AD8-((Z8-X8)*((Constants!$C$15-Constants!$E$15)/1000)*10^6)/(62.364*(273.15+AA8))</f>
        <v>0.26311958830464732</v>
      </c>
      <c r="AF8">
        <f>AD8-J8*Constants!$C$31</f>
        <v>78.011867300802606</v>
      </c>
      <c r="AG8">
        <f>SQRT(AE8^2+(Constants!$D$31*J8)^2)</f>
        <v>0.26315133366467613</v>
      </c>
      <c r="AH8">
        <f>AF8-$AF$19</f>
        <v>55.371515977602321</v>
      </c>
      <c r="AI8">
        <f>SQRT(AG8^2+$AG$19^2)</f>
        <v>0.27390550065798919</v>
      </c>
      <c r="AJ8">
        <f>(N8*AH8*12.01)/P8</f>
        <v>1264.0677148198672</v>
      </c>
      <c r="AK8">
        <f>12.01*AI8</f>
        <v>3.2896050629024502</v>
      </c>
      <c r="AL8">
        <f>(AJ8/1000)*(1/Constants!$B$1)*(1/Constants!$I$4)</f>
        <v>33.559277540185533</v>
      </c>
      <c r="AM8">
        <f>(AK8/1000)*(1/Constants!$B$1)*(1/Constants!$I$4)</f>
        <v>8.7334537548310553E-2</v>
      </c>
      <c r="AN8">
        <f>AL8-V8</f>
        <v>32.347452295528299</v>
      </c>
      <c r="AO8">
        <f>AM8</f>
        <v>8.7334537548310553E-2</v>
      </c>
    </row>
    <row r="9" spans="1:42">
      <c r="A9" t="s">
        <v>0</v>
      </c>
      <c r="B9">
        <v>1</v>
      </c>
      <c r="C9" t="s">
        <v>1</v>
      </c>
      <c r="D9">
        <v>1</v>
      </c>
      <c r="E9">
        <v>4</v>
      </c>
      <c r="F9">
        <v>300</v>
      </c>
      <c r="I9" t="s">
        <v>39</v>
      </c>
      <c r="K9">
        <v>25</v>
      </c>
      <c r="N9" t="s">
        <v>2</v>
      </c>
      <c r="T9" s="7"/>
    </row>
    <row r="10" spans="1:42">
      <c r="A10" t="s">
        <v>0</v>
      </c>
      <c r="B10">
        <v>1</v>
      </c>
      <c r="C10" t="s">
        <v>1</v>
      </c>
      <c r="D10">
        <v>1</v>
      </c>
      <c r="E10">
        <v>5</v>
      </c>
      <c r="F10">
        <v>50</v>
      </c>
      <c r="G10" t="str">
        <f>CONCATENATE(A10,"-",B10,"-",C10,D10,"-",E10,"-",F10,"-","PIC")</f>
        <v>KN207-1-QL1-5-50-PIC</v>
      </c>
      <c r="H10" t="str">
        <f>CONCATENATE(A10,"-",B10,"-",C10,D10,"-",E10,"-",F10,"-","POC")</f>
        <v>KN207-1-QL1-5-50-POC</v>
      </c>
      <c r="I10" t="s">
        <v>39</v>
      </c>
      <c r="J10">
        <v>8</v>
      </c>
      <c r="K10">
        <v>25</v>
      </c>
      <c r="L10" s="2">
        <v>41281</v>
      </c>
      <c r="M10" s="2">
        <v>41282</v>
      </c>
      <c r="N10">
        <v>371.4</v>
      </c>
      <c r="O10">
        <v>189.4</v>
      </c>
      <c r="P10">
        <v>181.8</v>
      </c>
      <c r="Q10" s="4">
        <v>107.38</v>
      </c>
      <c r="R10" s="2">
        <v>41326</v>
      </c>
      <c r="S10" s="7">
        <f>Q10-((SUM($Q$88:$Q$90))/3)</f>
        <v>103.43333333333332</v>
      </c>
      <c r="T10" s="7">
        <f>S10-$S$18</f>
        <v>86.219999999999985</v>
      </c>
      <c r="U10">
        <f>(N10*T10)/O10</f>
        <v>169.07131995776132</v>
      </c>
      <c r="V10">
        <f>(U10/1000)*(1/Constants!$B$1)*(1/Constants!$I$4)</f>
        <v>4.4886134532409665</v>
      </c>
      <c r="W10" s="2">
        <v>41537</v>
      </c>
      <c r="X10">
        <v>-2.02</v>
      </c>
      <c r="Y10">
        <v>1.04</v>
      </c>
      <c r="Z10">
        <v>78.7</v>
      </c>
      <c r="AA10">
        <v>24.5</v>
      </c>
      <c r="AB10" t="s">
        <v>72</v>
      </c>
      <c r="AC10" t="s">
        <v>132</v>
      </c>
      <c r="AD10">
        <f>((Z10-X10)*(Constants!$C$19/1000)*10^6)/(62.364*(273.15+AA10))</f>
        <v>131.19479753439876</v>
      </c>
      <c r="AE10">
        <f>AD10-((Z10-X10)*((Constants!$C$19-Constants!$E$19)/1000)*10^6)/(62.364*(273.15+AA10))</f>
        <v>0.39136664826301626</v>
      </c>
      <c r="AF10">
        <f>AD10-J10*Constants!$C$31</f>
        <v>129.22522626461685</v>
      </c>
      <c r="AG10">
        <f>SQRT(AE10^2+(Constants!$D$31*J10)^2)</f>
        <v>0.39142128509056257</v>
      </c>
      <c r="AH10">
        <f>AF10-$AF$19</f>
        <v>106.58487494141656</v>
      </c>
      <c r="AI10">
        <f>SQRT(AG10^2+$AG$19^2)</f>
        <v>0.39873076292550275</v>
      </c>
      <c r="AJ10">
        <f>(N10*AH10*12.01)/P10</f>
        <v>2615.0898067350809</v>
      </c>
      <c r="AK10">
        <f>12.01*AI10</f>
        <v>4.7887564627352877</v>
      </c>
      <c r="AL10">
        <f>(AJ10/1000)*(1/Constants!$B$1)*(1/Constants!$I$4)</f>
        <v>69.42707545476614</v>
      </c>
      <c r="AM10">
        <f>(AK10/1000)*(1/Constants!$B$1)*(1/Constants!$I$4)</f>
        <v>0.12713496699675764</v>
      </c>
      <c r="AN10">
        <f>AL10-V10</f>
        <v>64.938462001525167</v>
      </c>
      <c r="AO10">
        <f>AM10</f>
        <v>0.12713496699675764</v>
      </c>
      <c r="AP10" t="s">
        <v>99</v>
      </c>
    </row>
    <row r="11" spans="1:42">
      <c r="A11" t="s">
        <v>0</v>
      </c>
      <c r="B11">
        <v>1</v>
      </c>
      <c r="C11" t="s">
        <v>1</v>
      </c>
      <c r="D11">
        <v>1</v>
      </c>
      <c r="E11">
        <v>6</v>
      </c>
      <c r="F11">
        <v>50</v>
      </c>
      <c r="G11" t="str">
        <f>CONCATENATE(A11,"-",B11,"-",C11,D11,"-",E11,"-",F11,"-","PIC")</f>
        <v>KN207-1-QL1-6-50-PIC</v>
      </c>
      <c r="H11" t="str">
        <f>CONCATENATE(A11,"-",B11,"-",C11,D11,"-",E11,"-",F11,"-","POC")</f>
        <v>KN207-1-QL1-6-50-POC</v>
      </c>
      <c r="I11" t="s">
        <v>39</v>
      </c>
      <c r="J11">
        <v>6</v>
      </c>
      <c r="K11">
        <v>25</v>
      </c>
      <c r="L11" s="2">
        <v>41281</v>
      </c>
      <c r="M11" s="2">
        <v>41282</v>
      </c>
      <c r="N11">
        <v>277.39999999999998</v>
      </c>
      <c r="O11">
        <v>139.9</v>
      </c>
      <c r="P11">
        <v>138.9</v>
      </c>
      <c r="Q11" s="4">
        <v>76.010000000000005</v>
      </c>
      <c r="R11" s="2">
        <v>41326</v>
      </c>
      <c r="S11" s="7">
        <f>Q11-((SUM($Q$88:$Q$90))/3)</f>
        <v>72.063333333333333</v>
      </c>
      <c r="T11" s="7">
        <f>S11-$S$18</f>
        <v>54.849999999999994</v>
      </c>
      <c r="U11">
        <f>(N11*T11)/O11</f>
        <v>108.75904217298068</v>
      </c>
      <c r="V11">
        <f>(U11/1000)*(1/Constants!$B$1)*(1/Constants!$I$4)</f>
        <v>2.8874045579179421</v>
      </c>
      <c r="W11" s="2">
        <v>41537</v>
      </c>
      <c r="X11">
        <v>-2.0299999999999998</v>
      </c>
      <c r="Y11">
        <v>-0.71</v>
      </c>
      <c r="Z11">
        <v>94.58</v>
      </c>
      <c r="AA11">
        <v>24.5</v>
      </c>
      <c r="AB11" t="s">
        <v>66</v>
      </c>
      <c r="AC11" t="s">
        <v>132</v>
      </c>
      <c r="AD11">
        <f>((Z11-X11)*(Constants!$C$15/1000)*10^6)/(62.364*(273.15+AA11))</f>
        <v>94.046012172209572</v>
      </c>
      <c r="AE11">
        <f>AD11-((Z11-X11)*((Constants!$C$15-Constants!$E$15)/1000)*10^6)/(62.364*(273.15+AA11))</f>
        <v>0.31227231490494489</v>
      </c>
      <c r="AF11">
        <f>AD11-J11*Constants!$C$31</f>
        <v>92.56883371987314</v>
      </c>
      <c r="AG11">
        <f>SQRT(AE11^2+(Constants!$D$31*J11)^2)</f>
        <v>0.31231083273933291</v>
      </c>
      <c r="AH11">
        <f>AF11-$AF$19</f>
        <v>69.928482396672848</v>
      </c>
      <c r="AI11">
        <f>SQRT(AG11^2+$AG$19^2)</f>
        <v>0.32142441588582155</v>
      </c>
      <c r="AJ11">
        <f>(N11*AH11*12.01)/P11</f>
        <v>1677.263598360064</v>
      </c>
      <c r="AK11">
        <f>12.01*AI11</f>
        <v>3.8603072347887166</v>
      </c>
      <c r="AL11">
        <f>(AJ11/1000)*(1/Constants!$B$1)*(1/Constants!$I$4)</f>
        <v>44.52906592384317</v>
      </c>
      <c r="AM11">
        <f>(AK11/1000)*(1/Constants!$B$1)*(1/Constants!$I$4)</f>
        <v>0.10248590353493979</v>
      </c>
      <c r="AN11">
        <f>AL11-V11</f>
        <v>41.641661365925231</v>
      </c>
      <c r="AO11">
        <f>AM11</f>
        <v>0.10248590353493979</v>
      </c>
    </row>
    <row r="12" spans="1:42">
      <c r="A12" t="s">
        <v>0</v>
      </c>
      <c r="B12">
        <v>1</v>
      </c>
      <c r="C12" t="s">
        <v>1</v>
      </c>
      <c r="D12">
        <v>1</v>
      </c>
      <c r="E12">
        <v>7</v>
      </c>
      <c r="F12">
        <v>50</v>
      </c>
      <c r="I12" t="s">
        <v>39</v>
      </c>
      <c r="K12">
        <v>25</v>
      </c>
      <c r="N12" t="s">
        <v>2</v>
      </c>
      <c r="T12" s="7"/>
    </row>
    <row r="13" spans="1:42">
      <c r="A13" t="s">
        <v>0</v>
      </c>
      <c r="B13">
        <v>1</v>
      </c>
      <c r="C13" t="s">
        <v>1</v>
      </c>
      <c r="D13">
        <v>1</v>
      </c>
      <c r="E13">
        <v>8</v>
      </c>
      <c r="F13">
        <v>50</v>
      </c>
      <c r="G13" t="str">
        <f>CONCATENATE(A13,"-",B13,"-",C13,D13,"-",E13,"-",F13,"-","PIC")</f>
        <v>KN207-1-QL1-8-50-PIC</v>
      </c>
      <c r="H13" t="str">
        <f>CONCATENATE(A13,"-",B13,"-",C13,D13,"-",E13,"-",F13,"-","POC")</f>
        <v>KN207-1-QL1-8-50-POC</v>
      </c>
      <c r="I13" t="s">
        <v>39</v>
      </c>
      <c r="J13">
        <v>5</v>
      </c>
      <c r="K13">
        <v>25</v>
      </c>
      <c r="L13" s="2">
        <v>41281</v>
      </c>
      <c r="M13" s="2">
        <v>41282</v>
      </c>
      <c r="N13">
        <v>231.39</v>
      </c>
      <c r="O13">
        <v>113.26</v>
      </c>
      <c r="P13">
        <v>118.01</v>
      </c>
      <c r="Q13" s="4">
        <v>44.91</v>
      </c>
      <c r="R13" s="2">
        <v>41326</v>
      </c>
      <c r="S13" s="7">
        <f>Q13-((SUM($Q$88:$Q$90))/3)</f>
        <v>40.963333333333331</v>
      </c>
      <c r="T13" s="7">
        <f>S13-$S$18</f>
        <v>23.749999999999996</v>
      </c>
      <c r="U13">
        <f>(N13*T13)/O13</f>
        <v>48.521212254988512</v>
      </c>
      <c r="V13">
        <f>(U13/1000)*(1/Constants!$B$1)*(1/Constants!$I$4)</f>
        <v>1.2881721521409579</v>
      </c>
      <c r="W13" s="2">
        <v>41536</v>
      </c>
      <c r="X13">
        <v>-2.02</v>
      </c>
      <c r="Y13">
        <v>-0.8</v>
      </c>
      <c r="Z13">
        <v>85.82</v>
      </c>
      <c r="AA13">
        <v>25</v>
      </c>
      <c r="AB13" t="s">
        <v>66</v>
      </c>
      <c r="AC13" t="s">
        <v>132</v>
      </c>
      <c r="AD13">
        <f>((Z13-X13)*(Constants!$C$15/1000)*10^6)/(62.364*(273.15+AA13))</f>
        <v>85.365365298179128</v>
      </c>
      <c r="AE13">
        <f>AD13-((Z13-X13)*((Constants!$C$15-Constants!$E$15)/1000)*10^6)/(62.364*(273.15+AA13))</f>
        <v>0.28344891631932967</v>
      </c>
      <c r="AF13">
        <f>AD13-J13*Constants!$C$31</f>
        <v>84.134383254565435</v>
      </c>
      <c r="AG13">
        <f>SQRT(AE13^2+(Constants!$D$31*J13)^2)</f>
        <v>0.28347838510633039</v>
      </c>
      <c r="AH13">
        <f>AF13-$AF$19</f>
        <v>61.49403193136515</v>
      </c>
      <c r="AI13">
        <f>SQRT(AG13^2+$AG$19^2)</f>
        <v>0.29348866026424081</v>
      </c>
      <c r="AJ13">
        <f>(N13*AH13*12.01)/P13</f>
        <v>1448.110665398432</v>
      </c>
      <c r="AK13">
        <f>12.01*AI13</f>
        <v>3.5247988097735319</v>
      </c>
      <c r="AL13">
        <f>(AJ13/1000)*(1/Constants!$B$1)*(1/Constants!$I$4)</f>
        <v>38.445367411297269</v>
      </c>
      <c r="AM13">
        <f>(AK13/1000)*(1/Constants!$B$1)*(1/Constants!$I$4)</f>
        <v>9.3578611449120178E-2</v>
      </c>
      <c r="AN13">
        <f>AL13-V13</f>
        <v>37.15719525915631</v>
      </c>
      <c r="AO13">
        <f>AM13</f>
        <v>9.3578611449120178E-2</v>
      </c>
    </row>
    <row r="14" spans="1:42">
      <c r="A14" t="s">
        <v>0</v>
      </c>
      <c r="B14">
        <v>1</v>
      </c>
      <c r="C14" t="s">
        <v>1</v>
      </c>
      <c r="D14">
        <v>1</v>
      </c>
      <c r="E14">
        <v>9</v>
      </c>
      <c r="F14">
        <v>150</v>
      </c>
      <c r="G14" t="str">
        <f>CONCATENATE(A14,"-",B14,"-",C14,D14,"-",E14,"-",F14,"-","PIC")</f>
        <v>KN207-1-QL1-9-150-PIC</v>
      </c>
      <c r="H14" t="str">
        <f>CONCATENATE(A14,"-",B14,"-",C14,D14,"-",E14,"-",F14,"-","POC")</f>
        <v>KN207-1-QL1-9-150-POC</v>
      </c>
      <c r="I14" t="s">
        <v>39</v>
      </c>
      <c r="J14">
        <v>6</v>
      </c>
      <c r="K14">
        <v>25</v>
      </c>
      <c r="L14" s="2">
        <v>41281</v>
      </c>
      <c r="M14" s="2">
        <v>41282</v>
      </c>
      <c r="N14">
        <v>279.47000000000003</v>
      </c>
      <c r="O14">
        <v>136.22</v>
      </c>
      <c r="P14">
        <v>143.46</v>
      </c>
      <c r="Q14" s="4">
        <v>78.599999999999994</v>
      </c>
      <c r="R14" s="2">
        <v>41326</v>
      </c>
      <c r="S14" s="7">
        <f>Q14-((SUM($Q$88:$Q$90))/3)</f>
        <v>74.653333333333322</v>
      </c>
      <c r="T14" s="7">
        <f>S14-$S$18</f>
        <v>57.439999999999984</v>
      </c>
      <c r="U14">
        <f>(N14*T14)/O14</f>
        <v>117.84434591102627</v>
      </c>
      <c r="V14">
        <f>(U14/1000)*(1/Constants!$B$1)*(1/Constants!$I$4)</f>
        <v>3.1286070078400221</v>
      </c>
      <c r="W14" s="2">
        <v>41536</v>
      </c>
      <c r="X14">
        <v>-2.02</v>
      </c>
      <c r="Y14">
        <v>-0.63</v>
      </c>
      <c r="Z14">
        <v>104.5</v>
      </c>
      <c r="AA14">
        <v>25</v>
      </c>
      <c r="AB14" t="s">
        <v>66</v>
      </c>
      <c r="AC14" t="s">
        <v>132</v>
      </c>
      <c r="AD14">
        <f>((Z14-X14)*(Constants!$C$15/1000)*10^6)/(62.364*(273.15+AA14))</f>
        <v>103.51911101505057</v>
      </c>
      <c r="AE14">
        <f>AD14-((Z14-X14)*((Constants!$C$15-Constants!$E$15)/1000)*10^6)/(62.364*(273.15+AA14))</f>
        <v>0.34372698732168772</v>
      </c>
      <c r="AF14">
        <f>AD14-J14*Constants!$C$31</f>
        <v>102.04193256271414</v>
      </c>
      <c r="AG14">
        <f>SQRT(AE14^2+(Constants!$D$31*J14)^2)</f>
        <v>0.34376198074174252</v>
      </c>
      <c r="AH14">
        <f>AF14-$AF$19</f>
        <v>79.40158123951386</v>
      </c>
      <c r="AI14">
        <f>SQRT(AG14^2+$AG$19^2)</f>
        <v>0.35206234999598035</v>
      </c>
      <c r="AJ14">
        <f>(N14*AH14*12.01)/P14</f>
        <v>1857.7040464740928</v>
      </c>
      <c r="AK14">
        <f>12.01*AI14</f>
        <v>4.2282688234517236</v>
      </c>
      <c r="AL14">
        <f>(AJ14/1000)*(1/Constants!$B$1)*(1/Constants!$I$4)</f>
        <v>49.319514257219893</v>
      </c>
      <c r="AM14">
        <f>(AK14/1000)*(1/Constants!$B$1)*(1/Constants!$I$4)</f>
        <v>0.112254782949623</v>
      </c>
      <c r="AN14">
        <f>AL14-V14</f>
        <v>46.190907249379869</v>
      </c>
      <c r="AO14">
        <f>AM14</f>
        <v>0.112254782949623</v>
      </c>
    </row>
    <row r="15" spans="1:42">
      <c r="A15" t="s">
        <v>0</v>
      </c>
      <c r="B15">
        <v>1</v>
      </c>
      <c r="C15" t="s">
        <v>1</v>
      </c>
      <c r="D15">
        <v>1</v>
      </c>
      <c r="E15">
        <v>10</v>
      </c>
      <c r="F15">
        <v>150</v>
      </c>
      <c r="G15" t="str">
        <f>CONCATENATE(A15,"-",B15,"-",C15,D15,"-",E15,"-",F15,"-","PIC")</f>
        <v>KN207-1-QL1-10-150-PIC</v>
      </c>
      <c r="H15" t="str">
        <f>CONCATENATE(A15,"-",B15,"-",C15,D15,"-",E15,"-",F15,"-","POC")</f>
        <v>KN207-1-QL1-10-150-POC</v>
      </c>
      <c r="I15" t="s">
        <v>39</v>
      </c>
      <c r="J15">
        <v>7</v>
      </c>
      <c r="K15">
        <v>25</v>
      </c>
      <c r="L15" s="2">
        <v>41281</v>
      </c>
      <c r="M15" s="2">
        <v>41282</v>
      </c>
      <c r="N15">
        <v>323.27999999999997</v>
      </c>
      <c r="O15">
        <v>155.97</v>
      </c>
      <c r="P15">
        <v>167.33</v>
      </c>
      <c r="Q15" s="4">
        <v>43.96</v>
      </c>
      <c r="R15" s="2">
        <v>41326</v>
      </c>
      <c r="S15" s="7">
        <f>Q15-((SUM($Q$88:$Q$90))/3)</f>
        <v>40.013333333333335</v>
      </c>
      <c r="T15" s="7">
        <f>S15-$S$18</f>
        <v>22.8</v>
      </c>
      <c r="U15">
        <f>(N15*T15)/O15</f>
        <v>47.257703404500866</v>
      </c>
      <c r="V15">
        <f>(U15/1000)*(1/Constants!$B$1)*(1/Constants!$I$4)</f>
        <v>1.2546277116882263</v>
      </c>
      <c r="W15" s="2">
        <v>41537</v>
      </c>
      <c r="X15">
        <v>-2.02</v>
      </c>
      <c r="Y15">
        <v>-0.9</v>
      </c>
      <c r="Z15">
        <v>79.959999999999994</v>
      </c>
      <c r="AA15">
        <v>25</v>
      </c>
      <c r="AB15" t="s">
        <v>66</v>
      </c>
      <c r="AC15" t="s">
        <v>132</v>
      </c>
      <c r="AD15">
        <f>((Z15-X15)*(Constants!$C$15/1000)*10^6)/(62.364*(273.15+AA15))</f>
        <v>79.670453633250517</v>
      </c>
      <c r="AE15">
        <f>AD15-((Z15-X15)*((Constants!$C$15-Constants!$E$15)/1000)*10^6)/(62.364*(273.15+AA15))</f>
        <v>0.26453941438821005</v>
      </c>
      <c r="AF15">
        <f>AD15-J15*Constants!$C$31</f>
        <v>77.947078772191347</v>
      </c>
      <c r="AG15">
        <f>SQRT(AE15^2+(Constants!$D$31*J15)^2)</f>
        <v>0.26460129783930147</v>
      </c>
      <c r="AH15">
        <f>AF15-$AF$19</f>
        <v>55.306727448991062</v>
      </c>
      <c r="AI15">
        <f>SQRT(AG15^2+$AG$19^2)</f>
        <v>0.27529882981852416</v>
      </c>
      <c r="AJ15">
        <f>(N15*AH15*12.01)/P15</f>
        <v>1283.2935025698621</v>
      </c>
      <c r="AK15">
        <f>12.01*AI15</f>
        <v>3.3063389461204751</v>
      </c>
      <c r="AL15">
        <f>(AJ15/1000)*(1/Constants!$B$1)*(1/Constants!$I$4)</f>
        <v>34.069696040291539</v>
      </c>
      <c r="AM15">
        <f>(AK15/1000)*(1/Constants!$B$1)*(1/Constants!$I$4)</f>
        <v>8.7778799374362171E-2</v>
      </c>
      <c r="AN15">
        <f>AL15-V15</f>
        <v>32.81506832860331</v>
      </c>
      <c r="AO15">
        <f>AM15</f>
        <v>8.7778799374362171E-2</v>
      </c>
    </row>
    <row r="16" spans="1:42">
      <c r="A16" t="s">
        <v>0</v>
      </c>
      <c r="B16">
        <v>1</v>
      </c>
      <c r="C16" t="s">
        <v>1</v>
      </c>
      <c r="D16">
        <v>1</v>
      </c>
      <c r="E16">
        <v>11</v>
      </c>
      <c r="F16">
        <v>150</v>
      </c>
      <c r="I16" t="s">
        <v>42</v>
      </c>
      <c r="K16">
        <v>25</v>
      </c>
      <c r="N16" s="1" t="s">
        <v>2</v>
      </c>
      <c r="T16" s="7"/>
    </row>
    <row r="17" spans="1:42">
      <c r="A17" t="s">
        <v>0</v>
      </c>
      <c r="B17">
        <v>1</v>
      </c>
      <c r="C17" t="s">
        <v>1</v>
      </c>
      <c r="D17">
        <v>1</v>
      </c>
      <c r="E17">
        <v>12</v>
      </c>
      <c r="F17">
        <v>150</v>
      </c>
      <c r="G17" t="str">
        <f>CONCATENATE(A17,"-",B17,"-",C17,D17,"-",E17,"-",F17,"-","PIC")</f>
        <v>KN207-1-QL1-12-150-PIC</v>
      </c>
      <c r="H17" t="str">
        <f>CONCATENATE(A17,"-",B17,"-",C17,D17,"-",E17,"-",F17,"-","POC")</f>
        <v>KN207-1-QL1-12-150-POC</v>
      </c>
      <c r="I17" t="s">
        <v>39</v>
      </c>
      <c r="J17">
        <v>6</v>
      </c>
      <c r="K17">
        <v>25</v>
      </c>
      <c r="L17" s="2">
        <v>41281</v>
      </c>
      <c r="M17" s="2">
        <v>41282</v>
      </c>
      <c r="N17">
        <v>275.66000000000003</v>
      </c>
      <c r="O17">
        <v>138.22</v>
      </c>
      <c r="P17">
        <v>137.11000000000001</v>
      </c>
      <c r="Q17" s="4">
        <v>58.09</v>
      </c>
      <c r="R17" s="2">
        <v>41326</v>
      </c>
      <c r="S17" s="7">
        <f>Q17-((SUM($Q$88:$Q$90))/3)</f>
        <v>54.143333333333338</v>
      </c>
      <c r="T17" s="7">
        <f>S17-$S$18</f>
        <v>36.930000000000007</v>
      </c>
      <c r="U17">
        <f>(N17*T17)/O17</f>
        <v>73.651597453335285</v>
      </c>
      <c r="V17">
        <f>(U17/1000)*(1/Constants!$B$1)*(1/Constants!$I$4)</f>
        <v>1.9553496788474847</v>
      </c>
      <c r="W17" s="2">
        <v>41537</v>
      </c>
      <c r="X17">
        <v>-2.04</v>
      </c>
      <c r="Y17">
        <v>-0.7</v>
      </c>
      <c r="Z17">
        <v>95.07</v>
      </c>
      <c r="AA17">
        <v>24.5</v>
      </c>
      <c r="AB17" t="s">
        <v>66</v>
      </c>
      <c r="AC17" t="s">
        <v>132</v>
      </c>
      <c r="AD17">
        <f>((Z17-X17)*(Constants!$C$15/1000)*10^6)/(62.364*(273.15+AA17))</f>
        <v>94.532742387364365</v>
      </c>
      <c r="AE17">
        <f>AD17-((Z17-X17)*((Constants!$C$15-Constants!$E$15)/1000)*10^6)/(62.364*(273.15+AA17))</f>
        <v>0.31388846393146252</v>
      </c>
      <c r="AF17">
        <f>AD17-J17*Constants!$C$31</f>
        <v>93.055563935027934</v>
      </c>
      <c r="AG17">
        <f>SQRT(AE17^2+(Constants!$D$31*J17)^2)</f>
        <v>0.31392678346948277</v>
      </c>
      <c r="AH17">
        <f>AF17-$AF$19</f>
        <v>70.415212611827656</v>
      </c>
      <c r="AI17">
        <f>SQRT(AG17^2+$AG$19^2)</f>
        <v>0.32299477435509932</v>
      </c>
      <c r="AJ17">
        <f>(N17*AH17*12.01)/P17</f>
        <v>1700.255245262947</v>
      </c>
      <c r="AK17">
        <f>12.01*AI17</f>
        <v>3.879167240004743</v>
      </c>
      <c r="AL17">
        <f>(AJ17/1000)*(1/Constants!$B$1)*(1/Constants!$I$4)</f>
        <v>45.139462859445445</v>
      </c>
      <c r="AM17">
        <f>(AK17/1000)*(1/Constants!$B$1)*(1/Constants!$I$4)</f>
        <v>0.10298661100656775</v>
      </c>
      <c r="AN17">
        <f>AL17-V17</f>
        <v>43.184113180597961</v>
      </c>
      <c r="AO17">
        <f>AM17</f>
        <v>0.10298661100656775</v>
      </c>
    </row>
    <row r="18" spans="1:42">
      <c r="A18" t="s">
        <v>0</v>
      </c>
      <c r="B18">
        <v>1</v>
      </c>
      <c r="C18" t="s">
        <v>1</v>
      </c>
      <c r="D18">
        <v>1</v>
      </c>
      <c r="E18">
        <v>13</v>
      </c>
      <c r="F18" t="s">
        <v>10</v>
      </c>
      <c r="G18" t="str">
        <f>CONCATENATE(A18,"-",B18,"-",C18,D18,"-",E18,"-",F18,"-","PIC")</f>
        <v>KN207-1-QL1-13-TUBE BLANK-PIC</v>
      </c>
      <c r="H18" t="str">
        <f>CONCATENATE(A18,"-",B18,"-",C18,D18,"-",E18,"-",F18,"-","POC")</f>
        <v>KN207-1-QL1-13-TUBE BLANK-POC</v>
      </c>
      <c r="J18">
        <v>1</v>
      </c>
      <c r="K18">
        <v>25</v>
      </c>
      <c r="L18" s="2">
        <v>41281</v>
      </c>
      <c r="M18" s="2">
        <v>41282</v>
      </c>
      <c r="N18">
        <v>44.42</v>
      </c>
      <c r="O18">
        <v>22.71</v>
      </c>
      <c r="P18">
        <v>20.32</v>
      </c>
      <c r="Q18" s="4">
        <v>21.16</v>
      </c>
      <c r="R18" s="2">
        <v>41326</v>
      </c>
      <c r="S18" s="7">
        <f>Q18-((SUM($Q$88:$Q$90))/3)</f>
        <v>17.213333333333335</v>
      </c>
      <c r="T18" s="7">
        <f>S18-$S$18</f>
        <v>0</v>
      </c>
      <c r="U18">
        <f>(N18*T18)/O18</f>
        <v>0</v>
      </c>
      <c r="V18">
        <f>(U18/1000)*(1/Constants!$B$1)*(1/Constants!$I$4)</f>
        <v>0</v>
      </c>
      <c r="AP18" t="s">
        <v>100</v>
      </c>
    </row>
    <row r="19" spans="1:42">
      <c r="A19" t="s">
        <v>0</v>
      </c>
      <c r="B19">
        <v>1</v>
      </c>
      <c r="C19" t="s">
        <v>1</v>
      </c>
      <c r="D19">
        <v>1</v>
      </c>
      <c r="G19" t="s">
        <v>119</v>
      </c>
      <c r="L19" s="2"/>
      <c r="M19" s="2"/>
      <c r="Q19" s="4"/>
      <c r="R19" s="2"/>
      <c r="S19" s="7"/>
      <c r="T19" s="7"/>
      <c r="AF19">
        <f>AF32</f>
        <v>22.640351323200285</v>
      </c>
      <c r="AG19">
        <f>AG32</f>
        <v>7.5997361014748396E-2</v>
      </c>
      <c r="AH19">
        <f>AF19-$AF$19</f>
        <v>0</v>
      </c>
      <c r="AI19">
        <f>SQRT(AG19^2+$AG$19^2)</f>
        <v>0.10747649865162151</v>
      </c>
    </row>
    <row r="20" spans="1:42">
      <c r="A20" t="s">
        <v>0</v>
      </c>
      <c r="B20">
        <v>1</v>
      </c>
      <c r="C20" t="s">
        <v>1</v>
      </c>
      <c r="D20">
        <v>2</v>
      </c>
      <c r="E20">
        <v>1</v>
      </c>
      <c r="F20">
        <v>300</v>
      </c>
      <c r="G20" t="str">
        <f>CONCATENATE(A20,"-",B20,"-",C20,D20,"-",E20,"-",F20,"-","PIC")</f>
        <v>KN207-1-QL2-1-300-PIC</v>
      </c>
      <c r="H20" t="str">
        <f>CONCATENATE(A20,"-",B20,"-",C20,D20,"-",E20,"-",F20,"-","POC")</f>
        <v>KN207-1-QL2-1-300-POC</v>
      </c>
      <c r="I20" t="s">
        <v>39</v>
      </c>
      <c r="J20">
        <v>4</v>
      </c>
      <c r="K20">
        <v>25</v>
      </c>
      <c r="L20" s="2">
        <v>41254</v>
      </c>
      <c r="M20" s="2">
        <v>41254</v>
      </c>
      <c r="N20">
        <f>42.19+37.06+45.12+47.12</f>
        <v>171.49</v>
      </c>
      <c r="O20">
        <f>22.79+18.9+22.97+24.31</f>
        <v>88.97</v>
      </c>
      <c r="P20">
        <f>19.28+17.89+21.84+22.47</f>
        <v>81.48</v>
      </c>
      <c r="Q20">
        <v>79.61</v>
      </c>
      <c r="R20" s="2">
        <v>41254</v>
      </c>
      <c r="S20" s="7">
        <f>Q20-((SUM($Q$95:$Q$96))/2)</f>
        <v>75.72</v>
      </c>
      <c r="T20" s="7">
        <f>S20-$S$32</f>
        <v>59.41</v>
      </c>
      <c r="U20">
        <f>(N20*T20)/O20</f>
        <v>114.51299201978195</v>
      </c>
      <c r="V20">
        <f>(U20/1000)*(1/Constants!$B$1)*(1/Constants!$I$5)</f>
        <v>3.2693977296399246</v>
      </c>
      <c r="AP20" t="s">
        <v>101</v>
      </c>
    </row>
    <row r="21" spans="1:42">
      <c r="A21" t="s">
        <v>0</v>
      </c>
      <c r="B21">
        <v>1</v>
      </c>
      <c r="C21" t="s">
        <v>1</v>
      </c>
      <c r="D21">
        <v>2</v>
      </c>
      <c r="E21">
        <v>2</v>
      </c>
      <c r="F21">
        <v>300</v>
      </c>
      <c r="I21" t="s">
        <v>39</v>
      </c>
      <c r="K21">
        <v>25</v>
      </c>
      <c r="N21" s="1" t="s">
        <v>2</v>
      </c>
      <c r="T21" s="7"/>
    </row>
    <row r="22" spans="1:42">
      <c r="A22" t="s">
        <v>0</v>
      </c>
      <c r="B22">
        <v>1</v>
      </c>
      <c r="C22" t="s">
        <v>1</v>
      </c>
      <c r="D22">
        <v>2</v>
      </c>
      <c r="E22">
        <v>3</v>
      </c>
      <c r="F22">
        <v>300</v>
      </c>
      <c r="G22" t="str">
        <f>CONCATENATE(A22,"-",B22,"-",C22,D22,"-",E22,"-",F22,"-","PIC")</f>
        <v>KN207-1-QL2-3-300-PIC</v>
      </c>
      <c r="H22" t="str">
        <f>CONCATENATE(A22,"-",B22,"-",C22,D22,"-",E22,"-",F22,"-","POC")</f>
        <v>KN207-1-QL2-3-300-POC</v>
      </c>
      <c r="I22" t="s">
        <v>39</v>
      </c>
      <c r="J22">
        <v>4</v>
      </c>
      <c r="K22">
        <v>25</v>
      </c>
      <c r="L22" s="2">
        <v>41281</v>
      </c>
      <c r="M22" s="2">
        <v>41282</v>
      </c>
      <c r="N22">
        <v>187.23</v>
      </c>
      <c r="O22">
        <v>99.02</v>
      </c>
      <c r="P22">
        <v>88.09</v>
      </c>
      <c r="Q22" s="5">
        <v>74.23</v>
      </c>
      <c r="R22" s="2">
        <v>41326</v>
      </c>
      <c r="S22" s="7">
        <f>Q22-((SUM($Q$88:$Q$90))/3)</f>
        <v>70.283333333333331</v>
      </c>
      <c r="T22" s="7">
        <f>S22-$S$32</f>
        <v>53.973333333333329</v>
      </c>
      <c r="U22">
        <f>(N22*T22)/O22</f>
        <v>102.05440517067258</v>
      </c>
      <c r="V22">
        <f>(U22/1000)*(1/Constants!$B$1)*(1/Constants!$I$5)</f>
        <v>2.9136994386375936</v>
      </c>
      <c r="W22" s="2">
        <v>41536</v>
      </c>
      <c r="X22">
        <v>-2.02</v>
      </c>
      <c r="Y22">
        <v>-1.81</v>
      </c>
      <c r="Z22">
        <v>42.81</v>
      </c>
      <c r="AA22">
        <v>25</v>
      </c>
      <c r="AB22" t="s">
        <v>66</v>
      </c>
      <c r="AC22" t="s">
        <v>132</v>
      </c>
      <c r="AD22">
        <f>((Z22-X22)*(Constants!$C$15/1000)*10^6)/(62.364*(273.15+AA22))</f>
        <v>43.567046064633089</v>
      </c>
      <c r="AE22">
        <f>AD22-((Z22-X22)*((Constants!$C$15-Constants!$E$15)/1000)*10^6)/(62.364*(273.15+AA22))</f>
        <v>0.14466091665067893</v>
      </c>
      <c r="AF22">
        <f>AD22-J22*Constants!$C$31</f>
        <v>42.582260429742135</v>
      </c>
      <c r="AG22">
        <f>SQRT(AE22^2+(Constants!$D$31*J22)^2)</f>
        <v>0.14469786822391223</v>
      </c>
      <c r="AH22">
        <f>AF22-$AF$32</f>
        <v>19.94190910654185</v>
      </c>
      <c r="AI22">
        <f>SQRT(AG22^2+$AG$32^2)</f>
        <v>0.16344134100572802</v>
      </c>
      <c r="AJ22">
        <f>(N22*AH22*12.01)/P22</f>
        <v>509.04780270898107</v>
      </c>
      <c r="AK22">
        <f>12.01*AI22</f>
        <v>1.9629305054787936</v>
      </c>
      <c r="AL22">
        <f>(AJ22/1000)*(1/Constants!$B$1)*(1/Constants!$I$5)</f>
        <v>14.5335450685581</v>
      </c>
      <c r="AM22">
        <f>(AK22/1000)*(1/Constants!$B$1)*(1/Constants!$I$5)</f>
        <v>5.6042553991993212E-2</v>
      </c>
      <c r="AN22">
        <f>AL22-V22</f>
        <v>11.619845629920507</v>
      </c>
      <c r="AO22">
        <f>AM22</f>
        <v>5.6042553991993212E-2</v>
      </c>
    </row>
    <row r="23" spans="1:42">
      <c r="A23" t="s">
        <v>0</v>
      </c>
      <c r="B23">
        <v>1</v>
      </c>
      <c r="C23" t="s">
        <v>1</v>
      </c>
      <c r="D23">
        <v>2</v>
      </c>
      <c r="E23">
        <v>14</v>
      </c>
      <c r="F23">
        <v>300</v>
      </c>
      <c r="G23" t="str">
        <f>CONCATENATE(A23,"-",B23,"-",C23,D23,"-",E23,"-",F23,"-","PIC")</f>
        <v>KN207-1-QL2-14-300-PIC</v>
      </c>
      <c r="H23" t="str">
        <f>CONCATENATE(A23,"-",B23,"-",C23,D23,"-",E23,"-",F23,"-","POC")</f>
        <v>KN207-1-QL2-14-300-POC</v>
      </c>
      <c r="I23" t="s">
        <v>39</v>
      </c>
      <c r="J23">
        <v>3</v>
      </c>
      <c r="K23">
        <v>25</v>
      </c>
      <c r="L23" s="2">
        <v>41281</v>
      </c>
      <c r="M23" s="2">
        <v>41282</v>
      </c>
      <c r="N23">
        <v>143.52000000000001</v>
      </c>
      <c r="O23">
        <v>73.55</v>
      </c>
      <c r="P23">
        <v>69.92</v>
      </c>
      <c r="Q23" s="5">
        <v>85.02</v>
      </c>
      <c r="R23" s="2">
        <v>41326</v>
      </c>
      <c r="S23" s="7">
        <f>Q23-((SUM($Q$88:$Q$90))/3)</f>
        <v>81.073333333333323</v>
      </c>
      <c r="T23" s="7">
        <f>S23-$S$32</f>
        <v>64.763333333333321</v>
      </c>
      <c r="U23">
        <f>(N23*T23)/O23</f>
        <v>126.37435214140039</v>
      </c>
      <c r="V23">
        <f>(U23/1000)*(1/Constants!$B$1)*(1/Constants!$I$5)</f>
        <v>3.6080449273776436</v>
      </c>
      <c r="W23" s="2">
        <v>41537</v>
      </c>
      <c r="X23">
        <v>-2.02</v>
      </c>
      <c r="Y23">
        <v>-0.64</v>
      </c>
      <c r="Z23">
        <v>108.82</v>
      </c>
      <c r="AA23">
        <v>25</v>
      </c>
      <c r="AB23" t="s">
        <v>66</v>
      </c>
      <c r="AC23" t="s">
        <v>132</v>
      </c>
      <c r="AD23">
        <f>((Z23-X23)*(Constants!$C$15/1000)*10^6)/(62.364*(273.15+AA23))</f>
        <v>107.71740766905936</v>
      </c>
      <c r="AE23">
        <f>AD23-((Z23-X23)*((Constants!$C$15-Constants!$E$15)/1000)*10^6)/(62.364*(273.15+AA23))</f>
        <v>0.35766709796033069</v>
      </c>
      <c r="AF23">
        <f>AD23-J23*Constants!$C$31</f>
        <v>106.97881844289114</v>
      </c>
      <c r="AG23">
        <f>SQRT(AE23^2+(Constants!$D$31*J23)^2)</f>
        <v>0.3576755056764796</v>
      </c>
      <c r="AH23">
        <f>AF23-$AF$32</f>
        <v>84.338467119690847</v>
      </c>
      <c r="AI23">
        <f>SQRT(AG23^2+$AG$32^2)</f>
        <v>0.3656601786387621</v>
      </c>
      <c r="AJ23">
        <f>(N23*AH23*12.01)/P23</f>
        <v>2079.1207691679997</v>
      </c>
      <c r="AK23">
        <f>12.01*AI23</f>
        <v>4.3915787454515325</v>
      </c>
      <c r="AL23">
        <f>(AJ23/1000)*(1/Constants!$B$1)*(1/Constants!$I$5)</f>
        <v>59.359838586619226</v>
      </c>
      <c r="AM23">
        <f>(AK23/1000)*(1/Constants!$B$1)*(1/Constants!$I$5)</f>
        <v>0.12538156000180223</v>
      </c>
      <c r="AN23">
        <f>AL23-V23</f>
        <v>55.751793659241585</v>
      </c>
      <c r="AO23">
        <f>AM23</f>
        <v>0.12538156000180223</v>
      </c>
      <c r="AP23" t="s">
        <v>145</v>
      </c>
    </row>
    <row r="24" spans="1:42">
      <c r="A24" t="s">
        <v>0</v>
      </c>
      <c r="B24">
        <v>1</v>
      </c>
      <c r="C24" t="s">
        <v>1</v>
      </c>
      <c r="D24">
        <v>2</v>
      </c>
      <c r="E24">
        <v>5</v>
      </c>
      <c r="F24">
        <v>150</v>
      </c>
      <c r="K24">
        <v>25</v>
      </c>
      <c r="N24" s="1" t="s">
        <v>2</v>
      </c>
      <c r="T24" s="7"/>
    </row>
    <row r="25" spans="1:42">
      <c r="A25" t="s">
        <v>0</v>
      </c>
      <c r="B25">
        <v>1</v>
      </c>
      <c r="C25" t="s">
        <v>1</v>
      </c>
      <c r="D25">
        <v>2</v>
      </c>
      <c r="E25">
        <v>6</v>
      </c>
      <c r="F25">
        <v>150</v>
      </c>
      <c r="G25" t="str">
        <f t="shared" ref="G25:G30" si="0">CONCATENATE(A25,"-",B25,"-",C25,D25,"-",E25,"-",F25,"-","PIC")</f>
        <v>KN207-1-QL2-6-150-PIC</v>
      </c>
      <c r="H25" t="str">
        <f t="shared" ref="H25:H30" si="1">CONCATENATE(A25,"-",B25,"-",C25,D25,"-",E25,"-",F25,"-","POC")</f>
        <v>KN207-1-QL2-6-150-POC</v>
      </c>
      <c r="J25">
        <v>5</v>
      </c>
      <c r="K25">
        <v>25</v>
      </c>
      <c r="L25" s="2">
        <v>41281</v>
      </c>
      <c r="M25" s="2">
        <v>41282</v>
      </c>
      <c r="N25">
        <v>238.19</v>
      </c>
      <c r="O25">
        <v>112.95</v>
      </c>
      <c r="P25">
        <v>115.12</v>
      </c>
      <c r="Q25" s="4">
        <v>147.69999999999999</v>
      </c>
      <c r="R25" s="2">
        <v>41326</v>
      </c>
      <c r="S25" s="7">
        <f>Q25-((SUM($Q$88:$Q$90))/3)</f>
        <v>143.75333333333333</v>
      </c>
      <c r="T25" s="7">
        <f t="shared" ref="T25:T30" si="2">S25-$S$32</f>
        <v>127.44333333333333</v>
      </c>
      <c r="U25">
        <f t="shared" ref="U25:U30" si="3">(N25*T25)/O25</f>
        <v>268.75367478235205</v>
      </c>
      <c r="V25">
        <f>(U25/1000)*(1/Constants!$B$1)*(1/Constants!$I$6)</f>
        <v>8.2218391440599863</v>
      </c>
      <c r="W25" s="2">
        <v>41536</v>
      </c>
      <c r="X25">
        <v>-2.02</v>
      </c>
      <c r="Y25">
        <v>-1.44</v>
      </c>
      <c r="Z25">
        <v>71.209999999999994</v>
      </c>
      <c r="AA25">
        <v>25</v>
      </c>
      <c r="AB25" t="s">
        <v>66</v>
      </c>
      <c r="AC25" t="s">
        <v>132</v>
      </c>
      <c r="AD25">
        <f>((Z25-X25)*(Constants!$C$15/1000)*10^6)/(62.364*(273.15+AA25))</f>
        <v>71.166959253024331</v>
      </c>
      <c r="AE25">
        <f>AD25-((Z25-X25)*((Constants!$C$15-Constants!$E$15)/1000)*10^6)/(62.364*(273.15+AA25))</f>
        <v>0.23630423658998723</v>
      </c>
      <c r="AF25">
        <f>AD25-J25*Constants!$C$31</f>
        <v>69.935977209410638</v>
      </c>
      <c r="AG25">
        <f>SQRT(AE25^2+(Constants!$D$31*J25)^2)</f>
        <v>0.23633958384127546</v>
      </c>
      <c r="AH25">
        <f t="shared" ref="AH25:AH30" si="4">AF25-$AF$32</f>
        <v>47.295625886210352</v>
      </c>
      <c r="AI25">
        <f t="shared" ref="AI25:AI30" si="5">SQRT(AG25^2+$AG$32^2)</f>
        <v>0.24825792589859697</v>
      </c>
      <c r="AJ25">
        <f t="shared" ref="AJ25:AJ30" si="6">(N25*AH25*12.01)/P25</f>
        <v>1175.2675035557304</v>
      </c>
      <c r="AK25">
        <f t="shared" ref="AK25:AK30" si="7">12.01*AI25</f>
        <v>2.9815776900421493</v>
      </c>
      <c r="AL25">
        <f>(AJ25/1000)*(1/Constants!$B$1)*(1/Constants!$I$6)</f>
        <v>35.954337641342207</v>
      </c>
      <c r="AM25">
        <f>(AK25/1000)*(1/Constants!$B$1)*(1/Constants!$I$6)</f>
        <v>9.12138305937472E-2</v>
      </c>
      <c r="AN25">
        <f t="shared" ref="AN25:AN30" si="8">AL25-V25</f>
        <v>27.732498497282222</v>
      </c>
      <c r="AO25">
        <f t="shared" ref="AO25:AO30" si="9">AM25</f>
        <v>9.12138305937472E-2</v>
      </c>
    </row>
    <row r="26" spans="1:42">
      <c r="A26" t="s">
        <v>0</v>
      </c>
      <c r="B26">
        <v>1</v>
      </c>
      <c r="C26" t="s">
        <v>1</v>
      </c>
      <c r="D26">
        <v>2</v>
      </c>
      <c r="E26">
        <v>7</v>
      </c>
      <c r="F26">
        <v>150</v>
      </c>
      <c r="G26" t="str">
        <f t="shared" si="0"/>
        <v>KN207-1-QL2-7-150-PIC</v>
      </c>
      <c r="H26" t="str">
        <f t="shared" si="1"/>
        <v>KN207-1-QL2-7-150-POC</v>
      </c>
      <c r="J26">
        <v>5</v>
      </c>
      <c r="K26">
        <v>25</v>
      </c>
      <c r="L26" s="2">
        <v>41281</v>
      </c>
      <c r="M26" s="2">
        <v>41282</v>
      </c>
      <c r="N26">
        <v>235.19</v>
      </c>
      <c r="O26">
        <v>128.38999999999999</v>
      </c>
      <c r="P26">
        <v>106.8</v>
      </c>
      <c r="Q26" s="4">
        <v>171.49</v>
      </c>
      <c r="R26" s="2">
        <v>41326</v>
      </c>
      <c r="S26" s="7">
        <f t="shared" ref="S26:S30" si="10">Q26-((SUM($Q$88:$Q$90))/3)</f>
        <v>167.54333333333335</v>
      </c>
      <c r="T26" s="7">
        <f t="shared" si="2"/>
        <v>151.23333333333335</v>
      </c>
      <c r="U26">
        <f t="shared" si="3"/>
        <v>277.03534283563107</v>
      </c>
      <c r="V26">
        <f>(U26/1000)*(1/Constants!$B$1)*(1/Constants!$I$6)</f>
        <v>8.475195838191528</v>
      </c>
      <c r="W26" s="2">
        <v>41537</v>
      </c>
      <c r="X26">
        <v>-2.0099999999999998</v>
      </c>
      <c r="Y26">
        <v>-1.44</v>
      </c>
      <c r="Z26">
        <v>63.7</v>
      </c>
      <c r="AA26">
        <v>25</v>
      </c>
      <c r="AB26" t="s">
        <v>66</v>
      </c>
      <c r="AC26" t="s">
        <v>132</v>
      </c>
      <c r="AD26">
        <f>((Z26-X26)*(Constants!$C$15/1000)*10^6)/(62.364*(273.15+AA26))</f>
        <v>63.858813225675689</v>
      </c>
      <c r="AE26">
        <f>AD26-((Z26-X26)*((Constants!$C$15-Constants!$E$15)/1000)*10^6)/(62.364*(273.15+AA26))</f>
        <v>0.21203811807085771</v>
      </c>
      <c r="AF26">
        <f>AD26-J26*Constants!$C$31</f>
        <v>62.627831182061996</v>
      </c>
      <c r="AG26">
        <f>SQRT(AE26^2+(Constants!$D$31*J26)^2)</f>
        <v>0.21207750982817958</v>
      </c>
      <c r="AH26">
        <f t="shared" si="4"/>
        <v>39.987479858861711</v>
      </c>
      <c r="AI26">
        <f t="shared" si="5"/>
        <v>0.22528308648482159</v>
      </c>
      <c r="AJ26">
        <f t="shared" si="6"/>
        <v>1057.5834382953958</v>
      </c>
      <c r="AK26">
        <f t="shared" si="7"/>
        <v>2.7056498686827073</v>
      </c>
      <c r="AL26">
        <f>(AJ26/1000)*(1/Constants!$B$1)*(1/Constants!$I$6)</f>
        <v>32.354091225463002</v>
      </c>
      <c r="AM26">
        <f>(AK26/1000)*(1/Constants!$B$1)*(1/Constants!$I$6)</f>
        <v>8.2772516574783614E-2</v>
      </c>
      <c r="AN26">
        <f t="shared" si="8"/>
        <v>23.878895387271474</v>
      </c>
      <c r="AO26">
        <f t="shared" si="9"/>
        <v>8.2772516574783614E-2</v>
      </c>
    </row>
    <row r="27" spans="1:42">
      <c r="A27" t="s">
        <v>0</v>
      </c>
      <c r="B27">
        <v>1</v>
      </c>
      <c r="C27" t="s">
        <v>1</v>
      </c>
      <c r="D27">
        <v>2</v>
      </c>
      <c r="E27">
        <v>8</v>
      </c>
      <c r="F27">
        <v>150</v>
      </c>
      <c r="G27" t="str">
        <f t="shared" si="0"/>
        <v>KN207-1-QL2-8-150-PIC</v>
      </c>
      <c r="H27" t="str">
        <f t="shared" si="1"/>
        <v>KN207-1-QL2-8-150-POC</v>
      </c>
      <c r="J27">
        <v>5</v>
      </c>
      <c r="K27">
        <v>25</v>
      </c>
      <c r="L27" s="2">
        <v>41281</v>
      </c>
      <c r="M27" s="2">
        <v>41282</v>
      </c>
      <c r="N27">
        <v>241.07</v>
      </c>
      <c r="O27">
        <v>114.35</v>
      </c>
      <c r="P27">
        <v>126.55</v>
      </c>
      <c r="Q27" s="4">
        <v>161.36000000000001</v>
      </c>
      <c r="R27" s="2">
        <v>41326</v>
      </c>
      <c r="S27" s="7">
        <f t="shared" si="10"/>
        <v>157.41333333333336</v>
      </c>
      <c r="T27" s="7">
        <f t="shared" si="2"/>
        <v>141.10333333333335</v>
      </c>
      <c r="U27">
        <f t="shared" si="3"/>
        <v>297.47075265996216</v>
      </c>
      <c r="V27">
        <f>(U27/1000)*(1/Constants!$B$1)*(1/Constants!$I$6)</f>
        <v>9.1003655314232947</v>
      </c>
      <c r="W27" s="2">
        <v>41537</v>
      </c>
      <c r="X27">
        <v>-2.02</v>
      </c>
      <c r="Y27">
        <v>-1.4</v>
      </c>
      <c r="Z27">
        <v>70.91</v>
      </c>
      <c r="AA27">
        <v>24.5</v>
      </c>
      <c r="AB27" t="s">
        <v>66</v>
      </c>
      <c r="AC27" t="s">
        <v>132</v>
      </c>
      <c r="AD27">
        <f>((Z27-X27)*(Constants!$C$15/1000)*10^6)/(62.364*(273.15+AA27))</f>
        <v>70.994469182478454</v>
      </c>
      <c r="AE27">
        <f>AD27-((Z27-X27)*((Constants!$C$15-Constants!$E$15)/1000)*10^6)/(62.364*(273.15+AA27))</f>
        <v>0.23573149700877138</v>
      </c>
      <c r="AF27">
        <f>AD27-J27*Constants!$C$31</f>
        <v>69.763487138864761</v>
      </c>
      <c r="AG27">
        <f>SQRT(AE27^2+(Constants!$D$31*J27)^2)</f>
        <v>0.23576693012780017</v>
      </c>
      <c r="AH27">
        <f t="shared" si="4"/>
        <v>47.123135815664476</v>
      </c>
      <c r="AI27">
        <f t="shared" si="5"/>
        <v>0.24771282611744794</v>
      </c>
      <c r="AJ27">
        <f t="shared" si="6"/>
        <v>1078.0979214262952</v>
      </c>
      <c r="AK27">
        <f t="shared" si="7"/>
        <v>2.9750310416705497</v>
      </c>
      <c r="AL27">
        <f>(AJ27/1000)*(1/Constants!$B$1)*(1/Constants!$I$6)</f>
        <v>32.981679966574653</v>
      </c>
      <c r="AM27">
        <f>(AK27/1000)*(1/Constants!$B$1)*(1/Constants!$I$6)</f>
        <v>9.101355243982949E-2</v>
      </c>
      <c r="AN27">
        <f t="shared" si="8"/>
        <v>23.88131443515136</v>
      </c>
      <c r="AO27">
        <f t="shared" si="9"/>
        <v>9.101355243982949E-2</v>
      </c>
    </row>
    <row r="28" spans="1:42">
      <c r="A28" t="s">
        <v>0</v>
      </c>
      <c r="B28">
        <v>1</v>
      </c>
      <c r="C28" t="s">
        <v>1</v>
      </c>
      <c r="D28">
        <v>2</v>
      </c>
      <c r="E28">
        <v>11</v>
      </c>
      <c r="F28">
        <v>50</v>
      </c>
      <c r="G28" t="str">
        <f t="shared" si="0"/>
        <v>KN207-1-QL2-11-50-PIC</v>
      </c>
      <c r="H28" t="str">
        <f t="shared" si="1"/>
        <v>KN207-1-QL2-11-50-POC</v>
      </c>
      <c r="J28">
        <v>8</v>
      </c>
      <c r="K28">
        <v>25</v>
      </c>
      <c r="L28" s="2">
        <v>41281</v>
      </c>
      <c r="M28" s="2">
        <v>41282</v>
      </c>
      <c r="N28">
        <v>366.2</v>
      </c>
      <c r="O28">
        <v>180.15</v>
      </c>
      <c r="P28">
        <v>185.22</v>
      </c>
      <c r="Q28" s="4">
        <v>90.98</v>
      </c>
      <c r="R28" s="2">
        <v>41326</v>
      </c>
      <c r="S28" s="7">
        <f t="shared" si="10"/>
        <v>87.033333333333331</v>
      </c>
      <c r="T28" s="7">
        <f t="shared" si="2"/>
        <v>70.723333333333329</v>
      </c>
      <c r="U28">
        <f t="shared" si="3"/>
        <v>143.76289018410583</v>
      </c>
      <c r="V28">
        <f>(U28/1000)*(1/Constants!$B$1)*(1/Constants!$I$6)</f>
        <v>4.3980621248662271</v>
      </c>
      <c r="W28" s="2">
        <v>41537</v>
      </c>
      <c r="X28">
        <v>-2.02</v>
      </c>
      <c r="Y28">
        <v>-1.85</v>
      </c>
      <c r="Z28">
        <v>52.98</v>
      </c>
      <c r="AA28">
        <v>25</v>
      </c>
      <c r="AB28" t="s">
        <v>66</v>
      </c>
      <c r="AC28" t="s">
        <v>132</v>
      </c>
      <c r="AD28">
        <f>((Z28-X28)*(Constants!$C$15/1000)*10^6)/(62.364*(273.15+AA28))</f>
        <v>53.450536104278832</v>
      </c>
      <c r="AE28">
        <f>AD28-((Z28-X28)*((Constants!$C$15-Constants!$E$15)/1000)*10^6)/(62.364*(273.15+AA28))</f>
        <v>0.17747826044585935</v>
      </c>
      <c r="AF28">
        <f>AD28-J28*Constants!$C$31</f>
        <v>51.480964834496923</v>
      </c>
      <c r="AG28">
        <f>SQRT(AE28^2+(Constants!$D$31*J28)^2)</f>
        <v>0.17759871052518444</v>
      </c>
      <c r="AH28">
        <f t="shared" si="4"/>
        <v>28.840613511296638</v>
      </c>
      <c r="AI28">
        <f t="shared" si="5"/>
        <v>0.19317582887466606</v>
      </c>
      <c r="AJ28">
        <f t="shared" si="6"/>
        <v>684.82240762725576</v>
      </c>
      <c r="AK28">
        <f t="shared" si="7"/>
        <v>2.3200417047847393</v>
      </c>
      <c r="AL28">
        <f>(AJ28/1000)*(1/Constants!$B$1)*(1/Constants!$I$6)</f>
        <v>20.950410007673341</v>
      </c>
      <c r="AM28">
        <f>(AK28/1000)*(1/Constants!$B$1)*(1/Constants!$I$6)</f>
        <v>7.0975809799432771E-2</v>
      </c>
      <c r="AN28">
        <f t="shared" si="8"/>
        <v>16.552347882807112</v>
      </c>
      <c r="AO28">
        <f t="shared" si="9"/>
        <v>7.0975809799432771E-2</v>
      </c>
      <c r="AP28" t="s">
        <v>146</v>
      </c>
    </row>
    <row r="29" spans="1:42">
      <c r="A29" t="s">
        <v>0</v>
      </c>
      <c r="B29">
        <v>1</v>
      </c>
      <c r="C29" t="s">
        <v>1</v>
      </c>
      <c r="D29">
        <v>2</v>
      </c>
      <c r="E29">
        <v>12</v>
      </c>
      <c r="F29">
        <v>50</v>
      </c>
      <c r="G29" t="str">
        <f t="shared" si="0"/>
        <v>KN207-1-QL2-12-50-PIC</v>
      </c>
      <c r="H29" t="str">
        <f t="shared" si="1"/>
        <v>KN207-1-QL2-12-50-POC</v>
      </c>
      <c r="J29">
        <v>6</v>
      </c>
      <c r="K29">
        <v>25</v>
      </c>
      <c r="L29" s="2">
        <v>41281</v>
      </c>
      <c r="M29" s="2">
        <v>41282</v>
      </c>
      <c r="N29">
        <v>285.42</v>
      </c>
      <c r="O29">
        <v>133.30000000000001</v>
      </c>
      <c r="P29">
        <v>152.12</v>
      </c>
      <c r="Q29" s="4">
        <v>90.5</v>
      </c>
      <c r="R29" s="2">
        <v>41326</v>
      </c>
      <c r="S29" s="7">
        <f t="shared" si="10"/>
        <v>86.553333333333327</v>
      </c>
      <c r="T29" s="7">
        <f t="shared" si="2"/>
        <v>70.243333333333325</v>
      </c>
      <c r="U29">
        <f t="shared" si="3"/>
        <v>150.4039924981245</v>
      </c>
      <c r="V29">
        <f>(U29/1000)*(1/Constants!$B$1)*(1/Constants!$I$6)</f>
        <v>4.6012298583281979</v>
      </c>
      <c r="W29" s="2">
        <v>41537</v>
      </c>
      <c r="X29">
        <v>-2.0099999999999998</v>
      </c>
      <c r="Y29">
        <v>-0.97</v>
      </c>
      <c r="Z29">
        <v>100.13</v>
      </c>
      <c r="AA29">
        <v>25</v>
      </c>
      <c r="AB29" t="s">
        <v>66</v>
      </c>
      <c r="AC29" t="s">
        <v>132</v>
      </c>
      <c r="AD29">
        <f>((Z29-X29)*(Constants!$C$15/1000)*10^6)/(62.364*(273.15+AA29))</f>
        <v>99.262504685291646</v>
      </c>
      <c r="AE29">
        <f>AD29-((Z29-X29)*((Constants!$C$15-Constants!$E$15)/1000)*10^6)/(62.364*(273.15+AA29))</f>
        <v>0.32959326403528166</v>
      </c>
      <c r="AF29">
        <f>AD29-J29*Constants!$C$31</f>
        <v>97.785326232955214</v>
      </c>
      <c r="AG29">
        <f>SQRT(AE29^2+(Constants!$D$31*J29)^2)</f>
        <v>0.32962975789159782</v>
      </c>
      <c r="AH29">
        <f t="shared" si="4"/>
        <v>75.144974909754922</v>
      </c>
      <c r="AI29">
        <f t="shared" si="5"/>
        <v>0.33827707011986402</v>
      </c>
      <c r="AJ29">
        <f t="shared" si="6"/>
        <v>1693.3277915612309</v>
      </c>
      <c r="AK29">
        <f t="shared" si="7"/>
        <v>4.0627076121395671</v>
      </c>
      <c r="AL29">
        <f>(AJ29/1000)*(1/Constants!$B$1)*(1/Constants!$I$6)</f>
        <v>51.803082252391938</v>
      </c>
      <c r="AM29">
        <f>(AK29/1000)*(1/Constants!$B$1)*(1/Constants!$I$6)</f>
        <v>0.12428826695452871</v>
      </c>
      <c r="AN29">
        <f t="shared" si="8"/>
        <v>47.201852394063742</v>
      </c>
      <c r="AO29">
        <f t="shared" si="9"/>
        <v>0.12428826695452871</v>
      </c>
    </row>
    <row r="30" spans="1:42">
      <c r="A30" t="s">
        <v>0</v>
      </c>
      <c r="B30">
        <v>1</v>
      </c>
      <c r="C30" t="s">
        <v>1</v>
      </c>
      <c r="D30">
        <v>2</v>
      </c>
      <c r="E30">
        <v>15</v>
      </c>
      <c r="F30">
        <v>50</v>
      </c>
      <c r="G30" t="str">
        <f t="shared" si="0"/>
        <v>KN207-1-QL2-15-50-PIC</v>
      </c>
      <c r="H30" t="str">
        <f t="shared" si="1"/>
        <v>KN207-1-QL2-15-50-POC</v>
      </c>
      <c r="J30">
        <v>8</v>
      </c>
      <c r="K30">
        <v>25</v>
      </c>
      <c r="L30" s="2">
        <v>41281</v>
      </c>
      <c r="M30" s="2">
        <v>41282</v>
      </c>
      <c r="N30">
        <v>362.68</v>
      </c>
      <c r="O30">
        <v>177.82</v>
      </c>
      <c r="P30">
        <v>184.84</v>
      </c>
      <c r="Q30" s="5">
        <v>60.93</v>
      </c>
      <c r="R30" s="2">
        <v>41326</v>
      </c>
      <c r="S30" s="7">
        <f t="shared" si="10"/>
        <v>56.983333333333334</v>
      </c>
      <c r="T30" s="7">
        <f t="shared" si="2"/>
        <v>40.673333333333332</v>
      </c>
      <c r="U30">
        <f t="shared" si="3"/>
        <v>82.956948224796605</v>
      </c>
      <c r="V30">
        <f>(U30/1000)*(1/Constants!$B$1)*(1/Constants!$I$6)</f>
        <v>2.5378580766895551</v>
      </c>
      <c r="W30" s="2">
        <v>41536</v>
      </c>
      <c r="X30">
        <v>-2.02</v>
      </c>
      <c r="Y30">
        <v>-0.46</v>
      </c>
      <c r="Z30">
        <v>101.61</v>
      </c>
      <c r="AA30">
        <v>25</v>
      </c>
      <c r="AB30" t="s">
        <v>66</v>
      </c>
      <c r="AC30" t="s">
        <v>132</v>
      </c>
      <c r="AD30">
        <f>((Z30-X30)*(Constants!$C$15/1000)*10^6)/(62.364*(273.15+AA30))</f>
        <v>100.71052829975301</v>
      </c>
      <c r="AE30">
        <f>AD30-((Z30-X30)*((Constants!$C$15-Constants!$E$15)/1000)*10^6)/(62.364*(273.15+AA30))</f>
        <v>0.33440131145462715</v>
      </c>
      <c r="AF30">
        <f>AD30-J30*Constants!$C$31</f>
        <v>98.740957029971099</v>
      </c>
      <c r="AG30">
        <f>SQRT(AE30^2+(Constants!$D$31*J30)^2)</f>
        <v>0.33446525402782057</v>
      </c>
      <c r="AH30">
        <f t="shared" si="4"/>
        <v>76.100605706770807</v>
      </c>
      <c r="AI30">
        <f t="shared" si="5"/>
        <v>0.34299067776413478</v>
      </c>
      <c r="AJ30">
        <f t="shared" si="6"/>
        <v>1793.32403056458</v>
      </c>
      <c r="AK30">
        <f t="shared" si="7"/>
        <v>4.1193180399472586</v>
      </c>
      <c r="AL30">
        <f>(AJ30/1000)*(1/Constants!$B$1)*(1/Constants!$I$6)</f>
        <v>54.862214347096597</v>
      </c>
      <c r="AM30">
        <f>(AK30/1000)*(1/Constants!$B$1)*(1/Constants!$I$6)</f>
        <v>0.12602011985547304</v>
      </c>
      <c r="AN30">
        <f t="shared" si="8"/>
        <v>52.324356270407044</v>
      </c>
      <c r="AO30">
        <f t="shared" si="9"/>
        <v>0.12602011985547304</v>
      </c>
    </row>
    <row r="31" spans="1:42">
      <c r="A31" t="s">
        <v>0</v>
      </c>
      <c r="B31">
        <v>1</v>
      </c>
      <c r="C31" t="s">
        <v>1</v>
      </c>
      <c r="D31">
        <v>2</v>
      </c>
      <c r="E31">
        <v>10</v>
      </c>
      <c r="F31">
        <v>50</v>
      </c>
      <c r="I31" t="s">
        <v>43</v>
      </c>
      <c r="K31">
        <v>25</v>
      </c>
      <c r="N31" s="1" t="s">
        <v>2</v>
      </c>
      <c r="T31" s="7"/>
      <c r="V31" s="1"/>
      <c r="AL31" s="1"/>
      <c r="AM31" s="1"/>
      <c r="AN31" s="1"/>
      <c r="AO31" s="1"/>
    </row>
    <row r="32" spans="1:42">
      <c r="A32" t="s">
        <v>0</v>
      </c>
      <c r="B32">
        <v>1</v>
      </c>
      <c r="C32" t="s">
        <v>1</v>
      </c>
      <c r="D32">
        <v>2</v>
      </c>
      <c r="E32">
        <v>13</v>
      </c>
      <c r="F32" t="s">
        <v>10</v>
      </c>
      <c r="G32" t="str">
        <f>CONCATENATE(A32,"-",B32,"-",C32,D32,"-",E32,"-",F32,"-","PIC")</f>
        <v>KN207-1-QL2-13-TUBE BLANK-PIC</v>
      </c>
      <c r="H32" t="str">
        <f>CONCATENATE(A32,"-",B32,"-",C32,D32,"-",E32,"-",F32,"-","POC")</f>
        <v>KN207-1-QL2-13-TUBE BLANK-POC</v>
      </c>
      <c r="J32">
        <v>1</v>
      </c>
      <c r="K32">
        <v>25</v>
      </c>
      <c r="L32" s="3">
        <v>41254</v>
      </c>
      <c r="M32" s="3">
        <v>41254</v>
      </c>
      <c r="N32">
        <v>44.57</v>
      </c>
      <c r="O32">
        <v>20.420000000000002</v>
      </c>
      <c r="P32">
        <v>24.1</v>
      </c>
      <c r="Q32">
        <v>20.2</v>
      </c>
      <c r="R32" s="2">
        <v>41254</v>
      </c>
      <c r="S32" s="7">
        <f>Q32-((SUM($Q$95:$Q$96))/2)</f>
        <v>16.309999999999999</v>
      </c>
      <c r="T32" s="7">
        <f>S32-$S$32</f>
        <v>0</v>
      </c>
      <c r="U32">
        <f>(N32*T32)/O32</f>
        <v>0</v>
      </c>
      <c r="V32">
        <f>(U32/1000)*(1/Constants!$B$1)*(1/Constants!$I$6)</f>
        <v>0</v>
      </c>
      <c r="W32" s="2">
        <v>41537</v>
      </c>
      <c r="X32">
        <v>-2.0099999999999998</v>
      </c>
      <c r="Y32">
        <v>-1.91</v>
      </c>
      <c r="Z32">
        <v>21.54</v>
      </c>
      <c r="AA32">
        <v>25</v>
      </c>
      <c r="AB32" t="s">
        <v>66</v>
      </c>
      <c r="AC32" t="s">
        <v>132</v>
      </c>
      <c r="AD32">
        <f>((Z32-X32)*(Constants!$C$15/1000)*10^6)/(62.364*(273.15+AA32))</f>
        <v>22.886547731923024</v>
      </c>
      <c r="AE32">
        <f>AD32-((Z32-X32)*((Constants!$C$15-Constants!$E$15)/1000)*10^6)/(62.364*(273.15+AA32))</f>
        <v>7.5992964245450878E-2</v>
      </c>
      <c r="AF32">
        <f>AD32-J32*Constants!$C$31</f>
        <v>22.640351323200285</v>
      </c>
      <c r="AG32">
        <f>SQRT(AE32^2+(Constants!$D$31*J32)^2)</f>
        <v>7.5997361014748396E-2</v>
      </c>
      <c r="AH32">
        <f>AF32-$AF$32</f>
        <v>0</v>
      </c>
      <c r="AI32">
        <f>SQRT(AG32^2+$AG$32^2)</f>
        <v>0.10747649865162151</v>
      </c>
      <c r="AL32">
        <f>(AJ32/1000)*(1/Constants!$B$1)*(1/Constants!$I$6)</f>
        <v>0</v>
      </c>
      <c r="AM32">
        <f>(AK32/1000)*(1/Constants!$B$1)*(1/Constants!$I$6)</f>
        <v>0</v>
      </c>
      <c r="AN32">
        <f>AL32-V32</f>
        <v>0</v>
      </c>
      <c r="AO32">
        <f>AM32</f>
        <v>0</v>
      </c>
    </row>
    <row r="33" spans="1:42">
      <c r="A33" t="s">
        <v>0</v>
      </c>
      <c r="B33">
        <v>3</v>
      </c>
      <c r="C33" t="s">
        <v>17</v>
      </c>
      <c r="D33">
        <v>1</v>
      </c>
      <c r="E33">
        <v>1</v>
      </c>
      <c r="F33">
        <v>50</v>
      </c>
      <c r="G33" t="str">
        <f>CONCATENATE(A33,"-",B33,"-",C33,D33,"-",E33,"-",F33,"-","PIC")</f>
        <v>KN207-3-PS1-1-50-PIC</v>
      </c>
      <c r="H33" t="str">
        <f>CONCATENATE(A33,"-",B33,"-",C33,D33,"-",E33,"-",F33,"-","POC")</f>
        <v>KN207-3-PS1-1-50-POC</v>
      </c>
      <c r="I33" t="s">
        <v>49</v>
      </c>
      <c r="J33">
        <v>6</v>
      </c>
      <c r="K33">
        <v>25</v>
      </c>
      <c r="L33" s="2">
        <v>41283</v>
      </c>
      <c r="M33" s="2">
        <v>41290</v>
      </c>
      <c r="N33">
        <v>280.04000000000002</v>
      </c>
      <c r="O33">
        <v>136.30000000000001</v>
      </c>
      <c r="P33">
        <v>143.85</v>
      </c>
      <c r="Q33" s="5">
        <v>475.98</v>
      </c>
      <c r="R33" s="2">
        <v>41326</v>
      </c>
      <c r="S33" s="7">
        <f t="shared" ref="S33:S39" si="11">Q33-((SUM($Q$88:$Q$90))/3)</f>
        <v>472.03333333333336</v>
      </c>
      <c r="T33" s="7">
        <f>S33-$S$40</f>
        <v>460.7788888888889</v>
      </c>
      <c r="U33">
        <f>(N33*T33)/O33</f>
        <v>946.70961147794901</v>
      </c>
      <c r="V33">
        <f>(U33/1000)*(1/Constants!$B$1)*(1/Constants!$I$7)</f>
        <v>20.213025569042834</v>
      </c>
      <c r="AF33">
        <f>AD33-J33*Constants!$C$31</f>
        <v>-1.4771784523364331</v>
      </c>
      <c r="AG33">
        <f>SQRT(AE33^2+(Constants!$D$31*J33)^2)</f>
        <v>4.904853743230797E-3</v>
      </c>
      <c r="AL33">
        <f>(AJ33/1000)*(1/Constants!$B$1)*(1/Constants!$I$7)</f>
        <v>0</v>
      </c>
      <c r="AM33">
        <f>(AK33/1000)*(1/Constants!$B$1)*(1/Constants!$I$7)</f>
        <v>0</v>
      </c>
      <c r="AN33">
        <f>AL33-V33</f>
        <v>-20.213025569042834</v>
      </c>
      <c r="AO33">
        <f>AM33</f>
        <v>0</v>
      </c>
    </row>
    <row r="34" spans="1:42">
      <c r="A34" t="s">
        <v>0</v>
      </c>
      <c r="B34">
        <v>3</v>
      </c>
      <c r="C34" t="s">
        <v>17</v>
      </c>
      <c r="D34">
        <v>1</v>
      </c>
      <c r="E34">
        <v>2</v>
      </c>
      <c r="F34">
        <v>300</v>
      </c>
      <c r="G34" t="str">
        <f>CONCATENATE(A34,"-",B34,"-",C34,D34,"-",E34,"-",F34,"-","PIC")</f>
        <v>KN207-3-PS1-2-300-PIC</v>
      </c>
      <c r="H34" t="str">
        <f>CONCATENATE(A34,"-",B34,"-",C34,D34,"-",E34,"-",F34,"-","POC")</f>
        <v>KN207-3-PS1-2-300-POC</v>
      </c>
      <c r="I34" t="s">
        <v>49</v>
      </c>
      <c r="J34">
        <v>7</v>
      </c>
      <c r="K34">
        <v>25</v>
      </c>
      <c r="L34" s="2">
        <v>41283</v>
      </c>
      <c r="M34" s="2">
        <v>41290</v>
      </c>
      <c r="N34">
        <v>315.08</v>
      </c>
      <c r="O34">
        <v>148.91999999999999</v>
      </c>
      <c r="P34">
        <v>166.05</v>
      </c>
      <c r="Q34" s="4">
        <v>81.900000000000006</v>
      </c>
      <c r="R34" s="2">
        <v>41326</v>
      </c>
      <c r="S34" s="7">
        <f t="shared" si="11"/>
        <v>77.953333333333333</v>
      </c>
      <c r="T34" s="7">
        <f>S34-$S$40</f>
        <v>66.698888888888888</v>
      </c>
      <c r="U34">
        <f>(N34*T34)/O34</f>
        <v>141.11929835556751</v>
      </c>
      <c r="V34">
        <f>(U34/1000)*(1/Constants!$B$1)*(1/Constants!$I$7)</f>
        <v>3.0130125979109805</v>
      </c>
      <c r="AF34">
        <f>AD34-J34*Constants!$C$31</f>
        <v>-1.7233748610591719</v>
      </c>
      <c r="AG34">
        <f>SQRT(AE34^2+(Constants!$D$31*J34)^2)</f>
        <v>5.7223293671025965E-3</v>
      </c>
      <c r="AL34">
        <f>(AJ34/1000)*(1/Constants!$B$1)*(1/Constants!$I$7)</f>
        <v>0</v>
      </c>
      <c r="AM34">
        <f>(AK34/1000)*(1/Constants!$B$1)*(1/Constants!$I$7)</f>
        <v>0</v>
      </c>
      <c r="AN34">
        <f>AL34-V34</f>
        <v>-3.0130125979109805</v>
      </c>
      <c r="AO34">
        <f>AM34</f>
        <v>0</v>
      </c>
    </row>
    <row r="35" spans="1:42">
      <c r="A35" t="s">
        <v>0</v>
      </c>
      <c r="B35">
        <v>3</v>
      </c>
      <c r="C35" t="s">
        <v>17</v>
      </c>
      <c r="D35">
        <v>1</v>
      </c>
      <c r="E35">
        <v>3</v>
      </c>
      <c r="F35">
        <v>300</v>
      </c>
      <c r="G35" t="str">
        <f>CONCATENATE(A35,"-",B35,"-",C35,D35,"-",E35,"-",F35,"-","PIC")</f>
        <v>KN207-3-PS1-3-300-PIC</v>
      </c>
      <c r="H35" t="str">
        <f>CONCATENATE(A35,"-",B35,"-",C35,D35,"-",E35,"-",F35,"-","POC")</f>
        <v>KN207-3-PS1-3-300-POC</v>
      </c>
      <c r="I35" t="s">
        <v>49</v>
      </c>
      <c r="J35">
        <v>5</v>
      </c>
      <c r="K35">
        <v>25</v>
      </c>
      <c r="L35" s="2">
        <v>41283</v>
      </c>
      <c r="M35" s="2">
        <v>41290</v>
      </c>
      <c r="N35">
        <v>223.17</v>
      </c>
      <c r="O35">
        <v>102.55</v>
      </c>
      <c r="P35">
        <v>120.96</v>
      </c>
      <c r="Q35" s="4">
        <v>65.44</v>
      </c>
      <c r="R35" s="2">
        <v>41326</v>
      </c>
      <c r="S35" s="7">
        <f t="shared" si="11"/>
        <v>61.493333333333332</v>
      </c>
      <c r="T35" s="7">
        <f>S35-$S$40</f>
        <v>50.238888888888887</v>
      </c>
      <c r="U35">
        <f>(N35*T35)/O35</f>
        <v>109.33020802860392</v>
      </c>
      <c r="V35">
        <f>(U35/1000)*(1/Constants!$B$1)*(1/Constants!$I$7)</f>
        <v>2.3342894838692749</v>
      </c>
      <c r="AF35">
        <f>AD35-J35*Constants!$C$31</f>
        <v>-1.2309820436136942</v>
      </c>
      <c r="AG35">
        <f>SQRT(AE35^2+(Constants!$D$31*J35)^2)</f>
        <v>4.0873781193589975E-3</v>
      </c>
      <c r="AL35">
        <f>(AJ35/1000)*(1/Constants!$B$1)*(1/Constants!$I$7)</f>
        <v>0</v>
      </c>
      <c r="AM35">
        <f>(AK35/1000)*(1/Constants!$B$1)*(1/Constants!$I$7)</f>
        <v>0</v>
      </c>
      <c r="AN35">
        <f>AL35-V35</f>
        <v>-2.3342894838692749</v>
      </c>
      <c r="AO35">
        <f>AM35</f>
        <v>0</v>
      </c>
    </row>
    <row r="36" spans="1:42">
      <c r="A36" t="s">
        <v>0</v>
      </c>
      <c r="B36">
        <v>3</v>
      </c>
      <c r="C36" t="s">
        <v>17</v>
      </c>
      <c r="D36">
        <v>1</v>
      </c>
      <c r="E36">
        <v>4</v>
      </c>
      <c r="F36" t="s">
        <v>18</v>
      </c>
      <c r="I36" t="s">
        <v>49</v>
      </c>
      <c r="K36">
        <v>25</v>
      </c>
      <c r="N36" s="1" t="s">
        <v>2</v>
      </c>
      <c r="T36" s="7"/>
      <c r="AF36">
        <f>AD36-J36*Constants!$C$31</f>
        <v>0</v>
      </c>
      <c r="AG36">
        <f>SQRT(AE36^2+(Constants!$D$31*J36)^2)</f>
        <v>0</v>
      </c>
    </row>
    <row r="37" spans="1:42">
      <c r="A37" t="s">
        <v>0</v>
      </c>
      <c r="B37">
        <v>3</v>
      </c>
      <c r="C37" t="s">
        <v>17</v>
      </c>
      <c r="D37">
        <v>1</v>
      </c>
      <c r="E37">
        <v>9</v>
      </c>
      <c r="F37">
        <v>150</v>
      </c>
      <c r="G37" t="str">
        <f>CONCATENATE(A37,"-",B37,"-",C37,D37,"-",E37,"-",F37,"-","PIC")</f>
        <v>KN207-3-PS1-9-150-PIC</v>
      </c>
      <c r="H37" t="str">
        <f>CONCATENATE(A37,"-",B37,"-",C37,D37,"-",E37,"-",F37,"-","POC")</f>
        <v>KN207-3-PS1-9-150-POC</v>
      </c>
      <c r="I37" t="s">
        <v>49</v>
      </c>
      <c r="J37">
        <v>7</v>
      </c>
      <c r="K37">
        <v>25</v>
      </c>
      <c r="L37" s="2">
        <v>41283</v>
      </c>
      <c r="M37" s="2">
        <v>41290</v>
      </c>
      <c r="N37">
        <v>324.67</v>
      </c>
      <c r="O37">
        <v>164.11</v>
      </c>
      <c r="P37">
        <v>160.32</v>
      </c>
      <c r="Q37" s="5">
        <v>149.31</v>
      </c>
      <c r="R37" s="2">
        <v>41326</v>
      </c>
      <c r="S37" s="7">
        <f t="shared" si="11"/>
        <v>145.36333333333334</v>
      </c>
      <c r="T37" s="7">
        <f>S37-$S$40</f>
        <v>134.10888888888891</v>
      </c>
      <c r="U37">
        <f>(N37*T37)/O37</f>
        <v>265.31675678237497</v>
      </c>
      <c r="V37">
        <f>(U37/1000)*(1/Constants!$B$1)*(1/Constants!$I$7)</f>
        <v>5.6647300541984382</v>
      </c>
      <c r="AF37">
        <f>AD37-J37*Constants!$C$31</f>
        <v>-1.7233748610591719</v>
      </c>
      <c r="AG37">
        <f>SQRT(AE37^2+(Constants!$D$31*J37)^2)</f>
        <v>5.7223293671025965E-3</v>
      </c>
      <c r="AL37">
        <f>(AJ37/1000)*(1/Constants!$B$1)*(1/Constants!$I$7)</f>
        <v>0</v>
      </c>
      <c r="AM37">
        <f>(AK37/1000)*(1/Constants!$B$1)*(1/Constants!$I$7)</f>
        <v>0</v>
      </c>
      <c r="AN37">
        <f>AL37-V37</f>
        <v>-5.6647300541984382</v>
      </c>
      <c r="AO37">
        <f>AM37</f>
        <v>0</v>
      </c>
    </row>
    <row r="38" spans="1:42">
      <c r="A38" t="s">
        <v>0</v>
      </c>
      <c r="B38">
        <v>3</v>
      </c>
      <c r="C38" t="s">
        <v>17</v>
      </c>
      <c r="D38">
        <v>1</v>
      </c>
      <c r="E38">
        <v>11</v>
      </c>
      <c r="F38">
        <v>50</v>
      </c>
      <c r="G38" t="str">
        <f>CONCATENATE(A38,"-",B38,"-",C38,D38,"-",E38,"-",F38,"-","PIC")</f>
        <v>KN207-3-PS1-11-50-PIC</v>
      </c>
      <c r="H38" t="str">
        <f>CONCATENATE(A38,"-",B38,"-",C38,D38,"-",E38,"-",F38,"-","POC")</f>
        <v>KN207-3-PS1-11-50-POC</v>
      </c>
      <c r="I38" t="s">
        <v>49</v>
      </c>
      <c r="J38">
        <v>6</v>
      </c>
      <c r="K38">
        <v>25</v>
      </c>
      <c r="L38" s="2">
        <v>41283</v>
      </c>
      <c r="M38" s="2">
        <v>41290</v>
      </c>
      <c r="N38">
        <v>278.76</v>
      </c>
      <c r="O38">
        <v>139.29</v>
      </c>
      <c r="P38">
        <v>139.5</v>
      </c>
      <c r="Q38" s="5">
        <v>508.18</v>
      </c>
      <c r="R38" s="2">
        <v>41326</v>
      </c>
      <c r="S38" s="7">
        <f t="shared" si="11"/>
        <v>504.23333333333335</v>
      </c>
      <c r="T38" s="7">
        <f>S38-$S$40</f>
        <v>492.97888888888889</v>
      </c>
      <c r="U38">
        <f>(N38*T38)/O38</f>
        <v>986.59483858616329</v>
      </c>
      <c r="V38">
        <f>(U38/1000)*(1/Constants!$B$1)*(1/Constants!$I$7)</f>
        <v>21.064607834175668</v>
      </c>
      <c r="AF38">
        <f>AD38-J38*Constants!$C$31</f>
        <v>-1.4771784523364331</v>
      </c>
      <c r="AG38">
        <f>SQRT(AE38^2+(Constants!$D$31*J38)^2)</f>
        <v>4.904853743230797E-3</v>
      </c>
      <c r="AL38">
        <f>(AJ38/1000)*(1/Constants!$B$1)*(1/Constants!$I$7)</f>
        <v>0</v>
      </c>
      <c r="AM38">
        <f>(AK38/1000)*(1/Constants!$B$1)*(1/Constants!$I$7)</f>
        <v>0</v>
      </c>
      <c r="AN38">
        <f>AL38-V38</f>
        <v>-21.064607834175668</v>
      </c>
      <c r="AO38">
        <f>AM38</f>
        <v>0</v>
      </c>
    </row>
    <row r="39" spans="1:42">
      <c r="A39" t="s">
        <v>0</v>
      </c>
      <c r="B39">
        <v>3</v>
      </c>
      <c r="C39" t="s">
        <v>17</v>
      </c>
      <c r="D39">
        <v>1</v>
      </c>
      <c r="E39">
        <v>12</v>
      </c>
      <c r="F39">
        <v>150</v>
      </c>
      <c r="G39" t="str">
        <f>CONCATENATE(A39,"-",B39,"-",C39,D39,"-",E39,"-",F39,"-","PIC")</f>
        <v>KN207-3-PS1-12-150-PIC</v>
      </c>
      <c r="H39" t="str">
        <f>CONCATENATE(A39,"-",B39,"-",C39,D39,"-",E39,"-",F39,"-","POC")</f>
        <v>KN207-3-PS1-12-150-POC</v>
      </c>
      <c r="I39" t="s">
        <v>49</v>
      </c>
      <c r="J39">
        <v>8</v>
      </c>
      <c r="K39">
        <v>25</v>
      </c>
      <c r="L39" s="2">
        <v>41283</v>
      </c>
      <c r="M39" s="2">
        <v>41290</v>
      </c>
      <c r="N39">
        <v>355.46</v>
      </c>
      <c r="O39">
        <v>182.13</v>
      </c>
      <c r="P39">
        <v>173.38</v>
      </c>
      <c r="Q39" s="5">
        <v>121.3</v>
      </c>
      <c r="R39" s="2">
        <v>41326</v>
      </c>
      <c r="S39" s="7">
        <f t="shared" si="11"/>
        <v>117.35333333333332</v>
      </c>
      <c r="T39" s="7">
        <f>S39-$S$40</f>
        <v>106.09888888888888</v>
      </c>
      <c r="U39">
        <f>(N39*T39)/O39</f>
        <v>207.0713833220471</v>
      </c>
      <c r="V39">
        <f>(U39/1000)*(1/Constants!$B$1)*(1/Constants!$I$7)</f>
        <v>4.4211436273171278</v>
      </c>
      <c r="AF39">
        <f>AD39-J39*Constants!$C$31</f>
        <v>-1.9695712697819108</v>
      </c>
      <c r="AG39">
        <f>SQRT(AE39^2+(Constants!$D$31*J39)^2)</f>
        <v>6.539804990974396E-3</v>
      </c>
      <c r="AL39">
        <f>(AJ39/1000)*(1/Constants!$B$1)*(1/Constants!$I$7)</f>
        <v>0</v>
      </c>
      <c r="AM39">
        <f>(AK39/1000)*(1/Constants!$B$1)*(1/Constants!$I$7)</f>
        <v>0</v>
      </c>
      <c r="AN39">
        <f>AL39-V39</f>
        <v>-4.4211436273171278</v>
      </c>
      <c r="AO39">
        <f>AM39</f>
        <v>0</v>
      </c>
    </row>
    <row r="40" spans="1:42">
      <c r="A40" t="s">
        <v>0</v>
      </c>
      <c r="B40">
        <v>3</v>
      </c>
      <c r="C40" t="s">
        <v>17</v>
      </c>
      <c r="D40">
        <v>1</v>
      </c>
      <c r="G40" t="s">
        <v>26</v>
      </c>
      <c r="L40" s="2"/>
      <c r="M40" s="2"/>
      <c r="Q40" s="5"/>
      <c r="R40" s="2"/>
      <c r="S40" s="7">
        <f>($S$54+$S$69+$S$82)/3</f>
        <v>11.254444444444443</v>
      </c>
      <c r="T40" s="7">
        <f>S40-$S$40</f>
        <v>0</v>
      </c>
      <c r="U40">
        <f>T40</f>
        <v>0</v>
      </c>
      <c r="V40">
        <f>(U40/1000)*(1/Constants!$B$1)*(1/Constants!$I$7)</f>
        <v>0</v>
      </c>
      <c r="AF40">
        <f>AD40-J40*Constants!$C$31</f>
        <v>0</v>
      </c>
      <c r="AG40">
        <f>SQRT(AE40^2+(Constants!$D$31*J40)^2)</f>
        <v>0</v>
      </c>
      <c r="AL40">
        <f>(AJ40/1000)*(1/Constants!$B$1)*(1/Constants!$I$7)</f>
        <v>0</v>
      </c>
      <c r="AM40">
        <f>(AK40/1000)*(1/Constants!$B$1)*(1/Constants!$I$7)</f>
        <v>0</v>
      </c>
      <c r="AN40">
        <f>AL40-V40</f>
        <v>0</v>
      </c>
      <c r="AO40">
        <f>AM40</f>
        <v>0</v>
      </c>
    </row>
    <row r="41" spans="1:42">
      <c r="A41" t="s">
        <v>0</v>
      </c>
      <c r="B41">
        <v>3</v>
      </c>
      <c r="C41" t="s">
        <v>17</v>
      </c>
      <c r="D41">
        <v>1</v>
      </c>
      <c r="E41">
        <v>14</v>
      </c>
      <c r="F41" t="s">
        <v>18</v>
      </c>
      <c r="I41" t="s">
        <v>49</v>
      </c>
      <c r="K41">
        <v>25</v>
      </c>
      <c r="N41" s="1" t="s">
        <v>2</v>
      </c>
      <c r="T41" s="7"/>
      <c r="AF41">
        <f>AD41-J41*Constants!$C$31</f>
        <v>0</v>
      </c>
      <c r="AG41">
        <f>SQRT(AE41^2+(Constants!$D$31*J41)^2)</f>
        <v>0</v>
      </c>
    </row>
    <row r="42" spans="1:42">
      <c r="A42" t="s">
        <v>0</v>
      </c>
      <c r="B42">
        <v>3</v>
      </c>
      <c r="C42" t="s">
        <v>17</v>
      </c>
      <c r="D42">
        <v>2</v>
      </c>
      <c r="E42">
        <v>1</v>
      </c>
      <c r="F42">
        <v>300</v>
      </c>
      <c r="K42">
        <v>47</v>
      </c>
      <c r="N42" s="1" t="s">
        <v>2</v>
      </c>
      <c r="T42" s="7"/>
      <c r="AF42">
        <f>AD42-J42*Constants!$C$31</f>
        <v>0</v>
      </c>
      <c r="AG42">
        <f>SQRT(AE42^2+(Constants!$D$31*J42)^2)</f>
        <v>0</v>
      </c>
    </row>
    <row r="43" spans="1:42">
      <c r="A43" t="s">
        <v>0</v>
      </c>
      <c r="B43">
        <v>3</v>
      </c>
      <c r="C43" t="s">
        <v>17</v>
      </c>
      <c r="D43">
        <v>2</v>
      </c>
      <c r="E43">
        <v>2</v>
      </c>
      <c r="F43">
        <v>300</v>
      </c>
      <c r="G43" t="str">
        <f t="shared" ref="G43:G48" si="12">CONCATENATE(A43,"-",B43,"-",C43,D43,"-",E43,"-",F43,"-","PIC")</f>
        <v>KN207-3-PS2-2-300-PIC</v>
      </c>
      <c r="H43" t="str">
        <f t="shared" ref="H43:H48" si="13">CONCATENATE(A43,"-",B43,"-",C43,D43,"-",E43,"-",F43,"-","POC")</f>
        <v>KN207-3-PS2-2-300-POC</v>
      </c>
      <c r="J43">
        <v>4</v>
      </c>
      <c r="K43">
        <v>47</v>
      </c>
      <c r="L43" s="2">
        <v>41283</v>
      </c>
      <c r="M43" s="2">
        <v>41290</v>
      </c>
      <c r="N43">
        <v>622.80999999999995</v>
      </c>
      <c r="O43">
        <v>311.16000000000003</v>
      </c>
      <c r="P43">
        <v>311.69</v>
      </c>
      <c r="Q43" s="4">
        <v>88.64</v>
      </c>
      <c r="R43" s="2">
        <v>41326</v>
      </c>
      <c r="S43" s="7">
        <f t="shared" ref="S43:S48" si="14">Q43-((SUM($Q$88:$Q$90))/3)</f>
        <v>84.693333333333328</v>
      </c>
      <c r="T43" s="7">
        <f t="shared" ref="T43:T48" si="15">S43-$S$54</f>
        <v>79.05</v>
      </c>
      <c r="U43">
        <f t="shared" ref="U43:U48" si="16">(N43*T43)/O43</f>
        <v>158.22448418819897</v>
      </c>
      <c r="V43">
        <f>(U43/1000)*(1/Constants!$B$1)*(1/Constants!$I$8)</f>
        <v>3.3013197027161878</v>
      </c>
      <c r="W43" s="2">
        <v>41538</v>
      </c>
      <c r="X43">
        <v>-2.0099999999999998</v>
      </c>
      <c r="Y43">
        <v>-1.79</v>
      </c>
      <c r="Z43">
        <v>36.21</v>
      </c>
      <c r="AA43">
        <v>25</v>
      </c>
      <c r="AB43" t="s">
        <v>66</v>
      </c>
      <c r="AC43" t="s">
        <v>132</v>
      </c>
      <c r="AD43">
        <f>((Z43-X43)*(Constants!$C$15/1000)*10^6)/(62.364*(273.15+AA43))</f>
        <v>37.143263452827945</v>
      </c>
      <c r="AE43">
        <f>AD43-((Z43-X43)*((Constants!$C$15-Constants!$E$15)/1000)*10^6)/(62.364*(273.15+AA43))</f>
        <v>0.1233312566225564</v>
      </c>
      <c r="AF43">
        <f>AD43-J43*Constants!$C$26</f>
        <v>32.18976345223976</v>
      </c>
      <c r="AG43">
        <f>SQRT(AE43^2+(Constants!$D$26*J43)^2)</f>
        <v>0.12442317230524266</v>
      </c>
      <c r="AH43">
        <f>AF43-$AF$55</f>
        <v>25.832121719201375</v>
      </c>
      <c r="AI43">
        <f>SQRT(AG43^2+$AG$55^2)</f>
        <v>0.12702039807973742</v>
      </c>
      <c r="AJ43">
        <f>(N43*AH43*12.01)/P43</f>
        <v>619.92020845233742</v>
      </c>
      <c r="AK43">
        <f>12.01*AI43</f>
        <v>1.5255149809376463</v>
      </c>
      <c r="AL43">
        <f>(AJ43/1000)*(1/Constants!$B$1)*(1/Constants!$I$8)</f>
        <v>12.934501311701974</v>
      </c>
      <c r="AM43">
        <f>(AK43/1000)*(1/Constants!$B$1)*(1/Constants!$I$8)</f>
        <v>3.182954072624989E-2</v>
      </c>
      <c r="AN43">
        <f t="shared" ref="AN43:AN48" si="17">AL43-V43</f>
        <v>9.6331816089857867</v>
      </c>
      <c r="AO43">
        <f t="shared" ref="AO43:AO48" si="18">AM43</f>
        <v>3.182954072624989E-2</v>
      </c>
    </row>
    <row r="44" spans="1:42">
      <c r="A44" t="s">
        <v>0</v>
      </c>
      <c r="B44">
        <v>3</v>
      </c>
      <c r="C44" t="s">
        <v>17</v>
      </c>
      <c r="D44">
        <v>2</v>
      </c>
      <c r="E44">
        <v>3</v>
      </c>
      <c r="F44">
        <v>300</v>
      </c>
      <c r="G44" t="str">
        <f t="shared" si="12"/>
        <v>KN207-3-PS2-3-300-PIC</v>
      </c>
      <c r="H44" t="str">
        <f t="shared" si="13"/>
        <v>KN207-3-PS2-3-300-POC</v>
      </c>
      <c r="J44">
        <v>3</v>
      </c>
      <c r="K44">
        <v>47</v>
      </c>
      <c r="L44" s="2">
        <v>41283</v>
      </c>
      <c r="M44" s="2">
        <v>41290</v>
      </c>
      <c r="N44">
        <v>454.78</v>
      </c>
      <c r="O44">
        <v>233.02</v>
      </c>
      <c r="P44">
        <v>221.62</v>
      </c>
      <c r="Q44" s="4">
        <v>56.1</v>
      </c>
      <c r="R44" s="2">
        <v>41326</v>
      </c>
      <c r="S44" s="7">
        <f t="shared" si="14"/>
        <v>52.153333333333336</v>
      </c>
      <c r="T44" s="7">
        <f t="shared" si="15"/>
        <v>46.510000000000005</v>
      </c>
      <c r="U44">
        <f t="shared" si="16"/>
        <v>90.772542271049701</v>
      </c>
      <c r="V44">
        <f>(U44/1000)*(1/Constants!$B$1)*(1/Constants!$I$8)</f>
        <v>1.89394949714998</v>
      </c>
      <c r="AF44">
        <f>AD44-J44*Constants!$C$26</f>
        <v>-3.7151250004411418</v>
      </c>
      <c r="AG44">
        <f>SQRT(AE44^2+(Constants!$D$26*J44)^2)</f>
        <v>1.2335777533285075E-2</v>
      </c>
      <c r="AL44">
        <f>(AJ44/1000)*(1/Constants!$B$1)*(1/Constants!$I$8)</f>
        <v>0</v>
      </c>
      <c r="AM44">
        <f>(AK44/1000)*(1/Constants!$B$1)*(1/Constants!$I$8)</f>
        <v>0</v>
      </c>
      <c r="AN44">
        <f t="shared" si="17"/>
        <v>-1.89394949714998</v>
      </c>
      <c r="AO44">
        <f t="shared" si="18"/>
        <v>0</v>
      </c>
      <c r="AP44" t="s">
        <v>101</v>
      </c>
    </row>
    <row r="45" spans="1:42">
      <c r="A45" t="s">
        <v>0</v>
      </c>
      <c r="B45">
        <v>3</v>
      </c>
      <c r="C45" t="s">
        <v>17</v>
      </c>
      <c r="D45">
        <v>2</v>
      </c>
      <c r="E45">
        <v>4</v>
      </c>
      <c r="F45">
        <v>300</v>
      </c>
      <c r="G45" t="str">
        <f t="shared" si="12"/>
        <v>KN207-3-PS2-4-300-PIC</v>
      </c>
      <c r="H45" t="str">
        <f t="shared" si="13"/>
        <v>KN207-3-PS2-4-300-POC</v>
      </c>
      <c r="J45">
        <v>6</v>
      </c>
      <c r="K45">
        <v>47</v>
      </c>
      <c r="L45" s="2">
        <v>41283</v>
      </c>
      <c r="M45" s="2">
        <v>41290</v>
      </c>
      <c r="N45">
        <v>909.41</v>
      </c>
      <c r="O45">
        <v>407.49</v>
      </c>
      <c r="P45">
        <v>502.03</v>
      </c>
      <c r="Q45" s="4">
        <v>86.97</v>
      </c>
      <c r="R45" s="2">
        <v>41326</v>
      </c>
      <c r="S45" s="7">
        <f t="shared" si="14"/>
        <v>83.023333333333326</v>
      </c>
      <c r="T45" s="7">
        <f t="shared" si="15"/>
        <v>77.38</v>
      </c>
      <c r="U45">
        <f t="shared" si="16"/>
        <v>172.69171218925618</v>
      </c>
      <c r="V45">
        <f>(U45/1000)*(1/Constants!$B$1)*(1/Constants!$I$8)</f>
        <v>3.6031752915564623</v>
      </c>
      <c r="AF45">
        <f>AD45-J45*Constants!$C$26</f>
        <v>-7.4302500008822836</v>
      </c>
      <c r="AG45">
        <f>SQRT(AE45^2+(Constants!$D$26*J45)^2)</f>
        <v>2.467155506657015E-2</v>
      </c>
      <c r="AL45">
        <f>(AJ45/1000)*(1/Constants!$B$1)*(1/Constants!$I$8)</f>
        <v>0</v>
      </c>
      <c r="AM45">
        <f>(AK45/1000)*(1/Constants!$B$1)*(1/Constants!$I$8)</f>
        <v>0</v>
      </c>
      <c r="AN45">
        <f t="shared" si="17"/>
        <v>-3.6031752915564623</v>
      </c>
      <c r="AO45">
        <f t="shared" si="18"/>
        <v>0</v>
      </c>
      <c r="AP45" t="s">
        <v>102</v>
      </c>
    </row>
    <row r="46" spans="1:42">
      <c r="A46" t="s">
        <v>0</v>
      </c>
      <c r="B46">
        <v>3</v>
      </c>
      <c r="C46" t="s">
        <v>17</v>
      </c>
      <c r="D46">
        <v>2</v>
      </c>
      <c r="E46">
        <v>6</v>
      </c>
      <c r="F46">
        <v>150</v>
      </c>
      <c r="G46" t="str">
        <f t="shared" si="12"/>
        <v>KN207-3-PS2-6-150-PIC</v>
      </c>
      <c r="H46" t="str">
        <f t="shared" si="13"/>
        <v>KN207-3-PS2-6-150-POC</v>
      </c>
      <c r="J46">
        <v>5</v>
      </c>
      <c r="K46">
        <v>47</v>
      </c>
      <c r="L46" s="2">
        <v>41283</v>
      </c>
      <c r="M46" s="2">
        <v>41290</v>
      </c>
      <c r="N46">
        <v>789.85</v>
      </c>
      <c r="O46">
        <v>370.03</v>
      </c>
      <c r="P46">
        <v>420.02</v>
      </c>
      <c r="Q46" s="4">
        <v>166.54</v>
      </c>
      <c r="R46" s="2">
        <v>41326</v>
      </c>
      <c r="S46" s="7">
        <f t="shared" si="14"/>
        <v>162.59333333333333</v>
      </c>
      <c r="T46" s="7">
        <f t="shared" si="15"/>
        <v>156.94999999999999</v>
      </c>
      <c r="U46">
        <f t="shared" si="16"/>
        <v>335.01866740534552</v>
      </c>
      <c r="V46">
        <f>(U46/1000)*(1/Constants!$B$1)*(1/Constants!$I$8)</f>
        <v>6.9900921665667148</v>
      </c>
      <c r="W46" s="2">
        <v>41538</v>
      </c>
      <c r="X46">
        <v>-2.0099999999999998</v>
      </c>
      <c r="Y46">
        <v>-1.33</v>
      </c>
      <c r="Z46">
        <v>73.17</v>
      </c>
      <c r="AA46">
        <v>25</v>
      </c>
      <c r="AB46" t="s">
        <v>66</v>
      </c>
      <c r="AC46" t="s">
        <v>132</v>
      </c>
      <c r="AD46">
        <f>((Z46-X46)*(Constants!$C$15/1000)*10^6)/(62.364*(273.15+AA46))</f>
        <v>73.062023714903333</v>
      </c>
      <c r="AE46">
        <f>AD46-((Z46-X46)*((Constants!$C$15-Constants!$E$15)/1000)*10^6)/(62.364*(273.15+AA46))</f>
        <v>0.24259664764217348</v>
      </c>
      <c r="AF46">
        <f>AD46-J46*Constants!$C$26</f>
        <v>66.870148714168096</v>
      </c>
      <c r="AG46">
        <f>SQRT(AE46^2+(Constants!$D$26*J46)^2)</f>
        <v>0.24346628473152668</v>
      </c>
      <c r="AH46">
        <f>AF46-$AF$55</f>
        <v>60.512506981129711</v>
      </c>
      <c r="AI46">
        <f>SQRT(AG46^2+$AG$55^2)</f>
        <v>0.24480377350606275</v>
      </c>
      <c r="AJ46">
        <f>(N46*AH46*12.01)/P46</f>
        <v>1366.6673056162424</v>
      </c>
      <c r="AK46">
        <f>12.01*AI46</f>
        <v>2.9400933198078136</v>
      </c>
      <c r="AL46">
        <f>(AJ46/1000)*(1/Constants!$B$1)*(1/Constants!$I$8)</f>
        <v>28.515218275083214</v>
      </c>
      <c r="AM46">
        <f>(AK46/1000)*(1/Constants!$B$1)*(1/Constants!$I$8)</f>
        <v>6.1344412366425058E-2</v>
      </c>
      <c r="AN46">
        <f t="shared" si="17"/>
        <v>21.525126108516499</v>
      </c>
      <c r="AO46">
        <f t="shared" si="18"/>
        <v>6.1344412366425058E-2</v>
      </c>
    </row>
    <row r="47" spans="1:42">
      <c r="A47" t="s">
        <v>0</v>
      </c>
      <c r="B47">
        <v>3</v>
      </c>
      <c r="C47" t="s">
        <v>17</v>
      </c>
      <c r="D47">
        <v>2</v>
      </c>
      <c r="E47">
        <v>7</v>
      </c>
      <c r="F47">
        <v>150</v>
      </c>
      <c r="G47" t="str">
        <f t="shared" si="12"/>
        <v>KN207-3-PS2-7-150-PIC</v>
      </c>
      <c r="H47" t="str">
        <f t="shared" si="13"/>
        <v>KN207-3-PS2-7-150-POC</v>
      </c>
      <c r="J47">
        <v>3</v>
      </c>
      <c r="K47">
        <v>47</v>
      </c>
      <c r="L47" s="2">
        <v>41283</v>
      </c>
      <c r="M47" s="2">
        <v>41290</v>
      </c>
      <c r="N47">
        <v>462.07</v>
      </c>
      <c r="O47">
        <v>229.86</v>
      </c>
      <c r="P47">
        <v>232.05</v>
      </c>
      <c r="Q47" s="4">
        <v>143.79</v>
      </c>
      <c r="R47" s="2">
        <v>41326</v>
      </c>
      <c r="S47" s="7">
        <f t="shared" si="14"/>
        <v>139.84333333333333</v>
      </c>
      <c r="T47" s="7">
        <f t="shared" si="15"/>
        <v>134.19999999999999</v>
      </c>
      <c r="U47">
        <f t="shared" si="16"/>
        <v>269.77200904898632</v>
      </c>
      <c r="V47">
        <f>(U47/1000)*(1/Constants!$B$1)*(1/Constants!$I$8)</f>
        <v>5.6287347263867584</v>
      </c>
      <c r="W47" s="2">
        <v>41538</v>
      </c>
      <c r="X47">
        <v>-2</v>
      </c>
      <c r="Y47">
        <v>-1.73</v>
      </c>
      <c r="Z47">
        <v>35.9</v>
      </c>
      <c r="AA47">
        <v>25</v>
      </c>
      <c r="AB47" t="s">
        <v>66</v>
      </c>
      <c r="AC47" t="s">
        <v>132</v>
      </c>
      <c r="AD47">
        <f>((Z47-X47)*(Constants!$C$15/1000)*10^6)/(62.364*(273.15+AA47))</f>
        <v>36.832278515493954</v>
      </c>
      <c r="AE47">
        <f>AD47-((Z47-X47)*((Constants!$C$15-Constants!$E$15)/1000)*10^6)/(62.364*(273.15+AA47))</f>
        <v>0.12229865583450561</v>
      </c>
      <c r="AF47">
        <f>AD47-J47*Constants!$C$26</f>
        <v>33.117153515052813</v>
      </c>
      <c r="AG47">
        <f>SQRT(AE47^2+(Constants!$D$26*J47)^2)</f>
        <v>0.12291921178675673</v>
      </c>
      <c r="AH47">
        <f>AF47-$AF$55</f>
        <v>26.759511782014428</v>
      </c>
      <c r="AI47">
        <f>SQRT(AG47^2+$AG$55^2)</f>
        <v>0.12554755413034699</v>
      </c>
      <c r="AJ47">
        <f>(N47*AH47*12.01)/P47</f>
        <v>639.95198873292827</v>
      </c>
      <c r="AK47">
        <f>12.01*AI47</f>
        <v>1.5078261251054672</v>
      </c>
      <c r="AL47">
        <f>(AJ47/1000)*(1/Constants!$B$1)*(1/Constants!$I$8)</f>
        <v>13.352460082495856</v>
      </c>
      <c r="AM47">
        <f>(AK47/1000)*(1/Constants!$B$1)*(1/Constants!$I$8)</f>
        <v>3.1460466568246512E-2</v>
      </c>
      <c r="AN47">
        <f t="shared" si="17"/>
        <v>7.7237253561090977</v>
      </c>
      <c r="AO47">
        <f t="shared" si="18"/>
        <v>3.1460466568246512E-2</v>
      </c>
    </row>
    <row r="48" spans="1:42">
      <c r="A48" t="s">
        <v>0</v>
      </c>
      <c r="B48">
        <v>3</v>
      </c>
      <c r="C48" t="s">
        <v>17</v>
      </c>
      <c r="D48">
        <v>2</v>
      </c>
      <c r="E48">
        <v>8</v>
      </c>
      <c r="F48">
        <v>150</v>
      </c>
      <c r="G48" t="str">
        <f t="shared" si="12"/>
        <v>KN207-3-PS2-8-150-PIC</v>
      </c>
      <c r="H48" t="str">
        <f t="shared" si="13"/>
        <v>KN207-3-PS2-8-150-POC</v>
      </c>
      <c r="J48">
        <v>3</v>
      </c>
      <c r="K48">
        <v>47</v>
      </c>
      <c r="L48" s="2">
        <v>41283</v>
      </c>
      <c r="M48" s="2">
        <v>41290</v>
      </c>
      <c r="N48">
        <v>471.45</v>
      </c>
      <c r="O48">
        <v>245.64</v>
      </c>
      <c r="P48">
        <v>226.05</v>
      </c>
      <c r="Q48" s="4">
        <v>155.97999999999999</v>
      </c>
      <c r="R48" s="3">
        <v>41326</v>
      </c>
      <c r="S48" s="7">
        <f t="shared" si="14"/>
        <v>152.03333333333333</v>
      </c>
      <c r="T48" s="7">
        <f t="shared" si="15"/>
        <v>146.38999999999999</v>
      </c>
      <c r="U48">
        <f t="shared" si="16"/>
        <v>280.96224352711283</v>
      </c>
      <c r="V48">
        <f>(U48/1000)*(1/Constants!$B$1)*(1/Constants!$I$8)</f>
        <v>5.8622165528575101</v>
      </c>
      <c r="W48" s="2">
        <v>41538</v>
      </c>
      <c r="X48">
        <v>-2</v>
      </c>
      <c r="Y48">
        <v>-1.42</v>
      </c>
      <c r="Z48">
        <v>60.24</v>
      </c>
      <c r="AA48">
        <v>25</v>
      </c>
      <c r="AB48" t="s">
        <v>66</v>
      </c>
      <c r="AC48" t="s">
        <v>132</v>
      </c>
      <c r="AD48">
        <f>((Z48-X48)*(Constants!$C$15/1000)*10^6)/(62.364*(273.15+AA48))</f>
        <v>60.48657031146027</v>
      </c>
      <c r="AE48">
        <f>AD48-((Z48-X48)*((Constants!$C$15-Constants!$E$15)/1000)*10^6)/(62.364*(273.15+AA48))</f>
        <v>0.20084085327545864</v>
      </c>
      <c r="AF48">
        <f>AD48-J48*Constants!$C$26</f>
        <v>56.771445311019129</v>
      </c>
      <c r="AG48">
        <f>SQRT(AE48^2+(Constants!$D$26*J48)^2)</f>
        <v>0.20121933245035131</v>
      </c>
      <c r="AH48">
        <f>AF48-$AF$55</f>
        <v>50.413803577980744</v>
      </c>
      <c r="AI48">
        <f>SQRT(AG48^2+$AG$55^2)</f>
        <v>0.20283558729572052</v>
      </c>
      <c r="AJ48">
        <f>(N48*AH48*12.01)/P48</f>
        <v>1262.7680966115311</v>
      </c>
      <c r="AK48">
        <f>12.01*AI48</f>
        <v>2.4360554034216033</v>
      </c>
      <c r="AL48">
        <f>(AJ48/1000)*(1/Constants!$B$1)*(1/Constants!$I$8)</f>
        <v>26.347383710516734</v>
      </c>
      <c r="AM48">
        <f>(AK48/1000)*(1/Constants!$B$1)*(1/Constants!$I$8)</f>
        <v>5.0827770060278638E-2</v>
      </c>
      <c r="AN48">
        <f t="shared" si="17"/>
        <v>20.485167157659223</v>
      </c>
      <c r="AO48">
        <f t="shared" si="18"/>
        <v>5.0827770060278638E-2</v>
      </c>
    </row>
    <row r="49" spans="1:42">
      <c r="A49" t="s">
        <v>0</v>
      </c>
      <c r="B49">
        <v>3</v>
      </c>
      <c r="C49" t="s">
        <v>17</v>
      </c>
      <c r="D49">
        <v>2</v>
      </c>
      <c r="E49">
        <v>5</v>
      </c>
      <c r="F49">
        <v>150</v>
      </c>
      <c r="I49" t="s">
        <v>52</v>
      </c>
      <c r="K49">
        <v>47</v>
      </c>
      <c r="N49" s="1" t="s">
        <v>2</v>
      </c>
      <c r="T49" s="7"/>
    </row>
    <row r="50" spans="1:42">
      <c r="A50" t="s">
        <v>0</v>
      </c>
      <c r="B50">
        <v>3</v>
      </c>
      <c r="C50" t="s">
        <v>17</v>
      </c>
      <c r="D50">
        <v>2</v>
      </c>
      <c r="E50">
        <v>11</v>
      </c>
      <c r="F50">
        <v>50</v>
      </c>
      <c r="G50" t="str">
        <f>CONCATENATE(A50,"-",B50,"-",C50,D50,"-",E50,"-",F50,"-","PIC")</f>
        <v>KN207-3-PS2-11-50-PIC</v>
      </c>
      <c r="H50" t="str">
        <f>CONCATENATE(A50,"-",B50,"-",C50,D50,"-",E50,"-",F50,"-","POC")</f>
        <v>KN207-3-PS2-11-50-POC</v>
      </c>
      <c r="I50" t="s">
        <v>39</v>
      </c>
      <c r="J50">
        <v>3</v>
      </c>
      <c r="K50">
        <v>47</v>
      </c>
      <c r="L50" s="2">
        <v>41283</v>
      </c>
      <c r="M50" s="2">
        <v>41290</v>
      </c>
      <c r="N50">
        <v>487.19</v>
      </c>
      <c r="O50">
        <v>237.3</v>
      </c>
      <c r="P50">
        <v>249.45</v>
      </c>
      <c r="Q50" s="5">
        <v>176.92</v>
      </c>
      <c r="R50" s="3">
        <v>41326</v>
      </c>
      <c r="S50" s="7">
        <f t="shared" ref="S50:S52" si="19">Q50-((SUM($Q$88:$Q$90))/3)</f>
        <v>172.97333333333333</v>
      </c>
      <c r="T50" s="7">
        <f>S50-$S$54</f>
        <v>167.32999999999998</v>
      </c>
      <c r="U50">
        <f>(N50*T50)/O50</f>
        <v>343.53772734934677</v>
      </c>
      <c r="V50">
        <f>(U50/1000)*(1/Constants!$B$1)*(1/Constants!$I$9)</f>
        <v>7.1036700519085487</v>
      </c>
      <c r="W50" s="2">
        <v>41538</v>
      </c>
      <c r="X50">
        <v>-2</v>
      </c>
      <c r="Y50">
        <v>1.58</v>
      </c>
      <c r="Z50">
        <v>105.86</v>
      </c>
      <c r="AA50">
        <v>25</v>
      </c>
      <c r="AB50" t="s">
        <v>72</v>
      </c>
      <c r="AC50" t="s">
        <v>132</v>
      </c>
      <c r="AD50">
        <f>((Z50-X50)*(Constants!$C$19/1000)*10^6)/(62.364*(273.15+AA50))</f>
        <v>175.01164606966921</v>
      </c>
      <c r="AE50">
        <f>AD50-((Z50-X50)*((Constants!$C$19-Constants!$E$19)/1000)*10^6)/(62.364*(273.15+AA50))</f>
        <v>0.5220765046824738</v>
      </c>
      <c r="AF50">
        <f>AD50-J50*Constants!$C$26</f>
        <v>171.29652106922808</v>
      </c>
      <c r="AG50">
        <f>SQRT(AE50^2+(Constants!$D$26*J50)^2)</f>
        <v>0.52222222104083216</v>
      </c>
      <c r="AH50">
        <f>AF50-$AF$55</f>
        <v>164.9388793361897</v>
      </c>
      <c r="AI50">
        <f>SQRT(AG50^2+$AG$55^2)</f>
        <v>0.5228471132851884</v>
      </c>
      <c r="AJ50">
        <f>(N50*AH50*12.01)/P50</f>
        <v>3868.8411994861381</v>
      </c>
      <c r="AK50">
        <f>12.01*AI50</f>
        <v>6.2793938305551125</v>
      </c>
      <c r="AL50">
        <f>(AJ50/1000)*(1/Constants!$B$1)*(1/Constants!$I$9)</f>
        <v>79.999863701816736</v>
      </c>
      <c r="AM50">
        <f>(AK50/1000)*(1/Constants!$B$1)*(1/Constants!$I$9)</f>
        <v>0.12984524943571232</v>
      </c>
      <c r="AN50">
        <f>AL50-V50</f>
        <v>72.896193649908184</v>
      </c>
      <c r="AO50">
        <f>AM50</f>
        <v>0.12984524943571232</v>
      </c>
    </row>
    <row r="51" spans="1:42">
      <c r="A51" t="s">
        <v>0</v>
      </c>
      <c r="B51">
        <v>3</v>
      </c>
      <c r="C51" t="s">
        <v>17</v>
      </c>
      <c r="D51">
        <v>2</v>
      </c>
      <c r="E51">
        <v>12</v>
      </c>
      <c r="F51">
        <v>50</v>
      </c>
      <c r="G51" t="str">
        <f>CONCATENATE(A51,"-",B51,"-",C51,D51,"-",E51,"-",F51,"-","PIC")</f>
        <v>KN207-3-PS2-12-50-PIC</v>
      </c>
      <c r="H51" t="str">
        <f>CONCATENATE(A51,"-",B51,"-",C51,D51,"-",E51,"-",F51,"-","POC")</f>
        <v>KN207-3-PS2-12-50-POC</v>
      </c>
      <c r="I51" t="s">
        <v>53</v>
      </c>
      <c r="J51">
        <v>2</v>
      </c>
      <c r="K51">
        <v>47</v>
      </c>
      <c r="L51" s="2">
        <v>41283</v>
      </c>
      <c r="M51" s="2">
        <v>41290</v>
      </c>
      <c r="N51">
        <v>326.52</v>
      </c>
      <c r="O51">
        <v>171.37</v>
      </c>
      <c r="P51">
        <v>155.29</v>
      </c>
      <c r="Q51" s="5">
        <v>196.77</v>
      </c>
      <c r="R51" s="3">
        <v>41326</v>
      </c>
      <c r="S51" s="7">
        <f t="shared" si="19"/>
        <v>192.82333333333335</v>
      </c>
      <c r="T51" s="7">
        <f>S51-$S$54</f>
        <v>187.18</v>
      </c>
      <c r="U51">
        <f>(N51*T51)/O51</f>
        <v>356.64359922973682</v>
      </c>
      <c r="V51">
        <f>(U51/1000)*(1/Constants!$B$1)*(1/Constants!$I$9)</f>
        <v>7.3746731533705399</v>
      </c>
      <c r="W51" s="2">
        <v>41540</v>
      </c>
      <c r="X51">
        <v>-2.12</v>
      </c>
      <c r="Y51">
        <v>1.02</v>
      </c>
      <c r="Z51">
        <v>79.67</v>
      </c>
      <c r="AA51">
        <v>24</v>
      </c>
      <c r="AB51" t="s">
        <v>72</v>
      </c>
      <c r="AC51" t="s">
        <v>132</v>
      </c>
      <c r="AD51">
        <f>((Z51-X51)*(Constants!$C$19/1000)*10^6)/(62.364*(273.15+AA51))</f>
        <v>133.15755767707191</v>
      </c>
      <c r="AE51">
        <f>AD51-((Z51-X51)*((Constants!$C$19-Constants!$E$19)/1000)*10^6)/(62.364*(273.15+AA51))</f>
        <v>0.39722174978248859</v>
      </c>
      <c r="AF51">
        <f>AD51-J51*Constants!$C$26</f>
        <v>130.68080767677782</v>
      </c>
      <c r="AG51">
        <f>SQRT(AE51^2+(Constants!$D$26*J51)^2)</f>
        <v>0.39730687162049222</v>
      </c>
      <c r="AH51">
        <f>AF51-$AF$55</f>
        <v>124.32316594373944</v>
      </c>
      <c r="AI51">
        <f>SQRT(AG51^2+$AG$55^2)</f>
        <v>0.39812787638985686</v>
      </c>
      <c r="AJ51">
        <f>(N51*AH51*12.01)/P51</f>
        <v>3139.5063541041736</v>
      </c>
      <c r="AK51">
        <f>12.01*AI51</f>
        <v>4.7815157954421812</v>
      </c>
      <c r="AL51">
        <f>(AJ51/1000)*(1/Constants!$B$1)*(1/Constants!$I$9)</f>
        <v>64.91868429561822</v>
      </c>
      <c r="AM51">
        <f>(AK51/1000)*(1/Constants!$B$1)*(1/Constants!$I$9)</f>
        <v>9.8872140829730878E-2</v>
      </c>
      <c r="AN51">
        <f>AL51-V51</f>
        <v>57.544011142247683</v>
      </c>
      <c r="AO51">
        <f>AM51</f>
        <v>9.8872140829730878E-2</v>
      </c>
    </row>
    <row r="52" spans="1:42">
      <c r="A52" t="s">
        <v>0</v>
      </c>
      <c r="B52">
        <v>3</v>
      </c>
      <c r="C52" t="s">
        <v>17</v>
      </c>
      <c r="D52">
        <v>2</v>
      </c>
      <c r="E52">
        <v>15</v>
      </c>
      <c r="F52">
        <v>50</v>
      </c>
      <c r="G52" t="str">
        <f>CONCATENATE(A52,"-",B52,"-",C52,D52,"-",E52,"-",F52,"-","PIC")</f>
        <v>KN207-3-PS2-15-50-PIC</v>
      </c>
      <c r="H52" t="str">
        <f>CONCATENATE(A52,"-",B52,"-",C52,D52,"-",E52,"-",F52,"-","POC")</f>
        <v>KN207-3-PS2-15-50-POC</v>
      </c>
      <c r="I52" s="1" t="s">
        <v>53</v>
      </c>
      <c r="J52">
        <v>2</v>
      </c>
      <c r="K52">
        <v>47</v>
      </c>
      <c r="L52" s="2">
        <v>41283</v>
      </c>
      <c r="M52" s="2">
        <v>41290</v>
      </c>
      <c r="N52">
        <v>322.73</v>
      </c>
      <c r="O52">
        <v>145.91</v>
      </c>
      <c r="P52">
        <v>176.63</v>
      </c>
      <c r="Q52" s="5">
        <v>177.24</v>
      </c>
      <c r="R52" s="3">
        <v>41326</v>
      </c>
      <c r="S52" s="7">
        <f t="shared" si="19"/>
        <v>173.29333333333335</v>
      </c>
      <c r="T52" s="7">
        <f>S52-$S$54</f>
        <v>167.65</v>
      </c>
      <c r="U52">
        <f>(N52*T52)/O52</f>
        <v>370.81546501267906</v>
      </c>
      <c r="V52">
        <f>(U52/1000)*(1/Constants!$B$1)*(1/Constants!$I$9)</f>
        <v>7.6677188672102305</v>
      </c>
      <c r="W52" s="2">
        <v>41540</v>
      </c>
      <c r="X52">
        <v>-2.12</v>
      </c>
      <c r="Y52">
        <v>0.63</v>
      </c>
      <c r="Z52">
        <v>75.13</v>
      </c>
      <c r="AA52">
        <v>24</v>
      </c>
      <c r="AB52" t="s">
        <v>72</v>
      </c>
      <c r="AC52" t="s">
        <v>132</v>
      </c>
      <c r="AD52">
        <f>((Z52-X52)*(Constants!$C$19/1000)*10^6)/(62.364*(273.15+AA52))</f>
        <v>125.76624685846438</v>
      </c>
      <c r="AE52">
        <f>AD52-((Z52-X52)*((Constants!$C$19-Constants!$E$19)/1000)*10^6)/(62.364*(273.15+AA52))</f>
        <v>0.3751727615930065</v>
      </c>
      <c r="AF52">
        <f>AD52-J52*Constants!$C$26</f>
        <v>123.2894968581703</v>
      </c>
      <c r="AG52">
        <f>SQRT(AE52^2+(Constants!$D$26*J52)^2)</f>
        <v>0.37526288489260862</v>
      </c>
      <c r="AH52">
        <f>AF52-$AF$55</f>
        <v>116.93185512513192</v>
      </c>
      <c r="AI52">
        <f>SQRT(AG52^2+$AG$55^2)</f>
        <v>0.37613200940595054</v>
      </c>
      <c r="AJ52">
        <f>(N52*AH52*12.01)/P52</f>
        <v>2565.9649291199189</v>
      </c>
      <c r="AK52">
        <f>12.01*AI52</f>
        <v>4.5173454329654659</v>
      </c>
      <c r="AL52">
        <f>(AJ52/1000)*(1/Constants!$B$1)*(1/Constants!$I$9)</f>
        <v>53.058999842252611</v>
      </c>
      <c r="AM52">
        <f>(AK52/1000)*(1/Constants!$B$1)*(1/Constants!$I$9)</f>
        <v>9.3409628438422682E-2</v>
      </c>
      <c r="AN52">
        <f>AL52-V52</f>
        <v>45.391280975042378</v>
      </c>
      <c r="AO52">
        <f>AM52</f>
        <v>9.3409628438422682E-2</v>
      </c>
    </row>
    <row r="53" spans="1:42">
      <c r="A53" t="s">
        <v>0</v>
      </c>
      <c r="B53">
        <v>3</v>
      </c>
      <c r="C53" t="s">
        <v>17</v>
      </c>
      <c r="D53">
        <v>2</v>
      </c>
      <c r="E53">
        <v>14</v>
      </c>
      <c r="F53">
        <v>50</v>
      </c>
      <c r="I53" s="1" t="s">
        <v>39</v>
      </c>
      <c r="K53">
        <v>47</v>
      </c>
      <c r="N53" t="s">
        <v>2</v>
      </c>
      <c r="T53" s="7"/>
    </row>
    <row r="54" spans="1:42">
      <c r="A54" t="s">
        <v>0</v>
      </c>
      <c r="B54">
        <v>3</v>
      </c>
      <c r="C54" t="s">
        <v>17</v>
      </c>
      <c r="D54">
        <v>2</v>
      </c>
      <c r="E54">
        <v>13</v>
      </c>
      <c r="F54" t="s">
        <v>10</v>
      </c>
      <c r="G54" t="str">
        <f>CONCATENATE(A54,"-",B54,"-",C54,D54,"-",E54,"-",F54,"-","PIC")</f>
        <v>KN207-3-PS2-13-TUBE BLANK-PIC</v>
      </c>
      <c r="H54" t="str">
        <f>CONCATENATE(A54,"-",B54,"-",C54,D54,"-",E54,"-",F54,"-","POC")</f>
        <v>KN207-3-PS2-13-TUBE BLANK-POC</v>
      </c>
      <c r="J54">
        <v>1</v>
      </c>
      <c r="K54">
        <v>47</v>
      </c>
      <c r="L54" s="2">
        <v>41283</v>
      </c>
      <c r="M54" s="2">
        <v>41290</v>
      </c>
      <c r="N54">
        <v>164.83</v>
      </c>
      <c r="O54">
        <v>97.81</v>
      </c>
      <c r="P54">
        <v>67.040000000000006</v>
      </c>
      <c r="Q54" s="5">
        <v>9.59</v>
      </c>
      <c r="R54" s="3">
        <v>41326</v>
      </c>
      <c r="S54" s="7">
        <f t="shared" ref="S54:S56" si="20">Q54-((SUM($Q$88:$Q$90))/3)</f>
        <v>5.6433333333333326</v>
      </c>
      <c r="T54" s="7">
        <f>S54-$S$54</f>
        <v>0</v>
      </c>
      <c r="U54">
        <f>(N54*T54)/O54</f>
        <v>0</v>
      </c>
      <c r="V54">
        <f>(U54/1000)*(1/Constants!$B$1)*(1/Constants!$I$8)</f>
        <v>0</v>
      </c>
      <c r="X54">
        <v>-2.12</v>
      </c>
      <c r="Y54">
        <v>-0.42</v>
      </c>
      <c r="Z54">
        <v>59.16</v>
      </c>
      <c r="AA54">
        <v>24</v>
      </c>
      <c r="AB54" t="s">
        <v>66</v>
      </c>
      <c r="AC54" t="s">
        <v>132</v>
      </c>
      <c r="AD54">
        <f>((Z54-X54)*(Constants!$C$15/1000)*10^6)/(62.364*(273.15+AA54))</f>
        <v>59.754031503158309</v>
      </c>
      <c r="AE54">
        <f>AD54-((Z54-X54)*((Constants!$C$15-Constants!$E$15)/1000)*10^6)/(62.364*(273.15+AA54))</f>
        <v>0.1984085163358813</v>
      </c>
      <c r="AF54">
        <f>AD54-J54*Constants!$C$26</f>
        <v>58.515656503011265</v>
      </c>
      <c r="AG54">
        <f>SQRT(AE54^2+(Constants!$D$26*J54)^2)</f>
        <v>0.19845112065381681</v>
      </c>
      <c r="AH54">
        <f>AF54-$AF$55</f>
        <v>52.15801476997288</v>
      </c>
      <c r="AI54">
        <f>SQRT(AG54^2+$AG$55^2)</f>
        <v>0.20008973739447664</v>
      </c>
      <c r="AJ54">
        <f>(N54*AH54*12.01)/P54</f>
        <v>1540.1616788508486</v>
      </c>
      <c r="AK54">
        <f>12.01*AI54</f>
        <v>2.4030777461076642</v>
      </c>
      <c r="AL54">
        <f>(AJ54/1000)*(1/Constants!$B$1)*(1/Constants!$I$8)</f>
        <v>32.135140916060422</v>
      </c>
      <c r="AM54">
        <f>(AK54/1000)*(1/Constants!$B$1)*(1/Constants!$I$8)</f>
        <v>5.0139698360133704E-2</v>
      </c>
      <c r="AN54">
        <f>AL54-V54</f>
        <v>32.135140916060422</v>
      </c>
      <c r="AO54">
        <f>AM54</f>
        <v>5.0139698360133704E-2</v>
      </c>
      <c r="AP54" t="s">
        <v>99</v>
      </c>
    </row>
    <row r="55" spans="1:42">
      <c r="A55" t="s">
        <v>0</v>
      </c>
      <c r="B55">
        <v>3</v>
      </c>
      <c r="C55" t="s">
        <v>17</v>
      </c>
      <c r="D55">
        <v>2</v>
      </c>
      <c r="G55" t="s">
        <v>139</v>
      </c>
      <c r="L55" s="2"/>
      <c r="M55" s="2"/>
      <c r="Q55" s="5"/>
      <c r="R55" s="3"/>
      <c r="S55" s="7"/>
      <c r="T55" s="7"/>
      <c r="AF55">
        <f>AF69</f>
        <v>6.3576417330383839</v>
      </c>
      <c r="AG55">
        <f>AG69</f>
        <v>2.5554954937053877E-2</v>
      </c>
      <c r="AH55">
        <f>AF55-$AF$55</f>
        <v>0</v>
      </c>
      <c r="AI55">
        <f>SQRT(AG55^2+$AG$55^2)</f>
        <v>3.6140163857814878E-2</v>
      </c>
    </row>
    <row r="56" spans="1:42">
      <c r="A56" t="s">
        <v>0</v>
      </c>
      <c r="B56">
        <v>3</v>
      </c>
      <c r="C56" t="s">
        <v>17</v>
      </c>
      <c r="D56">
        <v>2</v>
      </c>
      <c r="E56" t="s">
        <v>19</v>
      </c>
      <c r="G56" t="str">
        <f>CONCATENATE(A56,"-",B56,"-",C56,D56,"-",E56,"-",F56,"-","PIC")</f>
        <v>KN207-3-PS2-FILTER BLANK--PIC</v>
      </c>
      <c r="H56" t="str">
        <f>CONCATENATE(A56,"-",B56,"-",C56,D56,"-",E56,"-",F56,"-","POC")</f>
        <v>KN207-3-PS2-FILTER BLANK--POC</v>
      </c>
      <c r="J56">
        <v>1</v>
      </c>
      <c r="K56">
        <v>47</v>
      </c>
      <c r="L56" s="2">
        <v>41283</v>
      </c>
      <c r="M56" s="2">
        <v>41290</v>
      </c>
      <c r="N56">
        <v>127.92</v>
      </c>
      <c r="O56">
        <v>61.09</v>
      </c>
      <c r="P56">
        <v>66.72</v>
      </c>
      <c r="Q56" s="4">
        <v>3.95</v>
      </c>
      <c r="R56" s="3">
        <v>41326</v>
      </c>
      <c r="S56" s="7">
        <f t="shared" si="20"/>
        <v>3.3333333333334103E-3</v>
      </c>
      <c r="T56" s="7"/>
      <c r="X56">
        <v>-2.11</v>
      </c>
      <c r="Y56">
        <v>-2.11</v>
      </c>
      <c r="Z56">
        <v>-1.67</v>
      </c>
      <c r="AA56">
        <v>24</v>
      </c>
      <c r="AB56" t="s">
        <v>66</v>
      </c>
      <c r="AC56" t="s">
        <v>132</v>
      </c>
      <c r="AD56">
        <f>((Z56-X56)*(Constants!$C$15/1000)*10^6)/(62.364*(273.15+AA56))</f>
        <v>0.42904330713755967</v>
      </c>
      <c r="AE56">
        <f>AD56-((Z56-X56)*((Constants!$C$15-Constants!$E$15)/1000)*10^6)/(62.364*(273.15+AA56))</f>
        <v>1.4246042295657513E-3</v>
      </c>
      <c r="AF56">
        <f>AD56-J56*Constants!$C$26</f>
        <v>-0.8093316930094876</v>
      </c>
      <c r="AG56">
        <f>SQRT(AE56^2+(Constants!$D$26*J56)^2)</f>
        <v>4.3517159099571859E-3</v>
      </c>
      <c r="AP56" t="s">
        <v>85</v>
      </c>
    </row>
    <row r="57" spans="1:42">
      <c r="A57" t="s">
        <v>0</v>
      </c>
      <c r="B57">
        <v>3</v>
      </c>
      <c r="C57" t="s">
        <v>17</v>
      </c>
      <c r="D57">
        <v>3</v>
      </c>
      <c r="E57">
        <v>4</v>
      </c>
      <c r="F57">
        <v>300</v>
      </c>
      <c r="K57">
        <v>47</v>
      </c>
      <c r="N57" t="s">
        <v>20</v>
      </c>
      <c r="T57" s="7"/>
    </row>
    <row r="58" spans="1:42">
      <c r="A58" t="s">
        <v>0</v>
      </c>
      <c r="B58">
        <v>3</v>
      </c>
      <c r="C58" t="s">
        <v>17</v>
      </c>
      <c r="D58">
        <v>3</v>
      </c>
      <c r="E58">
        <v>5</v>
      </c>
      <c r="F58">
        <v>300</v>
      </c>
      <c r="G58" t="str">
        <f>CONCATENATE(A58,"-",B58,"-",C58,D58,"-",E58,"-",F58,"-","PIC")</f>
        <v>KN207-3-PS3-5-300-PIC</v>
      </c>
      <c r="H58" t="str">
        <f>CONCATENATE(A58,"-",B58,"-",C58,D58,"-",E58,"-",F58,"-","POC")</f>
        <v>KN207-3-PS3-5-300-POC</v>
      </c>
      <c r="J58">
        <v>5</v>
      </c>
      <c r="K58">
        <v>47</v>
      </c>
      <c r="L58" s="2">
        <v>41291</v>
      </c>
      <c r="M58" s="2">
        <v>41292</v>
      </c>
      <c r="N58">
        <v>827.57</v>
      </c>
      <c r="O58">
        <v>429.1</v>
      </c>
      <c r="P58">
        <v>398.77</v>
      </c>
      <c r="Q58" s="4">
        <v>1482.5</v>
      </c>
      <c r="R58" s="3">
        <v>41326</v>
      </c>
      <c r="S58" s="7">
        <f t="shared" ref="S58:S62" si="21">Q58-((SUM($Q$88:$Q$90))/3)</f>
        <v>1478.5533333333333</v>
      </c>
      <c r="T58" s="7">
        <f>S58-$S$69</f>
        <v>1458.1833333333334</v>
      </c>
      <c r="U58">
        <f>(N58*T58)/O58</f>
        <v>2812.2786790181003</v>
      </c>
      <c r="V58">
        <f>(U58/1000)*(1/Constants!$B$1)*(1/Constants!$I$10)</f>
        <v>58.624629369490421</v>
      </c>
      <c r="W58" s="2">
        <v>41540</v>
      </c>
      <c r="X58">
        <v>-2.11</v>
      </c>
      <c r="Y58">
        <v>0.78</v>
      </c>
      <c r="Z58">
        <v>92.43</v>
      </c>
      <c r="AA58">
        <v>24</v>
      </c>
      <c r="AB58" t="s">
        <v>73</v>
      </c>
      <c r="AC58" t="s">
        <v>132</v>
      </c>
      <c r="AD58">
        <f>((Z58-X58)*(Constants!$C$20/1000)*10^6)/(62.364*(273.15+AA58))</f>
        <v>384.86425782711831</v>
      </c>
      <c r="AE58">
        <f>AD58-((Z58-X58)*((Constants!$C$20-Constants!$E$20)/1000)*10^6)/(62.364*(273.15+AA58))</f>
        <v>1.9386057525755973</v>
      </c>
      <c r="AF58">
        <f>AD58-J58*Constants!$C$26</f>
        <v>378.67238282638306</v>
      </c>
      <c r="AG58">
        <f>SQRT(AE58^2+(Constants!$D$26*J58)^2)</f>
        <v>1.938714770736776</v>
      </c>
      <c r="AH58">
        <f>AF58-$AF$69</f>
        <v>372.31474109334465</v>
      </c>
      <c r="AI58">
        <f>SQRT(AG58^2+$AG$69^2)</f>
        <v>1.9388831883315676</v>
      </c>
      <c r="AJ58">
        <f>(N58*AH58*12.01)/P58</f>
        <v>9279.7334015655579</v>
      </c>
      <c r="AK58">
        <f>12.01*AI58</f>
        <v>23.285987091862125</v>
      </c>
      <c r="AL58">
        <f>(AJ58/1000)*(1/Constants!$B$1)*(1/Constants!$I$10)</f>
        <v>193.44488701397293</v>
      </c>
      <c r="AM58">
        <f>(AK58/1000)*(1/Constants!$B$1)*(1/Constants!$I$10)</f>
        <v>0.48541859416286137</v>
      </c>
      <c r="AN58">
        <f>AL58-V58</f>
        <v>134.82025764448252</v>
      </c>
      <c r="AO58">
        <f>AM58</f>
        <v>0.48541859416286137</v>
      </c>
    </row>
    <row r="59" spans="1:42">
      <c r="A59" t="s">
        <v>0</v>
      </c>
      <c r="B59">
        <v>3</v>
      </c>
      <c r="C59" t="s">
        <v>17</v>
      </c>
      <c r="D59">
        <v>3</v>
      </c>
      <c r="E59">
        <v>6</v>
      </c>
      <c r="F59">
        <v>300</v>
      </c>
      <c r="G59" t="str">
        <f>CONCATENATE(A59,"-",B59,"-",C59,D59,"-",E59,"-",F59,"-","PIC")</f>
        <v>KN207-3-PS3-6-300-PIC</v>
      </c>
      <c r="H59" t="str">
        <f>CONCATENATE(A59,"-",B59,"-",C59,D59,"-",E59,"-",F59,"-","POC")</f>
        <v>KN207-3-PS3-6-300-POC</v>
      </c>
      <c r="J59">
        <v>4</v>
      </c>
      <c r="K59">
        <v>47</v>
      </c>
      <c r="L59" s="2">
        <v>41291</v>
      </c>
      <c r="M59" s="2">
        <v>41292</v>
      </c>
      <c r="N59">
        <v>701.36</v>
      </c>
      <c r="O59">
        <v>364.09</v>
      </c>
      <c r="P59">
        <v>337.2</v>
      </c>
      <c r="Q59" s="4">
        <v>2061.4899999999998</v>
      </c>
      <c r="R59" s="3">
        <v>41326</v>
      </c>
      <c r="S59" s="7">
        <f t="shared" si="21"/>
        <v>2057.5433333333331</v>
      </c>
      <c r="T59" s="7">
        <f>S59-$S$69</f>
        <v>2037.1733333333332</v>
      </c>
      <c r="U59">
        <f>(N59*T59)/O59</f>
        <v>3924.2821529475314</v>
      </c>
      <c r="V59">
        <f>(U59/1000)*(1/Constants!$B$1)*(1/Constants!$I$10)</f>
        <v>81.805401603435556</v>
      </c>
      <c r="W59" s="2">
        <v>41540</v>
      </c>
      <c r="X59">
        <v>-2.11</v>
      </c>
      <c r="Y59">
        <v>1.18</v>
      </c>
      <c r="Z59">
        <v>99.7</v>
      </c>
      <c r="AA59">
        <v>24</v>
      </c>
      <c r="AB59" t="s">
        <v>73</v>
      </c>
      <c r="AC59" t="s">
        <v>132</v>
      </c>
      <c r="AD59">
        <f>((Z59-X59)*(Constants!$C$20/1000)*10^6)/(62.364*(273.15+AA59))</f>
        <v>414.45980631879536</v>
      </c>
      <c r="AE59">
        <f>AD59-((Z59-X59)*((Constants!$C$20-Constants!$E$20)/1000)*10^6)/(62.364*(273.15+AA59))</f>
        <v>2.0876819512346287</v>
      </c>
      <c r="AF59">
        <f>AD59-J59*Constants!$C$26</f>
        <v>409.50630631820718</v>
      </c>
      <c r="AG59">
        <f>SQRT(AE59^2+(Constants!$D$26*J59)^2)</f>
        <v>2.0877467414553013</v>
      </c>
      <c r="AH59">
        <f>AF59-$AF$69</f>
        <v>403.14866458516877</v>
      </c>
      <c r="AI59">
        <f>SQRT(AG59^2+$AG$69^2)</f>
        <v>2.0879031376428991</v>
      </c>
      <c r="AJ59">
        <f>(N59*AH59*12.01)/P59</f>
        <v>10070.746418135772</v>
      </c>
      <c r="AK59">
        <f>12.01*AI59</f>
        <v>25.075716683091219</v>
      </c>
      <c r="AL59">
        <f>(AJ59/1000)*(1/Constants!$B$1)*(1/Constants!$I$10)</f>
        <v>209.9343072371004</v>
      </c>
      <c r="AM59">
        <f>(AK59/1000)*(1/Constants!$B$1)*(1/Constants!$I$10)</f>
        <v>0.52272721323401561</v>
      </c>
      <c r="AN59">
        <f>AL59-V59</f>
        <v>128.12890563366483</v>
      </c>
      <c r="AO59">
        <f>AM59</f>
        <v>0.52272721323401561</v>
      </c>
    </row>
    <row r="60" spans="1:42">
      <c r="A60" t="s">
        <v>0</v>
      </c>
      <c r="B60">
        <v>3</v>
      </c>
      <c r="C60" t="s">
        <v>17</v>
      </c>
      <c r="D60">
        <v>3</v>
      </c>
      <c r="E60">
        <v>7</v>
      </c>
      <c r="F60">
        <v>300</v>
      </c>
      <c r="G60" t="str">
        <f>CONCATENATE(A60,"-",B60,"-",C60,D60,"-",E60,"-",F60,"-","PIC")</f>
        <v>KN207-3-PS3-7-300-PIC</v>
      </c>
      <c r="H60" t="str">
        <f>CONCATENATE(A60,"-",B60,"-",C60,D60,"-",E60,"-",F60,"-","POC")</f>
        <v>KN207-3-PS3-7-300-POC</v>
      </c>
      <c r="J60">
        <v>4</v>
      </c>
      <c r="K60">
        <v>47</v>
      </c>
      <c r="L60" s="2">
        <v>41291</v>
      </c>
      <c r="M60" s="2">
        <v>41292</v>
      </c>
      <c r="N60">
        <v>735.5</v>
      </c>
      <c r="O60">
        <v>365.67</v>
      </c>
      <c r="P60">
        <v>369.9</v>
      </c>
      <c r="Q60" s="4">
        <v>2046.93</v>
      </c>
      <c r="R60" s="3">
        <v>41327</v>
      </c>
      <c r="S60" s="7">
        <f t="shared" si="21"/>
        <v>2042.9833333333333</v>
      </c>
      <c r="T60" s="7">
        <f>S60-$S$69</f>
        <v>2022.6133333333335</v>
      </c>
      <c r="U60">
        <f>(N60*T60)/O60</f>
        <v>4068.2366797020991</v>
      </c>
      <c r="V60">
        <f>(U60/1000)*(1/Constants!$B$1)*(1/Constants!$I$10)</f>
        <v>84.806270912729417</v>
      </c>
      <c r="W60" s="2">
        <v>41540</v>
      </c>
      <c r="AL60">
        <f>(AJ60/1000)*(1/Constants!$B$1)*(1/Constants!$I$10)</f>
        <v>0</v>
      </c>
      <c r="AM60">
        <f>(AK60/1000)*(1/Constants!$B$1)*(1/Constants!$I$10)</f>
        <v>0</v>
      </c>
      <c r="AP60" t="s">
        <v>103</v>
      </c>
    </row>
    <row r="61" spans="1:42">
      <c r="A61" t="s">
        <v>0</v>
      </c>
      <c r="B61">
        <v>3</v>
      </c>
      <c r="C61" t="s">
        <v>17</v>
      </c>
      <c r="D61">
        <v>3</v>
      </c>
      <c r="E61">
        <v>1</v>
      </c>
      <c r="F61">
        <v>150</v>
      </c>
      <c r="G61" t="str">
        <f>CONCATENATE(A61,"-",B61,"-",C61,D61,"-",E61,"-",F61,"-","PIC")</f>
        <v>KN207-3-PS3-1-150-PIC</v>
      </c>
      <c r="H61" t="str">
        <f>CONCATENATE(A61,"-",B61,"-",C61,D61,"-",E61,"-",F61,"-","POC")</f>
        <v>KN207-3-PS3-1-150-POC</v>
      </c>
      <c r="J61">
        <v>6</v>
      </c>
      <c r="K61">
        <v>47</v>
      </c>
      <c r="L61" s="2">
        <v>41291</v>
      </c>
      <c r="M61" s="2">
        <v>41292</v>
      </c>
      <c r="N61">
        <v>1026.3900000000001</v>
      </c>
      <c r="O61">
        <v>542.82000000000005</v>
      </c>
      <c r="P61">
        <v>483.76</v>
      </c>
      <c r="Q61" s="5">
        <v>1738.82</v>
      </c>
      <c r="R61" s="3">
        <v>41326</v>
      </c>
      <c r="S61" s="7">
        <f t="shared" si="21"/>
        <v>1734.8733333333332</v>
      </c>
      <c r="T61" s="7">
        <f>S61-$S$69</f>
        <v>1714.5033333333333</v>
      </c>
      <c r="U61">
        <f>(N61*T61)/O61</f>
        <v>3241.864847094801</v>
      </c>
      <c r="V61">
        <f>(U61/1000)*(1/Constants!$B$1)*(1/Constants!$I$10)</f>
        <v>67.579762469795128</v>
      </c>
      <c r="W61" s="2">
        <v>41540</v>
      </c>
      <c r="X61">
        <v>-2.11</v>
      </c>
      <c r="Y61">
        <v>2.73</v>
      </c>
      <c r="Z61">
        <v>64.930000000000007</v>
      </c>
      <c r="AA61">
        <v>24</v>
      </c>
      <c r="AB61" t="s">
        <v>74</v>
      </c>
      <c r="AC61" t="s">
        <v>132</v>
      </c>
      <c r="AD61">
        <f>((Z61-X61)*(Constants!$C$21/1000)*10^6)/(62.364*(273.15+AA61))</f>
        <v>582.49953679913233</v>
      </c>
      <c r="AE61">
        <f>AD61-((Z61-X61)*((Constants!$C$21-Constants!$E$21)/1000)*10^6)/(62.364*(273.15+AA61))</f>
        <v>1.3746242446253518</v>
      </c>
      <c r="AF61">
        <f>AD61-J61*Constants!$C$26</f>
        <v>575.06928679825</v>
      </c>
      <c r="AG61">
        <f>SQRT(AE61^2+(Constants!$D$26*J61)^2)</f>
        <v>1.374845627531041</v>
      </c>
      <c r="AH61">
        <f>AF61-$AF$69</f>
        <v>568.71164506521166</v>
      </c>
      <c r="AI61">
        <f>SQRT(AG61^2+$AG$69^2)</f>
        <v>1.3750831084931037</v>
      </c>
      <c r="AJ61">
        <f>(N61*AH61*12.01)/P61</f>
        <v>14491.64160739949</v>
      </c>
      <c r="AK61">
        <f>12.01*AI61</f>
        <v>16.514748133002175</v>
      </c>
      <c r="AL61">
        <f>(AJ61/1000)*(1/Constants!$B$1)*(1/Constants!$I$10)</f>
        <v>302.09208089075497</v>
      </c>
      <c r="AM61">
        <f>(AK61/1000)*(1/Constants!$B$1)*(1/Constants!$I$10)</f>
        <v>0.34426566458405561</v>
      </c>
      <c r="AN61">
        <f>AL61-V61</f>
        <v>234.51231842095984</v>
      </c>
      <c r="AO61">
        <f>AM61</f>
        <v>0.34426566458405561</v>
      </c>
    </row>
    <row r="62" spans="1:42">
      <c r="A62" t="s">
        <v>0</v>
      </c>
      <c r="B62">
        <v>3</v>
      </c>
      <c r="C62" t="s">
        <v>17</v>
      </c>
      <c r="D62">
        <v>3</v>
      </c>
      <c r="E62">
        <v>2</v>
      </c>
      <c r="F62">
        <v>150</v>
      </c>
      <c r="G62" t="str">
        <f>CONCATENATE(A62,"-",B62,"-",C62,D62,"-",E62,"-",F62,"-","PIC")</f>
        <v>KN207-3-PS3-2-150-PIC</v>
      </c>
      <c r="H62" t="str">
        <f>CONCATENATE(A62,"-",B62,"-",C62,D62,"-",E62,"-",F62,"-","POC")</f>
        <v>KN207-3-PS3-2-150-POC</v>
      </c>
      <c r="J62">
        <v>5</v>
      </c>
      <c r="K62">
        <v>47</v>
      </c>
      <c r="L62" s="2">
        <v>41291</v>
      </c>
      <c r="M62" s="2">
        <v>41292</v>
      </c>
      <c r="N62">
        <v>880.19</v>
      </c>
      <c r="O62">
        <v>460.44</v>
      </c>
      <c r="P62">
        <v>419.67</v>
      </c>
      <c r="Q62" s="5">
        <v>2178.0100000000002</v>
      </c>
      <c r="R62" s="3">
        <v>41326</v>
      </c>
      <c r="S62" s="7">
        <f t="shared" si="21"/>
        <v>2174.0633333333335</v>
      </c>
      <c r="T62" s="7">
        <f>S62-$S$69</f>
        <v>2153.6933333333336</v>
      </c>
      <c r="U62">
        <f>(N62*T62)/O62</f>
        <v>4117.0604966264164</v>
      </c>
      <c r="V62">
        <f>(U62/1000)*(1/Constants!$B$1)*(1/Constants!$I$10)</f>
        <v>85.824049909152109</v>
      </c>
      <c r="W62" s="2">
        <v>41540</v>
      </c>
      <c r="X62">
        <v>-2.11</v>
      </c>
      <c r="Y62">
        <v>2.54</v>
      </c>
      <c r="Z62">
        <v>61.31</v>
      </c>
      <c r="AA62">
        <v>24</v>
      </c>
      <c r="AB62" t="s">
        <v>74</v>
      </c>
      <c r="AC62" t="s">
        <v>132</v>
      </c>
      <c r="AD62">
        <f>((Z62-X62)*(Constants!$C$21/1000)*10^6)/(62.364*(273.15+AA62))</f>
        <v>551.04595202567077</v>
      </c>
      <c r="AE62">
        <f>AD62-((Z62-X62)*((Constants!$C$21-Constants!$E$21)/1000)*10^6)/(62.364*(273.15+AA62))</f>
        <v>1.3003978161417535</v>
      </c>
      <c r="AF62">
        <f>AD62-J62*Constants!$C$26</f>
        <v>544.85407702493558</v>
      </c>
      <c r="AG62">
        <f>SQRT(AE62^2+(Constants!$D$26*J62)^2)</f>
        <v>1.3005603325413218</v>
      </c>
      <c r="AH62">
        <f>AF62-$AF$69</f>
        <v>538.49643529189723</v>
      </c>
      <c r="AI62">
        <f>SQRT(AG62^2+$AG$69^2)</f>
        <v>1.3008113753737813</v>
      </c>
      <c r="AJ62">
        <f>(N62*AH62*12.01)/P62</f>
        <v>13564.205019011833</v>
      </c>
      <c r="AK62">
        <f>12.01*AI62</f>
        <v>15.622744618239114</v>
      </c>
      <c r="AL62">
        <f>(AJ62/1000)*(1/Constants!$B$1)*(1/Constants!$I$10)</f>
        <v>282.7587812915437</v>
      </c>
      <c r="AM62">
        <f>(AK62/1000)*(1/Constants!$B$1)*(1/Constants!$I$10)</f>
        <v>0.32567100117483572</v>
      </c>
      <c r="AN62">
        <f>AL62-V62</f>
        <v>196.93473138239159</v>
      </c>
      <c r="AO62">
        <f>AM62</f>
        <v>0.32567100117483572</v>
      </c>
    </row>
    <row r="63" spans="1:42">
      <c r="A63" t="s">
        <v>0</v>
      </c>
      <c r="B63">
        <v>3</v>
      </c>
      <c r="C63" t="s">
        <v>17</v>
      </c>
      <c r="D63">
        <v>3</v>
      </c>
      <c r="E63">
        <v>3</v>
      </c>
      <c r="F63">
        <v>150</v>
      </c>
      <c r="K63">
        <v>47</v>
      </c>
      <c r="N63" t="s">
        <v>2</v>
      </c>
      <c r="T63" s="7"/>
    </row>
    <row r="64" spans="1:42">
      <c r="A64" t="s">
        <v>0</v>
      </c>
      <c r="B64">
        <v>3</v>
      </c>
      <c r="C64" t="s">
        <v>17</v>
      </c>
      <c r="D64">
        <v>3</v>
      </c>
      <c r="E64">
        <v>8</v>
      </c>
      <c r="F64">
        <v>150</v>
      </c>
      <c r="G64" t="str">
        <f>CONCATENATE(A64,"-",B64,"-",C64,D64,"-",E64,"-",F64,"-","PIC")</f>
        <v>KN207-3-PS3-8-150-PIC</v>
      </c>
      <c r="H64" t="str">
        <f>CONCATENATE(A64,"-",B64,"-",C64,D64,"-",E64,"-",F64,"-","POC")</f>
        <v>KN207-3-PS3-8-150-POC</v>
      </c>
      <c r="J64">
        <v>4</v>
      </c>
      <c r="K64">
        <v>47</v>
      </c>
      <c r="L64" s="2">
        <v>41291</v>
      </c>
      <c r="M64" s="2">
        <v>41292</v>
      </c>
      <c r="N64">
        <v>713.07</v>
      </c>
      <c r="O64">
        <v>378.18</v>
      </c>
      <c r="P64">
        <v>335.03</v>
      </c>
      <c r="Q64" s="5">
        <v>2363.4899999999998</v>
      </c>
      <c r="R64" s="2">
        <v>41327</v>
      </c>
      <c r="S64" s="7">
        <f>Q64-((SUM($Q$92:$Q$94))/3)</f>
        <v>2359.41</v>
      </c>
      <c r="T64" s="7">
        <f>S64-$S$69</f>
        <v>2339.04</v>
      </c>
      <c r="U64">
        <f>(N64*T64)/O64</f>
        <v>4410.3317277486913</v>
      </c>
      <c r="V64">
        <f>(U64/1000)*(1/Constants!$B$1)*(1/Constants!$I$10)</f>
        <v>91.937568230629552</v>
      </c>
      <c r="W64" s="2">
        <v>41540</v>
      </c>
      <c r="X64">
        <v>-2.11</v>
      </c>
      <c r="Y64">
        <v>2.48</v>
      </c>
      <c r="Z64">
        <v>60.8</v>
      </c>
      <c r="AA64">
        <v>24</v>
      </c>
      <c r="AB64" t="s">
        <v>74</v>
      </c>
      <c r="AC64" t="s">
        <v>132</v>
      </c>
      <c r="AD64">
        <f>((Z64-X64)*(Constants!$C$21/1000)*10^6)/(62.364*(273.15+AA64))</f>
        <v>546.61464588355318</v>
      </c>
      <c r="AE64">
        <f>AD64-((Z64-X64)*((Constants!$C$21-Constants!$E$21)/1000)*10^6)/(62.364*(273.15+AA64))</f>
        <v>1.2899405016314631</v>
      </c>
      <c r="AF64">
        <f>AD64-J64*Constants!$C$26</f>
        <v>541.661145882965</v>
      </c>
      <c r="AG64">
        <f>SQRT(AE64^2+(Constants!$D$26*J64)^2)</f>
        <v>1.2900453576117514</v>
      </c>
      <c r="AH64">
        <f>AF64-$AF$69</f>
        <v>535.30350414992665</v>
      </c>
      <c r="AI64">
        <f>SQRT(AG64^2+$AG$69^2)</f>
        <v>1.2902984462586424</v>
      </c>
      <c r="AJ64">
        <f>(N64*AH64*12.01)/P64</f>
        <v>13683.322464099634</v>
      </c>
      <c r="AK64">
        <f>12.01*AI64</f>
        <v>15.496484339566296</v>
      </c>
      <c r="AL64">
        <f>(AJ64/1000)*(1/Constants!$B$1)*(1/Constants!$I$10)</f>
        <v>285.24189796195526</v>
      </c>
      <c r="AM64">
        <f>(AK64/1000)*(1/Constants!$B$1)*(1/Constants!$I$10)</f>
        <v>0.32303898533070641</v>
      </c>
      <c r="AN64">
        <f>AL64-V64</f>
        <v>193.30432973132571</v>
      </c>
      <c r="AO64">
        <f>AM64</f>
        <v>0.32303898533070641</v>
      </c>
    </row>
    <row r="65" spans="1:42">
      <c r="A65" t="s">
        <v>0</v>
      </c>
      <c r="B65">
        <v>3</v>
      </c>
      <c r="C65" t="s">
        <v>17</v>
      </c>
      <c r="D65">
        <v>3</v>
      </c>
      <c r="E65">
        <v>9</v>
      </c>
      <c r="F65">
        <v>50</v>
      </c>
      <c r="G65" t="str">
        <f>CONCATENATE(A65,"-",B65,"-",C65,D65,"-",E65,"-",F65,"-","PIC")</f>
        <v>KN207-3-PS3-9-50-PIC</v>
      </c>
      <c r="H65" t="str">
        <f>CONCATENATE(A65,"-",B65,"-",C65,D65,"-",E65,"-",F65,"-","POC")</f>
        <v>KN207-3-PS3-9-50-POC</v>
      </c>
      <c r="I65" t="s">
        <v>39</v>
      </c>
      <c r="J65">
        <v>6</v>
      </c>
      <c r="K65">
        <v>47</v>
      </c>
      <c r="L65" s="2">
        <v>41291</v>
      </c>
      <c r="M65" s="2">
        <v>41292</v>
      </c>
      <c r="N65">
        <v>1072.02</v>
      </c>
      <c r="O65">
        <v>550.89</v>
      </c>
      <c r="P65">
        <v>521.66</v>
      </c>
      <c r="Q65" s="5">
        <v>2462.0100000000002</v>
      </c>
      <c r="R65" s="2">
        <v>41327</v>
      </c>
      <c r="S65" s="7">
        <f>Q65-((SUM($Q$92:$Q$94))/3)</f>
        <v>2457.9300000000003</v>
      </c>
      <c r="T65" s="7">
        <f>S65-$S$69</f>
        <v>2437.5600000000004</v>
      </c>
      <c r="U65">
        <f>(N65*T65)/O65</f>
        <v>4743.4389282796938</v>
      </c>
      <c r="V65">
        <f>(U65/1000)*(1/Constants!$B$1)*(1/Constants!$I$11)</f>
        <v>97.300806281974687</v>
      </c>
      <c r="W65" s="2">
        <v>41540</v>
      </c>
      <c r="AL65">
        <f>(AJ65/1000)*(1/Constants!$B$1)*(1/Constants!$I$11)</f>
        <v>0</v>
      </c>
      <c r="AM65">
        <f>(AK65/1000)*(1/Constants!$B$1)*(1/Constants!$I$11)</f>
        <v>0</v>
      </c>
      <c r="AN65">
        <f>AL65-V65</f>
        <v>-97.300806281974687</v>
      </c>
      <c r="AO65">
        <f>AM65</f>
        <v>0</v>
      </c>
      <c r="AP65" t="s">
        <v>104</v>
      </c>
    </row>
    <row r="66" spans="1:42">
      <c r="A66" t="s">
        <v>0</v>
      </c>
      <c r="B66">
        <v>3</v>
      </c>
      <c r="C66" t="s">
        <v>17</v>
      </c>
      <c r="D66">
        <v>3</v>
      </c>
      <c r="E66">
        <v>12</v>
      </c>
      <c r="F66">
        <v>50</v>
      </c>
      <c r="G66" t="str">
        <f>CONCATENATE(A66,"-",B66,"-",C66,D66,"-",E66,"-",F66,"-","PIC")</f>
        <v>KN207-3-PS3-12-50-PIC</v>
      </c>
      <c r="H66" t="str">
        <f>CONCATENATE(A66,"-",B66,"-",C66,D66,"-",E66,"-",F66,"-","POC")</f>
        <v>KN207-3-PS3-12-50-POC</v>
      </c>
      <c r="I66" t="s">
        <v>39</v>
      </c>
      <c r="J66">
        <v>6</v>
      </c>
      <c r="K66">
        <v>47</v>
      </c>
      <c r="L66" s="2">
        <v>41291</v>
      </c>
      <c r="M66" s="2">
        <v>41292</v>
      </c>
      <c r="N66">
        <v>1079.92</v>
      </c>
      <c r="O66">
        <v>516.54</v>
      </c>
      <c r="P66">
        <v>562.35</v>
      </c>
      <c r="Q66" s="4">
        <v>2829.51</v>
      </c>
      <c r="R66" s="2">
        <v>41327</v>
      </c>
      <c r="S66" s="7">
        <f>Q66-((SUM($Q$92:$Q$94))/3)</f>
        <v>2825.4300000000003</v>
      </c>
      <c r="T66" s="7">
        <f>S66-$S$69</f>
        <v>2805.0600000000004</v>
      </c>
      <c r="U66">
        <f>(N66*T66)/O66</f>
        <v>5864.4836705773041</v>
      </c>
      <c r="V66">
        <f>(U66/1000)*(1/Constants!$B$1)*(1/Constants!$I$11)</f>
        <v>120.29647650203708</v>
      </c>
      <c r="W66" s="2">
        <v>41540</v>
      </c>
      <c r="X66">
        <v>-2.11</v>
      </c>
      <c r="Y66">
        <v>7.45</v>
      </c>
      <c r="Z66">
        <v>89.35</v>
      </c>
      <c r="AA66">
        <v>24</v>
      </c>
      <c r="AB66" t="s">
        <v>74</v>
      </c>
      <c r="AC66" t="s">
        <v>132</v>
      </c>
      <c r="AD66">
        <f>((Z66-X66)*(Constants!$C$21/1000)*10^6)/(62.364*(273.15+AA66))</f>
        <v>794.68090148640556</v>
      </c>
      <c r="AE66">
        <f>AD66-((Z66-X66)*((Constants!$C$21-Constants!$E$21)/1000)*10^6)/(62.364*(273.15+AA66))</f>
        <v>1.8753450688160456</v>
      </c>
      <c r="AF66">
        <f>AD66-J66*Constants!$C$26</f>
        <v>787.25065148552324</v>
      </c>
      <c r="AG66">
        <f>SQRT(AE66^2+(Constants!$D$26*J66)^2)</f>
        <v>1.8755073480959923</v>
      </c>
      <c r="AH66">
        <f>AF66-$AF$69</f>
        <v>780.89300975248489</v>
      </c>
      <c r="AI66">
        <f>SQRT(AG66^2+$AG$69^2)</f>
        <v>1.87568144109918</v>
      </c>
      <c r="AJ66">
        <f>(N66*AH66*12.01)/P66</f>
        <v>18010.236985673979</v>
      </c>
      <c r="AK66">
        <f>12.01*AI66</f>
        <v>22.52693410760115</v>
      </c>
      <c r="AL66">
        <f>(AJ66/1000)*(1/Constants!$B$1)*(1/Constants!$I$11)</f>
        <v>369.43884100370769</v>
      </c>
      <c r="AM66">
        <f>(AK66/1000)*(1/Constants!$B$1)*(1/Constants!$I$11)</f>
        <v>0.46208855745201755</v>
      </c>
      <c r="AN66">
        <f>AL66-V66</f>
        <v>249.14236450167061</v>
      </c>
      <c r="AO66">
        <f>AM66</f>
        <v>0.46208855745201755</v>
      </c>
    </row>
    <row r="67" spans="1:42">
      <c r="A67" t="s">
        <v>0</v>
      </c>
      <c r="B67">
        <v>3</v>
      </c>
      <c r="C67" t="s">
        <v>17</v>
      </c>
      <c r="D67">
        <v>3</v>
      </c>
      <c r="E67">
        <v>14</v>
      </c>
      <c r="F67">
        <v>50</v>
      </c>
      <c r="I67" t="s">
        <v>39</v>
      </c>
      <c r="K67">
        <v>47</v>
      </c>
      <c r="N67" t="s">
        <v>2</v>
      </c>
      <c r="T67" s="7"/>
    </row>
    <row r="68" spans="1:42">
      <c r="A68" t="s">
        <v>0</v>
      </c>
      <c r="B68">
        <v>3</v>
      </c>
      <c r="C68" t="s">
        <v>17</v>
      </c>
      <c r="D68">
        <v>3</v>
      </c>
      <c r="E68">
        <v>15</v>
      </c>
      <c r="F68">
        <v>50</v>
      </c>
      <c r="I68" t="s">
        <v>39</v>
      </c>
      <c r="K68">
        <v>47</v>
      </c>
      <c r="N68" t="s">
        <v>20</v>
      </c>
      <c r="T68" s="7"/>
    </row>
    <row r="69" spans="1:42">
      <c r="A69" t="s">
        <v>0</v>
      </c>
      <c r="B69">
        <v>3</v>
      </c>
      <c r="C69" t="s">
        <v>17</v>
      </c>
      <c r="D69">
        <v>3</v>
      </c>
      <c r="E69">
        <v>11</v>
      </c>
      <c r="F69" t="s">
        <v>10</v>
      </c>
      <c r="G69" t="str">
        <f>CONCATENATE(A69,"-",B69,"-",C69,D69,"-",E69,"-",F69,"-","PIC")</f>
        <v>KN207-3-PS3-11-TUBE BLANK-PIC</v>
      </c>
      <c r="H69" t="str">
        <f>CONCATENATE(A69,"-",B69,"-",C69,D69,"-",E69,"-",F69,"-","POC")</f>
        <v>KN207-3-PS3-11-TUBE BLANK-POC</v>
      </c>
      <c r="J69">
        <v>1</v>
      </c>
      <c r="K69">
        <v>47</v>
      </c>
      <c r="L69" s="2">
        <v>41291</v>
      </c>
      <c r="M69" s="2">
        <v>41292</v>
      </c>
      <c r="N69">
        <v>150.37</v>
      </c>
      <c r="O69">
        <v>69.39</v>
      </c>
      <c r="P69">
        <v>81.05</v>
      </c>
      <c r="Q69" s="4">
        <v>24.45</v>
      </c>
      <c r="R69" s="2">
        <v>41327</v>
      </c>
      <c r="S69" s="7">
        <f>Q69-((SUM($Q$92:$Q$94))/3)</f>
        <v>20.369999999999997</v>
      </c>
      <c r="T69" s="7">
        <f>S69-$S$69</f>
        <v>0</v>
      </c>
      <c r="U69">
        <f>(N69*T69)/O69</f>
        <v>0</v>
      </c>
      <c r="V69">
        <f>(U69/1000)*(1/Constants!$B$1)*(1/Constants!$I$11)</f>
        <v>0</v>
      </c>
      <c r="W69" s="2">
        <v>41540</v>
      </c>
      <c r="X69">
        <v>-2.11</v>
      </c>
      <c r="Y69">
        <v>-2.09</v>
      </c>
      <c r="Z69">
        <v>5.68</v>
      </c>
      <c r="AA69">
        <v>24</v>
      </c>
      <c r="AB69" t="s">
        <v>66</v>
      </c>
      <c r="AC69" t="s">
        <v>132</v>
      </c>
      <c r="AD69">
        <f>((Z69-X69)*(Constants!$C$15/1000)*10^6)/(62.364*(273.15+AA69))</f>
        <v>7.5960167331854311</v>
      </c>
      <c r="AE69">
        <f>AD69-((Z69-X69)*((Constants!$C$15-Constants!$E$15)/1000)*10^6)/(62.364*(273.15+AA69))</f>
        <v>2.522197033708462E-2</v>
      </c>
      <c r="AF69">
        <f>AD69-J69*Constants!$C$26</f>
        <v>6.3576417330383839</v>
      </c>
      <c r="AG69">
        <f>SQRT(AE69^2+(Constants!$D$26*J69)^2)</f>
        <v>2.5554954937053877E-2</v>
      </c>
      <c r="AH69">
        <f>AF69-$AF$69</f>
        <v>0</v>
      </c>
      <c r="AI69">
        <f>SQRT(AG69^2+$AG$69^2)</f>
        <v>3.6140163857814878E-2</v>
      </c>
      <c r="AL69">
        <f>(AJ69/1000)*(1/Constants!$B$1)*(1/Constants!$I$11)</f>
        <v>0</v>
      </c>
      <c r="AM69">
        <f>(AK69/1000)*(1/Constants!$B$1)*(1/Constants!$I$11)</f>
        <v>0</v>
      </c>
    </row>
    <row r="70" spans="1:42">
      <c r="A70" t="s">
        <v>0</v>
      </c>
      <c r="B70">
        <v>3</v>
      </c>
      <c r="C70" t="s">
        <v>17</v>
      </c>
      <c r="D70">
        <v>4</v>
      </c>
      <c r="E70">
        <v>1</v>
      </c>
      <c r="F70">
        <v>300</v>
      </c>
      <c r="K70">
        <v>47</v>
      </c>
      <c r="N70" t="s">
        <v>2</v>
      </c>
      <c r="T70" s="7"/>
    </row>
    <row r="71" spans="1:42">
      <c r="A71" t="s">
        <v>0</v>
      </c>
      <c r="B71">
        <v>3</v>
      </c>
      <c r="C71" t="s">
        <v>17</v>
      </c>
      <c r="D71">
        <v>4</v>
      </c>
      <c r="E71">
        <v>2</v>
      </c>
      <c r="F71">
        <v>300</v>
      </c>
      <c r="G71" t="str">
        <f>CONCATENATE(A71,"-",B71,"-",C71,D71,"-",E71,"-",F71,"-","PIC")</f>
        <v>KN207-3-PS4-2-300-PIC</v>
      </c>
      <c r="H71" t="str">
        <f>CONCATENATE(A71,"-",B71,"-",C71,D71,"-",E71,"-",F71,"-","POC")</f>
        <v>KN207-3-PS4-2-300-POC</v>
      </c>
      <c r="J71">
        <v>5</v>
      </c>
      <c r="K71">
        <v>47</v>
      </c>
      <c r="L71" s="2">
        <v>41292</v>
      </c>
      <c r="M71" s="2">
        <v>41295</v>
      </c>
      <c r="N71">
        <v>822.79</v>
      </c>
      <c r="O71">
        <v>388.07</v>
      </c>
      <c r="P71">
        <v>434.02</v>
      </c>
      <c r="Q71" s="4">
        <v>1118.2</v>
      </c>
      <c r="R71" s="2">
        <v>41327</v>
      </c>
      <c r="S71" s="7">
        <f>Q71-((SUM($Q$92:$Q$94))/3)</f>
        <v>1114.1200000000001</v>
      </c>
      <c r="T71" s="7">
        <f>S71-$S$82</f>
        <v>1106.3700000000001</v>
      </c>
      <c r="U71">
        <f>(N71*T71)/O71</f>
        <v>2345.7370379055328</v>
      </c>
      <c r="V71">
        <f>(U71/1000)*(1/Constants!$B$1)*(1/Constants!$I$12)</f>
        <v>48.28036858621541</v>
      </c>
      <c r="W71" s="2">
        <v>41547</v>
      </c>
      <c r="X71">
        <v>-2.04</v>
      </c>
      <c r="AC71" t="s">
        <v>132</v>
      </c>
      <c r="AP71" t="s">
        <v>134</v>
      </c>
    </row>
    <row r="72" spans="1:42">
      <c r="A72" t="s">
        <v>0</v>
      </c>
      <c r="B72">
        <v>3</v>
      </c>
      <c r="C72" t="s">
        <v>17</v>
      </c>
      <c r="D72">
        <v>4</v>
      </c>
      <c r="E72">
        <v>3</v>
      </c>
      <c r="F72">
        <v>300</v>
      </c>
      <c r="G72" t="str">
        <f>CONCATENATE(A72,"-",B72,"-",C72,D72,"-",E72,"-",F72,"-","PIC")</f>
        <v>KN207-3-PS4-3-300-PIC</v>
      </c>
      <c r="H72" t="str">
        <f>CONCATENATE(A72,"-",B72,"-",C72,D72,"-",E72,"-",F72,"-","POC")</f>
        <v>KN207-3-PS4-3-300-POC</v>
      </c>
      <c r="J72">
        <v>3</v>
      </c>
      <c r="K72">
        <v>47</v>
      </c>
      <c r="L72" s="2">
        <v>41292</v>
      </c>
      <c r="M72" s="2">
        <v>41295</v>
      </c>
      <c r="N72">
        <v>511.12</v>
      </c>
      <c r="O72">
        <v>237.67</v>
      </c>
      <c r="P72">
        <v>273.66000000000003</v>
      </c>
      <c r="Q72" s="4">
        <v>1283.8900000000001</v>
      </c>
      <c r="R72" s="2">
        <v>41327</v>
      </c>
      <c r="S72" s="7">
        <f>Q72-((SUM($Q$92:$Q$94))/3)</f>
        <v>1279.8100000000002</v>
      </c>
      <c r="T72" s="7">
        <f>S72-$S$82</f>
        <v>1272.0600000000002</v>
      </c>
      <c r="U72">
        <f>(N72*T72)/O72</f>
        <v>2735.622111330837</v>
      </c>
      <c r="V72">
        <f>(U72/1000)*(1/Constants!$B$1)*(1/Constants!$I$12)</f>
        <v>56.305051126098391</v>
      </c>
      <c r="W72" s="2">
        <v>41547</v>
      </c>
      <c r="X72">
        <v>0.21</v>
      </c>
      <c r="Z72">
        <v>35.020000000000003</v>
      </c>
      <c r="AA72">
        <v>23.5</v>
      </c>
      <c r="AB72" t="s">
        <v>128</v>
      </c>
      <c r="AC72" t="s">
        <v>133</v>
      </c>
      <c r="AD72">
        <f>((Z72-X72)*(Constants!$K$17/1000)*10^6)/(62.364*(273.15+AA72))</f>
        <v>319.32403306358503</v>
      </c>
      <c r="AE72">
        <f>(0.01/Z72)*AD72</f>
        <v>9.1183333256306412E-2</v>
      </c>
      <c r="AF72">
        <f>AD72-J72*Constants!$C$26</f>
        <v>315.60890806314387</v>
      </c>
      <c r="AG72">
        <f>SQRT(AE72^2+(Constants!$D$26*J72)^2)</f>
        <v>9.2013975411789128E-2</v>
      </c>
      <c r="AH72">
        <f>AF72-$AF$83</f>
        <v>309.25126633010547</v>
      </c>
      <c r="AI72">
        <f>SQRT(AG72^2+$AG$83^2)</f>
        <v>9.5496740221413773E-2</v>
      </c>
      <c r="AJ72">
        <f>(N72*AH72*12.01)/P72</f>
        <v>6936.9097859832946</v>
      </c>
      <c r="AK72">
        <f>12.01*AI72</f>
        <v>1.1469158500591794</v>
      </c>
      <c r="AL72">
        <f>(AJ72/1000)*(1/Constants!$B$1)*(1/Constants!$I$12)</f>
        <v>142.77668634828703</v>
      </c>
      <c r="AM72">
        <f>(AK72/1000)*(1/Constants!$B$1)*(1/Constants!$I$12)</f>
        <v>2.360602193827821E-2</v>
      </c>
      <c r="AN72">
        <f>AL72-V72</f>
        <v>86.471635222188638</v>
      </c>
      <c r="AO72">
        <f>AM72</f>
        <v>2.360602193827821E-2</v>
      </c>
    </row>
    <row r="73" spans="1:42">
      <c r="A73" t="s">
        <v>0</v>
      </c>
      <c r="B73">
        <v>3</v>
      </c>
      <c r="C73" t="s">
        <v>17</v>
      </c>
      <c r="D73">
        <v>4</v>
      </c>
      <c r="E73">
        <v>4</v>
      </c>
      <c r="F73">
        <v>300</v>
      </c>
      <c r="G73" t="str">
        <f>CONCATENATE(A73,"-",B73,"-",C73,D73,"-",E73,"-",F73,"-","PIC")</f>
        <v>KN207-3-PS4-4-300-PIC</v>
      </c>
      <c r="H73" t="str">
        <f>CONCATENATE(A73,"-",B73,"-",C73,D73,"-",E73,"-",F73,"-","POC")</f>
        <v>KN207-3-PS4-4-300-POC</v>
      </c>
      <c r="J73">
        <v>4</v>
      </c>
      <c r="K73">
        <v>47</v>
      </c>
      <c r="L73" s="2">
        <v>41292</v>
      </c>
      <c r="M73" s="2">
        <v>41295</v>
      </c>
      <c r="N73">
        <v>658.44</v>
      </c>
      <c r="O73">
        <v>300.22000000000003</v>
      </c>
      <c r="P73">
        <v>358.65</v>
      </c>
      <c r="Q73" s="4">
        <v>892.33</v>
      </c>
      <c r="R73" s="2">
        <v>41327</v>
      </c>
      <c r="S73" s="7">
        <f>Q73-((SUM($Q$92:$Q$94))/3)</f>
        <v>888.25</v>
      </c>
      <c r="T73" s="7">
        <f>S73-$S$82</f>
        <v>880.5</v>
      </c>
      <c r="U73">
        <f>(N73*T73)/O73</f>
        <v>1931.1052561454933</v>
      </c>
      <c r="V73">
        <f>(U73/1000)*(1/Constants!$B$1)*(1/Constants!$I$12)</f>
        <v>39.746344981929326</v>
      </c>
      <c r="W73" s="2">
        <v>41547</v>
      </c>
      <c r="X73">
        <v>0.21</v>
      </c>
      <c r="Z73">
        <v>38.76</v>
      </c>
      <c r="AA73">
        <v>23</v>
      </c>
      <c r="AB73" t="s">
        <v>128</v>
      </c>
      <c r="AC73" t="s">
        <v>133</v>
      </c>
      <c r="AD73">
        <f>((Z73-X73)*(Constants!$K$17/1000)*10^6)/(62.364*(273.15+AA73))</f>
        <v>354.22938128664276</v>
      </c>
      <c r="AE73">
        <f>(0.01/Z73)*AD73</f>
        <v>9.1390449248359859E-2</v>
      </c>
      <c r="AF73">
        <f>AD73-J73*Constants!$C$26</f>
        <v>349.27588128605458</v>
      </c>
      <c r="AG73">
        <f>SQRT(AE73^2+(Constants!$D$26*J73)^2)</f>
        <v>9.2858716124111285E-2</v>
      </c>
      <c r="AH73">
        <f>AF73-$AF$83</f>
        <v>342.91823955301618</v>
      </c>
      <c r="AI73">
        <f>SQRT(AG73^2+$AG$83^2)</f>
        <v>9.6310938537910312E-2</v>
      </c>
      <c r="AJ73">
        <f>(N73*AH73*12.01)/P73</f>
        <v>7560.9952284175897</v>
      </c>
      <c r="AK73">
        <f>12.01*AI73</f>
        <v>1.1566943718403029</v>
      </c>
      <c r="AL73">
        <f>(AJ73/1000)*(1/Constants!$B$1)*(1/Constants!$I$12)</f>
        <v>155.62172170524357</v>
      </c>
      <c r="AM73">
        <f>(AK73/1000)*(1/Constants!$B$1)*(1/Constants!$I$12)</f>
        <v>2.3807285178015652E-2</v>
      </c>
      <c r="AN73">
        <f>AL73-V73</f>
        <v>115.87537672331425</v>
      </c>
      <c r="AO73">
        <f>AM73</f>
        <v>2.3807285178015652E-2</v>
      </c>
    </row>
    <row r="74" spans="1:42">
      <c r="A74" t="s">
        <v>0</v>
      </c>
      <c r="B74">
        <v>3</v>
      </c>
      <c r="C74" t="s">
        <v>17</v>
      </c>
      <c r="D74">
        <v>4</v>
      </c>
      <c r="E74">
        <v>6</v>
      </c>
      <c r="F74">
        <v>150</v>
      </c>
      <c r="G74" t="str">
        <f>CONCATENATE(A74,"-",B74,"-",C74,D74,"-",E74,"-",F74,"-","PIC")</f>
        <v>KN207-3-PS4-6-150-PIC</v>
      </c>
      <c r="H74" t="str">
        <f>CONCATENATE(A74,"-",B74,"-",C74,D74,"-",E74,"-",F74,"-","POC")</f>
        <v>KN207-3-PS4-6-150-POC</v>
      </c>
      <c r="J74">
        <v>4</v>
      </c>
      <c r="K74">
        <v>47</v>
      </c>
      <c r="L74" s="2">
        <v>41292</v>
      </c>
      <c r="M74" s="2">
        <v>41295</v>
      </c>
      <c r="N74">
        <v>692.95</v>
      </c>
      <c r="O74">
        <v>298.31</v>
      </c>
      <c r="P74">
        <v>394.33</v>
      </c>
      <c r="Q74" s="4">
        <v>1327.65</v>
      </c>
      <c r="R74" s="2">
        <v>41327</v>
      </c>
      <c r="S74" s="7">
        <f>Q74-((SUM($Q$92:$Q$94))/3)</f>
        <v>1323.5700000000002</v>
      </c>
      <c r="T74" s="7">
        <f>S74-$S$82</f>
        <v>1315.8200000000002</v>
      </c>
      <c r="U74">
        <f>(N74*T74)/O74</f>
        <v>3056.5434246253903</v>
      </c>
      <c r="V74">
        <f>(U74/1000)*(1/Constants!$B$1)*(1/Constants!$I$12)</f>
        <v>62.910309534290569</v>
      </c>
      <c r="W74" s="2">
        <v>41547</v>
      </c>
      <c r="X74">
        <v>0.21</v>
      </c>
      <c r="Z74">
        <v>55.89</v>
      </c>
      <c r="AA74">
        <v>23.1</v>
      </c>
      <c r="AB74" t="s">
        <v>128</v>
      </c>
      <c r="AC74" t="s">
        <v>133</v>
      </c>
      <c r="AD74">
        <f>((Z74-X74)*(Constants!$K$17/1000)*10^6)/(62.364*(273.15+AA74))</f>
        <v>511.46132895560481</v>
      </c>
      <c r="AE74">
        <f>(0.01/Z74)*AD74</f>
        <v>9.1512136152371581E-2</v>
      </c>
      <c r="AF74">
        <f>AD74-J74*Constants!$C$26</f>
        <v>506.50782895501663</v>
      </c>
      <c r="AG74">
        <f>SQRT(AE74^2+(Constants!$D$26*J74)^2)</f>
        <v>9.2978481432917801E-2</v>
      </c>
      <c r="AH74">
        <f>AF74-$AF$83</f>
        <v>500.15018722197823</v>
      </c>
      <c r="AI74">
        <f>SQRT(AG74^2+$AG$83^2)</f>
        <v>9.6426416149343094E-2</v>
      </c>
      <c r="AJ74">
        <f>(N74*AH74*12.01)/P74</f>
        <v>10555.663169294736</v>
      </c>
      <c r="AK74">
        <f>12.01*AI74</f>
        <v>1.1580812579536106</v>
      </c>
      <c r="AL74">
        <f>(AJ74/1000)*(1/Constants!$B$1)*(1/Constants!$I$12)</f>
        <v>217.25849924786513</v>
      </c>
      <c r="AM74">
        <f>(AK74/1000)*(1/Constants!$B$1)*(1/Constants!$I$12)</f>
        <v>2.3835830309739958E-2</v>
      </c>
      <c r="AN74">
        <f>AL74-V74</f>
        <v>154.34818971357456</v>
      </c>
      <c r="AO74">
        <f>AM74</f>
        <v>2.3835830309739958E-2</v>
      </c>
    </row>
    <row r="75" spans="1:42">
      <c r="A75" t="s">
        <v>0</v>
      </c>
      <c r="B75">
        <v>3</v>
      </c>
      <c r="C75" t="s">
        <v>17</v>
      </c>
      <c r="D75">
        <v>4</v>
      </c>
      <c r="E75">
        <v>7</v>
      </c>
      <c r="F75">
        <v>150</v>
      </c>
      <c r="K75">
        <v>47</v>
      </c>
      <c r="N75" t="s">
        <v>2</v>
      </c>
      <c r="T75" s="7"/>
    </row>
    <row r="76" spans="1:42">
      <c r="A76" t="s">
        <v>0</v>
      </c>
      <c r="B76">
        <v>3</v>
      </c>
      <c r="C76" t="s">
        <v>17</v>
      </c>
      <c r="D76">
        <v>4</v>
      </c>
      <c r="E76">
        <v>8</v>
      </c>
      <c r="F76">
        <v>150</v>
      </c>
      <c r="G76" t="str">
        <f>CONCATENATE(A76,"-",B76,"-",C76,D76,"-",E76,"-",F76,"-","PIC")</f>
        <v>KN207-3-PS4-8-150-PIC</v>
      </c>
      <c r="H76" t="str">
        <f>CONCATENATE(A76,"-",B76,"-",C76,D76,"-",E76,"-",F76,"-","POC")</f>
        <v>KN207-3-PS4-8-150-POC</v>
      </c>
      <c r="J76">
        <v>4</v>
      </c>
      <c r="K76">
        <v>47</v>
      </c>
      <c r="L76" s="2">
        <v>41292</v>
      </c>
      <c r="M76" s="2">
        <v>41295</v>
      </c>
      <c r="N76">
        <v>695.63</v>
      </c>
      <c r="O76">
        <v>352.02</v>
      </c>
      <c r="P76">
        <v>343.84</v>
      </c>
      <c r="Q76" s="4">
        <v>1671.07</v>
      </c>
      <c r="R76" s="2">
        <v>41327</v>
      </c>
      <c r="S76" s="7">
        <f>Q76-((SUM($Q$92:$Q$94))/3)</f>
        <v>1666.99</v>
      </c>
      <c r="T76" s="7">
        <f>S76-$S$82</f>
        <v>1659.24</v>
      </c>
      <c r="U76">
        <f>(N76*T76)/O76</f>
        <v>3278.8396147946141</v>
      </c>
      <c r="V76">
        <f>(U76/1000)*(1/Constants!$B$1)*(1/Constants!$I$12)</f>
        <v>67.485648467534546</v>
      </c>
      <c r="W76" s="2">
        <v>41547</v>
      </c>
      <c r="X76">
        <v>0.21</v>
      </c>
      <c r="Z76">
        <v>53.9</v>
      </c>
      <c r="AA76">
        <v>23</v>
      </c>
      <c r="AB76" t="s">
        <v>128</v>
      </c>
      <c r="AC76" t="s">
        <v>133</v>
      </c>
      <c r="AD76">
        <f>((Z76-X76)*(Constants!$K$17/1000)*10^6)/(62.364*(273.15+AA76))</f>
        <v>493.34826151179897</v>
      </c>
      <c r="AE76">
        <f>(0.01/Z76)*AD76</f>
        <v>9.1530289705343049E-2</v>
      </c>
      <c r="AF76">
        <f>AD76-J76*Constants!$C$26</f>
        <v>488.39476151121079</v>
      </c>
      <c r="AG76">
        <f>SQRT(AE76^2+(Constants!$D$26*J76)^2)</f>
        <v>9.2996348745234478E-2</v>
      </c>
      <c r="AH76">
        <f>AF76-$AF$83</f>
        <v>482.03711977817238</v>
      </c>
      <c r="AI76">
        <f>SQRT(AG76^2+$AG$83^2)</f>
        <v>9.6443644693572875E-2</v>
      </c>
      <c r="AJ76">
        <f>(N76*AH76*12.01)/P76</f>
        <v>11712.386500674133</v>
      </c>
      <c r="AK76">
        <f>12.01*AI76</f>
        <v>1.1582881727698102</v>
      </c>
      <c r="AL76">
        <f>(AJ76/1000)*(1/Constants!$B$1)*(1/Constants!$I$12)</f>
        <v>241.06638047616215</v>
      </c>
      <c r="AM76">
        <f>(AK76/1000)*(1/Constants!$B$1)*(1/Constants!$I$12)</f>
        <v>2.3840089066553119E-2</v>
      </c>
      <c r="AN76">
        <f>AL76-V76</f>
        <v>173.58073200862759</v>
      </c>
      <c r="AO76">
        <f>AM76</f>
        <v>2.3840089066553119E-2</v>
      </c>
    </row>
    <row r="77" spans="1:42">
      <c r="A77" t="s">
        <v>0</v>
      </c>
      <c r="B77">
        <v>3</v>
      </c>
      <c r="C77" t="s">
        <v>17</v>
      </c>
      <c r="D77">
        <v>4</v>
      </c>
      <c r="E77">
        <v>9</v>
      </c>
      <c r="F77">
        <v>150</v>
      </c>
      <c r="G77" t="str">
        <f>CONCATENATE(A77,"-",B77,"-",C77,D77,"-",E77,"-",F77,"-","PIC")</f>
        <v>KN207-3-PS4-9-150-PIC</v>
      </c>
      <c r="H77" t="str">
        <f>CONCATENATE(A77,"-",B77,"-",C77,D77,"-",E77,"-",F77,"-","POC")</f>
        <v>KN207-3-PS4-9-150-POC</v>
      </c>
      <c r="J77">
        <v>4</v>
      </c>
      <c r="K77">
        <v>47</v>
      </c>
      <c r="L77" s="2">
        <v>41292</v>
      </c>
      <c r="M77" s="2">
        <v>41295</v>
      </c>
      <c r="N77">
        <v>684.94</v>
      </c>
      <c r="O77">
        <v>353.48</v>
      </c>
      <c r="P77">
        <v>330.1</v>
      </c>
      <c r="Q77" s="4">
        <v>1417.96</v>
      </c>
      <c r="R77" s="2">
        <v>41327</v>
      </c>
      <c r="S77" s="7">
        <f>Q77-((SUM($Q$92:$Q$94))/3)</f>
        <v>1413.88</v>
      </c>
      <c r="T77" s="7">
        <f>S77-$S$82</f>
        <v>1406.13</v>
      </c>
      <c r="U77">
        <f>(N77*T77)/O77</f>
        <v>2724.6652772434086</v>
      </c>
      <c r="V77">
        <f>(U77/1000)*(1/Constants!$B$1)*(1/Constants!$I$12)</f>
        <v>56.079535657087682</v>
      </c>
      <c r="W77" s="2">
        <v>41547</v>
      </c>
      <c r="X77">
        <v>0.21</v>
      </c>
      <c r="Z77">
        <v>43.87</v>
      </c>
      <c r="AA77">
        <v>22</v>
      </c>
      <c r="AB77" t="s">
        <v>128</v>
      </c>
      <c r="AC77" t="s">
        <v>133</v>
      </c>
      <c r="AD77">
        <f>((Z77-X77)*(Constants!$K$17/1000)*10^6)/(62.364*(273.15+AA77))</f>
        <v>402.54355620469477</v>
      </c>
      <c r="AE77">
        <f>(0.01/Z77)*AD77</f>
        <v>9.1758275861567082E-2</v>
      </c>
      <c r="AF77">
        <f>AD77-J77*Constants!$C$26</f>
        <v>397.59005620410659</v>
      </c>
      <c r="AG77">
        <f>SQRT(AE77^2+(Constants!$D$26*J77)^2)</f>
        <v>9.32207494900609E-2</v>
      </c>
      <c r="AH77">
        <f>AF77-$AF$83</f>
        <v>391.23241447106818</v>
      </c>
      <c r="AI77">
        <f>SQRT(AG77^2+$AG$83^2)</f>
        <v>9.666004271323049E-2</v>
      </c>
      <c r="AJ77">
        <f>(N77*AH77*12.01)/P77</f>
        <v>9749.5560948604652</v>
      </c>
      <c r="AK77">
        <f>12.01*AI77</f>
        <v>1.1608871129858982</v>
      </c>
      <c r="AL77">
        <f>(AJ77/1000)*(1/Constants!$B$1)*(1/Constants!$I$12)</f>
        <v>200.66706293393258</v>
      </c>
      <c r="AM77">
        <f>(AK77/1000)*(1/Constants!$B$1)*(1/Constants!$I$12)</f>
        <v>2.3893580907087087E-2</v>
      </c>
      <c r="AN77">
        <f>AL77-V77</f>
        <v>144.5875272768449</v>
      </c>
      <c r="AO77">
        <f>AM77</f>
        <v>2.3893580907087087E-2</v>
      </c>
    </row>
    <row r="78" spans="1:42">
      <c r="A78" t="s">
        <v>0</v>
      </c>
      <c r="B78">
        <v>3</v>
      </c>
      <c r="C78" t="s">
        <v>17</v>
      </c>
      <c r="D78">
        <v>4</v>
      </c>
      <c r="E78">
        <v>11</v>
      </c>
      <c r="F78">
        <v>50</v>
      </c>
      <c r="G78" t="str">
        <f>CONCATENATE(A78,"-",B78,"-",C78,D78,"-",E78,"-",F78,"-","PIC")</f>
        <v>KN207-3-PS4-11-50-PIC</v>
      </c>
      <c r="H78" t="str">
        <f>CONCATENATE(A78,"-",B78,"-",C78,D78,"-",E78,"-",F78,"-","POC")</f>
        <v>KN207-3-PS4-11-50-POC</v>
      </c>
      <c r="I78" t="s">
        <v>39</v>
      </c>
      <c r="J78">
        <v>5</v>
      </c>
      <c r="K78">
        <v>47</v>
      </c>
      <c r="L78" s="2">
        <v>41292</v>
      </c>
      <c r="M78" s="2">
        <v>41295</v>
      </c>
      <c r="N78">
        <v>835.45</v>
      </c>
      <c r="O78">
        <v>425.16</v>
      </c>
      <c r="P78">
        <v>409.11</v>
      </c>
      <c r="Q78" s="4">
        <v>1175.8599999999999</v>
      </c>
      <c r="R78" s="2">
        <v>41327</v>
      </c>
      <c r="S78" s="7">
        <f>Q78-((SUM($Q$92:$Q$94))/3)</f>
        <v>1171.78</v>
      </c>
      <c r="T78" s="7">
        <f>S78-$S$82</f>
        <v>1164.03</v>
      </c>
      <c r="U78">
        <f>(N78*T78)/O78</f>
        <v>2287.3479713519614</v>
      </c>
      <c r="V78">
        <f>(U78/1000)*(1/Constants!$B$1)*(1/Constants!$I$13)</f>
        <v>46.335378798515642</v>
      </c>
      <c r="W78" s="2">
        <v>41547</v>
      </c>
      <c r="X78">
        <v>0.21</v>
      </c>
      <c r="Z78">
        <v>51.6</v>
      </c>
      <c r="AA78">
        <v>23</v>
      </c>
      <c r="AB78" t="s">
        <v>128</v>
      </c>
      <c r="AC78" t="s">
        <v>133</v>
      </c>
      <c r="AD78">
        <f>((Z78-X78)*(Constants!$K$17/1000)*10^6)/(62.364*(273.15+AA78))</f>
        <v>472.2139534194701</v>
      </c>
      <c r="AE78">
        <f>(0.01/Z78)*AD78</f>
        <v>9.1514332058036843E-2</v>
      </c>
      <c r="AF78">
        <f>AD78-J78*Constants!$C$26</f>
        <v>466.02207841873485</v>
      </c>
      <c r="AG78">
        <f>SQRT(AE78^2+(Constants!$D$26*J78)^2)</f>
        <v>9.3795369426110678E-2</v>
      </c>
      <c r="AH78">
        <f>AF78-$AF$83</f>
        <v>459.66443668569644</v>
      </c>
      <c r="AI78">
        <f>SQRT(AG78^2+$AG$83^2)</f>
        <v>9.7214335607540059E-2</v>
      </c>
      <c r="AJ78">
        <f>(N78*AH78*12.01)/P78</f>
        <v>11273.643054643182</v>
      </c>
      <c r="AK78">
        <f>12.01*AI78</f>
        <v>1.1675441706465561</v>
      </c>
      <c r="AL78">
        <f>(AJ78/1000)*(1/Constants!$B$1)*(1/Constants!$I$13)</f>
        <v>228.37300136165786</v>
      </c>
      <c r="AM78">
        <f>(AK78/1000)*(1/Constants!$B$1)*(1/Constants!$I$13)</f>
        <v>2.3651233694421844E-2</v>
      </c>
      <c r="AN78">
        <f>AL78-V78</f>
        <v>182.03762256314221</v>
      </c>
      <c r="AO78">
        <f>AM78</f>
        <v>2.3651233694421844E-2</v>
      </c>
    </row>
    <row r="79" spans="1:42">
      <c r="A79" t="s">
        <v>0</v>
      </c>
      <c r="B79">
        <v>3</v>
      </c>
      <c r="C79" t="s">
        <v>17</v>
      </c>
      <c r="D79">
        <v>4</v>
      </c>
      <c r="E79">
        <v>12</v>
      </c>
      <c r="F79">
        <v>50</v>
      </c>
      <c r="G79" t="str">
        <f>CONCATENATE(A79,"-",B79,"-",C79,D79,"-",E79,"-",F79,"-","PIC")</f>
        <v>KN207-3-PS4-12-50-PIC</v>
      </c>
      <c r="H79" t="str">
        <f>CONCATENATE(A79,"-",B79,"-",C79,D79,"-",E79,"-",F79,"-","POC")</f>
        <v>KN207-3-PS4-12-50-POC</v>
      </c>
      <c r="I79" t="s">
        <v>39</v>
      </c>
      <c r="J79">
        <v>5</v>
      </c>
      <c r="K79">
        <v>47</v>
      </c>
      <c r="L79" s="2">
        <v>41254</v>
      </c>
      <c r="M79" s="2">
        <v>41254</v>
      </c>
      <c r="N79">
        <f>181.37+162.13+172.91+163.48+163.89</f>
        <v>843.78</v>
      </c>
      <c r="O79">
        <f>94.22+78.31+80.59+82.07+80.57+84.05</f>
        <v>499.81</v>
      </c>
      <c r="P79">
        <f>87.28+83.76+92.25+81.54+83.22+77.96</f>
        <v>506.01000000000005</v>
      </c>
      <c r="Q79" t="s">
        <v>24</v>
      </c>
      <c r="R79" s="2">
        <v>41254</v>
      </c>
      <c r="S79" s="7" t="e">
        <f>Q79-((SUM($Q$95:$Q$96))/2)</f>
        <v>#VALUE!</v>
      </c>
      <c r="T79" s="7"/>
      <c r="W79" s="2">
        <v>41547</v>
      </c>
      <c r="X79">
        <v>0.21</v>
      </c>
      <c r="Z79">
        <v>45.89</v>
      </c>
      <c r="AA79">
        <v>23.1</v>
      </c>
      <c r="AB79" t="s">
        <v>128</v>
      </c>
      <c r="AC79" t="s">
        <v>133</v>
      </c>
      <c r="AD79">
        <f>((Z79-X79)*(Constants!$K$17/1000)*10^6)/(62.364*(273.15+AA79))</f>
        <v>419.6040500483482</v>
      </c>
      <c r="AE79">
        <f>(0.01/Z79)*AD79</f>
        <v>9.1436925266582744E-2</v>
      </c>
      <c r="AF79">
        <f>AD79-J79*Constants!$C$26</f>
        <v>413.41217504761295</v>
      </c>
      <c r="AG79">
        <f>SQRT(AE79^2+(Constants!$D$26*J79)^2)</f>
        <v>9.3719846649248123E-2</v>
      </c>
      <c r="AH79">
        <f>AF79-$AF$83</f>
        <v>407.05453331457454</v>
      </c>
      <c r="AI79">
        <f>SQRT(AG79^2+$AG$83^2)</f>
        <v>9.7141470947239822E-2</v>
      </c>
      <c r="AJ79">
        <f>(N79*AH79*12.01)/P79</f>
        <v>8152.0292764634323</v>
      </c>
      <c r="AK79">
        <f>12.01*AI79</f>
        <v>1.1666690660763503</v>
      </c>
      <c r="AL79">
        <f>(AJ79/1000)*(1/Constants!$B$1)*(1/Constants!$I$13)</f>
        <v>165.13769187390525</v>
      </c>
      <c r="AM79">
        <f>(AK79/1000)*(1/Constants!$B$1)*(1/Constants!$I$13)</f>
        <v>2.3633506482709132E-2</v>
      </c>
      <c r="AP79" t="s">
        <v>83</v>
      </c>
    </row>
    <row r="80" spans="1:42">
      <c r="A80" t="s">
        <v>0</v>
      </c>
      <c r="B80">
        <v>3</v>
      </c>
      <c r="C80" t="s">
        <v>17</v>
      </c>
      <c r="D80">
        <v>4</v>
      </c>
      <c r="E80">
        <v>14</v>
      </c>
      <c r="F80">
        <v>50</v>
      </c>
      <c r="I80" t="s">
        <v>54</v>
      </c>
      <c r="K80">
        <v>47</v>
      </c>
      <c r="N80" t="s">
        <v>2</v>
      </c>
      <c r="T80" s="7"/>
    </row>
    <row r="81" spans="1:42">
      <c r="A81" t="s">
        <v>0</v>
      </c>
      <c r="B81">
        <v>3</v>
      </c>
      <c r="C81" t="s">
        <v>17</v>
      </c>
      <c r="D81">
        <v>4</v>
      </c>
      <c r="E81">
        <v>15</v>
      </c>
      <c r="F81">
        <v>50</v>
      </c>
      <c r="G81" t="str">
        <f t="shared" ref="G81:G87" si="22">CONCATENATE(A81,"-",B81,"-",C81,D81,"-",E81,"-",F81,"-","PIC")</f>
        <v>KN207-3-PS4-15-50-PIC</v>
      </c>
      <c r="H81" t="str">
        <f t="shared" ref="H81:H87" si="23">CONCATENATE(A81,"-",B81,"-",C81,D81,"-",E81,"-",F81,"-","POC")</f>
        <v>KN207-3-PS4-15-50-POC</v>
      </c>
      <c r="I81" t="s">
        <v>39</v>
      </c>
      <c r="J81">
        <v>6</v>
      </c>
      <c r="K81">
        <v>47</v>
      </c>
      <c r="L81" s="2">
        <v>41292</v>
      </c>
      <c r="M81" s="2">
        <v>41295</v>
      </c>
      <c r="N81">
        <v>989.4</v>
      </c>
      <c r="O81">
        <v>502.06</v>
      </c>
      <c r="P81">
        <v>487.14</v>
      </c>
      <c r="Q81" s="4">
        <v>955.89</v>
      </c>
      <c r="R81" s="2">
        <v>41327</v>
      </c>
      <c r="S81" s="7">
        <f>Q81-((SUM($Q$92:$Q$94))/3)</f>
        <v>951.81</v>
      </c>
      <c r="T81" s="7">
        <f>S81-$S$82</f>
        <v>944.06</v>
      </c>
      <c r="U81">
        <f>(N81*T81)/O81</f>
        <v>1860.440911444847</v>
      </c>
      <c r="V81">
        <f>(U81/1000)*(1/Constants!$B$1)*(1/Constants!$I$13)</f>
        <v>37.687415926095731</v>
      </c>
      <c r="W81" s="2">
        <v>41547</v>
      </c>
      <c r="X81">
        <v>0.21</v>
      </c>
      <c r="Z81">
        <v>48.86</v>
      </c>
      <c r="AA81">
        <v>22.9</v>
      </c>
      <c r="AB81" t="s">
        <v>128</v>
      </c>
      <c r="AC81" t="s">
        <v>133</v>
      </c>
      <c r="AD81">
        <f>((Z81-X81)*(Constants!$K$17/1000)*10^6)/(62.364*(273.15+AA81))</f>
        <v>447.18756065893189</v>
      </c>
      <c r="AE81">
        <f>(0.01/Z81)*AD81</f>
        <v>9.1524265382507547E-2</v>
      </c>
      <c r="AF81">
        <f>AD81-J81*Constants!$C$26</f>
        <v>439.75731065804962</v>
      </c>
      <c r="AG81">
        <f>SQRT(AE81^2+(Constants!$D$26*J81)^2)</f>
        <v>9.4791227353645299E-2</v>
      </c>
      <c r="AH81">
        <f>AF81-$AF$83</f>
        <v>433.39966892501121</v>
      </c>
      <c r="AI81">
        <f>SQRT(AG81^2+$AG$83^2)</f>
        <v>9.817551886822562E-2</v>
      </c>
      <c r="AJ81">
        <f>(N81*AH81*12.01)/P81</f>
        <v>10571.818461914885</v>
      </c>
      <c r="AK81">
        <f>12.01*AI81</f>
        <v>1.1790879816073896</v>
      </c>
      <c r="AL81">
        <f>(AJ81/1000)*(1/Constants!$B$1)*(1/Constants!$I$13)</f>
        <v>214.15596540496486</v>
      </c>
      <c r="AM81">
        <f>(AK81/1000)*(1/Constants!$B$1)*(1/Constants!$I$13)</f>
        <v>2.3885079554495564E-2</v>
      </c>
      <c r="AN81">
        <f>AL81-V81</f>
        <v>176.46854947886914</v>
      </c>
      <c r="AO81">
        <f>AM81</f>
        <v>2.3885079554495564E-2</v>
      </c>
    </row>
    <row r="82" spans="1:42">
      <c r="A82" t="s">
        <v>0</v>
      </c>
      <c r="B82">
        <v>3</v>
      </c>
      <c r="C82" t="s">
        <v>17</v>
      </c>
      <c r="D82">
        <v>4</v>
      </c>
      <c r="E82">
        <v>13</v>
      </c>
      <c r="F82" t="s">
        <v>10</v>
      </c>
      <c r="G82" t="str">
        <f t="shared" si="22"/>
        <v>KN207-3-PS4-13-TUBE BLANK-PIC</v>
      </c>
      <c r="H82" t="str">
        <f t="shared" si="23"/>
        <v>KN207-3-PS4-13-TUBE BLANK-POC</v>
      </c>
      <c r="J82">
        <v>1</v>
      </c>
      <c r="K82">
        <v>47</v>
      </c>
      <c r="L82" s="2">
        <v>41254</v>
      </c>
      <c r="M82" s="2">
        <v>41254</v>
      </c>
      <c r="N82">
        <v>162.1</v>
      </c>
      <c r="O82">
        <v>84.05</v>
      </c>
      <c r="P82">
        <v>77.959999999999994</v>
      </c>
      <c r="Q82">
        <v>11.64</v>
      </c>
      <c r="R82" s="2">
        <v>41254</v>
      </c>
      <c r="S82" s="7">
        <f>Q82-((SUM($Q$95:$Q$96))/2)</f>
        <v>7.75</v>
      </c>
      <c r="T82" s="7">
        <f>S82-$S$82</f>
        <v>0</v>
      </c>
      <c r="U82">
        <f>(N82*T82)/O82</f>
        <v>0</v>
      </c>
      <c r="V82">
        <f>(U82/1000)*(1/Constants!$B$1)*(1/Constants!$I$13)</f>
        <v>0</v>
      </c>
      <c r="W82" s="2">
        <v>41547</v>
      </c>
      <c r="X82">
        <v>0.21</v>
      </c>
      <c r="Z82">
        <v>86.14</v>
      </c>
      <c r="AA82">
        <v>22.9</v>
      </c>
      <c r="AB82" t="s">
        <v>127</v>
      </c>
      <c r="AC82" t="s">
        <v>133</v>
      </c>
      <c r="AD82">
        <f>((Z82-X82)*(Constants!$K$16/1000)*10^6)/(62.364*(273.15+AA82))</f>
        <v>265.65939716540817</v>
      </c>
      <c r="AE82">
        <f>(0.01/Z82)*AD82</f>
        <v>3.084042223884469E-2</v>
      </c>
      <c r="AF82">
        <f>AD82-J82*Constants!$C$26</f>
        <v>264.42102216526109</v>
      </c>
      <c r="AG82">
        <f>SQRT(AE82^2+(Constants!$D$26*J82)^2)</f>
        <v>3.1113334408582827E-2</v>
      </c>
      <c r="AH82">
        <f>AF82-$AF$82</f>
        <v>0</v>
      </c>
      <c r="AI82">
        <f>SQRT(AG82^2+$AG$83^2)</f>
        <v>4.026282776774575E-2</v>
      </c>
      <c r="AL82">
        <f>(AJ82/1000)*(1/Constants!$B$1)*(1/Constants!$I$13)</f>
        <v>0</v>
      </c>
      <c r="AM82">
        <f>(AL82/1000)*(1/Constants!$B$1)*(1/Constants!$I$13)</f>
        <v>0</v>
      </c>
      <c r="AN82">
        <f>AL82-V82</f>
        <v>0</v>
      </c>
      <c r="AO82">
        <f>AM82</f>
        <v>0</v>
      </c>
      <c r="AP82" t="s">
        <v>99</v>
      </c>
    </row>
    <row r="83" spans="1:42">
      <c r="A83" t="s">
        <v>0</v>
      </c>
      <c r="B83">
        <v>3</v>
      </c>
      <c r="C83" t="s">
        <v>17</v>
      </c>
      <c r="D83">
        <v>2</v>
      </c>
      <c r="G83" t="s">
        <v>140</v>
      </c>
      <c r="L83" s="2"/>
      <c r="M83" s="2"/>
      <c r="Q83" s="5"/>
      <c r="R83" s="3"/>
      <c r="S83" s="7"/>
      <c r="T83" s="7"/>
      <c r="AF83">
        <f>AF69</f>
        <v>6.3576417330383839</v>
      </c>
      <c r="AG83">
        <f>AG69</f>
        <v>2.5554954937053877E-2</v>
      </c>
      <c r="AH83">
        <f>AF83-$AF$83</f>
        <v>0</v>
      </c>
      <c r="AI83">
        <f>SQRT(AG83^2+$AG$83^2)</f>
        <v>3.6140163857814878E-2</v>
      </c>
    </row>
    <row r="84" spans="1:42">
      <c r="A84" t="s">
        <v>0</v>
      </c>
      <c r="B84">
        <v>3</v>
      </c>
      <c r="C84" t="s">
        <v>17</v>
      </c>
      <c r="D84">
        <v>4</v>
      </c>
      <c r="E84" t="s">
        <v>19</v>
      </c>
      <c r="G84" t="str">
        <f t="shared" si="22"/>
        <v>KN207-3-PS4-FILTER BLANK--PIC</v>
      </c>
      <c r="H84" t="str">
        <f t="shared" si="23"/>
        <v>KN207-3-PS4-FILTER BLANK--POC</v>
      </c>
      <c r="J84">
        <v>1</v>
      </c>
      <c r="K84">
        <v>47</v>
      </c>
      <c r="L84" s="2">
        <v>41292</v>
      </c>
      <c r="M84" s="2">
        <v>41295</v>
      </c>
      <c r="N84">
        <v>124.27</v>
      </c>
      <c r="O84">
        <v>60.49</v>
      </c>
      <c r="P84">
        <v>64.569999999999993</v>
      </c>
      <c r="Q84" s="4">
        <v>13.61</v>
      </c>
      <c r="R84" s="2">
        <v>41327</v>
      </c>
      <c r="S84" s="7">
        <f>Q84-((SUM($Q$92:$Q$94))/3)</f>
        <v>9.5299999999999994</v>
      </c>
      <c r="T84" s="7"/>
      <c r="W84" s="2">
        <v>41547</v>
      </c>
      <c r="X84">
        <v>0.21</v>
      </c>
      <c r="Z84">
        <v>0.72</v>
      </c>
      <c r="AA84">
        <v>22.8</v>
      </c>
      <c r="AB84" t="s">
        <v>126</v>
      </c>
      <c r="AC84" t="s">
        <v>133</v>
      </c>
      <c r="AD84">
        <f>((Z84-X84)*(Constants!$K$15/1000)*10^6)/(62.364*(273.15+AA84))</f>
        <v>0.58236289322179358</v>
      </c>
      <c r="AE84">
        <f>(0.01/Z84)*AD84</f>
        <v>8.0883735169693556E-3</v>
      </c>
      <c r="AF84">
        <f>AD84-J84*Constants!$C$26</f>
        <v>-0.65601210692525369</v>
      </c>
      <c r="AG84">
        <f>SQRT(AE84^2+(Constants!$D$26*J84)^2)</f>
        <v>9.0735726315541824E-3</v>
      </c>
      <c r="AP84" t="s">
        <v>84</v>
      </c>
    </row>
    <row r="85" spans="1:42">
      <c r="A85" t="s">
        <v>0</v>
      </c>
      <c r="B85">
        <v>3</v>
      </c>
      <c r="C85" t="s">
        <v>17</v>
      </c>
      <c r="D85">
        <v>4</v>
      </c>
      <c r="E85" t="s">
        <v>21</v>
      </c>
      <c r="G85" t="str">
        <f t="shared" si="22"/>
        <v>KN207-3-PS4-FILTER w/500 mL BRINE--PIC</v>
      </c>
      <c r="H85" t="str">
        <f t="shared" si="23"/>
        <v>KN207-3-PS4-FILTER w/500 mL BRINE--POC</v>
      </c>
      <c r="J85">
        <v>1</v>
      </c>
      <c r="K85">
        <v>47</v>
      </c>
      <c r="L85" s="2">
        <v>41292</v>
      </c>
      <c r="M85" s="2">
        <v>41295</v>
      </c>
      <c r="N85">
        <v>169.97</v>
      </c>
      <c r="O85">
        <v>86.21</v>
      </c>
      <c r="P85">
        <v>83.85</v>
      </c>
      <c r="Q85" s="4">
        <v>13.53</v>
      </c>
      <c r="R85" s="2">
        <v>41327</v>
      </c>
      <c r="S85" s="7">
        <f>Q85-((SUM($Q$92:$Q$94))/3)</f>
        <v>9.4499999999999993</v>
      </c>
      <c r="T85" s="7"/>
      <c r="W85" s="2"/>
    </row>
    <row r="86" spans="1:42">
      <c r="A86" t="s">
        <v>0</v>
      </c>
      <c r="B86">
        <v>3</v>
      </c>
      <c r="C86" t="s">
        <v>17</v>
      </c>
      <c r="D86">
        <v>4</v>
      </c>
      <c r="E86" t="s">
        <v>22</v>
      </c>
      <c r="G86" t="str">
        <f t="shared" si="22"/>
        <v>KN207-3-PS4-FILTER w/500 mL BRINE + COLOR--PIC</v>
      </c>
      <c r="H86" t="str">
        <f t="shared" si="23"/>
        <v>KN207-3-PS4-FILTER w/500 mL BRINE + COLOR--POC</v>
      </c>
      <c r="J86">
        <v>1</v>
      </c>
      <c r="K86">
        <v>47</v>
      </c>
      <c r="L86" s="2">
        <v>41292</v>
      </c>
      <c r="M86" s="2">
        <v>41295</v>
      </c>
      <c r="N86">
        <v>159.13999999999999</v>
      </c>
      <c r="O86">
        <v>75.489999999999995</v>
      </c>
      <c r="P86">
        <v>83.66</v>
      </c>
      <c r="Q86" s="4">
        <v>13.05</v>
      </c>
      <c r="R86" s="2">
        <v>41327</v>
      </c>
      <c r="S86" s="7">
        <f>Q86-((SUM($Q$92:$Q$94))/3)</f>
        <v>8.9700000000000006</v>
      </c>
      <c r="T86" s="7"/>
      <c r="W86" s="2"/>
    </row>
    <row r="87" spans="1:42">
      <c r="E87" t="s">
        <v>23</v>
      </c>
      <c r="G87" t="str">
        <f t="shared" si="22"/>
        <v>---BAKED FILTER BLANK (6 x 1/2 of 25 mm GF/F)--PIC</v>
      </c>
      <c r="H87" t="str">
        <f t="shared" si="23"/>
        <v>---BAKED FILTER BLANK (6 x 1/2 of 25 mm GF/F)--POC</v>
      </c>
      <c r="K87">
        <v>47</v>
      </c>
      <c r="L87" s="2">
        <v>41254</v>
      </c>
      <c r="M87" s="2">
        <v>41254</v>
      </c>
      <c r="Q87">
        <v>9.99</v>
      </c>
      <c r="R87" s="2">
        <v>41254</v>
      </c>
      <c r="S87" s="2"/>
      <c r="T87" s="7"/>
      <c r="W87" s="3"/>
    </row>
    <row r="88" spans="1:42">
      <c r="G88" t="s">
        <v>25</v>
      </c>
      <c r="Q88" s="4">
        <v>3.52</v>
      </c>
      <c r="R88" s="2">
        <v>41326</v>
      </c>
      <c r="S88" s="2"/>
      <c r="T88" s="7"/>
    </row>
    <row r="89" spans="1:42">
      <c r="G89" t="s">
        <v>25</v>
      </c>
      <c r="Q89" s="4">
        <v>4.84</v>
      </c>
      <c r="R89" s="2">
        <v>41326</v>
      </c>
      <c r="S89" s="2"/>
      <c r="T89" s="7"/>
    </row>
    <row r="90" spans="1:42">
      <c r="G90" t="s">
        <v>25</v>
      </c>
      <c r="Q90" s="4">
        <v>3.48</v>
      </c>
      <c r="R90" s="2">
        <v>41326</v>
      </c>
      <c r="S90" s="2"/>
      <c r="T90" s="7"/>
    </row>
    <row r="91" spans="1:42">
      <c r="G91" t="s">
        <v>25</v>
      </c>
      <c r="Q91" s="4">
        <v>13</v>
      </c>
      <c r="R91" s="2">
        <v>41326</v>
      </c>
      <c r="S91" s="2"/>
      <c r="T91" s="7"/>
    </row>
    <row r="92" spans="1:42">
      <c r="G92" t="s">
        <v>25</v>
      </c>
      <c r="Q92" s="4">
        <v>2.15</v>
      </c>
      <c r="R92" s="2">
        <v>41327</v>
      </c>
      <c r="S92" s="2"/>
      <c r="T92" s="7"/>
    </row>
    <row r="93" spans="1:42">
      <c r="G93" t="s">
        <v>25</v>
      </c>
      <c r="Q93" s="4">
        <v>4.18</v>
      </c>
      <c r="R93" s="2">
        <v>41327</v>
      </c>
      <c r="S93" s="2"/>
      <c r="T93" s="7"/>
    </row>
    <row r="94" spans="1:42">
      <c r="G94" t="s">
        <v>25</v>
      </c>
      <c r="Q94" s="4">
        <v>5.91</v>
      </c>
      <c r="R94" s="2">
        <v>41327</v>
      </c>
      <c r="S94" s="2"/>
      <c r="T94" s="7"/>
    </row>
    <row r="95" spans="1:42">
      <c r="G95" t="s">
        <v>25</v>
      </c>
      <c r="Q95" s="6">
        <v>3.99</v>
      </c>
      <c r="R95" s="2">
        <v>41254</v>
      </c>
      <c r="S95" s="2"/>
      <c r="T95" s="7"/>
    </row>
    <row r="96" spans="1:42">
      <c r="G96" t="s">
        <v>25</v>
      </c>
      <c r="Q96" s="6">
        <v>3.79</v>
      </c>
      <c r="R96" s="2">
        <v>41254</v>
      </c>
      <c r="S96" s="2"/>
      <c r="T96" s="7"/>
    </row>
    <row r="97" spans="7:33">
      <c r="G97" t="s">
        <v>25</v>
      </c>
      <c r="T97" s="7"/>
    </row>
    <row r="98" spans="7:33">
      <c r="G98" t="s">
        <v>105</v>
      </c>
      <c r="W98" s="2">
        <v>41537</v>
      </c>
      <c r="X98">
        <v>-2.02</v>
      </c>
      <c r="Y98">
        <v>-2.02</v>
      </c>
      <c r="Z98">
        <v>5.6</v>
      </c>
      <c r="AA98">
        <v>24</v>
      </c>
      <c r="AB98" t="s">
        <v>66</v>
      </c>
      <c r="AD98">
        <f>((Z98-X98)*(Constants!$C$15/1000)*10^6)/(62.364*(273.15+AA98))</f>
        <v>7.4302500008822836</v>
      </c>
      <c r="AE98">
        <f>AD98-((Z98-X98)*((Constants!$C$15-Constants!$E$15)/1000)*10^6)/(62.364*(273.15+AA98))</f>
        <v>2.467155506657015E-2</v>
      </c>
      <c r="AF98">
        <f>AD98-J98*Constants!$C$26</f>
        <v>7.4302500008822836</v>
      </c>
      <c r="AG98">
        <f>SQRT(AE98^2+(Constants!$D$26*J98)^2)</f>
        <v>2.467155506657015E-2</v>
      </c>
    </row>
    <row r="99" spans="7:33">
      <c r="G99" t="s">
        <v>106</v>
      </c>
      <c r="W99" s="2">
        <v>41536</v>
      </c>
      <c r="X99">
        <v>-2.02</v>
      </c>
      <c r="Y99">
        <v>-2.02</v>
      </c>
      <c r="Z99">
        <v>1.02</v>
      </c>
      <c r="AA99">
        <v>25</v>
      </c>
      <c r="AB99" t="s">
        <v>66</v>
      </c>
      <c r="AD99">
        <f>((Z99-X99)*(Constants!$C$15/1000)*10^6)/(62.364*(273.15+AA99))</f>
        <v>2.9543569046728662</v>
      </c>
      <c r="AE99">
        <f>AD99-((Z99-X99)*((Constants!$C$15-Constants!$E$15)/1000)*10^6)/(62.364*(273.15+AA99))</f>
        <v>9.8097074864615941E-3</v>
      </c>
      <c r="AF99">
        <f>AD99-J99*Constants!$C$26</f>
        <v>2.9543569046728662</v>
      </c>
      <c r="AG99">
        <f>SQRT(AE99^2+(Constants!$D$26*J99)^2)</f>
        <v>9.8097074864615941E-3</v>
      </c>
    </row>
  </sheetData>
  <autoFilter ref="A5:R8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C44" sqref="C44"/>
    </sheetView>
  </sheetViews>
  <sheetFormatPr baseColWidth="10" defaultRowHeight="15" x14ac:dyDescent="0"/>
  <cols>
    <col min="1" max="1" width="22.5" customWidth="1"/>
    <col min="6" max="6" width="12.83203125" bestFit="1" customWidth="1"/>
    <col min="7" max="8" width="15" customWidth="1"/>
    <col min="9" max="9" width="12.83203125" bestFit="1" customWidth="1"/>
  </cols>
  <sheetData>
    <row r="1" spans="1:13">
      <c r="A1" t="s">
        <v>31</v>
      </c>
      <c r="B1">
        <f>PI()*((12.6/2)/100)^2</f>
        <v>1.2468981242097889E-2</v>
      </c>
      <c r="C1" t="s">
        <v>32</v>
      </c>
    </row>
    <row r="3" spans="1:13">
      <c r="B3" t="s">
        <v>37</v>
      </c>
      <c r="D3" t="s">
        <v>38</v>
      </c>
      <c r="F3" t="s">
        <v>33</v>
      </c>
      <c r="G3" t="s">
        <v>34</v>
      </c>
      <c r="H3" t="s">
        <v>45</v>
      </c>
      <c r="I3" t="s">
        <v>55</v>
      </c>
      <c r="J3" t="s">
        <v>35</v>
      </c>
    </row>
    <row r="4" spans="1:13">
      <c r="A4" t="s">
        <v>36</v>
      </c>
      <c r="B4" t="s">
        <v>0</v>
      </c>
      <c r="C4">
        <v>1</v>
      </c>
      <c r="D4" t="s">
        <v>1</v>
      </c>
      <c r="E4">
        <v>1</v>
      </c>
      <c r="F4" s="10">
        <v>41023.697916666664</v>
      </c>
      <c r="G4" s="10">
        <v>41026.71875</v>
      </c>
      <c r="H4" s="10" t="s">
        <v>46</v>
      </c>
      <c r="I4">
        <f>G4-F4</f>
        <v>3.0208333333357587</v>
      </c>
      <c r="J4" t="s">
        <v>40</v>
      </c>
    </row>
    <row r="5" spans="1:13">
      <c r="B5" t="s">
        <v>0</v>
      </c>
      <c r="C5">
        <v>1</v>
      </c>
      <c r="D5" t="s">
        <v>1</v>
      </c>
      <c r="E5">
        <v>2</v>
      </c>
      <c r="F5" s="10">
        <v>41029.795138888891</v>
      </c>
      <c r="G5" s="10">
        <v>41032.604166666664</v>
      </c>
      <c r="H5" s="10" t="s">
        <v>46</v>
      </c>
      <c r="I5">
        <f t="shared" ref="I5:I13" si="0">G5-F5</f>
        <v>2.8090277777737356</v>
      </c>
      <c r="J5" t="s">
        <v>44</v>
      </c>
    </row>
    <row r="6" spans="1:13">
      <c r="B6" t="s">
        <v>0</v>
      </c>
      <c r="C6">
        <v>1</v>
      </c>
      <c r="D6" t="s">
        <v>1</v>
      </c>
      <c r="E6">
        <v>2</v>
      </c>
      <c r="F6" s="10">
        <v>41029.795138888891</v>
      </c>
      <c r="G6" s="10">
        <v>41032.416666666664</v>
      </c>
      <c r="H6" s="10" t="s">
        <v>46</v>
      </c>
      <c r="I6">
        <f t="shared" si="0"/>
        <v>2.6215277777737356</v>
      </c>
      <c r="J6" t="s">
        <v>41</v>
      </c>
    </row>
    <row r="7" spans="1:13">
      <c r="B7" t="s">
        <v>0</v>
      </c>
      <c r="C7">
        <v>3</v>
      </c>
      <c r="D7" t="s">
        <v>17</v>
      </c>
      <c r="E7">
        <v>1</v>
      </c>
      <c r="F7" s="10">
        <v>41077.681250000001</v>
      </c>
      <c r="G7" s="10">
        <v>41081.4375</v>
      </c>
      <c r="H7" s="10" t="s">
        <v>47</v>
      </c>
      <c r="I7">
        <f t="shared" si="0"/>
        <v>3.7562499999985448</v>
      </c>
      <c r="J7" t="s">
        <v>48</v>
      </c>
    </row>
    <row r="8" spans="1:13">
      <c r="B8" t="s">
        <v>0</v>
      </c>
      <c r="C8">
        <v>3</v>
      </c>
      <c r="D8" t="s">
        <v>17</v>
      </c>
      <c r="E8">
        <v>2</v>
      </c>
      <c r="F8" s="10">
        <v>41083.65625</v>
      </c>
      <c r="G8" s="10">
        <v>41087.5</v>
      </c>
      <c r="H8" s="10" t="s">
        <v>47</v>
      </c>
      <c r="I8">
        <f t="shared" si="0"/>
        <v>3.84375</v>
      </c>
      <c r="J8" t="s">
        <v>50</v>
      </c>
    </row>
    <row r="9" spans="1:13">
      <c r="B9" t="s">
        <v>0</v>
      </c>
      <c r="C9">
        <v>3</v>
      </c>
      <c r="D9" t="s">
        <v>17</v>
      </c>
      <c r="E9">
        <v>2</v>
      </c>
      <c r="F9" s="10">
        <v>41083.65625</v>
      </c>
      <c r="G9" s="10">
        <v>41087.534722222219</v>
      </c>
      <c r="H9" s="10" t="s">
        <v>47</v>
      </c>
      <c r="I9">
        <f t="shared" si="0"/>
        <v>3.8784722222189885</v>
      </c>
      <c r="J9" t="s">
        <v>51</v>
      </c>
    </row>
    <row r="10" spans="1:13">
      <c r="B10" t="s">
        <v>0</v>
      </c>
      <c r="C10">
        <v>3</v>
      </c>
      <c r="D10" t="s">
        <v>17</v>
      </c>
      <c r="E10">
        <v>3</v>
      </c>
      <c r="F10" s="10">
        <v>41091.652777777781</v>
      </c>
      <c r="G10" s="10">
        <v>41095.5</v>
      </c>
      <c r="H10" s="10" t="s">
        <v>47</v>
      </c>
      <c r="I10">
        <f t="shared" si="0"/>
        <v>3.8472222222189885</v>
      </c>
      <c r="J10" t="s">
        <v>50</v>
      </c>
    </row>
    <row r="11" spans="1:13">
      <c r="B11" t="s">
        <v>0</v>
      </c>
      <c r="C11">
        <v>3</v>
      </c>
      <c r="D11" t="s">
        <v>17</v>
      </c>
      <c r="E11">
        <v>3</v>
      </c>
      <c r="F11" s="10">
        <v>41091.652777777781</v>
      </c>
      <c r="G11" s="10">
        <v>41095.5625</v>
      </c>
      <c r="H11" s="10" t="s">
        <v>47</v>
      </c>
      <c r="I11">
        <f t="shared" si="0"/>
        <v>3.9097222222189885</v>
      </c>
      <c r="J11" t="s">
        <v>51</v>
      </c>
    </row>
    <row r="12" spans="1:13">
      <c r="B12" t="s">
        <v>0</v>
      </c>
      <c r="C12">
        <v>3</v>
      </c>
      <c r="D12" t="s">
        <v>17</v>
      </c>
      <c r="E12">
        <v>4</v>
      </c>
      <c r="F12" s="10">
        <v>41097.645138888889</v>
      </c>
      <c r="G12" s="10">
        <v>41101.541666666664</v>
      </c>
      <c r="H12" s="10" t="s">
        <v>47</v>
      </c>
      <c r="I12">
        <f t="shared" si="0"/>
        <v>3.8965277777751908</v>
      </c>
      <c r="J12" t="s">
        <v>50</v>
      </c>
    </row>
    <row r="13" spans="1:13">
      <c r="B13" t="s">
        <v>0</v>
      </c>
      <c r="C13">
        <v>3</v>
      </c>
      <c r="D13" t="s">
        <v>17</v>
      </c>
      <c r="E13">
        <v>4</v>
      </c>
      <c r="F13" s="10">
        <v>41097.645138888889</v>
      </c>
      <c r="G13" s="10">
        <v>41101.604166666664</v>
      </c>
      <c r="H13" s="10" t="s">
        <v>47</v>
      </c>
      <c r="I13">
        <f t="shared" si="0"/>
        <v>3.9590277777751908</v>
      </c>
      <c r="J13" t="s">
        <v>51</v>
      </c>
    </row>
    <row r="14" spans="1:13">
      <c r="J14" t="s">
        <v>135</v>
      </c>
    </row>
    <row r="15" spans="1:13">
      <c r="A15" t="s">
        <v>65</v>
      </c>
      <c r="B15" t="s">
        <v>66</v>
      </c>
      <c r="C15">
        <v>18.07</v>
      </c>
      <c r="D15" t="s">
        <v>70</v>
      </c>
      <c r="E15">
        <v>0.06</v>
      </c>
      <c r="F15" t="s">
        <v>71</v>
      </c>
      <c r="H15" s="10" t="s">
        <v>125</v>
      </c>
      <c r="I15" t="s">
        <v>126</v>
      </c>
      <c r="J15" t="s">
        <v>136</v>
      </c>
      <c r="K15">
        <v>21.075399999999998</v>
      </c>
      <c r="L15" t="s">
        <v>129</v>
      </c>
      <c r="M15" t="s">
        <v>130</v>
      </c>
    </row>
    <row r="16" spans="1:13">
      <c r="B16" t="s">
        <v>67</v>
      </c>
      <c r="C16">
        <v>12.1</v>
      </c>
      <c r="D16" t="s">
        <v>70</v>
      </c>
      <c r="E16">
        <v>0.04</v>
      </c>
      <c r="F16" t="s">
        <v>71</v>
      </c>
      <c r="I16" t="s">
        <v>127</v>
      </c>
      <c r="J16" t="s">
        <v>138</v>
      </c>
      <c r="K16">
        <v>57.0794</v>
      </c>
      <c r="L16" t="s">
        <v>129</v>
      </c>
    </row>
    <row r="17" spans="1:12">
      <c r="B17" t="s">
        <v>68</v>
      </c>
      <c r="C17">
        <v>45.27</v>
      </c>
      <c r="D17" t="s">
        <v>70</v>
      </c>
      <c r="E17">
        <v>0.3</v>
      </c>
      <c r="F17" t="s">
        <v>71</v>
      </c>
      <c r="I17" t="s">
        <v>128</v>
      </c>
      <c r="J17" t="s">
        <v>137</v>
      </c>
      <c r="K17">
        <v>169.70939999999999</v>
      </c>
      <c r="L17" t="s">
        <v>129</v>
      </c>
    </row>
    <row r="18" spans="1:12">
      <c r="B18" t="s">
        <v>69</v>
      </c>
      <c r="C18">
        <f>C21-C20</f>
        <v>85.576831454511364</v>
      </c>
      <c r="D18" t="s">
        <v>70</v>
      </c>
      <c r="F18" t="s">
        <v>71</v>
      </c>
    </row>
    <row r="19" spans="1:12">
      <c r="B19" t="s">
        <v>72</v>
      </c>
      <c r="C19">
        <v>30.17</v>
      </c>
      <c r="D19" t="s">
        <v>70</v>
      </c>
      <c r="E19">
        <v>0.09</v>
      </c>
      <c r="F19" t="s">
        <v>71</v>
      </c>
    </row>
    <row r="20" spans="1:12">
      <c r="B20" t="s">
        <v>73</v>
      </c>
      <c r="C20">
        <v>75.44</v>
      </c>
      <c r="D20" t="s">
        <v>70</v>
      </c>
      <c r="E20">
        <v>0.38</v>
      </c>
      <c r="F20" t="s">
        <v>71</v>
      </c>
    </row>
    <row r="21" spans="1:12">
      <c r="B21" t="s">
        <v>74</v>
      </c>
      <c r="C21">
        <f>I39</f>
        <v>161.01683145451136</v>
      </c>
      <c r="D21" t="s">
        <v>70</v>
      </c>
      <c r="E21">
        <f>K39</f>
        <v>0.37997908380557938</v>
      </c>
      <c r="F21" t="s">
        <v>71</v>
      </c>
    </row>
    <row r="22" spans="1:12" s="12" customFormat="1"/>
    <row r="23" spans="1:12" s="12" customFormat="1">
      <c r="D23" s="12" t="s">
        <v>70</v>
      </c>
    </row>
    <row r="24" spans="1:12" s="11" customFormat="1">
      <c r="A24" s="12" t="s">
        <v>109</v>
      </c>
      <c r="B24" s="12" t="s">
        <v>110</v>
      </c>
      <c r="C24" s="12"/>
      <c r="D24" s="12"/>
    </row>
    <row r="25" spans="1:12" s="11" customFormat="1">
      <c r="A25" s="12"/>
      <c r="B25" s="12" t="s">
        <v>115</v>
      </c>
      <c r="C25" s="12">
        <v>7.4302500008822836</v>
      </c>
      <c r="D25" s="12">
        <v>2.467155506657015E-2</v>
      </c>
    </row>
    <row r="26" spans="1:12" s="11" customFormat="1">
      <c r="A26" s="12"/>
      <c r="B26" s="12" t="s">
        <v>117</v>
      </c>
      <c r="C26" s="12">
        <f>C25/6</f>
        <v>1.2383750001470473</v>
      </c>
      <c r="D26" s="12">
        <f>D25/6</f>
        <v>4.1119258444283586E-3</v>
      </c>
    </row>
    <row r="27" spans="1:12" s="11" customFormat="1">
      <c r="A27" s="12"/>
      <c r="B27" s="12"/>
    </row>
    <row r="28" spans="1:12" s="11" customFormat="1">
      <c r="A28" s="12"/>
      <c r="B28" s="12"/>
    </row>
    <row r="29" spans="1:12" s="12" customFormat="1">
      <c r="B29" s="12" t="s">
        <v>111</v>
      </c>
      <c r="C29"/>
      <c r="D29"/>
    </row>
    <row r="30" spans="1:12" s="12" customFormat="1">
      <c r="B30" s="12" t="s">
        <v>116</v>
      </c>
      <c r="C30">
        <v>2.9543569046728662</v>
      </c>
      <c r="D30">
        <v>9.8097074864615941E-3</v>
      </c>
    </row>
    <row r="31" spans="1:12" s="12" customFormat="1">
      <c r="B31" s="12" t="s">
        <v>117</v>
      </c>
      <c r="C31" s="12">
        <f>C30/12</f>
        <v>0.24619640872273885</v>
      </c>
      <c r="D31" s="12">
        <f>D30/12</f>
        <v>8.1747562387179951E-4</v>
      </c>
    </row>
    <row r="32" spans="1:12" s="12" customFormat="1"/>
    <row r="33" spans="1:11" s="12" customFormat="1"/>
    <row r="35" spans="1:11">
      <c r="A35" t="s">
        <v>86</v>
      </c>
      <c r="B35" t="s">
        <v>87</v>
      </c>
    </row>
    <row r="36" spans="1:11">
      <c r="B36" t="s">
        <v>88</v>
      </c>
      <c r="C36" t="s">
        <v>89</v>
      </c>
    </row>
    <row r="37" spans="1:11">
      <c r="A37" t="s">
        <v>97</v>
      </c>
      <c r="B37" t="s">
        <v>90</v>
      </c>
      <c r="C37" t="s">
        <v>93</v>
      </c>
      <c r="E37" t="s">
        <v>92</v>
      </c>
      <c r="F37">
        <f>(75.44*(99.7+2.11))/(24+273.15)</f>
        <v>25.847371361265356</v>
      </c>
    </row>
    <row r="38" spans="1:11">
      <c r="B38" t="s">
        <v>91</v>
      </c>
      <c r="C38" t="s">
        <v>94</v>
      </c>
      <c r="E38" t="s">
        <v>92</v>
      </c>
      <c r="F38" t="s">
        <v>95</v>
      </c>
    </row>
    <row r="39" spans="1:11">
      <c r="F39" t="s">
        <v>91</v>
      </c>
      <c r="G39" s="8">
        <f>(F37*(24+273.15))/(45.67+2.11)</f>
        <v>160.74814566764337</v>
      </c>
      <c r="I39">
        <f>AVERAGE(G39,G43)</f>
        <v>161.01683145451136</v>
      </c>
      <c r="J39" t="s">
        <v>70</v>
      </c>
      <c r="K39">
        <f>STDEV(G39,G43)</f>
        <v>0.37997908380557938</v>
      </c>
    </row>
    <row r="41" spans="1:11">
      <c r="A41" t="s">
        <v>98</v>
      </c>
      <c r="F41">
        <f>(75.44*(-0.25+2.11))/(24+273.15)</f>
        <v>0.47221403331650685</v>
      </c>
    </row>
    <row r="42" spans="1:11">
      <c r="F42" t="s">
        <v>96</v>
      </c>
    </row>
    <row r="43" spans="1:11">
      <c r="F43" t="s">
        <v>91</v>
      </c>
      <c r="G43" s="8">
        <f>(F41*(24+273.15))/(-1.24+2.11)</f>
        <v>161.28551724137932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C39" sqref="C39"/>
    </sheetView>
  </sheetViews>
  <sheetFormatPr baseColWidth="10" defaultRowHeight="15" x14ac:dyDescent="0"/>
  <cols>
    <col min="5" max="5" width="18.1640625" bestFit="1" customWidth="1"/>
    <col min="6" max="6" width="18.6640625" bestFit="1" customWidth="1"/>
    <col min="7" max="7" width="28" bestFit="1" customWidth="1"/>
  </cols>
  <sheetData>
    <row r="1" spans="1:7">
      <c r="A1" t="s">
        <v>144</v>
      </c>
    </row>
    <row r="3" spans="1:7">
      <c r="A3" s="11" t="s">
        <v>6</v>
      </c>
      <c r="B3" s="11" t="s">
        <v>147</v>
      </c>
      <c r="C3" s="11" t="s">
        <v>57</v>
      </c>
      <c r="D3" s="11" t="s">
        <v>9</v>
      </c>
      <c r="E3" s="13" t="s">
        <v>56</v>
      </c>
      <c r="F3" s="11" t="s">
        <v>121</v>
      </c>
      <c r="G3" s="11" t="s">
        <v>143</v>
      </c>
    </row>
    <row r="4" spans="1:7">
      <c r="A4">
        <v>2071</v>
      </c>
      <c r="B4" t="s">
        <v>1</v>
      </c>
      <c r="C4">
        <v>1</v>
      </c>
      <c r="D4">
        <v>50</v>
      </c>
      <c r="E4">
        <f>'Master data'!V10</f>
        <v>4.4886134532409665</v>
      </c>
      <c r="F4">
        <f>'Master data'!AL10</f>
        <v>69.42707545476614</v>
      </c>
      <c r="G4">
        <f>'Master data'!AM10</f>
        <v>0.12713496699675764</v>
      </c>
    </row>
    <row r="5" spans="1:7">
      <c r="A5">
        <v>2071</v>
      </c>
      <c r="B5" t="s">
        <v>1</v>
      </c>
      <c r="C5">
        <v>1</v>
      </c>
      <c r="D5">
        <v>50</v>
      </c>
      <c r="E5">
        <f>'Master data'!V11</f>
        <v>2.8874045579179421</v>
      </c>
      <c r="F5">
        <f>'Master data'!AL11</f>
        <v>44.52906592384317</v>
      </c>
      <c r="G5">
        <f>'Master data'!AM11</f>
        <v>0.10248590353493979</v>
      </c>
    </row>
    <row r="6" spans="1:7">
      <c r="A6">
        <v>2071</v>
      </c>
      <c r="B6" t="s">
        <v>1</v>
      </c>
      <c r="C6">
        <v>1</v>
      </c>
      <c r="D6">
        <v>50</v>
      </c>
      <c r="E6">
        <f>'Master data'!V13</f>
        <v>1.2881721521409579</v>
      </c>
      <c r="F6">
        <f>'Master data'!AL13</f>
        <v>38.445367411297269</v>
      </c>
      <c r="G6">
        <f>'Master data'!AM13</f>
        <v>9.3578611449120178E-2</v>
      </c>
    </row>
    <row r="7" spans="1:7">
      <c r="A7">
        <v>2071</v>
      </c>
      <c r="B7" t="s">
        <v>1</v>
      </c>
      <c r="C7">
        <v>1</v>
      </c>
      <c r="D7">
        <v>150</v>
      </c>
      <c r="E7">
        <f>'Master data'!V14</f>
        <v>3.1286070078400221</v>
      </c>
      <c r="F7">
        <f>'Master data'!AL14</f>
        <v>49.319514257219893</v>
      </c>
      <c r="G7">
        <f>'Master data'!AM14</f>
        <v>0.112254782949623</v>
      </c>
    </row>
    <row r="8" spans="1:7">
      <c r="A8">
        <v>2071</v>
      </c>
      <c r="B8" t="s">
        <v>1</v>
      </c>
      <c r="C8">
        <v>1</v>
      </c>
      <c r="D8">
        <v>150</v>
      </c>
      <c r="E8">
        <f>'Master data'!V15</f>
        <v>1.2546277116882263</v>
      </c>
      <c r="F8">
        <f>'Master data'!AL15</f>
        <v>34.069696040291539</v>
      </c>
      <c r="G8">
        <f>'Master data'!AM15</f>
        <v>8.7778799374362171E-2</v>
      </c>
    </row>
    <row r="9" spans="1:7">
      <c r="A9">
        <v>2071</v>
      </c>
      <c r="B9" t="s">
        <v>1</v>
      </c>
      <c r="C9">
        <v>1</v>
      </c>
      <c r="D9">
        <v>150</v>
      </c>
      <c r="E9">
        <f>'Master data'!V17</f>
        <v>1.9553496788474847</v>
      </c>
      <c r="F9">
        <f>'Master data'!AL17</f>
        <v>45.139462859445445</v>
      </c>
      <c r="G9">
        <f>'Master data'!AM17</f>
        <v>0.10298661100656775</v>
      </c>
    </row>
    <row r="10" spans="1:7">
      <c r="A10">
        <v>2071</v>
      </c>
      <c r="B10" t="s">
        <v>1</v>
      </c>
      <c r="C10">
        <v>1</v>
      </c>
      <c r="D10">
        <v>300</v>
      </c>
      <c r="E10">
        <f>'Master data'!V6</f>
        <v>1.3023963341975655</v>
      </c>
      <c r="F10">
        <f>'Master data'!AL6</f>
        <v>69.682849876779528</v>
      </c>
      <c r="G10">
        <f>'Master data'!AM6</f>
        <v>0.13399531611821069</v>
      </c>
    </row>
    <row r="11" spans="1:7">
      <c r="A11">
        <v>2071</v>
      </c>
      <c r="B11" t="s">
        <v>1</v>
      </c>
      <c r="C11">
        <v>1</v>
      </c>
      <c r="D11">
        <v>300</v>
      </c>
      <c r="E11">
        <f>'Master data'!V7</f>
        <v>0.95300997097008422</v>
      </c>
      <c r="F11">
        <f>'Master data'!AL7</f>
        <v>16.743569004376031</v>
      </c>
      <c r="G11">
        <f>'Master data'!AM7</f>
        <v>5.9080552418806692E-2</v>
      </c>
    </row>
    <row r="12" spans="1:7">
      <c r="A12">
        <v>2071</v>
      </c>
      <c r="B12" t="s">
        <v>1</v>
      </c>
      <c r="C12">
        <v>1</v>
      </c>
      <c r="D12">
        <v>300</v>
      </c>
      <c r="E12">
        <f>'Master data'!V8</f>
        <v>1.2118252446572357</v>
      </c>
      <c r="F12">
        <f>'Master data'!AL8</f>
        <v>33.559277540185533</v>
      </c>
      <c r="G12">
        <f>'Master data'!AM8</f>
        <v>8.7334537548310553E-2</v>
      </c>
    </row>
    <row r="13" spans="1:7">
      <c r="A13">
        <v>2071</v>
      </c>
      <c r="B13" t="s">
        <v>1</v>
      </c>
      <c r="C13">
        <v>2</v>
      </c>
      <c r="D13">
        <v>50</v>
      </c>
      <c r="E13">
        <f>'Master data'!V28</f>
        <v>4.3980621248662271</v>
      </c>
      <c r="F13">
        <f>'Master data'!AL23</f>
        <v>59.359838586619226</v>
      </c>
      <c r="G13">
        <f>'Master data'!AM23</f>
        <v>0.12538156000180223</v>
      </c>
    </row>
    <row r="14" spans="1:7">
      <c r="A14">
        <v>2071</v>
      </c>
      <c r="B14" t="s">
        <v>1</v>
      </c>
      <c r="C14">
        <v>2</v>
      </c>
      <c r="D14">
        <v>50</v>
      </c>
      <c r="E14">
        <f>'Master data'!V29</f>
        <v>4.6012298583281979</v>
      </c>
      <c r="F14">
        <f>'Master data'!AL29</f>
        <v>51.803082252391938</v>
      </c>
      <c r="G14">
        <f>'Master data'!AM29</f>
        <v>0.12428826695452871</v>
      </c>
    </row>
    <row r="15" spans="1:7">
      <c r="A15">
        <v>2071</v>
      </c>
      <c r="B15" t="s">
        <v>1</v>
      </c>
      <c r="C15">
        <v>2</v>
      </c>
      <c r="D15">
        <v>50</v>
      </c>
      <c r="E15">
        <f>'Master data'!V30</f>
        <v>2.5378580766895551</v>
      </c>
      <c r="F15">
        <f>'Master data'!AL30</f>
        <v>54.862214347096597</v>
      </c>
      <c r="G15">
        <f>'Master data'!AM30</f>
        <v>0.12602011985547304</v>
      </c>
    </row>
    <row r="16" spans="1:7">
      <c r="A16">
        <v>2071</v>
      </c>
      <c r="B16" t="s">
        <v>1</v>
      </c>
      <c r="C16">
        <v>2</v>
      </c>
      <c r="D16">
        <v>150</v>
      </c>
      <c r="E16">
        <f>'Master data'!V25</f>
        <v>8.2218391440599863</v>
      </c>
      <c r="F16">
        <f>'Master data'!AL25</f>
        <v>35.954337641342207</v>
      </c>
      <c r="G16">
        <f>'Master data'!AM25</f>
        <v>9.12138305937472E-2</v>
      </c>
    </row>
    <row r="17" spans="1:7">
      <c r="A17">
        <v>2071</v>
      </c>
      <c r="B17" t="s">
        <v>1</v>
      </c>
      <c r="C17">
        <v>2</v>
      </c>
      <c r="D17">
        <v>150</v>
      </c>
      <c r="E17">
        <f>'Master data'!V26</f>
        <v>8.475195838191528</v>
      </c>
      <c r="F17">
        <f>'Master data'!AL26</f>
        <v>32.354091225463002</v>
      </c>
      <c r="G17">
        <f>'Master data'!AM26</f>
        <v>8.2772516574783614E-2</v>
      </c>
    </row>
    <row r="18" spans="1:7">
      <c r="A18">
        <v>2071</v>
      </c>
      <c r="B18" t="s">
        <v>1</v>
      </c>
      <c r="C18">
        <v>2</v>
      </c>
      <c r="D18">
        <v>150</v>
      </c>
      <c r="E18">
        <f>'Master data'!V27</f>
        <v>9.1003655314232947</v>
      </c>
      <c r="F18">
        <f>'Master data'!AL27</f>
        <v>32.981679966574653</v>
      </c>
      <c r="G18">
        <f>'Master data'!AM27</f>
        <v>9.101355243982949E-2</v>
      </c>
    </row>
    <row r="19" spans="1:7">
      <c r="A19">
        <v>2071</v>
      </c>
      <c r="B19" t="s">
        <v>1</v>
      </c>
      <c r="C19">
        <v>2</v>
      </c>
      <c r="D19">
        <v>300</v>
      </c>
      <c r="E19">
        <f>'Master data'!V20</f>
        <v>3.2693977296399246</v>
      </c>
      <c r="F19">
        <f>'Master data'!AL22</f>
        <v>14.5335450685581</v>
      </c>
      <c r="G19">
        <f>'Master data'!AM22</f>
        <v>5.6042553991993212E-2</v>
      </c>
    </row>
    <row r="20" spans="1:7">
      <c r="A20">
        <v>2071</v>
      </c>
      <c r="B20" t="s">
        <v>1</v>
      </c>
      <c r="C20">
        <v>2</v>
      </c>
      <c r="D20">
        <v>300</v>
      </c>
      <c r="E20">
        <f>'Master data'!V22</f>
        <v>2.9136994386375936</v>
      </c>
      <c r="F20">
        <f>'Master data'!AL28</f>
        <v>20.950410007673341</v>
      </c>
      <c r="G20">
        <f>'Master data'!AM28</f>
        <v>7.0975809799432771E-2</v>
      </c>
    </row>
    <row r="21" spans="1:7">
      <c r="A21">
        <v>2071</v>
      </c>
      <c r="B21" t="s">
        <v>1</v>
      </c>
      <c r="C21">
        <v>2</v>
      </c>
      <c r="D21">
        <v>300</v>
      </c>
      <c r="E21">
        <f>'Master data'!V23</f>
        <v>3.6080449273776436</v>
      </c>
    </row>
    <row r="22" spans="1:7">
      <c r="A22">
        <v>2073</v>
      </c>
      <c r="B22" t="s">
        <v>17</v>
      </c>
      <c r="C22">
        <v>1</v>
      </c>
      <c r="D22">
        <v>50</v>
      </c>
      <c r="E22">
        <f>'Master data'!V33</f>
        <v>20.213025569042834</v>
      </c>
    </row>
    <row r="23" spans="1:7">
      <c r="A23">
        <v>2073</v>
      </c>
      <c r="B23" t="s">
        <v>17</v>
      </c>
      <c r="C23">
        <v>1</v>
      </c>
      <c r="D23">
        <v>50</v>
      </c>
      <c r="E23">
        <f>'Master data'!V38</f>
        <v>21.064607834175668</v>
      </c>
    </row>
    <row r="24" spans="1:7">
      <c r="A24">
        <v>2073</v>
      </c>
      <c r="B24" t="s">
        <v>17</v>
      </c>
      <c r="C24">
        <v>1</v>
      </c>
      <c r="D24">
        <v>50</v>
      </c>
    </row>
    <row r="25" spans="1:7">
      <c r="A25">
        <v>2073</v>
      </c>
      <c r="B25" t="s">
        <v>17</v>
      </c>
      <c r="C25">
        <v>1</v>
      </c>
      <c r="D25">
        <v>150</v>
      </c>
      <c r="E25">
        <f>'Master data'!V37</f>
        <v>5.6647300541984382</v>
      </c>
    </row>
    <row r="26" spans="1:7">
      <c r="A26">
        <v>2073</v>
      </c>
      <c r="B26" t="s">
        <v>17</v>
      </c>
      <c r="C26">
        <v>1</v>
      </c>
      <c r="D26">
        <v>150</v>
      </c>
      <c r="E26">
        <f>'Master data'!V39</f>
        <v>4.4211436273171278</v>
      </c>
    </row>
    <row r="27" spans="1:7">
      <c r="A27">
        <v>2073</v>
      </c>
      <c r="B27" t="s">
        <v>17</v>
      </c>
      <c r="C27">
        <v>1</v>
      </c>
      <c r="D27">
        <v>150</v>
      </c>
    </row>
    <row r="28" spans="1:7">
      <c r="A28">
        <v>2073</v>
      </c>
      <c r="B28" t="s">
        <v>17</v>
      </c>
      <c r="C28">
        <v>1</v>
      </c>
      <c r="D28">
        <v>300</v>
      </c>
      <c r="E28">
        <f>'Master data'!V34</f>
        <v>3.0130125979109805</v>
      </c>
    </row>
    <row r="29" spans="1:7">
      <c r="A29">
        <v>2073</v>
      </c>
      <c r="B29" t="s">
        <v>17</v>
      </c>
      <c r="C29">
        <v>1</v>
      </c>
      <c r="D29">
        <v>300</v>
      </c>
      <c r="E29">
        <f>'Master data'!V35</f>
        <v>2.3342894838692749</v>
      </c>
    </row>
    <row r="30" spans="1:7">
      <c r="A30">
        <v>2073</v>
      </c>
      <c r="B30" t="s">
        <v>17</v>
      </c>
      <c r="C30">
        <v>1</v>
      </c>
      <c r="D30">
        <v>300</v>
      </c>
    </row>
    <row r="31" spans="1:7">
      <c r="A31">
        <v>2073</v>
      </c>
      <c r="B31" t="s">
        <v>17</v>
      </c>
      <c r="C31">
        <v>2</v>
      </c>
      <c r="D31">
        <v>50</v>
      </c>
      <c r="E31">
        <f>'Master data'!V50</f>
        <v>7.1036700519085487</v>
      </c>
      <c r="F31">
        <f>'Master data'!AL50</f>
        <v>79.999863701816736</v>
      </c>
      <c r="G31">
        <f>'Master data'!AM50</f>
        <v>0.12984524943571232</v>
      </c>
    </row>
    <row r="32" spans="1:7">
      <c r="A32">
        <v>2073</v>
      </c>
      <c r="B32" t="s">
        <v>17</v>
      </c>
      <c r="C32">
        <v>2</v>
      </c>
      <c r="D32">
        <v>50</v>
      </c>
      <c r="E32">
        <f>'Master data'!V51</f>
        <v>7.3746731533705399</v>
      </c>
      <c r="F32">
        <f>'Master data'!AL51</f>
        <v>64.91868429561822</v>
      </c>
      <c r="G32">
        <f>'Master data'!AM51</f>
        <v>9.8872140829730878E-2</v>
      </c>
    </row>
    <row r="33" spans="1:7">
      <c r="A33">
        <v>2073</v>
      </c>
      <c r="B33" t="s">
        <v>17</v>
      </c>
      <c r="C33">
        <v>2</v>
      </c>
      <c r="D33">
        <v>50</v>
      </c>
      <c r="E33">
        <f>'Master data'!V52</f>
        <v>7.6677188672102305</v>
      </c>
      <c r="F33">
        <f>'Master data'!AL52</f>
        <v>53.058999842252611</v>
      </c>
      <c r="G33">
        <f>'Master data'!AM52</f>
        <v>9.3409628438422682E-2</v>
      </c>
    </row>
    <row r="34" spans="1:7">
      <c r="A34">
        <v>2073</v>
      </c>
      <c r="B34" t="s">
        <v>17</v>
      </c>
      <c r="C34">
        <v>2</v>
      </c>
      <c r="D34">
        <v>150</v>
      </c>
      <c r="E34">
        <f>'Master data'!V46</f>
        <v>6.9900921665667148</v>
      </c>
      <c r="F34">
        <f>'Master data'!AL46</f>
        <v>28.515218275083214</v>
      </c>
      <c r="G34">
        <f>'Master data'!AM46</f>
        <v>6.1344412366425058E-2</v>
      </c>
    </row>
    <row r="35" spans="1:7">
      <c r="A35">
        <v>2073</v>
      </c>
      <c r="B35" t="s">
        <v>17</v>
      </c>
      <c r="C35">
        <v>2</v>
      </c>
      <c r="D35">
        <v>150</v>
      </c>
      <c r="E35">
        <f>'Master data'!V47</f>
        <v>5.6287347263867584</v>
      </c>
      <c r="F35">
        <f>'Master data'!AL47</f>
        <v>13.352460082495856</v>
      </c>
      <c r="G35">
        <f>'Master data'!AM47</f>
        <v>3.1460466568246512E-2</v>
      </c>
    </row>
    <row r="36" spans="1:7">
      <c r="A36">
        <v>2073</v>
      </c>
      <c r="B36" t="s">
        <v>17</v>
      </c>
      <c r="C36">
        <v>2</v>
      </c>
      <c r="D36">
        <v>150</v>
      </c>
      <c r="E36">
        <f>'Master data'!V48</f>
        <v>5.8622165528575101</v>
      </c>
      <c r="F36">
        <f>'Master data'!AL48</f>
        <v>26.347383710516734</v>
      </c>
      <c r="G36">
        <f>'Master data'!AM48</f>
        <v>5.0827770060278638E-2</v>
      </c>
    </row>
    <row r="37" spans="1:7">
      <c r="A37">
        <v>2073</v>
      </c>
      <c r="B37" t="s">
        <v>17</v>
      </c>
      <c r="C37">
        <v>2</v>
      </c>
      <c r="D37">
        <v>300</v>
      </c>
      <c r="E37">
        <f>'Master data'!V43</f>
        <v>3.3013197027161878</v>
      </c>
      <c r="F37">
        <f>'Master data'!AL43</f>
        <v>12.934501311701974</v>
      </c>
      <c r="G37">
        <f>'Master data'!AM43</f>
        <v>3.182954072624989E-2</v>
      </c>
    </row>
    <row r="38" spans="1:7">
      <c r="A38">
        <v>2073</v>
      </c>
      <c r="B38" t="s">
        <v>17</v>
      </c>
      <c r="C38">
        <v>2</v>
      </c>
      <c r="D38">
        <v>300</v>
      </c>
      <c r="E38">
        <f>'Master data'!V44</f>
        <v>1.89394949714998</v>
      </c>
    </row>
    <row r="39" spans="1:7">
      <c r="A39">
        <v>2073</v>
      </c>
      <c r="B39" t="s">
        <v>17</v>
      </c>
      <c r="C39">
        <v>2</v>
      </c>
      <c r="D39">
        <v>300</v>
      </c>
      <c r="E39">
        <f>'Master data'!V45</f>
        <v>3.6031752915564623</v>
      </c>
    </row>
    <row r="40" spans="1:7">
      <c r="A40">
        <v>2073</v>
      </c>
      <c r="B40" t="s">
        <v>17</v>
      </c>
      <c r="C40">
        <v>3</v>
      </c>
      <c r="D40">
        <v>50</v>
      </c>
      <c r="E40">
        <f>'Master data'!V65</f>
        <v>97.300806281974687</v>
      </c>
    </row>
    <row r="41" spans="1:7">
      <c r="A41">
        <v>2073</v>
      </c>
      <c r="B41" t="s">
        <v>17</v>
      </c>
      <c r="C41">
        <v>3</v>
      </c>
      <c r="D41">
        <v>50</v>
      </c>
      <c r="E41">
        <f>'Master data'!V66</f>
        <v>120.29647650203708</v>
      </c>
      <c r="F41">
        <f>'Master data'!AL66</f>
        <v>369.43884100370769</v>
      </c>
      <c r="G41">
        <f>'Master data'!AM66</f>
        <v>0.46208855745201755</v>
      </c>
    </row>
    <row r="42" spans="1:7">
      <c r="A42">
        <v>2073</v>
      </c>
      <c r="B42" t="s">
        <v>17</v>
      </c>
      <c r="C42">
        <v>3</v>
      </c>
      <c r="D42">
        <v>50</v>
      </c>
    </row>
    <row r="43" spans="1:7">
      <c r="A43">
        <v>2073</v>
      </c>
      <c r="B43" t="s">
        <v>17</v>
      </c>
      <c r="C43">
        <v>3</v>
      </c>
      <c r="D43">
        <v>150</v>
      </c>
      <c r="E43">
        <f>'Master data'!V61</f>
        <v>67.579762469795128</v>
      </c>
      <c r="F43">
        <f>'Master data'!AL61</f>
        <v>302.09208089075497</v>
      </c>
      <c r="G43">
        <f>'Master data'!AM61</f>
        <v>0.34426566458405561</v>
      </c>
    </row>
    <row r="44" spans="1:7">
      <c r="A44">
        <v>2073</v>
      </c>
      <c r="B44" t="s">
        <v>17</v>
      </c>
      <c r="C44">
        <v>3</v>
      </c>
      <c r="D44">
        <v>150</v>
      </c>
      <c r="E44">
        <f>'Master data'!V62</f>
        <v>85.824049909152109</v>
      </c>
      <c r="F44">
        <f>'Master data'!AL62</f>
        <v>282.7587812915437</v>
      </c>
      <c r="G44">
        <f>'Master data'!AM62</f>
        <v>0.32567100117483572</v>
      </c>
    </row>
    <row r="45" spans="1:7">
      <c r="A45">
        <v>2073</v>
      </c>
      <c r="B45" t="s">
        <v>17</v>
      </c>
      <c r="C45">
        <v>3</v>
      </c>
      <c r="D45">
        <v>150</v>
      </c>
      <c r="E45">
        <f>'Master data'!V64</f>
        <v>91.937568230629552</v>
      </c>
      <c r="F45">
        <f>'Master data'!AL64</f>
        <v>285.24189796195526</v>
      </c>
      <c r="G45">
        <f>'Master data'!AM64</f>
        <v>0.32303898533070641</v>
      </c>
    </row>
    <row r="46" spans="1:7">
      <c r="A46">
        <v>2073</v>
      </c>
      <c r="B46" t="s">
        <v>17</v>
      </c>
      <c r="C46">
        <v>3</v>
      </c>
      <c r="D46">
        <v>300</v>
      </c>
      <c r="E46">
        <f>'Master data'!V58</f>
        <v>58.624629369490421</v>
      </c>
      <c r="F46">
        <f>'Master data'!AL58</f>
        <v>193.44488701397293</v>
      </c>
      <c r="G46">
        <f>'Master data'!AM58</f>
        <v>0.48541859416286137</v>
      </c>
    </row>
    <row r="47" spans="1:7">
      <c r="A47">
        <v>2073</v>
      </c>
      <c r="B47" t="s">
        <v>17</v>
      </c>
      <c r="C47">
        <v>3</v>
      </c>
      <c r="D47">
        <v>300</v>
      </c>
      <c r="E47">
        <f>'Master data'!V59</f>
        <v>81.805401603435556</v>
      </c>
      <c r="F47">
        <f>'Master data'!AL59</f>
        <v>209.9343072371004</v>
      </c>
      <c r="G47">
        <f>'Master data'!AM59</f>
        <v>0.52272721323401561</v>
      </c>
    </row>
    <row r="48" spans="1:7">
      <c r="A48">
        <v>2073</v>
      </c>
      <c r="B48" t="s">
        <v>17</v>
      </c>
      <c r="C48">
        <v>3</v>
      </c>
      <c r="D48">
        <v>300</v>
      </c>
      <c r="E48">
        <f>'Master data'!V60</f>
        <v>84.806270912729417</v>
      </c>
    </row>
    <row r="49" spans="1:7">
      <c r="A49">
        <v>2073</v>
      </c>
      <c r="B49" t="s">
        <v>17</v>
      </c>
      <c r="C49">
        <v>4</v>
      </c>
      <c r="D49">
        <v>50</v>
      </c>
      <c r="E49">
        <f>'Master data'!V78</f>
        <v>46.335378798515642</v>
      </c>
      <c r="F49">
        <f>'Master data'!AL78</f>
        <v>228.37300136165786</v>
      </c>
      <c r="G49">
        <f>'Master data'!AM78</f>
        <v>2.3651233694421844E-2</v>
      </c>
    </row>
    <row r="50" spans="1:7">
      <c r="A50">
        <v>2073</v>
      </c>
      <c r="B50" t="s">
        <v>17</v>
      </c>
      <c r="C50">
        <v>4</v>
      </c>
      <c r="D50">
        <v>50</v>
      </c>
      <c r="F50">
        <f>'Master data'!AL79</f>
        <v>165.13769187390525</v>
      </c>
      <c r="G50">
        <f>'Master data'!AM79</f>
        <v>2.3633506482709132E-2</v>
      </c>
    </row>
    <row r="51" spans="1:7">
      <c r="A51">
        <v>2073</v>
      </c>
      <c r="B51" t="s">
        <v>17</v>
      </c>
      <c r="C51">
        <v>4</v>
      </c>
      <c r="D51">
        <v>50</v>
      </c>
      <c r="E51">
        <f>'Master data'!V81</f>
        <v>37.687415926095731</v>
      </c>
      <c r="F51">
        <f>'Master data'!AL81</f>
        <v>214.15596540496486</v>
      </c>
      <c r="G51">
        <f>'Master data'!AM81</f>
        <v>2.3885079554495564E-2</v>
      </c>
    </row>
    <row r="52" spans="1:7">
      <c r="A52">
        <v>2073</v>
      </c>
      <c r="B52" t="s">
        <v>17</v>
      </c>
      <c r="C52">
        <v>4</v>
      </c>
      <c r="D52">
        <v>150</v>
      </c>
      <c r="E52">
        <f>'Master data'!V74</f>
        <v>62.910309534290569</v>
      </c>
      <c r="F52">
        <f>'Master data'!AL74</f>
        <v>217.25849924786513</v>
      </c>
      <c r="G52">
        <f>'Master data'!AM74</f>
        <v>2.3835830309739958E-2</v>
      </c>
    </row>
    <row r="53" spans="1:7">
      <c r="A53">
        <v>2073</v>
      </c>
      <c r="B53" t="s">
        <v>17</v>
      </c>
      <c r="C53">
        <v>4</v>
      </c>
      <c r="D53">
        <v>150</v>
      </c>
      <c r="E53">
        <f>'Master data'!V76</f>
        <v>67.485648467534546</v>
      </c>
      <c r="F53">
        <f>'Master data'!AL76</f>
        <v>241.06638047616215</v>
      </c>
      <c r="G53">
        <f>'Master data'!AM76</f>
        <v>2.3840089066553119E-2</v>
      </c>
    </row>
    <row r="54" spans="1:7">
      <c r="A54">
        <v>2073</v>
      </c>
      <c r="B54" t="s">
        <v>17</v>
      </c>
      <c r="C54">
        <v>4</v>
      </c>
      <c r="D54">
        <v>150</v>
      </c>
      <c r="E54">
        <f>'Master data'!V77</f>
        <v>56.079535657087682</v>
      </c>
      <c r="F54">
        <f>'Master data'!AL77</f>
        <v>200.66706293393258</v>
      </c>
      <c r="G54">
        <f>'Master data'!AM77</f>
        <v>2.3893580907087087E-2</v>
      </c>
    </row>
    <row r="55" spans="1:7">
      <c r="A55">
        <v>2073</v>
      </c>
      <c r="B55" t="s">
        <v>17</v>
      </c>
      <c r="C55">
        <v>4</v>
      </c>
      <c r="D55">
        <v>300</v>
      </c>
      <c r="E55">
        <f>'Master data'!V71</f>
        <v>48.28036858621541</v>
      </c>
    </row>
    <row r="56" spans="1:7">
      <c r="A56">
        <v>2073</v>
      </c>
      <c r="B56" t="s">
        <v>17</v>
      </c>
      <c r="C56">
        <v>4</v>
      </c>
      <c r="D56">
        <v>300</v>
      </c>
      <c r="E56">
        <f>'Master data'!V72</f>
        <v>56.305051126098391</v>
      </c>
      <c r="F56">
        <f>'Master data'!AL72</f>
        <v>142.77668634828703</v>
      </c>
      <c r="G56">
        <f>'Master data'!AM72</f>
        <v>2.360602193827821E-2</v>
      </c>
    </row>
    <row r="57" spans="1:7">
      <c r="A57">
        <v>2073</v>
      </c>
      <c r="B57" t="s">
        <v>17</v>
      </c>
      <c r="C57">
        <v>4</v>
      </c>
      <c r="D57">
        <v>300</v>
      </c>
      <c r="E57">
        <f>'Master data'!V73</f>
        <v>39.746344981929326</v>
      </c>
      <c r="F57">
        <f>'Master data'!AL73</f>
        <v>155.62172170524357</v>
      </c>
      <c r="G57">
        <f>'Master data'!AM73</f>
        <v>2.3807285178015652E-2</v>
      </c>
    </row>
  </sheetData>
  <pageMargins left="0.75" right="0.75" top="1" bottom="1" header="0.5" footer="0.5"/>
  <pageSetup orientation="portrait" horizontalDpi="4294967292" verticalDpi="4294967292"/>
  <ignoredErrors>
    <ignoredError sqref="E5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E17" sqref="E17"/>
    </sheetView>
  </sheetViews>
  <sheetFormatPr baseColWidth="10" defaultRowHeight="15" x14ac:dyDescent="0"/>
  <sheetData>
    <row r="1" spans="1:27">
      <c r="A1" t="s">
        <v>174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</row>
    <row r="2" spans="1:27">
      <c r="A2">
        <v>50</v>
      </c>
      <c r="B2">
        <v>2.8880633877666226</v>
      </c>
      <c r="C2">
        <v>3.8457166866279935</v>
      </c>
      <c r="D2">
        <v>7.3820206908297727</v>
      </c>
      <c r="E2">
        <v>108.79864139200589</v>
      </c>
      <c r="F2">
        <v>42.011397362305686</v>
      </c>
      <c r="G2">
        <v>1.6002207522680274</v>
      </c>
      <c r="H2">
        <v>1.1371850727443591</v>
      </c>
      <c r="I2">
        <v>0.28209618260593994</v>
      </c>
      <c r="J2">
        <v>16.26039435053562</v>
      </c>
      <c r="K2">
        <v>6.1150331905375923</v>
      </c>
      <c r="L2">
        <v>47.912439542202236</v>
      </c>
      <c r="M2">
        <v>51.759334107904124</v>
      </c>
      <c r="N2">
        <v>58.610495255732751</v>
      </c>
      <c r="O2">
        <v>249.14236450167061</v>
      </c>
      <c r="P2">
        <v>179.25308602100569</v>
      </c>
      <c r="Q2">
        <v>14.914479194886988</v>
      </c>
      <c r="R2">
        <v>4.3028840842610823</v>
      </c>
      <c r="S2">
        <v>13.78343558719069</v>
      </c>
      <c r="U2">
        <v>3.93792934281297</v>
      </c>
    </row>
    <row r="3" spans="1:27">
      <c r="A3">
        <v>150</v>
      </c>
      <c r="B3">
        <v>2.1128614661252443</v>
      </c>
      <c r="C3">
        <v>8.5991335045582691</v>
      </c>
      <c r="D3">
        <v>6.1603478152703275</v>
      </c>
      <c r="E3">
        <v>81.780460203192263</v>
      </c>
      <c r="F3">
        <v>62.158497886304268</v>
      </c>
      <c r="G3">
        <v>0.94686697743134485</v>
      </c>
      <c r="H3">
        <v>0.45218642414576293</v>
      </c>
      <c r="I3">
        <v>0.72800082912330966</v>
      </c>
      <c r="J3">
        <v>12.672357265057036</v>
      </c>
      <c r="K3">
        <v>5.7401017348733392</v>
      </c>
      <c r="L3">
        <v>40.730029586193716</v>
      </c>
      <c r="M3">
        <v>25.164236106568353</v>
      </c>
      <c r="N3">
        <v>16.578006207428274</v>
      </c>
      <c r="O3">
        <v>208.25045984489239</v>
      </c>
      <c r="P3">
        <v>157.50548299968236</v>
      </c>
      <c r="Q3">
        <v>7.0174896811383674</v>
      </c>
      <c r="R3">
        <v>2.2241808028158716</v>
      </c>
      <c r="S3">
        <v>7.6856421787899487</v>
      </c>
      <c r="T3">
        <v>22.815759157631412</v>
      </c>
      <c r="U3">
        <v>14.752215285361133</v>
      </c>
    </row>
    <row r="4" spans="1:27">
      <c r="A4">
        <v>300</v>
      </c>
      <c r="B4">
        <v>1.1557438499416284</v>
      </c>
      <c r="C4">
        <v>3.2637140318850535</v>
      </c>
      <c r="D4">
        <v>2.9328148304742103</v>
      </c>
      <c r="E4">
        <v>75.078767295218469</v>
      </c>
      <c r="F4">
        <v>48.110588231414376</v>
      </c>
      <c r="G4">
        <v>0.18131891745559153</v>
      </c>
      <c r="H4">
        <v>0.34720763636265439</v>
      </c>
      <c r="I4">
        <v>0.91225549311345577</v>
      </c>
      <c r="J4">
        <v>14.328478471632147</v>
      </c>
      <c r="K4">
        <v>8.2806585679456894</v>
      </c>
      <c r="L4">
        <v>24.069005664467124</v>
      </c>
      <c r="M4">
        <v>14.086096756363808</v>
      </c>
      <c r="N4">
        <v>9.6331816089857867</v>
      </c>
      <c r="O4">
        <v>131.47458163907368</v>
      </c>
      <c r="P4">
        <v>101.17350597275144</v>
      </c>
      <c r="Q4">
        <v>11.707491501028573</v>
      </c>
      <c r="R4">
        <v>3.4878057912340403</v>
      </c>
      <c r="T4">
        <v>4.7315003821554331</v>
      </c>
      <c r="U4">
        <v>20.79158500770226</v>
      </c>
    </row>
    <row r="6" spans="1:27">
      <c r="A6" t="s">
        <v>181</v>
      </c>
      <c r="B6" t="s">
        <v>175</v>
      </c>
      <c r="C6" t="s">
        <v>178</v>
      </c>
      <c r="D6" t="s">
        <v>182</v>
      </c>
      <c r="E6" t="s">
        <v>176</v>
      </c>
      <c r="F6" t="s">
        <v>179</v>
      </c>
      <c r="G6" t="s">
        <v>183</v>
      </c>
      <c r="H6" t="s">
        <v>177</v>
      </c>
      <c r="I6" s="1" t="s">
        <v>180</v>
      </c>
    </row>
    <row r="7" spans="1:27">
      <c r="A7">
        <v>150</v>
      </c>
      <c r="B7">
        <v>1.31935</v>
      </c>
      <c r="C7">
        <v>1.0715600000000001</v>
      </c>
      <c r="D7">
        <v>51</v>
      </c>
      <c r="E7">
        <v>0.74226800000000004</v>
      </c>
      <c r="G7">
        <v>150</v>
      </c>
      <c r="H7">
        <v>0.66263499999999997</v>
      </c>
      <c r="I7">
        <v>0.288609</v>
      </c>
    </row>
    <row r="8" spans="1:27">
      <c r="A8">
        <v>60</v>
      </c>
      <c r="B8">
        <v>0.86865999999999999</v>
      </c>
      <c r="C8">
        <v>0.74072400000000005</v>
      </c>
      <c r="D8">
        <v>17.3</v>
      </c>
      <c r="E8">
        <v>2.4123700000000001</v>
      </c>
      <c r="G8">
        <v>100</v>
      </c>
      <c r="H8">
        <v>0.58870400000000001</v>
      </c>
      <c r="I8">
        <v>0.415709</v>
      </c>
    </row>
    <row r="9" spans="1:27">
      <c r="A9">
        <v>44</v>
      </c>
      <c r="B9">
        <v>1.28328</v>
      </c>
      <c r="C9">
        <v>0.33353899999999997</v>
      </c>
      <c r="D9">
        <v>10.5</v>
      </c>
      <c r="E9">
        <v>4.0456200000000004</v>
      </c>
      <c r="G9">
        <v>51</v>
      </c>
      <c r="H9">
        <v>1.25308</v>
      </c>
      <c r="I9">
        <v>0.48281499999999999</v>
      </c>
    </row>
    <row r="10" spans="1:27">
      <c r="A10">
        <v>21.5</v>
      </c>
      <c r="B10">
        <v>2.5523099999999999</v>
      </c>
      <c r="C10">
        <v>0.63647799999999999</v>
      </c>
      <c r="D10">
        <v>5.5</v>
      </c>
      <c r="E10">
        <v>5.9530599999999998</v>
      </c>
      <c r="G10">
        <v>31</v>
      </c>
      <c r="H10">
        <v>1.73048</v>
      </c>
      <c r="I10">
        <v>0.52261899999999994</v>
      </c>
    </row>
    <row r="11" spans="1:27">
      <c r="A11">
        <v>11</v>
      </c>
      <c r="B11">
        <v>4.7522200000000003</v>
      </c>
      <c r="C11">
        <v>0.57240999999999997</v>
      </c>
      <c r="G11">
        <v>17.3</v>
      </c>
      <c r="H11">
        <v>1.95095</v>
      </c>
      <c r="I11">
        <v>1.1195900000000001</v>
      </c>
    </row>
    <row r="12" spans="1:27">
      <c r="A12">
        <v>6</v>
      </c>
      <c r="B12">
        <v>4.2029500000000004</v>
      </c>
      <c r="C12">
        <v>0.363539</v>
      </c>
      <c r="G12">
        <v>11.6</v>
      </c>
      <c r="H12">
        <v>2.0648300000000002</v>
      </c>
      <c r="I12">
        <v>0.76584799999999997</v>
      </c>
    </row>
    <row r="13" spans="1:27">
      <c r="G13">
        <v>5.7</v>
      </c>
      <c r="H13">
        <v>2.6820599999999999</v>
      </c>
      <c r="I13">
        <v>0.58114100000000002</v>
      </c>
    </row>
    <row r="14" spans="1:27">
      <c r="G14">
        <v>7.6</v>
      </c>
      <c r="H14">
        <v>4.0307000000000004</v>
      </c>
      <c r="I14">
        <v>0.4582</v>
      </c>
    </row>
    <row r="15" spans="1:27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s="1" t="s">
        <v>196</v>
      </c>
      <c r="N15" s="1" t="s">
        <v>197</v>
      </c>
      <c r="O15" s="1" t="s">
        <v>198</v>
      </c>
      <c r="P15" s="1" t="s">
        <v>199</v>
      </c>
      <c r="Q15" s="1" t="s">
        <v>200</v>
      </c>
      <c r="R15" s="1" t="s">
        <v>201</v>
      </c>
    </row>
    <row r="16" spans="1:27">
      <c r="A16" s="15">
        <v>5</v>
      </c>
      <c r="B16" s="15">
        <v>0.74939999999999996</v>
      </c>
      <c r="C16" s="15">
        <v>3.4745632817243202E-2</v>
      </c>
      <c r="D16" s="15">
        <v>6</v>
      </c>
      <c r="E16" s="15">
        <v>0.21779999999999999</v>
      </c>
      <c r="F16" s="15">
        <v>2.61524545074148E-2</v>
      </c>
      <c r="G16" s="15">
        <v>5</v>
      </c>
      <c r="H16" s="15">
        <v>0.73909999999999998</v>
      </c>
      <c r="I16" s="15">
        <v>3.8484825338627501E-2</v>
      </c>
      <c r="J16" s="15">
        <v>6</v>
      </c>
      <c r="K16" s="15">
        <v>1.5568</v>
      </c>
      <c r="L16" s="15">
        <v>9.6422208155072894E-2</v>
      </c>
      <c r="M16" s="15">
        <v>9</v>
      </c>
      <c r="N16" s="15">
        <v>0.48820000000000002</v>
      </c>
      <c r="O16" s="15">
        <v>3.93470850837883E-2</v>
      </c>
      <c r="P16" s="15">
        <v>8</v>
      </c>
      <c r="Q16" s="15">
        <v>0.48599999999999999</v>
      </c>
      <c r="R16" s="15">
        <v>2.9052902424555001E-2</v>
      </c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15">
        <v>12</v>
      </c>
      <c r="B17" s="15">
        <v>0.83550000000000002</v>
      </c>
      <c r="C17" s="15">
        <v>1.7644804510516601E-2</v>
      </c>
      <c r="D17" s="15">
        <v>18</v>
      </c>
      <c r="E17" s="15">
        <v>0.20849999999999999</v>
      </c>
      <c r="F17" s="15">
        <v>9.1293114592859194E-3</v>
      </c>
      <c r="G17" s="15">
        <v>8</v>
      </c>
      <c r="H17" s="15">
        <v>0.89080000000000004</v>
      </c>
      <c r="I17" s="15">
        <v>8.9504030987572602E-3</v>
      </c>
      <c r="J17" s="15">
        <v>15</v>
      </c>
      <c r="K17" s="15">
        <v>1.6244000000000001</v>
      </c>
      <c r="L17" s="15">
        <v>9.8252758095338996E-2</v>
      </c>
      <c r="M17" s="15">
        <v>15</v>
      </c>
      <c r="N17" s="15">
        <v>0.60350000000000004</v>
      </c>
      <c r="O17" s="15">
        <v>6.1997744386034E-3</v>
      </c>
      <c r="P17" s="15">
        <v>14</v>
      </c>
      <c r="Q17" s="15">
        <v>0.39389999999999997</v>
      </c>
      <c r="R17" s="15">
        <v>5.6703106545039801E-2</v>
      </c>
      <c r="S17" s="15"/>
      <c r="T17" s="15"/>
      <c r="U17" s="15"/>
      <c r="V17" s="15"/>
      <c r="W17" s="15"/>
      <c r="X17" s="15"/>
      <c r="Y17" s="15"/>
      <c r="Z17" s="15"/>
      <c r="AA17" s="15"/>
    </row>
    <row r="18" spans="1:27">
      <c r="A18" s="15">
        <v>18</v>
      </c>
      <c r="B18" s="15">
        <v>0.84040000000000004</v>
      </c>
      <c r="C18" s="15">
        <v>6.7048064197800294E-2</v>
      </c>
      <c r="D18" s="15">
        <v>35</v>
      </c>
      <c r="E18" s="15">
        <v>0.18970000000000001</v>
      </c>
      <c r="F18" s="15">
        <v>5.1684323765696899E-2</v>
      </c>
      <c r="G18" s="15">
        <v>13</v>
      </c>
      <c r="H18" s="15">
        <v>0.57889999999999997</v>
      </c>
      <c r="I18" s="15">
        <v>1.7655114597887999E-2</v>
      </c>
      <c r="J18" s="15">
        <v>26</v>
      </c>
      <c r="K18" s="15">
        <v>0.99939999999999996</v>
      </c>
      <c r="L18" s="15">
        <v>5.5833471370815103E-2</v>
      </c>
      <c r="M18" s="15">
        <v>22</v>
      </c>
      <c r="N18" s="15">
        <v>0.56379999999999997</v>
      </c>
      <c r="O18" s="15">
        <v>5.7131753989968698E-2</v>
      </c>
      <c r="P18" s="15">
        <v>18</v>
      </c>
      <c r="Q18" s="15">
        <v>0.34920000000000001</v>
      </c>
      <c r="R18" s="15">
        <v>2.3530138422391201E-2</v>
      </c>
      <c r="S18" s="15"/>
      <c r="T18" s="15"/>
      <c r="U18" s="15"/>
      <c r="V18" s="15"/>
      <c r="W18" s="15"/>
      <c r="X18" s="15"/>
      <c r="Y18" s="15"/>
      <c r="Z18" s="15"/>
      <c r="AA18" s="15"/>
    </row>
    <row r="19" spans="1:27">
      <c r="A19" s="15">
        <v>25</v>
      </c>
      <c r="B19" s="15">
        <v>0.85540000000000005</v>
      </c>
      <c r="C19" s="15">
        <v>5.8282787696008802E-2</v>
      </c>
      <c r="D19" s="15">
        <v>65</v>
      </c>
      <c r="E19" s="15">
        <v>0.2006</v>
      </c>
      <c r="F19" s="15">
        <v>6.0390088701475098E-3</v>
      </c>
      <c r="G19" s="15">
        <v>21</v>
      </c>
      <c r="H19" s="15">
        <v>0.58530000000000004</v>
      </c>
      <c r="I19" s="15">
        <v>2.6073291922438999E-2</v>
      </c>
      <c r="J19" s="15">
        <v>35</v>
      </c>
      <c r="K19" s="15">
        <v>0.13850000000000001</v>
      </c>
      <c r="L19" s="15">
        <v>1.07684149246106E-2</v>
      </c>
      <c r="M19" s="15">
        <v>32</v>
      </c>
      <c r="N19" s="15">
        <v>0.34820000000000001</v>
      </c>
      <c r="O19" s="15">
        <v>3.2279971568156103E-2</v>
      </c>
      <c r="P19" s="15">
        <v>30</v>
      </c>
      <c r="Q19" s="15">
        <v>0.29970000000000002</v>
      </c>
      <c r="R19" s="15">
        <v>3.1790263822090499E-2</v>
      </c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15">
        <v>55</v>
      </c>
      <c r="B20" s="15">
        <v>0.1109</v>
      </c>
      <c r="C20" s="15">
        <v>2.57521703935088E-2</v>
      </c>
      <c r="D20" s="15">
        <v>90</v>
      </c>
      <c r="E20" s="15">
        <v>0.14710000000000001</v>
      </c>
      <c r="F20" s="15">
        <v>2.5452562075234199E-2</v>
      </c>
      <c r="G20" s="15">
        <v>30</v>
      </c>
      <c r="H20" s="15">
        <v>0.439</v>
      </c>
      <c r="I20" s="15">
        <v>7.0011808752499802E-3</v>
      </c>
      <c r="J20" s="15">
        <v>50</v>
      </c>
      <c r="K20" s="15">
        <v>0.1384</v>
      </c>
      <c r="L20" s="15">
        <v>2.9429412619670799E-2</v>
      </c>
      <c r="M20" s="15">
        <v>41</v>
      </c>
      <c r="N20" s="15">
        <v>0.1744</v>
      </c>
      <c r="O20" s="15">
        <v>1.3971803815438E-2</v>
      </c>
      <c r="P20" s="15">
        <v>51</v>
      </c>
      <c r="Q20" s="15">
        <v>0.1095</v>
      </c>
      <c r="R20" s="15">
        <v>5.2213677943864101E-3</v>
      </c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15">
        <v>150</v>
      </c>
      <c r="B21" s="15">
        <v>1.4800000000000001E-2</v>
      </c>
      <c r="C21" s="15">
        <v>1.06024142604835E-2</v>
      </c>
      <c r="D21" s="15">
        <v>150</v>
      </c>
      <c r="E21" s="15">
        <v>2.1899999999999999E-2</v>
      </c>
      <c r="F21" s="15">
        <v>2.5979556129455302E-3</v>
      </c>
      <c r="G21" s="15">
        <v>150</v>
      </c>
      <c r="H21" s="15">
        <v>5.74E-2</v>
      </c>
      <c r="I21" s="15">
        <v>1.02887488803209E-2</v>
      </c>
      <c r="J21" s="15">
        <v>150</v>
      </c>
      <c r="K21" s="15">
        <v>1.2800000000000001E-2</v>
      </c>
      <c r="L21" s="15">
        <v>1.55086453948879E-2</v>
      </c>
      <c r="M21" s="15">
        <v>150</v>
      </c>
      <c r="N21" s="15">
        <v>5.8900000000000001E-2</v>
      </c>
      <c r="O21" s="15">
        <v>1.3381579301944099E-2</v>
      </c>
      <c r="P21" s="15">
        <v>150</v>
      </c>
      <c r="Q21" s="15">
        <v>2.4799999999999999E-2</v>
      </c>
      <c r="R21" s="15">
        <v>6.2104000227945202E-3</v>
      </c>
      <c r="S21" s="15"/>
      <c r="T21" s="15"/>
      <c r="U21" s="15"/>
      <c r="V21" s="15"/>
      <c r="W21" s="15"/>
      <c r="X21" s="15"/>
      <c r="Y21" s="15"/>
      <c r="Z21" s="15"/>
      <c r="AA2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 &amp; POC export rates</vt:lpstr>
      <vt:lpstr>PIT deployment data</vt:lpstr>
      <vt:lpstr>Master data</vt:lpstr>
      <vt:lpstr>Constants</vt:lpstr>
      <vt:lpstr>Data for MATLAB export</vt:lpstr>
      <vt:lpstr>Data for Igor depth profiles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2013-01-22T15:18:57Z</dcterms:created>
  <dcterms:modified xsi:type="dcterms:W3CDTF">2015-03-24T20:02:22Z</dcterms:modified>
</cp:coreProperties>
</file>