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PEPMOB\D14\data\"/>
    </mc:Choice>
  </mc:AlternateContent>
  <bookViews>
    <workbookView xWindow="0" yWindow="0" windowWidth="25200" windowHeight="1198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15" i="1" l="1"/>
  <c r="BT15" i="1"/>
  <c r="AA15" i="1"/>
  <c r="AE15" i="1"/>
  <c r="BS15" i="1"/>
  <c r="BR15" i="1"/>
  <c r="BH15" i="1"/>
  <c r="AV15" i="1"/>
  <c r="BA15" i="1"/>
  <c r="BE15" i="1"/>
  <c r="AC15" i="1"/>
  <c r="BD15" i="1"/>
  <c r="BB15" i="1"/>
  <c r="BC15" i="1"/>
  <c r="AG15" i="1"/>
  <c r="AD15" i="1"/>
  <c r="AB15" i="1"/>
  <c r="AA14" i="1"/>
  <c r="AE14" i="1"/>
  <c r="BR14" i="1"/>
  <c r="BH14" i="1"/>
  <c r="AV14" i="1"/>
  <c r="BA14" i="1"/>
  <c r="BE14" i="1"/>
  <c r="AC14" i="1"/>
  <c r="BD14" i="1"/>
  <c r="BB14" i="1"/>
  <c r="BC14" i="1"/>
  <c r="AG14" i="1"/>
  <c r="AD14" i="1"/>
  <c r="AB14" i="1"/>
  <c r="BU13" i="1"/>
  <c r="BT13" i="1"/>
  <c r="AA13" i="1"/>
  <c r="AE13" i="1"/>
  <c r="BS13" i="1"/>
  <c r="BR13" i="1"/>
  <c r="BH13" i="1"/>
  <c r="AV13" i="1"/>
  <c r="BA13" i="1"/>
  <c r="BE13" i="1"/>
  <c r="AC13" i="1"/>
  <c r="BD13" i="1"/>
  <c r="BB13" i="1"/>
  <c r="BC13" i="1"/>
  <c r="AG13" i="1"/>
  <c r="AD13" i="1"/>
  <c r="AB13" i="1"/>
  <c r="BU12" i="1"/>
  <c r="BT12" i="1"/>
  <c r="AA12" i="1"/>
  <c r="AE12" i="1"/>
  <c r="BS12" i="1"/>
  <c r="BR12" i="1"/>
  <c r="BH12" i="1"/>
  <c r="AV12" i="1"/>
  <c r="BA12" i="1"/>
  <c r="BE12" i="1"/>
  <c r="AB12" i="1"/>
  <c r="BD12" i="1"/>
  <c r="BB12" i="1"/>
  <c r="BC12" i="1"/>
  <c r="AG12" i="1"/>
  <c r="AD12" i="1"/>
  <c r="AC12" i="1"/>
  <c r="BU11" i="1"/>
  <c r="BT11" i="1"/>
  <c r="BS11" i="1"/>
  <c r="BR11" i="1"/>
  <c r="BH11" i="1"/>
  <c r="AV11" i="1"/>
  <c r="BA11" i="1"/>
  <c r="BE11" i="1"/>
  <c r="BD11" i="1"/>
  <c r="BB11" i="1"/>
  <c r="BC11" i="1"/>
  <c r="AG11" i="1"/>
  <c r="BU10" i="1"/>
  <c r="BT10" i="1"/>
  <c r="AA10" i="1"/>
  <c r="AE10" i="1"/>
  <c r="BS10" i="1"/>
  <c r="BR10" i="1"/>
  <c r="BH10" i="1"/>
  <c r="AV10" i="1"/>
  <c r="BA10" i="1"/>
  <c r="BE10" i="1"/>
  <c r="AB10" i="1"/>
  <c r="BD10" i="1"/>
  <c r="BB10" i="1"/>
  <c r="BC10" i="1"/>
  <c r="AG10" i="1"/>
  <c r="AD10" i="1"/>
  <c r="AC10" i="1"/>
  <c r="BU9" i="1"/>
  <c r="BT9" i="1"/>
  <c r="AA9" i="1"/>
  <c r="AE9" i="1"/>
  <c r="BS9" i="1"/>
  <c r="BR9" i="1"/>
  <c r="BH9" i="1"/>
  <c r="AV9" i="1"/>
  <c r="BA9" i="1"/>
  <c r="BE9" i="1"/>
  <c r="AB9" i="1"/>
  <c r="BD9" i="1"/>
  <c r="BB9" i="1"/>
  <c r="BC9" i="1"/>
  <c r="AG9" i="1"/>
  <c r="AD9" i="1"/>
  <c r="AC9" i="1"/>
  <c r="BU8" i="1"/>
  <c r="BT8" i="1"/>
  <c r="AA8" i="1"/>
  <c r="AE8" i="1"/>
  <c r="BS8" i="1"/>
  <c r="BR8" i="1"/>
  <c r="BH8" i="1"/>
  <c r="AV8" i="1"/>
  <c r="BA8" i="1"/>
  <c r="BE8" i="1"/>
  <c r="AB8" i="1"/>
  <c r="BD8" i="1"/>
  <c r="BB8" i="1"/>
  <c r="BC8" i="1"/>
  <c r="AG8" i="1"/>
  <c r="AD8" i="1"/>
  <c r="AC8" i="1"/>
  <c r="BU7" i="1"/>
  <c r="BT7" i="1"/>
  <c r="AA7" i="1"/>
  <c r="AE7" i="1"/>
  <c r="BS7" i="1"/>
  <c r="BR7" i="1"/>
  <c r="BH7" i="1"/>
  <c r="AV7" i="1"/>
  <c r="BA7" i="1"/>
  <c r="BE7" i="1"/>
  <c r="AB7" i="1"/>
  <c r="BD7" i="1"/>
  <c r="BB7" i="1"/>
  <c r="BC7" i="1"/>
  <c r="AG7" i="1"/>
  <c r="AD7" i="1"/>
  <c r="AC7" i="1"/>
  <c r="BU6" i="1"/>
  <c r="BT6" i="1"/>
  <c r="AA6" i="1"/>
  <c r="AE6" i="1"/>
  <c r="BS6" i="1"/>
  <c r="BR6" i="1"/>
  <c r="BH6" i="1"/>
  <c r="AV6" i="1"/>
  <c r="BA6" i="1"/>
  <c r="BE6" i="1"/>
  <c r="AB6" i="1"/>
  <c r="BD6" i="1"/>
  <c r="BB6" i="1"/>
  <c r="BC6" i="1"/>
  <c r="AG6" i="1"/>
  <c r="AD6" i="1"/>
  <c r="AC6" i="1"/>
  <c r="BU5" i="1"/>
  <c r="BT5" i="1"/>
  <c r="AA5" i="1"/>
  <c r="AE5" i="1"/>
  <c r="BS5" i="1"/>
  <c r="BR5" i="1"/>
  <c r="BH5" i="1"/>
  <c r="AV5" i="1"/>
  <c r="BA5" i="1"/>
  <c r="BE5" i="1"/>
  <c r="AB5" i="1"/>
  <c r="BD5" i="1"/>
  <c r="BB5" i="1"/>
  <c r="BC5" i="1"/>
  <c r="AG5" i="1"/>
  <c r="AD5" i="1"/>
  <c r="AC5" i="1"/>
  <c r="BU4" i="1"/>
  <c r="BT4" i="1"/>
  <c r="AA4" i="1"/>
  <c r="AE4" i="1"/>
  <c r="BS4" i="1"/>
  <c r="BR4" i="1"/>
  <c r="BH4" i="1"/>
  <c r="AV4" i="1"/>
  <c r="BA4" i="1"/>
  <c r="BE4" i="1"/>
  <c r="AB4" i="1"/>
  <c r="BD4" i="1"/>
  <c r="BB4" i="1"/>
  <c r="BC4" i="1"/>
  <c r="AG4" i="1"/>
  <c r="AD4" i="1"/>
  <c r="AC4" i="1"/>
  <c r="BU3" i="1"/>
  <c r="BT3" i="1"/>
  <c r="AA3" i="1"/>
  <c r="AE3" i="1"/>
  <c r="BS3" i="1"/>
  <c r="BR3" i="1"/>
  <c r="BH3" i="1"/>
  <c r="AV3" i="1"/>
  <c r="BA3" i="1"/>
  <c r="BE3" i="1"/>
  <c r="AD3" i="1"/>
  <c r="BD3" i="1"/>
  <c r="BB3" i="1"/>
  <c r="BC3" i="1"/>
  <c r="AG3" i="1"/>
  <c r="AC3" i="1"/>
  <c r="AB3" i="1"/>
</calcChain>
</file>

<file path=xl/sharedStrings.xml><?xml version="1.0" encoding="utf-8"?>
<sst xmlns="http://schemas.openxmlformats.org/spreadsheetml/2006/main" count="258" uniqueCount="171">
  <si>
    <t>batch_number</t>
  </si>
  <si>
    <t>extraction_number</t>
  </si>
  <si>
    <t>sample_number</t>
  </si>
  <si>
    <t>Extraction_repeated</t>
  </si>
  <si>
    <t>Tech_rep_lost</t>
  </si>
  <si>
    <t>species_field</t>
  </si>
  <si>
    <t>species_confirmed</t>
  </si>
  <si>
    <t>Latitude</t>
  </si>
  <si>
    <t>Longitude</t>
  </si>
  <si>
    <t>Elevation_GPS_notebook</t>
  </si>
  <si>
    <t>Elevation_map</t>
  </si>
  <si>
    <t>family</t>
  </si>
  <si>
    <t>leaf_age</t>
  </si>
  <si>
    <t>biological_rep</t>
  </si>
  <si>
    <t>GoPro file</t>
  </si>
  <si>
    <t>site</t>
  </si>
  <si>
    <t>site_revised</t>
  </si>
  <si>
    <t>date</t>
  </si>
  <si>
    <t>whole_leaf_FW</t>
  </si>
  <si>
    <t>tech_rep_1_FW</t>
  </si>
  <si>
    <t>tech_rep_2_FW</t>
  </si>
  <si>
    <t>tech_rep_3_FW</t>
  </si>
  <si>
    <t>tech_rep_4_FW_fixed</t>
  </si>
  <si>
    <t>tech_rep_4_DW_fixed</t>
  </si>
  <si>
    <t>whole_leaf_area(cm2)</t>
  </si>
  <si>
    <t>whole_leaf_area_per_whole_leaf_FW(cm2/g)</t>
  </si>
  <si>
    <t>tech_rep_1_leaf_area</t>
  </si>
  <si>
    <t>tech_rep_2_leaf_area</t>
  </si>
  <si>
    <t>tech_rep_3_leaf_area</t>
  </si>
  <si>
    <t>tech_rep_4_leaf_area</t>
  </si>
  <si>
    <t>technical_rep_used_for_ovalbumin_calculation</t>
  </si>
  <si>
    <t>ovalbumin_to_add(5uL_of_0.5mg/mL_per_cm2)</t>
  </si>
  <si>
    <t>amount_of_ovalbumin_added(uL)</t>
  </si>
  <si>
    <t>random_number</t>
  </si>
  <si>
    <t>notes 1</t>
  </si>
  <si>
    <t>notes 2</t>
  </si>
  <si>
    <t>I don't know why these numbers are here</t>
  </si>
  <si>
    <t>Solvent Wash Date</t>
  </si>
  <si>
    <t>Solvent Wash Page Ref</t>
  </si>
  <si>
    <t>Phenol Extraction Date</t>
  </si>
  <si>
    <t>Phenol Extraction Page Ref</t>
  </si>
  <si>
    <t>Resuspension and Alkylation Date</t>
  </si>
  <si>
    <t>Resuspension and Alkylation Page Ref</t>
  </si>
  <si>
    <t>Lavapep Date</t>
  </si>
  <si>
    <t>Lavapep Page Ref</t>
  </si>
  <si>
    <t>Lavapep File Name</t>
  </si>
  <si>
    <t>amount_of_ovalbumin_added_ug</t>
  </si>
  <si>
    <t>Extraction Notes</t>
  </si>
  <si>
    <t>Protein Extract Concentration (protein assay, ug/uL)</t>
  </si>
  <si>
    <t>Protein Assay %CV</t>
  </si>
  <si>
    <t>Protein Extract Volume (uL)</t>
  </si>
  <si>
    <t>Extract Protein Amount (ug, protein assay)</t>
  </si>
  <si>
    <t>Protein per FW (mg/g, protein assay)</t>
  </si>
  <si>
    <t>Protein per DW (mg/g, protein assay)</t>
  </si>
  <si>
    <t>Protein per Leaf Area (mg/m2, protein assay)</t>
  </si>
  <si>
    <t>%Ovalbumin of Total Protein</t>
  </si>
  <si>
    <t xml:space="preserve">Digest Protein Amount (ug)
</t>
  </si>
  <si>
    <t>Amount Protease in Digest (ug)</t>
  </si>
  <si>
    <t>uL Protein Extract per Digest</t>
  </si>
  <si>
    <t>Date of ASPEX</t>
  </si>
  <si>
    <t>ASPEX Batch</t>
  </si>
  <si>
    <t>Date of Digest</t>
  </si>
  <si>
    <t>Digest Batch</t>
  </si>
  <si>
    <t>Date Loaded in to Autosampler</t>
  </si>
  <si>
    <t>Batch File</t>
  </si>
  <si>
    <t>Vial Position in 96 Well Plate</t>
  </si>
  <si>
    <t>tech_rep_4_FW_ERROR</t>
  </si>
  <si>
    <t>tech_rep_4_DW_ERROR</t>
  </si>
  <si>
    <t>LMA (g/m2)</t>
  </si>
  <si>
    <t>SLA (cm2/g)</t>
  </si>
  <si>
    <t>LWC (%)</t>
  </si>
  <si>
    <t>leaf_FW_check</t>
  </si>
  <si>
    <t>KG023</t>
  </si>
  <si>
    <t>21-24</t>
  </si>
  <si>
    <t>euchae</t>
  </si>
  <si>
    <t>Myrtaceae</t>
  </si>
  <si>
    <t>mid</t>
  </si>
  <si>
    <t>Kuringai_MT_top</t>
  </si>
  <si>
    <t>NSW_Kuringai_top</t>
  </si>
  <si>
    <t>Katy 1, p.176</t>
  </si>
  <si>
    <t>Katy 1, p.181</t>
  </si>
  <si>
    <t>Katy 1, p.183</t>
  </si>
  <si>
    <t>Katy 1, p.184</t>
  </si>
  <si>
    <t>QL310</t>
  </si>
  <si>
    <t>13-04</t>
  </si>
  <si>
    <t>euc? (stringy bark)</t>
  </si>
  <si>
    <t>eucmed</t>
  </si>
  <si>
    <t>new</t>
  </si>
  <si>
    <t>Princess_Hill_QLD</t>
  </si>
  <si>
    <t>QLD_Princess_Hill</t>
  </si>
  <si>
    <t>Katy 1, p.147</t>
  </si>
  <si>
    <t>Katy 1, p.148</t>
  </si>
  <si>
    <t>Katy 1, p.151</t>
  </si>
  <si>
    <t>Katy 1, p.164</t>
  </si>
  <si>
    <t>SVS160624-plate2</t>
  </si>
  <si>
    <t>QL317</t>
  </si>
  <si>
    <t>9-29</t>
  </si>
  <si>
    <t>corcit</t>
  </si>
  <si>
    <t>Katy 1, p.98</t>
  </si>
  <si>
    <t>Katy 1, p.100</t>
  </si>
  <si>
    <t>Katy 1, p.101</t>
  </si>
  <si>
    <t>Katy 1, p.107</t>
  </si>
  <si>
    <t>QL399</t>
  </si>
  <si>
    <t>9-13</t>
  </si>
  <si>
    <t>cor?</t>
  </si>
  <si>
    <t>corpoc</t>
  </si>
  <si>
    <t>old</t>
  </si>
  <si>
    <t>Croydon_QLD</t>
  </si>
  <si>
    <t>QLD_Croydon</t>
  </si>
  <si>
    <t>Katy 1, p.106</t>
  </si>
  <si>
    <t>RH001</t>
  </si>
  <si>
    <t>19-35</t>
  </si>
  <si>
    <t>eucdum</t>
  </si>
  <si>
    <t>Round_Hill</t>
  </si>
  <si>
    <t>NSW_Round_Hill</t>
  </si>
  <si>
    <t>Katy 1, p.166</t>
  </si>
  <si>
    <t>Katy 1, p.168</t>
  </si>
  <si>
    <t>Katy 1, p.178</t>
  </si>
  <si>
    <t>Katy 1, p.180</t>
  </si>
  <si>
    <t>T059</t>
  </si>
  <si>
    <t>13-19</t>
  </si>
  <si>
    <t>eucdel</t>
  </si>
  <si>
    <t>Tasmania_MW</t>
  </si>
  <si>
    <t>TAS_The_Springs</t>
  </si>
  <si>
    <t>T335</t>
  </si>
  <si>
    <t>13-03</t>
  </si>
  <si>
    <t>eucglo</t>
  </si>
  <si>
    <t>Tasmania_FY</t>
  </si>
  <si>
    <t>TAS_Freycinet</t>
  </si>
  <si>
    <t>The gopro file numbers might be swapped between eucamy and eucglo because the species were identified as euc 1 &amp; euc 2 in the notebook for gopro pics (SVS small black notebook)</t>
  </si>
  <si>
    <t>T380</t>
  </si>
  <si>
    <t>9-45</t>
  </si>
  <si>
    <t>eucrub</t>
  </si>
  <si>
    <t>Tasmania_MC</t>
  </si>
  <si>
    <t>TAS_Mt_Canopus</t>
  </si>
  <si>
    <t>T401</t>
  </si>
  <si>
    <t>13-46</t>
  </si>
  <si>
    <t>eucten</t>
  </si>
  <si>
    <t>Tasmania_TP</t>
  </si>
  <si>
    <t>TAS_Tasman_Peninsula</t>
  </si>
  <si>
    <t>T407</t>
  </si>
  <si>
    <t>9-21</t>
  </si>
  <si>
    <t>YG118</t>
  </si>
  <si>
    <t>DP089</t>
  </si>
  <si>
    <t>eucspa</t>
  </si>
  <si>
    <t>Yengo_N</t>
  </si>
  <si>
    <t>NSW_Yengo_N</t>
  </si>
  <si>
    <t>stringy bark</t>
  </si>
  <si>
    <t>stringy bark. Previously labelled rep 1, probably mistakenly</t>
  </si>
  <si>
    <t>Siobhan 1, p.96</t>
  </si>
  <si>
    <t>Siobhan 1, p.97</t>
  </si>
  <si>
    <t>Siobhan 1, p.103</t>
  </si>
  <si>
    <t>YG128</t>
  </si>
  <si>
    <t>15-34</t>
  </si>
  <si>
    <t>eucpun</t>
  </si>
  <si>
    <t>couldn't do extraction as sample may have thawed; move to later extraction batch. this leaf was cut before it was scanned</t>
  </si>
  <si>
    <t>Katy 1, p.133</t>
  </si>
  <si>
    <t>Katy 1, p.134</t>
  </si>
  <si>
    <t>Katy 1, p.136</t>
  </si>
  <si>
    <t>Katy 1, p.143</t>
  </si>
  <si>
    <t>YG204</t>
  </si>
  <si>
    <t>DP011</t>
  </si>
  <si>
    <t>corexi</t>
  </si>
  <si>
    <t>Yengo_S</t>
  </si>
  <si>
    <t>NSW_Yengo_S</t>
  </si>
  <si>
    <t>Siobhan 1, p.92</t>
  </si>
  <si>
    <t>Siobhan 1, p.93</t>
  </si>
  <si>
    <t>Key:</t>
  </si>
  <si>
    <t>not loaded into autosampler?</t>
  </si>
  <si>
    <t>not ASPEX'd</t>
  </si>
  <si>
    <t>couldn't 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</si>
</sst>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 applyFill="1" applyAlignment="1">
      <alignment wrapText="1"/>
    </xf>
    <xf numFmtId="49" fontId="0" fillId="0" borderId="0" xfId="0" applyNumberFormat="1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165" fontId="1" fillId="0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165" fontId="0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wrapText="1"/>
    </xf>
    <xf numFmtId="0" fontId="1" fillId="2" borderId="0" xfId="0" applyFont="1" applyFill="1" applyAlignment="1"/>
    <xf numFmtId="49" fontId="1" fillId="2" borderId="0" xfId="0" applyNumberFormat="1" applyFont="1" applyFill="1" applyAlignment="1"/>
    <xf numFmtId="0" fontId="1" fillId="2" borderId="0" xfId="0" applyFont="1" applyFill="1"/>
    <xf numFmtId="0" fontId="0" fillId="0" borderId="0" xfId="0" applyFont="1" applyFill="1" applyAlignment="1"/>
    <xf numFmtId="164" fontId="1" fillId="2" borderId="0" xfId="0" applyNumberFormat="1" applyFont="1" applyFill="1"/>
    <xf numFmtId="0" fontId="3" fillId="2" borderId="0" xfId="0" applyFont="1" applyFill="1" applyAlignment="1"/>
    <xf numFmtId="165" fontId="1" fillId="2" borderId="0" xfId="0" applyNumberFormat="1" applyFont="1" applyFill="1" applyAlignment="1"/>
    <xf numFmtId="14" fontId="0" fillId="0" borderId="0" xfId="0" applyNumberFormat="1" applyFont="1" applyFill="1" applyAlignment="1"/>
    <xf numFmtId="165" fontId="0" fillId="0" borderId="0" xfId="0" applyNumberFormat="1" applyFont="1" applyFill="1" applyAlignment="1"/>
    <xf numFmtId="14" fontId="1" fillId="0" borderId="0" xfId="0" applyNumberFormat="1" applyFont="1" applyFill="1" applyAlignment="1"/>
    <xf numFmtId="164" fontId="0" fillId="0" borderId="0" xfId="0" applyNumberFormat="1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/>
    <xf numFmtId="0" fontId="1" fillId="0" borderId="0" xfId="0" applyFont="1" applyFill="1" applyAlignment="1"/>
    <xf numFmtId="0" fontId="3" fillId="0" borderId="0" xfId="0" applyFont="1" applyFill="1" applyAlignment="1"/>
    <xf numFmtId="49" fontId="0" fillId="0" borderId="0" xfId="0" applyNumberFormat="1"/>
    <xf numFmtId="164" fontId="0" fillId="0" borderId="0" xfId="0" applyNumberFormat="1" applyFont="1" applyFill="1"/>
    <xf numFmtId="0" fontId="0" fillId="2" borderId="0" xfId="0" applyFont="1" applyFill="1" applyAlignment="1"/>
    <xf numFmtId="49" fontId="0" fillId="2" borderId="0" xfId="0" applyNumberFormat="1" applyFont="1" applyFill="1" applyAlignment="1"/>
    <xf numFmtId="164" fontId="0" fillId="2" borderId="0" xfId="0" applyNumberFormat="1" applyFont="1" applyFill="1" applyAlignment="1"/>
    <xf numFmtId="0" fontId="0" fillId="2" borderId="0" xfId="0" applyFont="1" applyFill="1"/>
    <xf numFmtId="14" fontId="0" fillId="2" borderId="0" xfId="0" applyNumberFormat="1" applyFont="1" applyFill="1" applyAlignment="1"/>
    <xf numFmtId="165" fontId="0" fillId="2" borderId="0" xfId="0" applyNumberFormat="1" applyFont="1" applyFill="1" applyAlignment="1"/>
    <xf numFmtId="14" fontId="1" fillId="2" borderId="0" xfId="0" applyNumberFormat="1" applyFont="1" applyFill="1" applyAlignment="1"/>
    <xf numFmtId="49" fontId="0" fillId="0" borderId="0" xfId="0" applyNumberFormat="1" applyFill="1"/>
    <xf numFmtId="49" fontId="1" fillId="0" borderId="0" xfId="0" applyNumberFormat="1" applyFont="1" applyFill="1" applyAlignment="1"/>
    <xf numFmtId="0" fontId="3" fillId="0" borderId="0" xfId="0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1"/>
  <sheetViews>
    <sheetView tabSelected="1" workbookViewId="0">
      <selection activeCell="BM1" sqref="BM1:BO1"/>
    </sheetView>
  </sheetViews>
  <sheetFormatPr defaultRowHeight="15" x14ac:dyDescent="0.25"/>
  <cols>
    <col min="36" max="36" width="20.140625" customWidth="1"/>
  </cols>
  <sheetData>
    <row r="1" spans="1:73" ht="105" x14ac:dyDescent="0.25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6" t="s">
        <v>31</v>
      </c>
      <c r="AH1" s="6" t="s">
        <v>32</v>
      </c>
      <c r="AI1" s="1" t="s">
        <v>33</v>
      </c>
      <c r="AJ1" s="3" t="s">
        <v>34</v>
      </c>
      <c r="AK1" s="3" t="s">
        <v>35</v>
      </c>
      <c r="AL1" s="7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8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3" t="s">
        <v>56</v>
      </c>
      <c r="BG1" s="1" t="s">
        <v>57</v>
      </c>
      <c r="BH1" s="6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9" t="s">
        <v>63</v>
      </c>
      <c r="BN1" s="1" t="s">
        <v>64</v>
      </c>
      <c r="BO1" s="1" t="s">
        <v>65</v>
      </c>
      <c r="BP1" s="5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</row>
    <row r="3" spans="1:73" x14ac:dyDescent="0.25">
      <c r="A3" s="37" t="s">
        <v>72</v>
      </c>
      <c r="B3" s="10">
        <v>21</v>
      </c>
      <c r="C3" s="11" t="s">
        <v>73</v>
      </c>
      <c r="D3" s="12" t="s">
        <v>72</v>
      </c>
      <c r="E3" s="13">
        <v>1</v>
      </c>
      <c r="F3" s="13">
        <v>2</v>
      </c>
      <c r="G3" s="12" t="s">
        <v>74</v>
      </c>
      <c r="H3" s="13" t="s">
        <v>74</v>
      </c>
      <c r="I3" s="13">
        <v>-33.693300000000001</v>
      </c>
      <c r="J3" s="13">
        <v>151.14541</v>
      </c>
      <c r="K3" s="13"/>
      <c r="L3" s="13"/>
      <c r="M3" s="10" t="s">
        <v>75</v>
      </c>
      <c r="N3" s="12" t="s">
        <v>76</v>
      </c>
      <c r="O3" s="12">
        <v>1</v>
      </c>
      <c r="P3" s="12">
        <v>47</v>
      </c>
      <c r="Q3" s="12" t="s">
        <v>77</v>
      </c>
      <c r="R3" s="12" t="s">
        <v>78</v>
      </c>
      <c r="S3" s="12">
        <v>140603</v>
      </c>
      <c r="T3" s="14">
        <v>2.01302</v>
      </c>
      <c r="U3" s="14">
        <v>8.1220000000000001E-2</v>
      </c>
      <c r="V3" s="14">
        <v>7.7100000000000002E-2</v>
      </c>
      <c r="W3" s="14">
        <v>7.4999999999999997E-2</v>
      </c>
      <c r="X3" s="14">
        <v>1.7612000000000001</v>
      </c>
      <c r="Y3" s="14">
        <v>0.89083999999999997</v>
      </c>
      <c r="Z3" s="15">
        <v>29.998999999999999</v>
      </c>
      <c r="AA3" s="10">
        <f t="shared" ref="AA3" si="0">Z3/T3</f>
        <v>14.90248482379708</v>
      </c>
      <c r="AB3" s="10">
        <f t="shared" ref="AB3" si="1">AA3*U3</f>
        <v>1.2103798173887987</v>
      </c>
      <c r="AC3" s="10">
        <f t="shared" ref="AC3" si="2">AA3*V3</f>
        <v>1.1489815799147549</v>
      </c>
      <c r="AD3" s="10">
        <f t="shared" ref="AD3" si="3">AA3*W3</f>
        <v>1.117686361784781</v>
      </c>
      <c r="AE3" s="10">
        <f t="shared" ref="AE3" si="4">AA3*BP3</f>
        <v>26.246256271671417</v>
      </c>
      <c r="AF3" s="10">
        <v>3</v>
      </c>
      <c r="AG3" s="16">
        <f t="shared" ref="AG3" si="5">IF(AF3=1,(AB3*5),(IF(AF3=2,(AC3*5),(IF(AF3=3,(AD3*5),0)))))</f>
        <v>5.5884318089239047</v>
      </c>
      <c r="AH3" s="16">
        <v>5.6</v>
      </c>
      <c r="AI3" s="10">
        <v>0.47872916900000001</v>
      </c>
      <c r="AJ3" s="10"/>
      <c r="AK3" s="10"/>
      <c r="AL3" s="10"/>
      <c r="AM3" s="17">
        <v>42540</v>
      </c>
      <c r="AN3" s="13" t="s">
        <v>79</v>
      </c>
      <c r="AO3" s="17">
        <v>42550</v>
      </c>
      <c r="AP3" s="13" t="s">
        <v>80</v>
      </c>
      <c r="AQ3" s="17">
        <v>42551</v>
      </c>
      <c r="AR3" s="13" t="s">
        <v>81</v>
      </c>
      <c r="AS3" s="17">
        <v>42551</v>
      </c>
      <c r="AT3" s="13" t="s">
        <v>82</v>
      </c>
      <c r="AU3" s="10"/>
      <c r="AV3" s="13">
        <f t="shared" ref="AV3" si="6">AH3*0.5</f>
        <v>2.8</v>
      </c>
      <c r="AW3" s="10"/>
      <c r="AX3" s="16">
        <v>2.6777655575703148</v>
      </c>
      <c r="AY3" s="10">
        <v>2.1049334171579765</v>
      </c>
      <c r="AZ3" s="13">
        <v>750</v>
      </c>
      <c r="BA3" s="13">
        <f t="shared" ref="BA3" si="7">AX3*AZ3</f>
        <v>2008.3241681777361</v>
      </c>
      <c r="BB3" s="13">
        <f t="shared" ref="BB3" si="8">(BA3/1000)/(IF(AF3=1,(U3),(IF(AF3=2,(V3),(IF(AF3=3,(W3),0))))))</f>
        <v>26.77765557570315</v>
      </c>
      <c r="BC3" s="13">
        <f t="shared" ref="BC3" si="9">BB3*X3/Y3</f>
        <v>52.939705221957247</v>
      </c>
      <c r="BD3" s="13">
        <f t="shared" ref="BD3" si="10">(BA3*10)/(IF(AF3=1,(AB3),(IF(AF3=2,(AC3),(IF(AF3=3,(AD3),0))))))</f>
        <v>17968.584361812711</v>
      </c>
      <c r="BE3" s="13">
        <f t="shared" ref="BE3" si="11">100*AV3/BA3</f>
        <v>0.13941972338761402</v>
      </c>
      <c r="BF3" s="13">
        <v>50</v>
      </c>
      <c r="BG3" s="13">
        <v>1</v>
      </c>
      <c r="BH3" s="18">
        <f t="shared" ref="BH3" si="12">BF3/AX3</f>
        <v>18.672284382269737</v>
      </c>
      <c r="BI3" s="17">
        <v>42577</v>
      </c>
      <c r="BJ3" s="13">
        <v>25</v>
      </c>
      <c r="BK3" s="17">
        <v>42579</v>
      </c>
      <c r="BL3" s="13">
        <v>24</v>
      </c>
      <c r="BM3" s="19"/>
      <c r="BN3" s="13"/>
      <c r="BO3" s="13"/>
      <c r="BP3" s="14">
        <v>1.7612000000000001</v>
      </c>
      <c r="BQ3" s="15">
        <v>0.89083999999999997</v>
      </c>
      <c r="BR3" s="13">
        <f t="shared" ref="BR3" si="13">10000*Y3/AE3</f>
        <v>339.41602595777346</v>
      </c>
      <c r="BS3" s="13">
        <f t="shared" ref="BS3" si="14">AE3/Y3</f>
        <v>29.462368406977031</v>
      </c>
      <c r="BT3" s="13">
        <f t="shared" ref="BT3" si="15">(X3-Y3)/X3*100</f>
        <v>49.418578242107657</v>
      </c>
      <c r="BU3" s="20">
        <f t="shared" ref="BU3" si="16">T3-SUM(U3,V3,W3,X3)</f>
        <v>1.8499999999999961E-2</v>
      </c>
    </row>
    <row r="4" spans="1:73" x14ac:dyDescent="0.25">
      <c r="A4" t="s">
        <v>83</v>
      </c>
      <c r="B4" s="13">
        <v>13</v>
      </c>
      <c r="C4" s="21" t="s">
        <v>84</v>
      </c>
      <c r="D4" s="13" t="s">
        <v>83</v>
      </c>
      <c r="E4" s="13">
        <v>0</v>
      </c>
      <c r="F4" s="13"/>
      <c r="G4" s="13" t="s">
        <v>85</v>
      </c>
      <c r="H4" s="13" t="s">
        <v>86</v>
      </c>
      <c r="I4" s="13">
        <v>-18.297339999999998</v>
      </c>
      <c r="J4" s="13">
        <v>145.48915</v>
      </c>
      <c r="K4" s="13"/>
      <c r="L4" s="13"/>
      <c r="M4" s="13" t="s">
        <v>75</v>
      </c>
      <c r="N4" s="13" t="s">
        <v>87</v>
      </c>
      <c r="O4" s="13">
        <v>3</v>
      </c>
      <c r="P4" s="13">
        <v>415</v>
      </c>
      <c r="Q4" s="13" t="s">
        <v>88</v>
      </c>
      <c r="R4" s="13" t="s">
        <v>89</v>
      </c>
      <c r="S4" s="13">
        <v>150819</v>
      </c>
      <c r="T4" s="20">
        <v>0.56586000000000003</v>
      </c>
      <c r="U4" s="20">
        <v>6.132E-2</v>
      </c>
      <c r="V4" s="20">
        <v>6.234E-2</v>
      </c>
      <c r="W4" s="20">
        <v>5.7860000000000002E-2</v>
      </c>
      <c r="X4" s="20">
        <v>0.38407999999999998</v>
      </c>
      <c r="Y4" s="20">
        <v>0.19702</v>
      </c>
      <c r="Z4" s="22">
        <v>12.047000000000001</v>
      </c>
      <c r="AA4" s="13">
        <f t="shared" ref="AA4" si="17">Z4/T4</f>
        <v>21.289718304881067</v>
      </c>
      <c r="AB4" s="13">
        <f t="shared" ref="AB4" si="18">AA4*U4</f>
        <v>1.3054855264553069</v>
      </c>
      <c r="AC4" s="13">
        <f t="shared" ref="AC4" si="19">AA4*V4</f>
        <v>1.3272010391262856</v>
      </c>
      <c r="AD4" s="13">
        <f t="shared" ref="AD4" si="20">AA4*W4</f>
        <v>1.2318231011204186</v>
      </c>
      <c r="AE4" s="13">
        <f t="shared" ref="AE4" si="21">AA4*BP4</f>
        <v>8.1769550065387193</v>
      </c>
      <c r="AF4" s="13">
        <v>1</v>
      </c>
      <c r="AG4" s="18">
        <f t="shared" ref="AG4" si="22">IF(AF4=1,(AB4*5),(IF(AF4=2,(AC4*5),(IF(AF4=3,(AD4*5),0)))))</f>
        <v>6.5274276322765346</v>
      </c>
      <c r="AH4" s="18">
        <v>6.5</v>
      </c>
      <c r="AI4" s="13">
        <v>0.87571290700000004</v>
      </c>
      <c r="AJ4" s="22"/>
      <c r="AK4" s="22"/>
      <c r="AL4" s="13"/>
      <c r="AM4" s="17">
        <v>42444</v>
      </c>
      <c r="AN4" s="23" t="s">
        <v>90</v>
      </c>
      <c r="AO4" s="17">
        <v>42446</v>
      </c>
      <c r="AP4" s="23" t="s">
        <v>91</v>
      </c>
      <c r="AQ4" s="17">
        <v>42485</v>
      </c>
      <c r="AR4" s="23" t="s">
        <v>92</v>
      </c>
      <c r="AS4" s="17">
        <v>42514</v>
      </c>
      <c r="AT4" s="23" t="s">
        <v>93</v>
      </c>
      <c r="AU4" s="13"/>
      <c r="AV4" s="13">
        <f t="shared" ref="AV4" si="23">AH4*0.5</f>
        <v>3.25</v>
      </c>
      <c r="AW4" s="13"/>
      <c r="AX4" s="18">
        <v>2.2801588812138895</v>
      </c>
      <c r="AY4" s="13">
        <v>6.6032130204246196</v>
      </c>
      <c r="AZ4" s="13">
        <v>750</v>
      </c>
      <c r="BA4" s="13">
        <f t="shared" ref="BA4" si="24">AX4*AZ4</f>
        <v>1710.1191609104171</v>
      </c>
      <c r="BB4" s="13">
        <f t="shared" ref="BB4" si="25">(BA4/1000)/(IF(AF4=1,(U4),(IF(AF4=2,(V4),(IF(AF4=3,(W4),0))))))</f>
        <v>27.888440327958531</v>
      </c>
      <c r="BC4" s="13">
        <f t="shared" ref="BC4" si="26">BB4*X4/Y4</f>
        <v>54.367029546047668</v>
      </c>
      <c r="BD4" s="13">
        <f t="shared" ref="BD4" si="27">(BA4*10)/(IF(AF4=1,(AB4),(IF(AF4=2,(AC4),(IF(AF4=3,(AD4),0))))))</f>
        <v>13099.487709785519</v>
      </c>
      <c r="BE4" s="13">
        <f t="shared" ref="BE4" si="28">100*AV4/BA4</f>
        <v>0.19004523627872782</v>
      </c>
      <c r="BF4" s="13">
        <v>50</v>
      </c>
      <c r="BG4" s="13">
        <v>1</v>
      </c>
      <c r="BH4" s="18">
        <f t="shared" ref="BH4" si="29">BF4/AX4</f>
        <v>21.928296493699364</v>
      </c>
      <c r="BI4" s="17">
        <v>42521</v>
      </c>
      <c r="BJ4" s="13">
        <v>13</v>
      </c>
      <c r="BK4" s="17">
        <v>42543</v>
      </c>
      <c r="BL4" s="13">
        <v>14</v>
      </c>
      <c r="BM4" s="19">
        <v>42548</v>
      </c>
      <c r="BN4" s="13" t="s">
        <v>94</v>
      </c>
      <c r="BO4" s="13">
        <v>87</v>
      </c>
      <c r="BP4" s="20">
        <v>0.38407999999999998</v>
      </c>
      <c r="BQ4" s="24">
        <v>0.19702</v>
      </c>
      <c r="BR4" s="13">
        <f t="shared" ref="BR4" si="30">10000*Y4/AE4</f>
        <v>240.94543732043596</v>
      </c>
      <c r="BS4" s="13">
        <f t="shared" ref="BS4" si="31">AE4/Y4</f>
        <v>41.503172299963047</v>
      </c>
      <c r="BT4" s="13">
        <f t="shared" ref="BT4" si="32">(X4-Y4)/X4*100</f>
        <v>48.703395126015408</v>
      </c>
      <c r="BU4" s="20">
        <f t="shared" ref="BU4" si="33">T4-SUM(U4,V4,W4,X4)</f>
        <v>2.6000000000003798E-4</v>
      </c>
    </row>
    <row r="5" spans="1:73" x14ac:dyDescent="0.25">
      <c r="A5" t="s">
        <v>95</v>
      </c>
      <c r="B5" s="13">
        <v>9</v>
      </c>
      <c r="C5" s="21" t="s">
        <v>96</v>
      </c>
      <c r="D5" s="13" t="s">
        <v>95</v>
      </c>
      <c r="E5" s="13">
        <v>0</v>
      </c>
      <c r="F5" s="13"/>
      <c r="G5" s="13" t="s">
        <v>97</v>
      </c>
      <c r="H5" s="13" t="s">
        <v>97</v>
      </c>
      <c r="I5" s="13">
        <v>-18.297339999999998</v>
      </c>
      <c r="J5" s="13">
        <v>145.48915</v>
      </c>
      <c r="K5" s="13"/>
      <c r="L5" s="13"/>
      <c r="M5" s="13" t="s">
        <v>75</v>
      </c>
      <c r="N5" s="13" t="s">
        <v>76</v>
      </c>
      <c r="O5" s="13">
        <v>2</v>
      </c>
      <c r="P5" s="13">
        <v>417</v>
      </c>
      <c r="Q5" s="13" t="s">
        <v>88</v>
      </c>
      <c r="R5" s="13" t="s">
        <v>89</v>
      </c>
      <c r="S5" s="13">
        <v>150820</v>
      </c>
      <c r="T5" s="20">
        <v>0.62694000000000005</v>
      </c>
      <c r="U5" s="20">
        <v>7.4679999999999996E-2</v>
      </c>
      <c r="V5" s="20">
        <v>7.8700000000000006E-2</v>
      </c>
      <c r="W5" s="20">
        <v>6.8900000000000003E-2</v>
      </c>
      <c r="X5" s="20">
        <v>0.39945999999999998</v>
      </c>
      <c r="Y5" s="20">
        <v>0.22084000000000001</v>
      </c>
      <c r="Z5" s="22">
        <v>18.359000000000002</v>
      </c>
      <c r="AA5" s="13">
        <f t="shared" ref="AA5" si="34">Z5/T5</f>
        <v>29.283504003572912</v>
      </c>
      <c r="AB5" s="13">
        <f t="shared" ref="AB5" si="35">AA5*U5</f>
        <v>2.1868920789868249</v>
      </c>
      <c r="AC5" s="13">
        <f t="shared" ref="AC5" si="36">AA5*V5</f>
        <v>2.3046117650811881</v>
      </c>
      <c r="AD5" s="13">
        <f t="shared" ref="AD5" si="37">AA5*W5</f>
        <v>2.0176334258461739</v>
      </c>
      <c r="AE5" s="13">
        <f t="shared" ref="AE5" si="38">AA5*BP5</f>
        <v>11.697588509267234</v>
      </c>
      <c r="AF5" s="13">
        <v>1</v>
      </c>
      <c r="AG5" s="18">
        <f t="shared" ref="AG5" si="39">IF(AF5=1,(AB5*5),(IF(AF5=2,(AC5*5),(IF(AF5=3,(AD5*5),0)))))</f>
        <v>10.934460394934124</v>
      </c>
      <c r="AH5" s="18">
        <v>10.9</v>
      </c>
      <c r="AI5" s="13">
        <v>0.37729225999999999</v>
      </c>
      <c r="AJ5" s="22"/>
      <c r="AK5" s="22"/>
      <c r="AL5" s="13"/>
      <c r="AM5" s="17">
        <v>42310</v>
      </c>
      <c r="AN5" s="23" t="s">
        <v>98</v>
      </c>
      <c r="AO5" s="17">
        <v>42313</v>
      </c>
      <c r="AP5" s="23" t="s">
        <v>99</v>
      </c>
      <c r="AQ5" s="17">
        <v>42314</v>
      </c>
      <c r="AR5" s="23" t="s">
        <v>100</v>
      </c>
      <c r="AS5" s="17">
        <v>42325</v>
      </c>
      <c r="AT5" s="23" t="s">
        <v>101</v>
      </c>
      <c r="AU5" s="13"/>
      <c r="AV5" s="13">
        <f t="shared" ref="AV5" si="40">AH5*0.5</f>
        <v>5.45</v>
      </c>
      <c r="AW5" s="13"/>
      <c r="AX5" s="18">
        <v>3.0499764864419014</v>
      </c>
      <c r="AY5" s="13">
        <v>3.1636464521967333</v>
      </c>
      <c r="AZ5" s="13">
        <v>750</v>
      </c>
      <c r="BA5" s="13">
        <f t="shared" ref="BA5" si="41">AX5*AZ5</f>
        <v>2287.4823648314259</v>
      </c>
      <c r="BB5" s="13">
        <f t="shared" ref="BB5" si="42">(BA5/1000)/(IF(AF5=1,(U5),(IF(AF5=2,(V5),(IF(AF5=3,(W5),0))))))</f>
        <v>30.630454804920003</v>
      </c>
      <c r="BC5" s="13">
        <f t="shared" ref="BC5" si="43">BB5*X5/Y5</f>
        <v>55.405005779629342</v>
      </c>
      <c r="BD5" s="13">
        <f t="shared" ref="BD5" si="44">(BA5*10)/(IF(AF5=1,(AB5),(IF(AF5=2,(AC5),(IF(AF5=3,(AD5),0))))))</f>
        <v>10459.969135245137</v>
      </c>
      <c r="BE5" s="13">
        <f t="shared" ref="BE5" si="45">100*AV5/BA5</f>
        <v>0.23825320290071977</v>
      </c>
      <c r="BF5" s="13">
        <v>50</v>
      </c>
      <c r="BG5" s="13">
        <v>1</v>
      </c>
      <c r="BH5" s="18">
        <f t="shared" ref="BH5" si="46">BF5/AX5</f>
        <v>16.393569006930257</v>
      </c>
      <c r="BI5" s="17">
        <v>42521</v>
      </c>
      <c r="BJ5" s="13">
        <v>13</v>
      </c>
      <c r="BK5" s="17">
        <v>42543</v>
      </c>
      <c r="BL5" s="13">
        <v>13</v>
      </c>
      <c r="BM5" s="19">
        <v>42548</v>
      </c>
      <c r="BN5" s="13" t="s">
        <v>94</v>
      </c>
      <c r="BO5" s="13">
        <v>84</v>
      </c>
      <c r="BP5" s="20">
        <v>0.39945999999999998</v>
      </c>
      <c r="BQ5" s="24">
        <v>0.22084000000000001</v>
      </c>
      <c r="BR5" s="13">
        <f t="shared" ref="BR5" si="47">10000*Y5/AE5</f>
        <v>188.79104853538226</v>
      </c>
      <c r="BS5" s="13">
        <f t="shared" ref="BS5" si="48">AE5/Y5</f>
        <v>52.968613064966647</v>
      </c>
      <c r="BT5" s="13">
        <f t="shared" ref="BT5" si="49">(X5-Y5)/X5*100</f>
        <v>44.715365743754063</v>
      </c>
      <c r="BU5" s="20">
        <f t="shared" ref="BU5" si="50">T5-SUM(U5,V5,W5,X5)</f>
        <v>5.2000000000000934E-3</v>
      </c>
    </row>
    <row r="6" spans="1:73" x14ac:dyDescent="0.25">
      <c r="A6" s="38" t="s">
        <v>102</v>
      </c>
      <c r="B6" s="13">
        <v>9</v>
      </c>
      <c r="C6" s="25" t="s">
        <v>103</v>
      </c>
      <c r="D6" s="13" t="s">
        <v>102</v>
      </c>
      <c r="E6" s="13">
        <v>0</v>
      </c>
      <c r="F6" s="13"/>
      <c r="G6" s="13" t="s">
        <v>104</v>
      </c>
      <c r="H6" s="13" t="s">
        <v>105</v>
      </c>
      <c r="I6" s="13">
        <v>-18.189029999999999</v>
      </c>
      <c r="J6" s="13">
        <v>142.26240999999999</v>
      </c>
      <c r="K6" s="13"/>
      <c r="L6" s="13"/>
      <c r="M6" s="13" t="s">
        <v>75</v>
      </c>
      <c r="N6" s="13" t="s">
        <v>106</v>
      </c>
      <c r="O6" s="13">
        <v>2</v>
      </c>
      <c r="P6" s="13">
        <v>436</v>
      </c>
      <c r="Q6" s="13" t="s">
        <v>107</v>
      </c>
      <c r="R6" s="13" t="s">
        <v>108</v>
      </c>
      <c r="S6" s="13">
        <v>150823</v>
      </c>
      <c r="T6" s="26">
        <v>1.7341200000000001</v>
      </c>
      <c r="U6" s="26">
        <v>7.5259999999999994E-2</v>
      </c>
      <c r="V6" s="26">
        <v>8.7540000000000007E-2</v>
      </c>
      <c r="W6" s="26">
        <v>9.11E-2</v>
      </c>
      <c r="X6" s="26">
        <v>1.4688600000000001</v>
      </c>
      <c r="Y6" s="26">
        <v>0.83308000000000004</v>
      </c>
      <c r="Z6" s="22">
        <v>30.654</v>
      </c>
      <c r="AA6" s="13">
        <f t="shared" ref="AA6" si="51">Z6/T6</f>
        <v>17.676977371808178</v>
      </c>
      <c r="AB6" s="13">
        <f t="shared" ref="AB6" si="52">AA6*U6</f>
        <v>1.3303693170022834</v>
      </c>
      <c r="AC6" s="13">
        <f t="shared" ref="AC6" si="53">AA6*V6</f>
        <v>1.547442599128088</v>
      </c>
      <c r="AD6" s="13">
        <f t="shared" ref="AD6" si="54">AA6*W6</f>
        <v>1.610372638571725</v>
      </c>
      <c r="AE6" s="13">
        <f t="shared" ref="AE6" si="55">AA6*BP6</f>
        <v>25.965004982354163</v>
      </c>
      <c r="AF6" s="13">
        <v>1</v>
      </c>
      <c r="AG6" s="18">
        <f t="shared" ref="AG6" si="56">IF(AF6=1,(AB6*5),(IF(AF6=2,(AC6*5),(IF(AF6=3,(AD6*5),0)))))</f>
        <v>6.651846585011417</v>
      </c>
      <c r="AH6" s="18">
        <v>6.7</v>
      </c>
      <c r="AI6" s="13">
        <v>0.333403063</v>
      </c>
      <c r="AJ6" s="22"/>
      <c r="AK6" s="22"/>
      <c r="AL6" s="13"/>
      <c r="AM6" s="17">
        <v>42310</v>
      </c>
      <c r="AN6" s="23" t="s">
        <v>98</v>
      </c>
      <c r="AO6" s="17">
        <v>42313</v>
      </c>
      <c r="AP6" s="23" t="s">
        <v>99</v>
      </c>
      <c r="AQ6" s="17">
        <v>42314</v>
      </c>
      <c r="AR6" s="23" t="s">
        <v>100</v>
      </c>
      <c r="AS6" s="17">
        <v>42324</v>
      </c>
      <c r="AT6" s="23" t="s">
        <v>109</v>
      </c>
      <c r="AU6" s="13"/>
      <c r="AV6" s="13">
        <f t="shared" ref="AV6" si="57">AH6*0.5</f>
        <v>3.35</v>
      </c>
      <c r="AW6" s="13"/>
      <c r="AX6" s="18">
        <v>2.4509524165563126</v>
      </c>
      <c r="AY6" s="13">
        <v>3.554984299564321</v>
      </c>
      <c r="AZ6" s="13">
        <v>750</v>
      </c>
      <c r="BA6" s="13">
        <f t="shared" ref="BA6" si="58">AX6*AZ6</f>
        <v>1838.2143124172344</v>
      </c>
      <c r="BB6" s="13">
        <f t="shared" ref="BB6" si="59">(BA6/1000)/(IF(AF6=1,(U6),(IF(AF6=2,(V6),(IF(AF6=3,(W6),0))))))</f>
        <v>24.424851347558256</v>
      </c>
      <c r="BC6" s="13">
        <f t="shared" ref="BC6" si="60">BB6*X6/Y6</f>
        <v>43.065116375827557</v>
      </c>
      <c r="BD6" s="13">
        <f t="shared" ref="BD6" si="61">(BA6*10)/(IF(AF6=1,(AB6),(IF(AF6=2,(AC6),(IF(AF6=3,(AD6),0))))))</f>
        <v>13817.323422335659</v>
      </c>
      <c r="BE6" s="13">
        <f t="shared" ref="BE6" si="62">100*AV6/BA6</f>
        <v>0.18224208011930784</v>
      </c>
      <c r="BF6" s="13">
        <v>50</v>
      </c>
      <c r="BG6" s="13">
        <v>1</v>
      </c>
      <c r="BH6" s="18">
        <f t="shared" ref="BH6" si="63">BF6/AX6</f>
        <v>20.400232849176252</v>
      </c>
      <c r="BI6" s="17"/>
      <c r="BJ6" s="13"/>
      <c r="BK6" s="13"/>
      <c r="BL6" s="13"/>
      <c r="BM6" s="19"/>
      <c r="BN6" s="13"/>
      <c r="BO6" s="13"/>
      <c r="BP6" s="26">
        <v>1.4688600000000001</v>
      </c>
      <c r="BQ6" s="24">
        <v>0.83308000000000004</v>
      </c>
      <c r="BR6" s="13">
        <f t="shared" ref="BR6" si="64">10000*Y6/AE6</f>
        <v>320.84723286830172</v>
      </c>
      <c r="BS6" s="13">
        <f t="shared" ref="BS6" si="65">AE6/Y6</f>
        <v>31.167480893016471</v>
      </c>
      <c r="BT6" s="13">
        <f t="shared" ref="BT6" si="66">(X6-Y6)/X6*100</f>
        <v>43.283907247797607</v>
      </c>
      <c r="BU6" s="20">
        <f t="shared" ref="BU6" si="67">T6-SUM(U6,V6,W6,X6)</f>
        <v>1.1360000000000037E-2</v>
      </c>
    </row>
    <row r="7" spans="1:73" x14ac:dyDescent="0.25">
      <c r="A7" s="37" t="s">
        <v>110</v>
      </c>
      <c r="B7" s="13">
        <v>19</v>
      </c>
      <c r="C7" s="21" t="s">
        <v>111</v>
      </c>
      <c r="D7" s="13" t="s">
        <v>110</v>
      </c>
      <c r="E7" s="13">
        <v>0</v>
      </c>
      <c r="F7" s="13"/>
      <c r="G7" s="13" t="s">
        <v>112</v>
      </c>
      <c r="H7" s="13" t="s">
        <v>112</v>
      </c>
      <c r="I7" s="13">
        <v>-32.96407</v>
      </c>
      <c r="J7" s="13">
        <v>146.16015999999999</v>
      </c>
      <c r="K7" s="13"/>
      <c r="L7" s="13"/>
      <c r="M7" s="22" t="s">
        <v>75</v>
      </c>
      <c r="N7" s="13" t="s">
        <v>87</v>
      </c>
      <c r="O7" s="13">
        <v>1</v>
      </c>
      <c r="P7" s="13">
        <v>311</v>
      </c>
      <c r="Q7" s="13" t="s">
        <v>113</v>
      </c>
      <c r="R7" s="13" t="s">
        <v>114</v>
      </c>
      <c r="S7" s="13">
        <v>150405</v>
      </c>
      <c r="T7" s="20">
        <v>0.74439999999999995</v>
      </c>
      <c r="U7" s="20">
        <v>0.11246</v>
      </c>
      <c r="V7" s="20">
        <v>9.0999999999999998E-2</v>
      </c>
      <c r="W7" s="20">
        <v>9.9339999999999998E-2</v>
      </c>
      <c r="X7" s="20">
        <v>0.43524000000000002</v>
      </c>
      <c r="Y7" s="20">
        <v>0.20998</v>
      </c>
      <c r="Z7" s="13">
        <v>12.865</v>
      </c>
      <c r="AA7" s="13">
        <f t="shared" ref="AA7" si="68">Z7/T7</f>
        <v>17.282375067168189</v>
      </c>
      <c r="AB7" s="13">
        <f t="shared" ref="AB7" si="69">AA7*U7</f>
        <v>1.9435759000537347</v>
      </c>
      <c r="AC7" s="13">
        <f t="shared" ref="AC7" si="70">AA7*V7</f>
        <v>1.5726961311123051</v>
      </c>
      <c r="AD7" s="13">
        <f t="shared" ref="AD7" si="71">AA7*W7</f>
        <v>1.716831139172488</v>
      </c>
      <c r="AE7" s="13">
        <f t="shared" ref="AE7" si="72">AA7*BP7</f>
        <v>7.521980924234283</v>
      </c>
      <c r="AF7" s="13">
        <v>1</v>
      </c>
      <c r="AG7" s="18">
        <f t="shared" ref="AG7" si="73">IF(AF7=1,(AB7*5),(IF(AF7=2,(AC7*5),(IF(AF7=3,(AD7*5),0)))))</f>
        <v>9.7178795002686726</v>
      </c>
      <c r="AH7" s="18">
        <v>9.6999999999999993</v>
      </c>
      <c r="AI7" s="13">
        <v>0.63530905476038757</v>
      </c>
      <c r="AJ7" s="22"/>
      <c r="AK7" s="22"/>
      <c r="AL7" s="13"/>
      <c r="AM7" s="17">
        <v>42520</v>
      </c>
      <c r="AN7" s="13" t="s">
        <v>115</v>
      </c>
      <c r="AO7" s="17">
        <v>42523</v>
      </c>
      <c r="AP7" s="13" t="s">
        <v>116</v>
      </c>
      <c r="AQ7" s="17">
        <v>42548</v>
      </c>
      <c r="AR7" s="13" t="s">
        <v>117</v>
      </c>
      <c r="AS7" s="17">
        <v>42548</v>
      </c>
      <c r="AT7" s="13" t="s">
        <v>118</v>
      </c>
      <c r="AU7" s="13"/>
      <c r="AV7" s="13">
        <f t="shared" ref="AV7" si="74">AH7*0.5</f>
        <v>4.8499999999999996</v>
      </c>
      <c r="AW7" s="13"/>
      <c r="AX7" s="18">
        <v>4.6420046625271922</v>
      </c>
      <c r="AY7" s="13">
        <v>8.7277053989911479</v>
      </c>
      <c r="AZ7" s="13">
        <v>750</v>
      </c>
      <c r="BA7" s="13">
        <f t="shared" ref="BA7" si="75">AX7*AZ7</f>
        <v>3481.5034968953942</v>
      </c>
      <c r="BB7" s="13">
        <f t="shared" ref="BB7" si="76">(BA7/1000)/(IF(AF7=1,(U7),(IF(AF7=2,(V7),(IF(AF7=3,(W7),0))))))</f>
        <v>30.957704934157871</v>
      </c>
      <c r="BC7" s="13">
        <f t="shared" ref="BC7" si="77">BB7*X7/Y7</f>
        <v>64.168165994584598</v>
      </c>
      <c r="BD7" s="13">
        <f t="shared" ref="BD7" si="78">(BA7*10)/(IF(AF7=1,(AB7),(IF(AF7=2,(AC7),(IF(AF7=3,(AD7),0))))))</f>
        <v>17912.876450048287</v>
      </c>
      <c r="BE7" s="13">
        <f t="shared" ref="BE7" si="79">100*AV7/BA7</f>
        <v>0.13930762971586708</v>
      </c>
      <c r="BF7" s="13">
        <v>50</v>
      </c>
      <c r="BG7" s="13">
        <v>1</v>
      </c>
      <c r="BH7" s="18">
        <f t="shared" ref="BH7" si="80">BF7/AX7</f>
        <v>10.7712084831856</v>
      </c>
      <c r="BI7" s="17">
        <v>42571</v>
      </c>
      <c r="BJ7" s="13">
        <v>22</v>
      </c>
      <c r="BK7" s="17">
        <v>42579</v>
      </c>
      <c r="BL7" s="13">
        <v>21</v>
      </c>
      <c r="BM7" s="19"/>
      <c r="BN7" s="13"/>
      <c r="BO7" s="13"/>
      <c r="BP7" s="20">
        <v>0.43524000000000002</v>
      </c>
      <c r="BQ7" s="24">
        <v>0.21329999999999999</v>
      </c>
      <c r="BR7" s="13">
        <f t="shared" ref="BR7" si="81">10000*Y7/AE7</f>
        <v>279.15518812802014</v>
      </c>
      <c r="BS7" s="13">
        <f t="shared" ref="BS7" si="82">AE7/Y7</f>
        <v>35.822368436204798</v>
      </c>
      <c r="BT7" s="13">
        <f t="shared" ref="BT7" si="83">(X7-Y7)/X7*100</f>
        <v>51.755353368256593</v>
      </c>
      <c r="BU7" s="20">
        <f t="shared" ref="BU7" si="84">T7-SUM(U7,V7,W7,X7)</f>
        <v>6.3599999999999213E-3</v>
      </c>
    </row>
    <row r="8" spans="1:73" x14ac:dyDescent="0.25">
      <c r="A8" t="s">
        <v>119</v>
      </c>
      <c r="B8" s="13">
        <v>13</v>
      </c>
      <c r="C8" s="21" t="s">
        <v>120</v>
      </c>
      <c r="D8" s="13" t="s">
        <v>119</v>
      </c>
      <c r="E8" s="13">
        <v>0</v>
      </c>
      <c r="F8" s="13"/>
      <c r="G8" s="13" t="s">
        <v>121</v>
      </c>
      <c r="H8" s="13" t="s">
        <v>121</v>
      </c>
      <c r="I8" s="13">
        <v>-42.914819999999999</v>
      </c>
      <c r="J8" s="13">
        <v>147.24619000000001</v>
      </c>
      <c r="K8" s="13">
        <v>727</v>
      </c>
      <c r="L8" s="13">
        <v>732</v>
      </c>
      <c r="M8" s="13" t="s">
        <v>75</v>
      </c>
      <c r="N8" s="13" t="s">
        <v>106</v>
      </c>
      <c r="O8" s="13">
        <v>3</v>
      </c>
      <c r="P8" s="13">
        <v>209</v>
      </c>
      <c r="Q8" s="13" t="s">
        <v>122</v>
      </c>
      <c r="R8" s="13" t="s">
        <v>123</v>
      </c>
      <c r="S8" s="13">
        <v>150302</v>
      </c>
      <c r="T8" s="20">
        <v>1.1088800000000001</v>
      </c>
      <c r="U8" s="20">
        <v>8.2460000000000006E-2</v>
      </c>
      <c r="V8" s="20">
        <v>5.552E-2</v>
      </c>
      <c r="W8" s="20">
        <v>6.268E-2</v>
      </c>
      <c r="X8" s="20">
        <v>0.86534</v>
      </c>
      <c r="Y8" s="20">
        <v>0.40216000000000002</v>
      </c>
      <c r="Z8" s="13">
        <v>20.134</v>
      </c>
      <c r="AA8" s="13">
        <f t="shared" ref="AA8" si="85">Z8/T8</f>
        <v>18.157059375225451</v>
      </c>
      <c r="AB8" s="13">
        <f t="shared" ref="AB8" si="86">AA8*U8</f>
        <v>1.4972311160810907</v>
      </c>
      <c r="AC8" s="13">
        <f t="shared" ref="AC8" si="87">AA8*V8</f>
        <v>1.008079936512517</v>
      </c>
      <c r="AD8" s="13">
        <f t="shared" ref="AD8" si="88">AA8*W8</f>
        <v>1.1380844816391313</v>
      </c>
      <c r="AE8" s="13">
        <f t="shared" ref="AE8" si="89">AA8*BP8</f>
        <v>15.712029759757591</v>
      </c>
      <c r="AF8" s="13">
        <v>1</v>
      </c>
      <c r="AG8" s="18">
        <f t="shared" ref="AG8" si="90">IF(AF8=1,(AB8*5),(IF(AF8=2,(AC8*5),(IF(AF8=3,(AD8*5),0)))))</f>
        <v>7.4861555804054536</v>
      </c>
      <c r="AH8" s="18">
        <v>7.5</v>
      </c>
      <c r="AI8" s="13">
        <v>0.91943008400000004</v>
      </c>
      <c r="AJ8" s="22"/>
      <c r="AK8" s="22"/>
      <c r="AL8" s="13"/>
      <c r="AM8" s="17">
        <v>42444</v>
      </c>
      <c r="AN8" s="23" t="s">
        <v>90</v>
      </c>
      <c r="AO8" s="17">
        <v>42446</v>
      </c>
      <c r="AP8" s="23" t="s">
        <v>91</v>
      </c>
      <c r="AQ8" s="17">
        <v>42485</v>
      </c>
      <c r="AR8" s="23" t="s">
        <v>92</v>
      </c>
      <c r="AS8" s="17">
        <v>42514</v>
      </c>
      <c r="AT8" s="23" t="s">
        <v>93</v>
      </c>
      <c r="AU8" s="13"/>
      <c r="AV8" s="13">
        <f t="shared" ref="AV8" si="91">AH8*0.5</f>
        <v>3.75</v>
      </c>
      <c r="AW8" s="13"/>
      <c r="AX8" s="18">
        <v>3.6345818985231979</v>
      </c>
      <c r="AY8" s="13">
        <v>3.2354610574179037</v>
      </c>
      <c r="AZ8" s="13">
        <v>750</v>
      </c>
      <c r="BA8" s="13">
        <f t="shared" ref="BA8" si="92">AX8*AZ8</f>
        <v>2725.9364238923986</v>
      </c>
      <c r="BB8" s="13">
        <f t="shared" ref="BB8" si="93">(BA8/1000)/(IF(AF8=1,(U8),(IF(AF8=2,(V8),(IF(AF8=3,(W8),0))))))</f>
        <v>33.057681589769565</v>
      </c>
      <c r="BC8" s="13">
        <f t="shared" ref="BC8" si="94">BB8*X8/Y8</f>
        <v>71.131226842279673</v>
      </c>
      <c r="BD8" s="13">
        <f t="shared" ref="BD8" si="95">(BA8*10)/(IF(AF8=1,(AB8),(IF(AF8=2,(AC8),(IF(AF8=3,(AD8),0))))))</f>
        <v>18206.517314623863</v>
      </c>
      <c r="BE8" s="13">
        <f t="shared" ref="BE8" si="96">100*AV8/BA8</f>
        <v>0.13756740498904696</v>
      </c>
      <c r="BF8" s="13">
        <v>50</v>
      </c>
      <c r="BG8" s="13">
        <v>1</v>
      </c>
      <c r="BH8" s="18">
        <f t="shared" ref="BH8" si="97">BF8/AX8</f>
        <v>13.756740498904698</v>
      </c>
      <c r="BI8" s="17">
        <v>42521</v>
      </c>
      <c r="BJ8" s="13">
        <v>13</v>
      </c>
      <c r="BK8" s="17">
        <v>42543</v>
      </c>
      <c r="BL8" s="13">
        <v>13</v>
      </c>
      <c r="BM8" s="19">
        <v>42548</v>
      </c>
      <c r="BN8" s="13" t="s">
        <v>94</v>
      </c>
      <c r="BO8" s="13">
        <v>81</v>
      </c>
      <c r="BP8" s="20">
        <v>0.86534</v>
      </c>
      <c r="BQ8" s="13">
        <v>0.33967999999999998</v>
      </c>
      <c r="BR8" s="13">
        <f t="shared" ref="BR8" si="98">10000*Y8/AE8</f>
        <v>255.95674534045986</v>
      </c>
      <c r="BS8" s="13">
        <f t="shared" ref="BS8" si="99">AE8/Y8</f>
        <v>39.069101252629778</v>
      </c>
      <c r="BT8" s="13">
        <f t="shared" ref="BT8" si="100">(X8-Y8)/X8*100</f>
        <v>53.525781773638101</v>
      </c>
      <c r="BU8" s="20">
        <f t="shared" ref="BU8" si="101">T8-SUM(U8,V8,W8,X8)</f>
        <v>4.2880000000000029E-2</v>
      </c>
    </row>
    <row r="9" spans="1:73" x14ac:dyDescent="0.25">
      <c r="A9" t="s">
        <v>124</v>
      </c>
      <c r="B9" s="13">
        <v>13</v>
      </c>
      <c r="C9" s="21" t="s">
        <v>125</v>
      </c>
      <c r="D9" s="13" t="s">
        <v>124</v>
      </c>
      <c r="E9" s="13">
        <v>0</v>
      </c>
      <c r="F9" s="13"/>
      <c r="G9" s="13" t="s">
        <v>126</v>
      </c>
      <c r="H9" s="13" t="s">
        <v>126</v>
      </c>
      <c r="I9" s="13">
        <v>-42.122990000000001</v>
      </c>
      <c r="J9" s="13">
        <v>148.34204</v>
      </c>
      <c r="K9" s="13"/>
      <c r="L9" s="13"/>
      <c r="M9" s="13" t="s">
        <v>75</v>
      </c>
      <c r="N9" s="13" t="s">
        <v>87</v>
      </c>
      <c r="O9" s="13">
        <v>2</v>
      </c>
      <c r="P9" s="13">
        <v>259</v>
      </c>
      <c r="Q9" s="13" t="s">
        <v>127</v>
      </c>
      <c r="R9" s="13" t="s">
        <v>128</v>
      </c>
      <c r="S9" s="13">
        <v>150311</v>
      </c>
      <c r="T9" s="20">
        <v>1.7698199999999999</v>
      </c>
      <c r="U9" s="20">
        <v>6.4299999999999996E-2</v>
      </c>
      <c r="V9" s="20">
        <v>6.7799999999999999E-2</v>
      </c>
      <c r="W9" s="20">
        <v>5.6259999999999998E-2</v>
      </c>
      <c r="X9" s="20">
        <v>1.5365599999999999</v>
      </c>
      <c r="Y9" s="20">
        <v>0.85177999999999998</v>
      </c>
      <c r="Z9" s="13">
        <v>26.192</v>
      </c>
      <c r="AA9" s="13">
        <f t="shared" ref="AA9" si="102">Z9/T9</f>
        <v>14.799245120972754</v>
      </c>
      <c r="AB9" s="13">
        <f t="shared" ref="AB9" si="103">AA9*U9</f>
        <v>0.9515914612785481</v>
      </c>
      <c r="AC9" s="13">
        <f t="shared" ref="AC9" si="104">AA9*V9</f>
        <v>1.0033888192019527</v>
      </c>
      <c r="AD9" s="13">
        <f t="shared" ref="AD9" si="105">AA9*W9</f>
        <v>0.83260553050592712</v>
      </c>
      <c r="AE9" s="13">
        <f t="shared" ref="AE9" si="106">AA9*BP9</f>
        <v>22.739928083081896</v>
      </c>
      <c r="AF9" s="13">
        <v>1</v>
      </c>
      <c r="AG9" s="18">
        <f t="shared" ref="AG9" si="107">IF(AF9=1,(AB9*5),(IF(AF9=2,(AC9*5),(IF(AF9=3,(AD9*5),0)))))</f>
        <v>4.7579573063927407</v>
      </c>
      <c r="AH9" s="18">
        <v>4.8</v>
      </c>
      <c r="AI9" s="13">
        <v>0.87413809899999995</v>
      </c>
      <c r="AJ9" s="22"/>
      <c r="AK9" s="22" t="s">
        <v>129</v>
      </c>
      <c r="AL9" s="13"/>
      <c r="AM9" s="17">
        <v>42444</v>
      </c>
      <c r="AN9" s="23" t="s">
        <v>90</v>
      </c>
      <c r="AO9" s="17">
        <v>42446</v>
      </c>
      <c r="AP9" s="23" t="s">
        <v>91</v>
      </c>
      <c r="AQ9" s="17">
        <v>42485</v>
      </c>
      <c r="AR9" s="23" t="s">
        <v>92</v>
      </c>
      <c r="AS9" s="17">
        <v>42514</v>
      </c>
      <c r="AT9" s="23" t="s">
        <v>93</v>
      </c>
      <c r="AU9" s="13"/>
      <c r="AV9" s="13">
        <f t="shared" ref="AV9" si="108">AH9*0.5</f>
        <v>2.4</v>
      </c>
      <c r="AW9" s="13"/>
      <c r="AX9" s="18">
        <v>3.4741963220019634</v>
      </c>
      <c r="AY9" s="13">
        <v>3.1658341323617121</v>
      </c>
      <c r="AZ9" s="13">
        <v>750</v>
      </c>
      <c r="BA9" s="13">
        <f t="shared" ref="BA9" si="109">AX9*AZ9</f>
        <v>2605.6472415014723</v>
      </c>
      <c r="BB9" s="13">
        <f t="shared" ref="BB9" si="110">(BA9/1000)/(IF(AF9=1,(U9),(IF(AF9=2,(V9),(IF(AF9=3,(W9),0))))))</f>
        <v>40.523285248856496</v>
      </c>
      <c r="BC9" s="13">
        <f t="shared" ref="BC9" si="111">BB9*X9/Y9</f>
        <v>73.101574563834475</v>
      </c>
      <c r="BD9" s="13">
        <f t="shared" ref="BD9" si="112">(BA9*10)/(IF(AF9=1,(AB9),(IF(AF9=2,(AC9),(IF(AF9=3,(AD9),0))))))</f>
        <v>27381.994769063527</v>
      </c>
      <c r="BE9" s="13">
        <f t="shared" ref="BE9" si="113">100*AV9/BA9</f>
        <v>9.210763305845765E-2</v>
      </c>
      <c r="BF9" s="13">
        <v>50</v>
      </c>
      <c r="BG9" s="13">
        <v>1</v>
      </c>
      <c r="BH9" s="18">
        <f t="shared" ref="BH9" si="114">BF9/AX9</f>
        <v>14.391817665384007</v>
      </c>
      <c r="BI9" s="17">
        <v>42521</v>
      </c>
      <c r="BJ9" s="13">
        <v>13</v>
      </c>
      <c r="BK9" s="17">
        <v>42543</v>
      </c>
      <c r="BL9" s="13">
        <v>14</v>
      </c>
      <c r="BM9" s="19">
        <v>42548</v>
      </c>
      <c r="BN9" s="13" t="s">
        <v>94</v>
      </c>
      <c r="BO9" s="13">
        <v>88</v>
      </c>
      <c r="BP9" s="20">
        <v>1.5365599999999999</v>
      </c>
      <c r="BQ9" s="13">
        <v>0.63553999999999999</v>
      </c>
      <c r="BR9" s="13">
        <f t="shared" ref="BR9" si="115">10000*Y9/AE9</f>
        <v>374.57462349395433</v>
      </c>
      <c r="BS9" s="13">
        <f t="shared" ref="BS9" si="116">AE9/Y9</f>
        <v>26.696950014184292</v>
      </c>
      <c r="BT9" s="13">
        <f t="shared" ref="BT9" si="117">(X9-Y9)/X9*100</f>
        <v>44.565783308168896</v>
      </c>
      <c r="BU9" s="20">
        <f t="shared" ref="BU9" si="118">T9-SUM(U9,V9,W9,X9)</f>
        <v>4.489999999999994E-2</v>
      </c>
    </row>
    <row r="10" spans="1:73" x14ac:dyDescent="0.25">
      <c r="A10" t="s">
        <v>130</v>
      </c>
      <c r="B10" s="13">
        <v>9</v>
      </c>
      <c r="C10" s="21" t="s">
        <v>131</v>
      </c>
      <c r="D10" s="13" t="s">
        <v>130</v>
      </c>
      <c r="E10" s="13">
        <v>0</v>
      </c>
      <c r="F10" s="13"/>
      <c r="G10" s="13" t="s">
        <v>132</v>
      </c>
      <c r="H10" s="13" t="s">
        <v>132</v>
      </c>
      <c r="I10" s="13">
        <v>-42.846380000000003</v>
      </c>
      <c r="J10" s="13">
        <v>147.43151</v>
      </c>
      <c r="K10" s="13"/>
      <c r="L10" s="13"/>
      <c r="M10" s="13" t="s">
        <v>75</v>
      </c>
      <c r="N10" s="13" t="s">
        <v>87</v>
      </c>
      <c r="O10" s="13">
        <v>3</v>
      </c>
      <c r="P10" s="13">
        <v>302</v>
      </c>
      <c r="Q10" s="13" t="s">
        <v>133</v>
      </c>
      <c r="R10" s="13" t="s">
        <v>134</v>
      </c>
      <c r="S10" s="13">
        <v>150312</v>
      </c>
      <c r="T10" s="20">
        <v>0.69779999999999998</v>
      </c>
      <c r="U10" s="20">
        <v>7.2760000000000005E-2</v>
      </c>
      <c r="V10" s="20">
        <v>7.5200000000000003E-2</v>
      </c>
      <c r="W10" s="20">
        <v>6.5619999999999998E-2</v>
      </c>
      <c r="X10" s="20">
        <v>0.48137999999999997</v>
      </c>
      <c r="Y10" s="20">
        <v>0.1782</v>
      </c>
      <c r="Z10" s="13">
        <v>15.185</v>
      </c>
      <c r="AA10" s="13">
        <f t="shared" ref="AA10" si="119">Z10/T10</f>
        <v>21.761249641731158</v>
      </c>
      <c r="AB10" s="13">
        <f t="shared" ref="AB10" si="120">AA10*U10</f>
        <v>1.5833485239323593</v>
      </c>
      <c r="AC10" s="13">
        <f t="shared" ref="AC10" si="121">AA10*V10</f>
        <v>1.6364459730581831</v>
      </c>
      <c r="AD10" s="13">
        <f t="shared" ref="AD10" si="122">AA10*W10</f>
        <v>1.4279732014903985</v>
      </c>
      <c r="AE10" s="13">
        <f t="shared" ref="AE10" si="123">AA10*BP10</f>
        <v>10.475430352536545</v>
      </c>
      <c r="AF10" s="13">
        <v>1</v>
      </c>
      <c r="AG10" s="18">
        <f t="shared" ref="AG10" si="124">IF(AF10=1,(AB10*5),(IF(AF10=2,(AC10*5),(IF(AF10=3,(AD10*5),0)))))</f>
        <v>7.9167426196617967</v>
      </c>
      <c r="AH10" s="18">
        <v>7.9</v>
      </c>
      <c r="AI10" s="13">
        <v>0.41019968000000001</v>
      </c>
      <c r="AJ10" s="22"/>
      <c r="AK10" s="22"/>
      <c r="AL10" s="13"/>
      <c r="AM10" s="17">
        <v>42310</v>
      </c>
      <c r="AN10" s="23" t="s">
        <v>98</v>
      </c>
      <c r="AO10" s="17">
        <v>42313</v>
      </c>
      <c r="AP10" s="23" t="s">
        <v>99</v>
      </c>
      <c r="AQ10" s="17">
        <v>42314</v>
      </c>
      <c r="AR10" s="23" t="s">
        <v>100</v>
      </c>
      <c r="AS10" s="17">
        <v>42325</v>
      </c>
      <c r="AT10" s="23" t="s">
        <v>101</v>
      </c>
      <c r="AU10" s="13"/>
      <c r="AV10" s="13">
        <f t="shared" ref="AV10" si="125">AH10*0.5</f>
        <v>3.95</v>
      </c>
      <c r="AW10" s="13"/>
      <c r="AX10" s="18">
        <v>3.6473277199354892</v>
      </c>
      <c r="AY10" s="13">
        <v>2.767221776708304</v>
      </c>
      <c r="AZ10" s="13">
        <v>750</v>
      </c>
      <c r="BA10" s="13">
        <f t="shared" ref="BA10" si="126">AX10*AZ10</f>
        <v>2735.4957899516171</v>
      </c>
      <c r="BB10" s="13">
        <f t="shared" ref="BB10" si="127">(BA10/1000)/(IF(AF10=1,(U10),(IF(AF10=2,(V10),(IF(AF10=3,(W10),0))))))</f>
        <v>37.596148844854547</v>
      </c>
      <c r="BC10" s="13">
        <f t="shared" ref="BC10" si="128">BB10*X10/Y10</f>
        <v>101.56023642500607</v>
      </c>
      <c r="BD10" s="13">
        <f t="shared" ref="BD10" si="129">(BA10*10)/(IF(AF10=1,(AB10),(IF(AF10=2,(AC10),(IF(AF10=3,(AD10),0))))))</f>
        <v>17276.649762225552</v>
      </c>
      <c r="BE10" s="13">
        <f t="shared" ref="BE10" si="130">100*AV10/BA10</f>
        <v>0.1443979557383952</v>
      </c>
      <c r="BF10" s="13">
        <v>50</v>
      </c>
      <c r="BG10" s="13">
        <v>1</v>
      </c>
      <c r="BH10" s="18">
        <f t="shared" ref="BH10" si="131">BF10/AX10</f>
        <v>13.708666684024861</v>
      </c>
      <c r="BI10" s="17">
        <v>42521</v>
      </c>
      <c r="BJ10" s="13">
        <v>13</v>
      </c>
      <c r="BK10" s="17">
        <v>42543</v>
      </c>
      <c r="BL10" s="13">
        <v>13</v>
      </c>
      <c r="BM10" s="19">
        <v>42548</v>
      </c>
      <c r="BN10" s="13" t="s">
        <v>94</v>
      </c>
      <c r="BO10" s="13">
        <v>82</v>
      </c>
      <c r="BP10" s="20">
        <v>0.48137999999999997</v>
      </c>
      <c r="BQ10" s="13">
        <v>6.3119999999999996E-2</v>
      </c>
      <c r="BR10" s="13">
        <f t="shared" ref="BR10" si="132">10000*Y10/AE10</f>
        <v>170.11234288513049</v>
      </c>
      <c r="BS10" s="13">
        <f t="shared" ref="BS10" si="133">AE10/Y10</f>
        <v>58.78468211299969</v>
      </c>
      <c r="BT10" s="13">
        <f t="shared" ref="BT10" si="134">(X10-Y10)/X10*100</f>
        <v>62.981428393369065</v>
      </c>
      <c r="BU10" s="20">
        <f t="shared" ref="BU10" si="135">T10-SUM(U10,V10,W10,X10)</f>
        <v>2.8399999999999537E-3</v>
      </c>
    </row>
    <row r="11" spans="1:73" x14ac:dyDescent="0.25">
      <c r="A11" t="s">
        <v>135</v>
      </c>
      <c r="B11" s="27">
        <v>13</v>
      </c>
      <c r="C11" s="28" t="s">
        <v>136</v>
      </c>
      <c r="D11" s="27" t="s">
        <v>135</v>
      </c>
      <c r="E11" s="13">
        <v>1</v>
      </c>
      <c r="F11" s="13">
        <v>1</v>
      </c>
      <c r="G11" s="27" t="s">
        <v>137</v>
      </c>
      <c r="H11" s="13" t="s">
        <v>137</v>
      </c>
      <c r="I11" s="13">
        <v>-43.041910000000001</v>
      </c>
      <c r="J11" s="13">
        <v>147.95052999999999</v>
      </c>
      <c r="K11" s="13"/>
      <c r="L11" s="13"/>
      <c r="M11" s="27" t="s">
        <v>75</v>
      </c>
      <c r="N11" s="27" t="s">
        <v>87</v>
      </c>
      <c r="O11" s="27">
        <v>2</v>
      </c>
      <c r="P11" s="27">
        <v>272</v>
      </c>
      <c r="Q11" s="15" t="s">
        <v>138</v>
      </c>
      <c r="R11" s="15" t="s">
        <v>139</v>
      </c>
      <c r="S11" s="27">
        <v>150312</v>
      </c>
      <c r="T11" s="29">
        <v>0.70911999999999997</v>
      </c>
      <c r="U11" s="29">
        <v>6.2059999999999997E-2</v>
      </c>
      <c r="V11" s="29">
        <v>5.7660000000000003E-2</v>
      </c>
      <c r="W11" s="29">
        <v>6.6699999999999995E-2</v>
      </c>
      <c r="X11" s="29">
        <v>0.51866000000000001</v>
      </c>
      <c r="Y11" s="29">
        <v>0.2281</v>
      </c>
      <c r="Z11" s="15">
        <v>12.757</v>
      </c>
      <c r="AA11" s="27">
        <v>17.989902978339352</v>
      </c>
      <c r="AB11" s="27">
        <v>1.11645337883574</v>
      </c>
      <c r="AC11" s="27">
        <v>1.0372978057310471</v>
      </c>
      <c r="AD11" s="27">
        <v>1.1999265286552347</v>
      </c>
      <c r="AE11" s="27">
        <v>9.3306430787454886</v>
      </c>
      <c r="AF11" s="27">
        <v>2</v>
      </c>
      <c r="AG11" s="18">
        <f t="shared" ref="AG11" si="136">IF(AF11=1,(AB11*5),(IF(AF11=2,(AC11*5),(IF(AF11=3,(AD11*5),0)))))</f>
        <v>5.1864890286552354</v>
      </c>
      <c r="AH11" s="18">
        <v>5.2</v>
      </c>
      <c r="AI11" s="27">
        <v>0.14200147799999999</v>
      </c>
      <c r="AJ11" s="30"/>
      <c r="AK11" s="30"/>
      <c r="AL11" s="27"/>
      <c r="AM11" s="31">
        <v>42444</v>
      </c>
      <c r="AN11" s="10" t="s">
        <v>90</v>
      </c>
      <c r="AO11" s="31">
        <v>42446</v>
      </c>
      <c r="AP11" s="10" t="s">
        <v>91</v>
      </c>
      <c r="AQ11" s="31">
        <v>42485</v>
      </c>
      <c r="AR11" s="10" t="s">
        <v>92</v>
      </c>
      <c r="AS11" s="31">
        <v>42514</v>
      </c>
      <c r="AT11" s="10" t="s">
        <v>93</v>
      </c>
      <c r="AU11" s="27"/>
      <c r="AV11" s="13">
        <f t="shared" ref="AV11" si="137">AH11*0.5</f>
        <v>2.6</v>
      </c>
      <c r="AW11" s="27"/>
      <c r="AX11" s="32">
        <v>3.8564206652507824</v>
      </c>
      <c r="AY11" s="27">
        <v>2.9922738414087235</v>
      </c>
      <c r="AZ11" s="13">
        <v>750</v>
      </c>
      <c r="BA11" s="13">
        <f t="shared" ref="BA11" si="138">AX11*AZ11</f>
        <v>2892.3154989380869</v>
      </c>
      <c r="BB11" s="13">
        <f t="shared" ref="BB11" si="139">(BA11/1000)/(IF(AF11=1,(U11),(IF(AF11=2,(V11),(IF(AF11=3,(W11),0))))))</f>
        <v>50.161559121368136</v>
      </c>
      <c r="BC11" s="13">
        <f t="shared" ref="BC11" si="140">BB11*X11/Y11</f>
        <v>114.05872097276982</v>
      </c>
      <c r="BD11" s="13">
        <f t="shared" ref="BD11" si="141">(BA11*10)/(IF(AF11=1,(AB11),(IF(AF11=2,(AC11),(IF(AF11=3,(AD11),0))))))</f>
        <v>27883.173790189361</v>
      </c>
      <c r="BE11" s="13">
        <f t="shared" ref="BE11" si="142">100*AV11/BA11</f>
        <v>8.9893374389985792E-2</v>
      </c>
      <c r="BF11" s="13">
        <v>50</v>
      </c>
      <c r="BG11" s="13">
        <v>1</v>
      </c>
      <c r="BH11" s="18">
        <f t="shared" ref="BH11" si="143">BF11/AX11</f>
        <v>12.965390537017182</v>
      </c>
      <c r="BI11" s="31"/>
      <c r="BJ11" s="27"/>
      <c r="BK11" s="27"/>
      <c r="BL11" s="27"/>
      <c r="BM11" s="33"/>
      <c r="BN11" s="27"/>
      <c r="BO11" s="27"/>
      <c r="BP11" s="29">
        <v>0.51866000000000001</v>
      </c>
      <c r="BQ11" s="27">
        <v>0.15415999999999999</v>
      </c>
      <c r="BR11" s="13">
        <f t="shared" ref="BR11" si="144">10000*Y11/AE11</f>
        <v>244.46332163277668</v>
      </c>
      <c r="BS11" s="13">
        <f t="shared" ref="BS11" si="145">AE11/Y11</f>
        <v>40.905931954166981</v>
      </c>
      <c r="BT11" s="13">
        <f t="shared" ref="BT11" si="146">(X11-Y11)/X11*100</f>
        <v>56.021285620637805</v>
      </c>
      <c r="BU11" s="20">
        <f t="shared" ref="BU11" si="147">T11-SUM(U11,V11,W11,X11)</f>
        <v>4.0400000000000436E-3</v>
      </c>
    </row>
    <row r="12" spans="1:73" x14ac:dyDescent="0.25">
      <c r="A12" t="s">
        <v>140</v>
      </c>
      <c r="B12" s="13">
        <v>9</v>
      </c>
      <c r="C12" s="21" t="s">
        <v>141</v>
      </c>
      <c r="D12" s="13" t="s">
        <v>140</v>
      </c>
      <c r="E12" s="13">
        <v>0</v>
      </c>
      <c r="F12" s="13"/>
      <c r="G12" s="13" t="s">
        <v>137</v>
      </c>
      <c r="H12" s="13" t="s">
        <v>137</v>
      </c>
      <c r="I12" s="13">
        <v>-43.041910000000001</v>
      </c>
      <c r="J12" s="13">
        <v>147.95052999999999</v>
      </c>
      <c r="K12" s="13"/>
      <c r="L12" s="13"/>
      <c r="M12" s="13" t="s">
        <v>75</v>
      </c>
      <c r="N12" s="13" t="s">
        <v>106</v>
      </c>
      <c r="O12" s="13">
        <v>3</v>
      </c>
      <c r="P12" s="13">
        <v>273</v>
      </c>
      <c r="Q12" s="24" t="s">
        <v>138</v>
      </c>
      <c r="R12" s="24" t="s">
        <v>139</v>
      </c>
      <c r="S12" s="13">
        <v>150312</v>
      </c>
      <c r="T12" s="20">
        <v>0.43885999999999997</v>
      </c>
      <c r="U12" s="20">
        <v>8.7059999999999998E-2</v>
      </c>
      <c r="V12" s="20">
        <v>8.0479999999999996E-2</v>
      </c>
      <c r="W12" s="20">
        <v>6.7500000000000004E-2</v>
      </c>
      <c r="X12" s="20">
        <v>0.20047999999999999</v>
      </c>
      <c r="Y12" s="20">
        <v>0.10402</v>
      </c>
      <c r="Z12" s="13">
        <v>8.6479999999999997</v>
      </c>
      <c r="AA12" s="13">
        <f t="shared" ref="AA12" si="148">Z12/T12</f>
        <v>19.705600874994303</v>
      </c>
      <c r="AB12" s="13">
        <f t="shared" ref="AB12" si="149">AA12*U12</f>
        <v>1.7155696121770041</v>
      </c>
      <c r="AC12" s="13">
        <f t="shared" ref="AC12" si="150">AA12*V12</f>
        <v>1.5859067584195414</v>
      </c>
      <c r="AD12" s="13">
        <f t="shared" ref="AD12" si="151">AA12*W12</f>
        <v>1.3301280590621156</v>
      </c>
      <c r="AE12" s="13">
        <f t="shared" ref="AE12" si="152">AA12*BP12</f>
        <v>3.9505788634188579</v>
      </c>
      <c r="AF12" s="13">
        <v>1</v>
      </c>
      <c r="AG12" s="18">
        <f t="shared" ref="AG12" si="153">IF(AF12=1,(AB12*5),(IF(AF12=2,(AC12*5),(IF(AF12=3,(AD12*5),0)))))</f>
        <v>8.5778480608850209</v>
      </c>
      <c r="AH12" s="18">
        <v>8.6</v>
      </c>
      <c r="AI12" s="13">
        <v>0.35094775499999997</v>
      </c>
      <c r="AJ12" s="22"/>
      <c r="AK12" s="22"/>
      <c r="AL12" s="13"/>
      <c r="AM12" s="17">
        <v>42310</v>
      </c>
      <c r="AN12" s="23" t="s">
        <v>98</v>
      </c>
      <c r="AO12" s="17">
        <v>42313</v>
      </c>
      <c r="AP12" s="23" t="s">
        <v>99</v>
      </c>
      <c r="AQ12" s="17">
        <v>42314</v>
      </c>
      <c r="AR12" s="23" t="s">
        <v>100</v>
      </c>
      <c r="AS12" s="17">
        <v>42325</v>
      </c>
      <c r="AT12" s="23" t="s">
        <v>101</v>
      </c>
      <c r="AU12" s="13"/>
      <c r="AV12" s="13">
        <f t="shared" ref="AV12" si="154">AH12*0.5</f>
        <v>4.3</v>
      </c>
      <c r="AW12" s="13"/>
      <c r="AX12" s="18">
        <v>2.5656892089535077</v>
      </c>
      <c r="AY12" s="13">
        <v>3.6693608777173923</v>
      </c>
      <c r="AZ12" s="13">
        <v>750</v>
      </c>
      <c r="BA12" s="13">
        <f t="shared" ref="BA12" si="155">AX12*AZ12</f>
        <v>1924.2669067151307</v>
      </c>
      <c r="BB12" s="13">
        <f t="shared" ref="BB12" si="156">(BA12/1000)/(IF(AF12=1,(U12),(IF(AF12=2,(V12),(IF(AF12=3,(W12),0))))))</f>
        <v>22.102767134334147</v>
      </c>
      <c r="BC12" s="13">
        <f t="shared" ref="BC12" si="157">BB12*X12/Y12</f>
        <v>42.59914204087012</v>
      </c>
      <c r="BD12" s="13">
        <f t="shared" ref="BD12" si="158">(BA12*10)/(IF(AF12=1,(AB12),(IF(AF12=2,(AC12),(IF(AF12=3,(AD12),0))))))</f>
        <v>11216.489806399031</v>
      </c>
      <c r="BE12" s="13">
        <f t="shared" ref="BE12" si="159">100*AV12/BA12</f>
        <v>0.22346172378656273</v>
      </c>
      <c r="BF12" s="13">
        <v>50</v>
      </c>
      <c r="BG12" s="13">
        <v>1</v>
      </c>
      <c r="BH12" s="18">
        <f t="shared" ref="BH12" si="160">BF12/AX12</f>
        <v>19.487941027897911</v>
      </c>
      <c r="BI12" s="17">
        <v>42521</v>
      </c>
      <c r="BJ12" s="13">
        <v>13</v>
      </c>
      <c r="BK12" s="17">
        <v>42543</v>
      </c>
      <c r="BL12" s="13">
        <v>14</v>
      </c>
      <c r="BM12" s="19">
        <v>42548</v>
      </c>
      <c r="BN12" s="13" t="s">
        <v>94</v>
      </c>
      <c r="BO12" s="13">
        <v>85</v>
      </c>
      <c r="BP12" s="20">
        <v>0.20047999999999999</v>
      </c>
      <c r="BQ12" s="13">
        <v>0.1656</v>
      </c>
      <c r="BR12" s="13">
        <f t="shared" ref="BR12" si="161">10000*Y12/AE12</f>
        <v>263.30318567537819</v>
      </c>
      <c r="BS12" s="13">
        <f t="shared" ref="BS12" si="162">AE12/Y12</f>
        <v>37.979031565264926</v>
      </c>
      <c r="BT12" s="13">
        <f t="shared" ref="BT12" si="163">(X12-Y12)/X12*100</f>
        <v>48.114525139664806</v>
      </c>
      <c r="BU12" s="20">
        <f t="shared" ref="BU12" si="164">T12-SUM(U12,V12,W12,X12)</f>
        <v>3.3399999999999541E-3</v>
      </c>
    </row>
    <row r="13" spans="1:73" x14ac:dyDescent="0.25">
      <c r="A13" t="s">
        <v>142</v>
      </c>
      <c r="B13" s="13">
        <v>8</v>
      </c>
      <c r="C13" s="34" t="s">
        <v>143</v>
      </c>
      <c r="D13" s="22" t="s">
        <v>142</v>
      </c>
      <c r="E13" s="13">
        <v>0</v>
      </c>
      <c r="F13" s="13"/>
      <c r="G13" s="22" t="s">
        <v>144</v>
      </c>
      <c r="H13" s="13" t="s">
        <v>144</v>
      </c>
      <c r="I13" s="13">
        <v>-32.782440000000001</v>
      </c>
      <c r="J13" s="13">
        <v>150.92318</v>
      </c>
      <c r="K13" s="13"/>
      <c r="L13" s="13"/>
      <c r="M13" s="13" t="s">
        <v>75</v>
      </c>
      <c r="N13" s="22" t="s">
        <v>106</v>
      </c>
      <c r="O13" s="22">
        <v>2</v>
      </c>
      <c r="P13" s="22">
        <v>112</v>
      </c>
      <c r="Q13" s="22" t="s">
        <v>145</v>
      </c>
      <c r="R13" s="22" t="s">
        <v>146</v>
      </c>
      <c r="S13" s="22">
        <v>140607</v>
      </c>
      <c r="T13" s="26">
        <v>0.56274000000000002</v>
      </c>
      <c r="U13" s="26">
        <v>9.1560000000000002E-2</v>
      </c>
      <c r="V13" s="26">
        <v>7.3400000000000007E-2</v>
      </c>
      <c r="W13" s="26">
        <v>7.1040000000000006E-2</v>
      </c>
      <c r="X13" s="26">
        <v>0.31681999999999999</v>
      </c>
      <c r="Y13" s="26">
        <v>0.17005999999999999</v>
      </c>
      <c r="Z13" s="13">
        <v>11.151999999999999</v>
      </c>
      <c r="AA13" s="13">
        <f t="shared" ref="AA13" si="165">Z13/T13</f>
        <v>19.817322386892702</v>
      </c>
      <c r="AB13" s="13">
        <f t="shared" ref="AB13" si="166">AA13*U13</f>
        <v>1.8144740377438959</v>
      </c>
      <c r="AC13" s="13">
        <f t="shared" ref="AC13" si="167">AA13*V13</f>
        <v>1.4545914631979244</v>
      </c>
      <c r="AD13" s="13">
        <f t="shared" ref="AD13" si="168">AA13*W13</f>
        <v>1.4078225823648576</v>
      </c>
      <c r="AE13" s="13">
        <f t="shared" ref="AE13" si="169">AA13*BP13</f>
        <v>6.2785240786153453</v>
      </c>
      <c r="AF13" s="13">
        <v>2</v>
      </c>
      <c r="AG13" s="18">
        <f t="shared" ref="AG13" si="170">IF(AF13=1,(AB13*5),(IF(AF13=2,(AC13*5),(IF(AF13=3,(AD13*5),0)))))</f>
        <v>7.2729573159896219</v>
      </c>
      <c r="AH13" s="18">
        <v>7.3</v>
      </c>
      <c r="AI13" s="13">
        <v>0.312030482</v>
      </c>
      <c r="AJ13" s="22" t="s">
        <v>147</v>
      </c>
      <c r="AK13" s="22" t="s">
        <v>148</v>
      </c>
      <c r="AL13" s="13"/>
      <c r="AM13" s="17">
        <v>42276</v>
      </c>
      <c r="AN13" s="23" t="s">
        <v>149</v>
      </c>
      <c r="AO13" s="17">
        <v>42277</v>
      </c>
      <c r="AP13" s="23" t="s">
        <v>150</v>
      </c>
      <c r="AQ13" s="17">
        <v>42290</v>
      </c>
      <c r="AR13" s="23" t="s">
        <v>151</v>
      </c>
      <c r="AS13" s="17">
        <v>42324</v>
      </c>
      <c r="AT13" s="23" t="s">
        <v>109</v>
      </c>
      <c r="AU13" s="13"/>
      <c r="AV13" s="13">
        <f t="shared" ref="AV13" si="171">AH13*0.5</f>
        <v>3.65</v>
      </c>
      <c r="AW13" s="13"/>
      <c r="AX13" s="18">
        <v>2.7062988094506775</v>
      </c>
      <c r="AY13" s="13">
        <v>5.7470729640765672</v>
      </c>
      <c r="AZ13" s="13">
        <v>750</v>
      </c>
      <c r="BA13" s="13">
        <f t="shared" ref="BA13" si="172">AX13*AZ13</f>
        <v>2029.7241070880082</v>
      </c>
      <c r="BB13" s="13">
        <f t="shared" ref="BB13" si="173">(BA13/1000)/(IF(AF13=1,(U13),(IF(AF13=2,(V13),(IF(AF13=3,(W13),0))))))</f>
        <v>27.652916990299836</v>
      </c>
      <c r="BC13" s="13">
        <f t="shared" ref="BC13" si="174">BB13*X13/Y13</f>
        <v>51.517094912776635</v>
      </c>
      <c r="BD13" s="13">
        <f t="shared" ref="BD13" si="175">(BA13*10)/(IF(AF13=1,(AB13),(IF(AF13=2,(AC13),(IF(AF13=3,(AD13),0))))))</f>
        <v>13953.911860761596</v>
      </c>
      <c r="BE13" s="13">
        <f t="shared" ref="BE13" si="176">100*AV13/BA13</f>
        <v>0.17982739561765165</v>
      </c>
      <c r="BF13" s="13">
        <v>50</v>
      </c>
      <c r="BG13" s="13">
        <v>1</v>
      </c>
      <c r="BH13" s="18">
        <f t="shared" ref="BH13" si="177">BF13/AX13</f>
        <v>18.475417357977911</v>
      </c>
      <c r="BI13" s="17">
        <v>42521</v>
      </c>
      <c r="BJ13" s="13">
        <v>13</v>
      </c>
      <c r="BK13" s="17">
        <v>42543</v>
      </c>
      <c r="BL13" s="13">
        <v>13</v>
      </c>
      <c r="BM13" s="19">
        <v>42548</v>
      </c>
      <c r="BN13" s="13" t="s">
        <v>94</v>
      </c>
      <c r="BO13" s="13">
        <v>83</v>
      </c>
      <c r="BP13" s="26">
        <v>0.31681999999999999</v>
      </c>
      <c r="BQ13" s="24">
        <v>0.27926000000000001</v>
      </c>
      <c r="BR13" s="13">
        <f t="shared" ref="BR13" si="178">10000*Y13/AE13</f>
        <v>270.85983564071114</v>
      </c>
      <c r="BS13" s="13">
        <f t="shared" ref="BS13" si="179">AE13/Y13</f>
        <v>36.919464180967573</v>
      </c>
      <c r="BT13" s="13">
        <f t="shared" ref="BT13" si="180">(X13-Y13)/X13*100</f>
        <v>46.322833154472576</v>
      </c>
      <c r="BU13" s="20">
        <f t="shared" ref="BU13" si="181">T13-SUM(U13,V13,W13,X13)</f>
        <v>9.9200000000000399E-3</v>
      </c>
    </row>
    <row r="14" spans="1:73" x14ac:dyDescent="0.25">
      <c r="A14" s="39" t="s">
        <v>152</v>
      </c>
      <c r="B14" s="13">
        <v>15</v>
      </c>
      <c r="C14" s="35" t="s">
        <v>153</v>
      </c>
      <c r="D14" s="22" t="s">
        <v>152</v>
      </c>
      <c r="E14" s="13">
        <v>0</v>
      </c>
      <c r="F14" s="13"/>
      <c r="G14" s="22" t="s">
        <v>154</v>
      </c>
      <c r="H14" s="13" t="s">
        <v>154</v>
      </c>
      <c r="I14" s="13">
        <v>-32.782440000000001</v>
      </c>
      <c r="J14" s="13">
        <v>150.92318</v>
      </c>
      <c r="K14" s="13"/>
      <c r="L14" s="13"/>
      <c r="M14" s="13" t="s">
        <v>75</v>
      </c>
      <c r="N14" s="22" t="s">
        <v>76</v>
      </c>
      <c r="O14" s="22">
        <v>3</v>
      </c>
      <c r="P14" s="22">
        <v>120</v>
      </c>
      <c r="Q14" s="22" t="s">
        <v>145</v>
      </c>
      <c r="R14" s="22" t="s">
        <v>146</v>
      </c>
      <c r="S14" s="22">
        <v>140608</v>
      </c>
      <c r="T14" s="26">
        <v>0.69886000000000004</v>
      </c>
      <c r="U14" s="26">
        <v>9.0560000000000002E-2</v>
      </c>
      <c r="V14" s="26">
        <v>7.288E-2</v>
      </c>
      <c r="W14" s="26">
        <v>7.6280000000000001E-2</v>
      </c>
      <c r="X14" s="26">
        <v>0.44563999999999998</v>
      </c>
      <c r="Y14" s="26">
        <v>0.2049</v>
      </c>
      <c r="Z14" s="13">
        <v>16.536000000000001</v>
      </c>
      <c r="AA14" s="13">
        <f t="shared" ref="AA14" si="182">Z14/T14</f>
        <v>23.661391408865867</v>
      </c>
      <c r="AB14" s="13">
        <f t="shared" ref="AB14" si="183">AA14*U14</f>
        <v>2.142775605986893</v>
      </c>
      <c r="AC14" s="13">
        <f t="shared" ref="AC14" si="184">AA14*V14</f>
        <v>1.7244422058781443</v>
      </c>
      <c r="AD14" s="13">
        <f t="shared" ref="AD14" si="185">AA14*W14</f>
        <v>1.8048909366682884</v>
      </c>
      <c r="AE14" s="13">
        <f t="shared" ref="AE14" si="186">AA14*BP14</f>
        <v>10.544462467446985</v>
      </c>
      <c r="AF14" s="13">
        <v>2</v>
      </c>
      <c r="AG14" s="18">
        <f t="shared" ref="AG14" si="187">IF(AF14=1,(AB14*5),(IF(AF14=2,(AC14*5),(IF(AF14=3,(AD14*5),0)))))</f>
        <v>8.622211029390721</v>
      </c>
      <c r="AH14" s="18">
        <v>8.6</v>
      </c>
      <c r="AI14" s="13">
        <v>0.349641229</v>
      </c>
      <c r="AJ14" s="22" t="s">
        <v>155</v>
      </c>
      <c r="AK14" s="22" t="s">
        <v>155</v>
      </c>
      <c r="AL14" s="13"/>
      <c r="AM14" s="17">
        <v>42416</v>
      </c>
      <c r="AN14" s="13" t="s">
        <v>156</v>
      </c>
      <c r="AO14" s="17">
        <v>42418</v>
      </c>
      <c r="AP14" s="13" t="s">
        <v>157</v>
      </c>
      <c r="AQ14" s="17">
        <v>42426</v>
      </c>
      <c r="AR14" s="13" t="s">
        <v>158</v>
      </c>
      <c r="AS14" s="17">
        <v>42437</v>
      </c>
      <c r="AT14" s="13" t="s">
        <v>159</v>
      </c>
      <c r="AU14" s="13"/>
      <c r="AV14" s="13">
        <f t="shared" ref="AV14" si="188">AH14*0.5</f>
        <v>4.3</v>
      </c>
      <c r="AW14" s="13"/>
      <c r="AX14" s="18">
        <v>7.2099691537264912</v>
      </c>
      <c r="AY14" s="13">
        <v>1.1323241657370264</v>
      </c>
      <c r="AZ14" s="13">
        <v>750</v>
      </c>
      <c r="BA14" s="13">
        <f t="shared" ref="BA14" si="189">AX14*AZ14</f>
        <v>5407.4768652948687</v>
      </c>
      <c r="BB14" s="13">
        <f t="shared" ref="BB14" si="190">(BA14/1000)/(IF(AF14=1,(U14),(IF(AF14=2,(V14),(IF(AF14=3,(W14),0))))))</f>
        <v>74.196993212059112</v>
      </c>
      <c r="BC14" s="13">
        <f t="shared" ref="BC14" si="191">BB14*X14/Y14</f>
        <v>161.37212325535393</v>
      </c>
      <c r="BD14" s="13">
        <f t="shared" ref="BD14" si="192">(BA14*10)/(IF(AF14=1,(AB14),(IF(AF14=2,(AC14),(IF(AF14=3,(AD14),0))))))</f>
        <v>31357.831807075254</v>
      </c>
      <c r="BE14" s="13">
        <f t="shared" ref="BE14" si="193">100*AV14/BA14</f>
        <v>7.951952652072089E-2</v>
      </c>
      <c r="BF14" s="13">
        <v>50</v>
      </c>
      <c r="BG14" s="13">
        <v>1</v>
      </c>
      <c r="BH14" s="18">
        <f t="shared" ref="BH14" si="194">BF14/AX14</f>
        <v>6.9348424291326367</v>
      </c>
      <c r="BI14" s="17">
        <v>42521</v>
      </c>
      <c r="BJ14" s="13">
        <v>14</v>
      </c>
      <c r="BK14" s="17">
        <v>42543</v>
      </c>
      <c r="BL14" s="13">
        <v>14</v>
      </c>
      <c r="BM14" s="19">
        <v>42548</v>
      </c>
      <c r="BN14" s="13" t="s">
        <v>94</v>
      </c>
      <c r="BO14" s="13">
        <v>86</v>
      </c>
      <c r="BP14" s="26">
        <v>0.44563999999999998</v>
      </c>
      <c r="BQ14" s="24">
        <v>0.70609999999999995</v>
      </c>
      <c r="BR14" s="13">
        <f t="shared" ref="BR14" si="195">10000*Y14/AE14</f>
        <v>194.32000505722334</v>
      </c>
    </row>
    <row r="15" spans="1:73" x14ac:dyDescent="0.25">
      <c r="A15" s="37" t="s">
        <v>160</v>
      </c>
      <c r="B15" s="13">
        <v>7</v>
      </c>
      <c r="C15" s="25" t="s">
        <v>161</v>
      </c>
      <c r="D15" s="22" t="s">
        <v>160</v>
      </c>
      <c r="E15" s="13">
        <v>0</v>
      </c>
      <c r="F15" s="13"/>
      <c r="G15" s="22" t="s">
        <v>162</v>
      </c>
      <c r="H15" s="13" t="s">
        <v>162</v>
      </c>
      <c r="I15" s="13">
        <v>-33.045000000000002</v>
      </c>
      <c r="J15" s="13">
        <v>150.68325999999999</v>
      </c>
      <c r="K15" s="13"/>
      <c r="L15" s="13"/>
      <c r="M15" s="13" t="s">
        <v>75</v>
      </c>
      <c r="N15" s="22" t="s">
        <v>87</v>
      </c>
      <c r="O15" s="22">
        <v>3</v>
      </c>
      <c r="P15" s="22">
        <v>156</v>
      </c>
      <c r="Q15" s="22" t="s">
        <v>163</v>
      </c>
      <c r="R15" s="22" t="s">
        <v>164</v>
      </c>
      <c r="S15" s="22">
        <v>140623</v>
      </c>
      <c r="T15" s="26">
        <v>1.6409199999999999</v>
      </c>
      <c r="U15" s="26">
        <v>8.7419999999999998E-2</v>
      </c>
      <c r="V15" s="26">
        <v>9.35E-2</v>
      </c>
      <c r="W15" s="26">
        <v>6.3920000000000005E-2</v>
      </c>
      <c r="X15" s="26">
        <v>1.3876200000000001</v>
      </c>
      <c r="Y15" s="26">
        <v>0.76985999999999999</v>
      </c>
      <c r="Z15" s="36">
        <v>28.962</v>
      </c>
      <c r="AA15" s="13">
        <f t="shared" ref="AA15" si="196">Z15/T15</f>
        <v>17.649854959413013</v>
      </c>
      <c r="AB15" s="13">
        <f t="shared" ref="AB15" si="197">AA15*U15</f>
        <v>1.5429503205518855</v>
      </c>
      <c r="AC15" s="13">
        <f t="shared" ref="AC15" si="198">AA15*V15</f>
        <v>1.6502614387051167</v>
      </c>
      <c r="AD15" s="13">
        <f t="shared" ref="AD15" si="199">AA15*W15</f>
        <v>1.1281787290056799</v>
      </c>
      <c r="AE15" s="13">
        <f t="shared" ref="AE15" si="200">AA15*BP15</f>
        <v>24.491291738780685</v>
      </c>
      <c r="AF15" s="13">
        <v>2</v>
      </c>
      <c r="AG15" s="18">
        <f t="shared" ref="AG15" si="201">IF(AF15=1,(AB15*5),(IF(AF15=2,(AC15*5),(IF(AF15=3,(AD15*5),0)))))</f>
        <v>8.2513071935255837</v>
      </c>
      <c r="AH15" s="18">
        <v>8.3000000000000007</v>
      </c>
      <c r="AI15" s="13">
        <v>3.9665745000000002E-2</v>
      </c>
      <c r="AJ15" s="13"/>
      <c r="AK15" s="13"/>
      <c r="AL15" s="13"/>
      <c r="AM15" s="17">
        <v>42261</v>
      </c>
      <c r="AN15" s="23" t="s">
        <v>165</v>
      </c>
      <c r="AO15" s="17">
        <v>42262</v>
      </c>
      <c r="AP15" s="23" t="s">
        <v>166</v>
      </c>
      <c r="AQ15" s="17">
        <v>42290</v>
      </c>
      <c r="AR15" s="23" t="s">
        <v>151</v>
      </c>
      <c r="AS15" s="17">
        <v>42324</v>
      </c>
      <c r="AT15" s="23" t="s">
        <v>109</v>
      </c>
      <c r="AU15" s="13"/>
      <c r="AV15" s="13">
        <f t="shared" ref="AV15" si="202">AH15*0.5</f>
        <v>4.1500000000000004</v>
      </c>
      <c r="AW15" s="13"/>
      <c r="AX15" s="18">
        <v>3.922173430383566</v>
      </c>
      <c r="AY15" s="13">
        <v>5.0175129160030671</v>
      </c>
      <c r="AZ15" s="13">
        <v>750</v>
      </c>
      <c r="BA15" s="13">
        <f t="shared" ref="BA15" si="203">AX15*AZ15</f>
        <v>2941.6300727876746</v>
      </c>
      <c r="BB15" s="13">
        <f t="shared" ref="BB15" si="204">(BA15/1000)/(IF(AF15=1,(U15),(IF(AF15=2,(V15),(IF(AF15=3,(W15),0))))))</f>
        <v>31.461284200937694</v>
      </c>
      <c r="BC15" s="13">
        <f t="shared" ref="BC15" si="205">BB15*X15/Y15</f>
        <v>56.706813164608064</v>
      </c>
      <c r="BD15" s="13">
        <f t="shared" ref="BD15" si="206">(BA15*10)/(IF(AF15=1,(AB15),(IF(AF15=2,(AC15),(IF(AF15=3,(AD15),0))))))</f>
        <v>17825.236679442954</v>
      </c>
      <c r="BE15" s="13">
        <f t="shared" ref="BE15" si="207">100*AV15/BA15</f>
        <v>0.14107824224366861</v>
      </c>
      <c r="BF15" s="13">
        <v>50</v>
      </c>
      <c r="BG15" s="13">
        <v>1</v>
      </c>
      <c r="BH15" s="18">
        <f t="shared" ref="BH15" si="208">BF15/AX15</f>
        <v>12.748033937680896</v>
      </c>
      <c r="BI15" s="17">
        <v>42506</v>
      </c>
      <c r="BJ15" s="13">
        <v>2</v>
      </c>
      <c r="BK15" s="17">
        <v>42527</v>
      </c>
      <c r="BL15" s="13">
        <v>2</v>
      </c>
      <c r="BM15" s="19"/>
      <c r="BN15" s="13"/>
      <c r="BO15" s="13"/>
      <c r="BP15" s="26">
        <v>1.3876200000000001</v>
      </c>
      <c r="BQ15" s="24">
        <v>0.91949999999999998</v>
      </c>
      <c r="BR15" s="13">
        <f t="shared" ref="BR15" si="209">10000*Y15/AE15</f>
        <v>314.34030030395121</v>
      </c>
      <c r="BS15" s="13">
        <f t="shared" ref="BS15" si="210">AE15/Y15</f>
        <v>31.812656507391843</v>
      </c>
      <c r="BT15" s="13">
        <f t="shared" ref="BT15" si="211">(X15-Y15)/X15*100</f>
        <v>44.519392917369309</v>
      </c>
      <c r="BU15" s="20">
        <f t="shared" ref="BU15" si="212">T15-SUM(U15,V15,W15,X15)</f>
        <v>8.459999999999912E-3</v>
      </c>
    </row>
    <row r="18" spans="1:2" x14ac:dyDescent="0.25">
      <c r="A18" t="s">
        <v>167</v>
      </c>
    </row>
    <row r="19" spans="1:2" x14ac:dyDescent="0.25">
      <c r="A19" s="37"/>
      <c r="B19" t="s">
        <v>168</v>
      </c>
    </row>
    <row r="20" spans="1:2" x14ac:dyDescent="0.25">
      <c r="A20" s="38"/>
      <c r="B20" t="s">
        <v>169</v>
      </c>
    </row>
    <row r="21" spans="1:2" x14ac:dyDescent="0.25">
      <c r="A21" s="39"/>
      <c r="B21" t="s">
        <v>170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Science</dc:creator>
  <cp:lastModifiedBy>Faculty of Science</cp:lastModifiedBy>
  <dcterms:created xsi:type="dcterms:W3CDTF">2017-01-19T02:58:57Z</dcterms:created>
  <dcterms:modified xsi:type="dcterms:W3CDTF">2017-01-19T03:22:40Z</dcterms:modified>
</cp:coreProperties>
</file>