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Documents\COVID_vaccination_data\"/>
    </mc:Choice>
  </mc:AlternateContent>
  <bookViews>
    <workbookView xWindow="0" yWindow="0" windowWidth="23040" windowHeight="8616"/>
  </bookViews>
  <sheets>
    <sheet name="Vaccine Distribution" sheetId="1" r:id="rId1"/>
    <sheet name="Dose Allocations"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R13" i="1" l="1"/>
  <c r="R12" i="1"/>
  <c r="E13" i="2"/>
  <c r="L35" i="1"/>
  <c r="K35" i="1"/>
  <c r="J35" i="1"/>
  <c r="H35" i="1"/>
  <c r="F35" i="1"/>
  <c r="D35" i="1"/>
  <c r="I35" i="1"/>
  <c r="E35" i="1"/>
  <c r="L34" i="1" l="1"/>
  <c r="K34" i="1"/>
  <c r="J34" i="1"/>
  <c r="H34" i="1"/>
  <c r="F34" i="1"/>
  <c r="D34" i="1"/>
  <c r="I34" i="1"/>
  <c r="E34" i="1"/>
  <c r="L33" i="1" l="1"/>
  <c r="K33" i="1"/>
  <c r="J33" i="1"/>
  <c r="H33" i="1"/>
  <c r="F33" i="1"/>
  <c r="D33" i="1"/>
  <c r="I33" i="1"/>
  <c r="E33" i="1"/>
  <c r="L32" i="1" l="1"/>
  <c r="K32" i="1"/>
  <c r="J32" i="1"/>
  <c r="H32" i="1"/>
  <c r="D32" i="1"/>
  <c r="I32" i="1"/>
  <c r="E32" i="1"/>
  <c r="F32" i="1" l="1"/>
  <c r="F13" i="2"/>
  <c r="H31" i="1"/>
  <c r="D31" i="1"/>
  <c r="I31" i="1"/>
  <c r="E31" i="1"/>
  <c r="H30" i="1" l="1"/>
  <c r="D30" i="1"/>
  <c r="I30" i="1"/>
  <c r="J31" i="1" s="1"/>
  <c r="E30" i="1"/>
  <c r="F31" i="1" s="1"/>
  <c r="K31" i="1" s="1"/>
  <c r="L31" i="1" l="1"/>
  <c r="F30" i="1"/>
  <c r="H29" i="1"/>
  <c r="D29" i="1"/>
  <c r="I29" i="1"/>
  <c r="J30" i="1" s="1"/>
  <c r="L30" i="1" s="1"/>
  <c r="E29" i="1"/>
  <c r="K30" i="1" l="1"/>
  <c r="H28" i="1"/>
  <c r="D28" i="1"/>
  <c r="I28" i="1"/>
  <c r="J29" i="1" s="1"/>
  <c r="L29" i="1" s="1"/>
  <c r="E28" i="1"/>
  <c r="F29" i="1" s="1"/>
  <c r="K29" i="1" l="1"/>
  <c r="H27" i="1"/>
  <c r="D27" i="1"/>
  <c r="I27" i="1"/>
  <c r="E27" i="1"/>
  <c r="J28" i="1" l="1"/>
  <c r="F28" i="1"/>
  <c r="K28" i="1" s="1"/>
  <c r="H26" i="1"/>
  <c r="D26" i="1"/>
  <c r="I26" i="1"/>
  <c r="J27" i="1" s="1"/>
  <c r="E26" i="1"/>
  <c r="F27" i="1" s="1"/>
  <c r="L28" i="1" l="1"/>
  <c r="L27" i="1"/>
  <c r="K27" i="1"/>
  <c r="F4" i="2"/>
  <c r="F5" i="2"/>
  <c r="F6" i="2"/>
  <c r="F7" i="2"/>
  <c r="F8" i="2"/>
  <c r="F9" i="2"/>
  <c r="F10" i="2"/>
  <c r="F11" i="2"/>
  <c r="F12" i="2"/>
  <c r="F3" i="2"/>
  <c r="E3" i="2"/>
  <c r="E4" i="2"/>
  <c r="E5" i="2"/>
  <c r="E6" i="2"/>
  <c r="E7" i="2"/>
  <c r="E8" i="2"/>
  <c r="E9" i="2"/>
  <c r="E10" i="2"/>
  <c r="E11" i="2"/>
  <c r="E12" i="2"/>
  <c r="E2" i="2"/>
  <c r="H25" i="1" l="1"/>
  <c r="D25" i="1"/>
  <c r="I25" i="1"/>
  <c r="J26" i="1" s="1"/>
  <c r="E25" i="1"/>
  <c r="F26" i="1" s="1"/>
  <c r="K26" i="1" l="1"/>
  <c r="L26" i="1"/>
  <c r="R15" i="1"/>
  <c r="R10" i="1"/>
  <c r="R11" i="1" s="1"/>
  <c r="H24" i="1"/>
  <c r="D24" i="1"/>
  <c r="I24" i="1"/>
  <c r="J25" i="1" s="1"/>
  <c r="E24" i="1"/>
  <c r="F25" i="1" s="1"/>
  <c r="K25" i="1" s="1"/>
  <c r="L25" i="1" l="1"/>
  <c r="F24" i="1"/>
  <c r="K24" i="1" s="1"/>
  <c r="R3" i="1"/>
  <c r="H23" i="1"/>
  <c r="D23" i="1"/>
  <c r="I23" i="1"/>
  <c r="J24" i="1" s="1"/>
  <c r="E23" i="1"/>
  <c r="L24" i="1" l="1"/>
  <c r="H22" i="1"/>
  <c r="D22" i="1"/>
  <c r="I22" i="1"/>
  <c r="J23" i="1" s="1"/>
  <c r="E22" i="1"/>
  <c r="F23" i="1" s="1"/>
  <c r="L23" i="1" l="1"/>
  <c r="K23" i="1"/>
  <c r="H21" i="1"/>
  <c r="D21" i="1"/>
  <c r="I21" i="1"/>
  <c r="J22" i="1" s="1"/>
  <c r="E21" i="1"/>
  <c r="F22" i="1" s="1"/>
  <c r="L22" i="1" l="1"/>
  <c r="K22" i="1"/>
  <c r="H20" i="1"/>
  <c r="D20" i="1"/>
  <c r="I20" i="1"/>
  <c r="E20" i="1"/>
  <c r="F21" i="1" s="1"/>
  <c r="J21" i="1" l="1"/>
  <c r="L21" i="1" s="1"/>
  <c r="H19" i="1"/>
  <c r="D19" i="1"/>
  <c r="I19" i="1"/>
  <c r="J20" i="1" s="1"/>
  <c r="E19" i="1"/>
  <c r="F20" i="1" s="1"/>
  <c r="K20" i="1" l="1"/>
  <c r="L20" i="1"/>
  <c r="K21" i="1"/>
  <c r="H18" i="1"/>
  <c r="D18" i="1"/>
  <c r="I18" i="1"/>
  <c r="J19" i="1" s="1"/>
  <c r="E18" i="1"/>
  <c r="F19" i="1" l="1"/>
  <c r="K19" i="1" s="1"/>
  <c r="H17" i="1"/>
  <c r="D17" i="1"/>
  <c r="I17" i="1"/>
  <c r="J18" i="1" s="1"/>
  <c r="E17" i="1"/>
  <c r="F18" i="1" s="1"/>
  <c r="K18" i="1" l="1"/>
  <c r="L19" i="1"/>
  <c r="L18" i="1"/>
  <c r="H16" i="1"/>
  <c r="D16" i="1"/>
  <c r="I16" i="1"/>
  <c r="J17" i="1" s="1"/>
  <c r="E16" i="1"/>
  <c r="F17" i="1" s="1"/>
  <c r="K17" i="1" l="1"/>
  <c r="L17" i="1"/>
  <c r="H15" i="1"/>
  <c r="D15" i="1"/>
  <c r="I15" i="1"/>
  <c r="E15" i="1"/>
  <c r="F16" i="1" l="1"/>
  <c r="J16" i="1"/>
  <c r="H14" i="1"/>
  <c r="D14" i="1"/>
  <c r="I14" i="1"/>
  <c r="J15" i="1" s="1"/>
  <c r="E14" i="1"/>
  <c r="F15" i="1" s="1"/>
  <c r="K15" i="1" s="1"/>
  <c r="L16" i="1" l="1"/>
  <c r="L15" i="1"/>
  <c r="K16" i="1"/>
  <c r="H13" i="1"/>
  <c r="D13" i="1"/>
  <c r="I13" i="1"/>
  <c r="J14" i="1" s="1"/>
  <c r="E13" i="1"/>
  <c r="F14" i="1" s="1"/>
  <c r="L14" i="1" l="1"/>
  <c r="K14" i="1"/>
  <c r="H12" i="1"/>
  <c r="D12" i="1"/>
  <c r="I12" i="1"/>
  <c r="J13" i="1" s="1"/>
  <c r="E12" i="1"/>
  <c r="F13" i="1" s="1"/>
  <c r="L13" i="1" l="1"/>
  <c r="K13" i="1"/>
  <c r="H11" i="1"/>
  <c r="D11" i="1"/>
  <c r="I11" i="1"/>
  <c r="J12" i="1" s="1"/>
  <c r="E11" i="1"/>
  <c r="F12" i="1" s="1"/>
  <c r="L12" i="1" l="1"/>
  <c r="K12" i="1"/>
  <c r="H10" i="1"/>
  <c r="D10" i="1"/>
  <c r="I10" i="1"/>
  <c r="J11" i="1" s="1"/>
  <c r="E10" i="1"/>
  <c r="F11" i="1" s="1"/>
  <c r="L11" i="1" l="1"/>
  <c r="K11" i="1"/>
  <c r="H9" i="1"/>
  <c r="D9" i="1"/>
  <c r="I9" i="1"/>
  <c r="J10" i="1" s="1"/>
  <c r="E9" i="1"/>
  <c r="F10" i="1" s="1"/>
  <c r="L10" i="1" l="1"/>
  <c r="K10" i="1"/>
  <c r="H8" i="1"/>
  <c r="D8" i="1"/>
  <c r="I8" i="1"/>
  <c r="J9" i="1" s="1"/>
  <c r="E8" i="1"/>
  <c r="F9" i="1" s="1"/>
  <c r="L9" i="1" l="1"/>
  <c r="K9" i="1"/>
  <c r="H7" i="1"/>
  <c r="D7" i="1"/>
  <c r="I7" i="1"/>
  <c r="J8" i="1" s="1"/>
  <c r="E7" i="1"/>
  <c r="F8" i="1" s="1"/>
  <c r="K8" i="1" s="1"/>
  <c r="L8" i="1" l="1"/>
  <c r="H6" i="1"/>
  <c r="D6" i="1"/>
  <c r="I6" i="1"/>
  <c r="J7" i="1" s="1"/>
  <c r="E6" i="1"/>
  <c r="F7" i="1" s="1"/>
  <c r="L7" i="1" l="1"/>
  <c r="K7" i="1"/>
  <c r="I5" i="1" l="1"/>
  <c r="J6" i="1" s="1"/>
  <c r="H5" i="1"/>
  <c r="E5" i="1"/>
  <c r="F6" i="1" s="1"/>
  <c r="D5" i="1"/>
  <c r="K6" i="1" l="1"/>
  <c r="L6" i="1"/>
  <c r="I4" i="1"/>
  <c r="J5" i="1" s="1"/>
  <c r="H4" i="1"/>
  <c r="E4" i="1"/>
  <c r="F5" i="1" s="1"/>
  <c r="D4" i="1"/>
  <c r="L5" i="1" l="1"/>
  <c r="K5" i="1"/>
  <c r="R16" i="1"/>
  <c r="R4" i="1" l="1"/>
  <c r="I3" i="1"/>
  <c r="H3" i="1"/>
  <c r="E3" i="1"/>
  <c r="D3" i="1"/>
  <c r="I2" i="1"/>
  <c r="E2" i="1"/>
  <c r="F3" i="1" l="1"/>
  <c r="F4" i="1"/>
  <c r="J3" i="1"/>
  <c r="J4" i="1"/>
  <c r="R6" i="1" l="1"/>
  <c r="L4" i="1"/>
  <c r="R5" i="1"/>
  <c r="R22" i="1" s="1"/>
  <c r="L3" i="1"/>
  <c r="K4" i="1"/>
  <c r="K3" i="1"/>
  <c r="R8" i="1" l="1"/>
  <c r="R19" i="1" s="1"/>
  <c r="R24" i="1"/>
  <c r="R25" i="1" s="1"/>
  <c r="R23" i="1"/>
  <c r="R7" i="1"/>
  <c r="R18" i="1" s="1"/>
</calcChain>
</file>

<file path=xl/comments1.xml><?xml version="1.0" encoding="utf-8"?>
<comments xmlns="http://schemas.openxmlformats.org/spreadsheetml/2006/main">
  <authors>
    <author>James Ryan</author>
  </authors>
  <commentList>
    <comment ref="A1" authorId="0" shapeId="0">
      <text>
        <r>
          <rPr>
            <b/>
            <sz val="9"/>
            <color indexed="81"/>
            <rFont val="Tahoma"/>
            <charset val="1"/>
          </rPr>
          <t>James Ryan:</t>
        </r>
        <r>
          <rPr>
            <sz val="9"/>
            <color indexed="81"/>
            <rFont val="Tahoma"/>
            <charset val="1"/>
          </rPr>
          <t xml:space="preserve">
Data on vaccine distribution obtained from Bloomberg Vaccine Tracker:
https://www.bloomberg.com/graphics/covid-vaccine-tracker-global-distribution/
Data on total US cases and deaths obtained from Google COVID tracker:
https://news.google.com/covid19/map?hl=en-US&amp;mid=%2Fm%2F09c7w0&amp;gl=US&amp;ceid=US%3Aen</t>
        </r>
      </text>
    </comment>
    <comment ref="B1" authorId="0" shapeId="0">
      <text>
        <r>
          <rPr>
            <b/>
            <sz val="9"/>
            <color indexed="81"/>
            <rFont val="Tahoma"/>
            <charset val="1"/>
          </rPr>
          <t>James Ryan:</t>
        </r>
        <r>
          <rPr>
            <sz val="9"/>
            <color indexed="81"/>
            <rFont val="Tahoma"/>
            <charset val="1"/>
          </rPr>
          <t xml:space="preserve">
Average Doses Administered taken as 7-day rolling average of doses distributed according to Bloomberg. Doses distributed is not an accurate metric of vaccine protection, but rather a heurisitc for monitoring the size of the overall distribution network
</t>
        </r>
      </text>
    </comment>
    <comment ref="Q5" authorId="0" shapeId="0">
      <text>
        <r>
          <rPr>
            <b/>
            <sz val="9"/>
            <color indexed="81"/>
            <rFont val="Tahoma"/>
            <charset val="1"/>
          </rPr>
          <t>James Ryan:</t>
        </r>
        <r>
          <rPr>
            <sz val="9"/>
            <color indexed="81"/>
            <rFont val="Tahoma"/>
            <charset val="1"/>
          </rPr>
          <t xml:space="preserve">
5-day rolling average - must update to 7 days when available</t>
        </r>
      </text>
    </comment>
    <comment ref="Q6" authorId="0" shapeId="0">
      <text>
        <r>
          <rPr>
            <b/>
            <sz val="9"/>
            <color indexed="81"/>
            <rFont val="Tahoma"/>
            <charset val="1"/>
          </rPr>
          <t>James Ryan:</t>
        </r>
        <r>
          <rPr>
            <sz val="9"/>
            <color indexed="81"/>
            <rFont val="Tahoma"/>
            <charset val="1"/>
          </rPr>
          <t xml:space="preserve">
5-day rolling average - must update to 7 days when available</t>
        </r>
      </text>
    </comment>
    <comment ref="Q7" authorId="0" shapeId="0">
      <text>
        <r>
          <rPr>
            <b/>
            <sz val="9"/>
            <color indexed="81"/>
            <rFont val="Tahoma"/>
            <charset val="1"/>
          </rPr>
          <t>James Ryan:</t>
        </r>
        <r>
          <rPr>
            <sz val="9"/>
            <color indexed="81"/>
            <rFont val="Tahoma"/>
            <charset val="1"/>
          </rPr>
          <t xml:space="preserve">
Estimates for % coverage assume a linear continuation of the latest day's trend every day until June 30th. Note that vaccine distribution is likely to increase rapidly in the coming months</t>
        </r>
      </text>
    </comment>
    <comment ref="Q10" authorId="0" shapeId="0">
      <text>
        <r>
          <rPr>
            <b/>
            <sz val="9"/>
            <color indexed="81"/>
            <rFont val="Tahoma"/>
            <family val="2"/>
          </rPr>
          <t>James Ryan:</t>
        </r>
        <r>
          <rPr>
            <sz val="9"/>
            <color indexed="81"/>
            <rFont val="Tahoma"/>
            <family val="2"/>
          </rPr>
          <t xml:space="preserve">
Data for natural immunity is lagged 2 weeks to account for incubation period</t>
        </r>
      </text>
    </comment>
    <comment ref="Q11" authorId="0" shapeId="0">
      <text>
        <r>
          <rPr>
            <b/>
            <sz val="9"/>
            <color indexed="81"/>
            <rFont val="Tahoma"/>
            <family val="2"/>
          </rPr>
          <t>James Ryan:</t>
        </r>
        <r>
          <rPr>
            <sz val="9"/>
            <color indexed="81"/>
            <rFont val="Tahoma"/>
            <family val="2"/>
          </rPr>
          <t xml:space="preserve">
Assume duration of natural antibodies is 16 weeks (approx. 4 months)</t>
        </r>
      </text>
    </comment>
    <comment ref="Q12" authorId="0" shapeId="0">
      <text>
        <r>
          <rPr>
            <b/>
            <sz val="9"/>
            <color indexed="81"/>
            <rFont val="Tahoma"/>
            <charset val="1"/>
          </rPr>
          <t>James Ryan:</t>
        </r>
        <r>
          <rPr>
            <sz val="9"/>
            <color indexed="81"/>
            <rFont val="Tahoma"/>
            <charset val="1"/>
          </rPr>
          <t xml:space="preserve">
To estimate natural immunity, assume that natural COVID antibodies last for 4 months (estimates on the duration of natural COVID antibodies vary from 2-8 months, and the true duration is unknown). Take total number of US cases lagged by 2 weeks (expected duration of an active COVID infection) and subtract deaths over the same period. To account for cases where immunity was lost, and for past COVID infections which have been vaccinated, take overlap adjustment into account for individuals who have natural immunity.</t>
        </r>
      </text>
    </comment>
    <comment ref="Q14" authorId="0" shapeId="0">
      <text>
        <r>
          <rPr>
            <b/>
            <sz val="9"/>
            <color indexed="81"/>
            <rFont val="Tahoma"/>
            <family val="2"/>
          </rPr>
          <t>James Ryan:</t>
        </r>
        <r>
          <rPr>
            <sz val="9"/>
            <color indexed="81"/>
            <rFont val="Tahoma"/>
            <family val="2"/>
          </rPr>
          <t xml:space="preserve">
Assumed proportion of overlap between individuals receiving vaccine and individuals with natural antibodies</t>
        </r>
      </text>
    </comment>
    <comment ref="Q18" authorId="0" shapeId="0">
      <text>
        <r>
          <rPr>
            <b/>
            <sz val="9"/>
            <color indexed="81"/>
            <rFont val="Tahoma"/>
            <charset val="1"/>
          </rPr>
          <t>James Ryan:</t>
        </r>
        <r>
          <rPr>
            <sz val="9"/>
            <color indexed="81"/>
            <rFont val="Tahoma"/>
            <charset val="1"/>
          </rPr>
          <t xml:space="preserve">
For both of these figures, add estimated proportion with natural immunity to estimated population undergoing vaccines</t>
        </r>
      </text>
    </comment>
    <comment ref="Q19" authorId="0" shapeId="0">
      <text>
        <r>
          <rPr>
            <b/>
            <sz val="9"/>
            <color indexed="81"/>
            <rFont val="Tahoma"/>
            <charset val="1"/>
          </rPr>
          <t>James Ryan:</t>
        </r>
        <r>
          <rPr>
            <sz val="9"/>
            <color indexed="81"/>
            <rFont val="Tahoma"/>
            <charset val="1"/>
          </rPr>
          <t xml:space="preserve">
In theory, the gap between these two percentages will decrease over time as more individuals receive their second dose following the first (we should expect the proportion with full protection to lag behind the population with some protection by ~3wks</t>
        </r>
      </text>
    </comment>
    <comment ref="Q22" authorId="0" shapeId="0">
      <text>
        <r>
          <rPr>
            <b/>
            <sz val="9"/>
            <color indexed="81"/>
            <rFont val="Tahoma"/>
            <family val="2"/>
          </rPr>
          <t>James Ryan:</t>
        </r>
        <r>
          <rPr>
            <sz val="9"/>
            <color indexed="81"/>
            <rFont val="Tahoma"/>
            <family val="2"/>
          </rPr>
          <t xml:space="preserve">
Assumes specified percentage herd immunity threshold</t>
        </r>
      </text>
    </comment>
  </commentList>
</comments>
</file>

<file path=xl/comments2.xml><?xml version="1.0" encoding="utf-8"?>
<comments xmlns="http://schemas.openxmlformats.org/spreadsheetml/2006/main">
  <authors>
    <author>James Ryan</author>
  </authors>
  <commentList>
    <comment ref="B1" authorId="0" shapeId="0">
      <text>
        <r>
          <rPr>
            <b/>
            <sz val="9"/>
            <color indexed="81"/>
            <rFont val="Tahoma"/>
            <family val="2"/>
          </rPr>
          <t>James Ryan:</t>
        </r>
        <r>
          <rPr>
            <sz val="9"/>
            <color indexed="81"/>
            <rFont val="Tahoma"/>
            <family val="2"/>
          </rPr>
          <t xml:space="preserve">
Total doses allocated to all jurisdictions; second dose data roughly matches first dose. Source: https://data.cdc.gov/Vaccinations/COVID-19-Vaccine-Distribution-Allocations-by-Juris/saz5-9hgg/data</t>
        </r>
      </text>
    </comment>
    <comment ref="C1" authorId="0" shapeId="0">
      <text>
        <r>
          <rPr>
            <b/>
            <sz val="9"/>
            <color indexed="81"/>
            <rFont val="Tahoma"/>
            <family val="2"/>
          </rPr>
          <t>James Ryan:</t>
        </r>
        <r>
          <rPr>
            <sz val="9"/>
            <color indexed="81"/>
            <rFont val="Tahoma"/>
            <family val="2"/>
          </rPr>
          <t xml:space="preserve">
Second dose allocation roughly matches first dose. Source: https://data.cdc.gov/Vaccinations/COVID-19-Vaccine-Distribution-Allocations-by-Juris/b7pe-5nws/data</t>
        </r>
      </text>
    </comment>
  </commentList>
</comments>
</file>

<file path=xl/sharedStrings.xml><?xml version="1.0" encoding="utf-8"?>
<sst xmlns="http://schemas.openxmlformats.org/spreadsheetml/2006/main" count="39" uniqueCount="39">
  <si>
    <t>Date</t>
  </si>
  <si>
    <t>Average Doses Administered/Day (Millions)</t>
  </si>
  <si>
    <t>Vaccine Series Completed %</t>
  </si>
  <si>
    <t>Pop. Initiated Vaccine Schedule (Millions)</t>
  </si>
  <si>
    <t>Pop. Completed Vaccine Schedule (Millions)</t>
  </si>
  <si>
    <t>Initiated Vaccine Schedule %</t>
  </si>
  <si>
    <t>Change in Pop. Initiating Schedule</t>
  </si>
  <si>
    <t>Change in Pop. Completing Schedule</t>
  </si>
  <si>
    <t>Estimated Prop. Of Doses Used as First Dose</t>
  </si>
  <si>
    <t>Estimated Prop. Of Doses Used as Second Dose</t>
  </si>
  <si>
    <t>Current Average Doses Administered</t>
  </si>
  <si>
    <t>Change in Initated %</t>
  </si>
  <si>
    <t>Change in Completed %</t>
  </si>
  <si>
    <t>Estimated Pop. Starting Schedule/Day</t>
  </si>
  <si>
    <t>Estimated Pop. Finishing Schedule/Day</t>
  </si>
  <si>
    <t>Estimated Pop. w/ Natural Immunity (50% adj.)</t>
  </si>
  <si>
    <t>Estimated % of Pop. w/ Natural Immunity (50% adj.)</t>
  </si>
  <si>
    <t>Estimated Days to Herd Immunity, Some Coverage</t>
  </si>
  <si>
    <t>Estimated Days to Herd Immunity, Full Coverage</t>
  </si>
  <si>
    <t>Estimated Date of Herd Immunity, Some Coverage</t>
  </si>
  <si>
    <t>Estimated Date of Herd Immunity, Full Coverage</t>
  </si>
  <si>
    <t>Herd Immunity Threshold (%)</t>
  </si>
  <si>
    <t>Date of Risk Determination</t>
  </si>
  <si>
    <t>Days Until Date</t>
  </si>
  <si>
    <t>Estimated % of Pop. Started by Date</t>
  </si>
  <si>
    <t>Estimated % of Pop. Finished by Date</t>
  </si>
  <si>
    <t>Estimated % of Pop., Some Protection by Date</t>
  </si>
  <si>
    <t>Estimated % of Pop., Full Protection by Date</t>
  </si>
  <si>
    <t>Date 16 Weeks from Lagged Date</t>
  </si>
  <si>
    <t>Lagged Date (2 Weeks)</t>
  </si>
  <si>
    <t>Total US Cases (Lagged 2 wks, 16 wk. antibodies)</t>
  </si>
  <si>
    <t>Total US Deaths (Lagged 2 wks, 16 wk. antibodies)</t>
  </si>
  <si>
    <t>Overlap Adjustment (%)</t>
  </si>
  <si>
    <t>Week</t>
  </si>
  <si>
    <t>Pfizer Dose Allocation</t>
  </si>
  <si>
    <t>Moderna Dose Allocation</t>
  </si>
  <si>
    <t>Total Dose Allocation</t>
  </si>
  <si>
    <t>% Change in Allocation</t>
  </si>
  <si>
    <t>Janssen (J&amp;J) Dose Allocation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</si>
</sst>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s>
  <fills count="6">
    <fill>
      <patternFill patternType="none"/>
    </fill>
    <fill>
      <patternFill patternType="gray125"/>
    </fill>
    <fill>
      <patternFill patternType="solid">
        <fgColor theme="4" tint="0.59999389629810485"/>
        <bgColor indexed="64"/>
      </patternFill>
    </fill>
    <fill>
      <patternFill patternType="solid">
        <fgColor theme="5" tint="0.59999389629810485"/>
        <bgColor indexed="64"/>
      </patternFill>
    </fill>
    <fill>
      <patternFill patternType="solid">
        <fgColor rgb="FFD58DE9"/>
        <bgColor indexed="64"/>
      </patternFill>
    </fill>
    <fill>
      <patternFill patternType="solid">
        <fgColor theme="9" tint="0.39997558519241921"/>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19">
    <xf numFmtId="0" fontId="0" fillId="0" borderId="0" xfId="0"/>
    <xf numFmtId="16" fontId="0" fillId="0" borderId="0" xfId="0" applyNumberFormat="1"/>
    <xf numFmtId="0" fontId="0" fillId="0" borderId="2" xfId="0" applyBorder="1"/>
    <xf numFmtId="0" fontId="0" fillId="0" borderId="3" xfId="0" applyBorder="1"/>
    <xf numFmtId="0" fontId="0" fillId="0" borderId="4" xfId="0" applyBorder="1"/>
    <xf numFmtId="0" fontId="1" fillId="2" borderId="1" xfId="0" applyFont="1" applyFill="1" applyBorder="1"/>
    <xf numFmtId="0" fontId="0" fillId="2" borderId="1" xfId="0" applyFill="1" applyBorder="1"/>
    <xf numFmtId="0" fontId="1" fillId="3" borderId="1" xfId="0" applyFont="1" applyFill="1" applyBorder="1"/>
    <xf numFmtId="0" fontId="0" fillId="3" borderId="1" xfId="0" applyFill="1" applyBorder="1"/>
    <xf numFmtId="0" fontId="1" fillId="4" borderId="1" xfId="0" applyFont="1" applyFill="1" applyBorder="1"/>
    <xf numFmtId="0" fontId="0" fillId="4" borderId="1" xfId="0" applyFill="1" applyBorder="1"/>
    <xf numFmtId="14" fontId="0" fillId="4" borderId="1" xfId="0" applyNumberFormat="1" applyFill="1" applyBorder="1"/>
    <xf numFmtId="0" fontId="1" fillId="5" borderId="1" xfId="0" applyFont="1" applyFill="1" applyBorder="1"/>
    <xf numFmtId="0" fontId="0" fillId="5" borderId="1" xfId="0" applyNumberFormat="1" applyFill="1" applyBorder="1"/>
    <xf numFmtId="0" fontId="0" fillId="5" borderId="1" xfId="0" applyFill="1" applyBorder="1"/>
    <xf numFmtId="14" fontId="0" fillId="5" borderId="1" xfId="0" applyNumberFormat="1" applyFill="1" applyBorder="1"/>
    <xf numFmtId="14" fontId="0" fillId="3" borderId="1" xfId="0" applyNumberFormat="1" applyFill="1" applyBorder="1"/>
    <xf numFmtId="0" fontId="1" fillId="0" borderId="0" xfId="0" applyFont="1"/>
    <xf numFmtId="14" fontId="0" fillId="0" borderId="0" xfId="0" applyNumberFormat="1"/>
  </cellXfs>
  <cellStyles count="1">
    <cellStyle name="Normal" xfId="0" builtinId="0"/>
  </cellStyles>
  <dxfs count="0"/>
  <tableStyles count="0" defaultTableStyle="TableStyleMedium2" defaultPivotStyle="PivotStyleLight16"/>
  <colors>
    <mruColors>
      <color rgb="FFD58D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66"/>
  <sheetViews>
    <sheetView tabSelected="1" workbookViewId="0">
      <selection activeCell="R13" sqref="R13"/>
    </sheetView>
  </sheetViews>
  <sheetFormatPr defaultRowHeight="14.4" x14ac:dyDescent="0.3"/>
  <cols>
    <col min="2" max="4" width="8.88671875" customWidth="1"/>
    <col min="16" max="16" width="8.88671875" customWidth="1"/>
    <col min="17" max="17" width="44.21875" customWidth="1"/>
    <col min="18" max="18" width="13.6640625" customWidth="1"/>
  </cols>
  <sheetData>
    <row r="1" spans="1:18" x14ac:dyDescent="0.3">
      <c r="A1" s="2" t="s">
        <v>0</v>
      </c>
      <c r="B1" s="3" t="s">
        <v>1</v>
      </c>
      <c r="C1" s="3" t="s">
        <v>5</v>
      </c>
      <c r="D1" s="3" t="s">
        <v>11</v>
      </c>
      <c r="E1" s="3" t="s">
        <v>3</v>
      </c>
      <c r="F1" s="3" t="s">
        <v>6</v>
      </c>
      <c r="G1" s="3" t="s">
        <v>2</v>
      </c>
      <c r="H1" s="3" t="s">
        <v>12</v>
      </c>
      <c r="I1" s="3" t="s">
        <v>4</v>
      </c>
      <c r="J1" s="3" t="s">
        <v>7</v>
      </c>
      <c r="K1" s="3" t="s">
        <v>8</v>
      </c>
      <c r="L1" s="4" t="s">
        <v>9</v>
      </c>
    </row>
    <row r="2" spans="1:18" x14ac:dyDescent="0.3">
      <c r="A2" s="1">
        <v>44222</v>
      </c>
      <c r="B2">
        <v>1.27</v>
      </c>
      <c r="C2">
        <v>6.2</v>
      </c>
      <c r="E2">
        <f t="shared" ref="E2:E35" si="0">328.2*(C2/100)</f>
        <v>20.348399999999998</v>
      </c>
      <c r="G2">
        <v>1.1000000000000001</v>
      </c>
      <c r="I2">
        <f t="shared" ref="I2:I35" si="1">328.2*(G2/100)</f>
        <v>3.6102000000000003</v>
      </c>
      <c r="Q2" s="12" t="s">
        <v>22</v>
      </c>
      <c r="R2" s="15">
        <v>44377</v>
      </c>
    </row>
    <row r="3" spans="1:18" x14ac:dyDescent="0.3">
      <c r="A3" s="1">
        <v>44223</v>
      </c>
      <c r="B3">
        <v>1.21</v>
      </c>
      <c r="C3">
        <v>6.5</v>
      </c>
      <c r="D3">
        <f t="shared" ref="D3:D18" si="2">C3-C2</f>
        <v>0.29999999999999982</v>
      </c>
      <c r="E3">
        <f t="shared" si="0"/>
        <v>21.332999999999998</v>
      </c>
      <c r="F3">
        <f t="shared" ref="F3:F35" si="3">E3-E2</f>
        <v>0.98460000000000036</v>
      </c>
      <c r="G3">
        <v>1.2</v>
      </c>
      <c r="H3">
        <f t="shared" ref="H3:H35" si="4">G3-G2</f>
        <v>9.9999999999999867E-2</v>
      </c>
      <c r="I3">
        <f t="shared" si="1"/>
        <v>3.9384000000000001</v>
      </c>
      <c r="J3">
        <f t="shared" ref="J3:J30" si="5">I3-I2</f>
        <v>0.32819999999999983</v>
      </c>
      <c r="K3">
        <f t="shared" ref="K3:K4" si="6">F3/(F3+J3)</f>
        <v>0.75000000000000022</v>
      </c>
      <c r="L3">
        <f t="shared" ref="L3:L4" si="7">J3/(F3+J3)</f>
        <v>0.24999999999999983</v>
      </c>
      <c r="Q3" s="12" t="s">
        <v>23</v>
      </c>
      <c r="R3" s="13">
        <f ca="1">_xlfn.DAYS(R2,TODAY())</f>
        <v>122</v>
      </c>
    </row>
    <row r="4" spans="1:18" x14ac:dyDescent="0.3">
      <c r="A4" s="1">
        <v>44224</v>
      </c>
      <c r="B4">
        <v>1.26</v>
      </c>
      <c r="C4">
        <v>6.8</v>
      </c>
      <c r="D4">
        <f t="shared" si="2"/>
        <v>0.29999999999999982</v>
      </c>
      <c r="E4">
        <f t="shared" si="0"/>
        <v>22.317600000000002</v>
      </c>
      <c r="F4">
        <f t="shared" si="3"/>
        <v>0.98460000000000392</v>
      </c>
      <c r="G4">
        <v>1.4</v>
      </c>
      <c r="H4">
        <f t="shared" si="4"/>
        <v>0.19999999999999996</v>
      </c>
      <c r="I4">
        <f t="shared" si="1"/>
        <v>4.5947999999999993</v>
      </c>
      <c r="J4">
        <f t="shared" si="5"/>
        <v>0.65639999999999921</v>
      </c>
      <c r="K4">
        <f t="shared" si="6"/>
        <v>0.6000000000000012</v>
      </c>
      <c r="L4">
        <f t="shared" si="7"/>
        <v>0.39999999999999875</v>
      </c>
      <c r="Q4" s="12" t="s">
        <v>10</v>
      </c>
      <c r="R4" s="14">
        <f ca="1">OFFSET(B1,COUNTA(B:B)-1,0)</f>
        <v>1.74</v>
      </c>
    </row>
    <row r="5" spans="1:18" x14ac:dyDescent="0.3">
      <c r="A5" s="1">
        <v>44225</v>
      </c>
      <c r="B5">
        <v>1.3</v>
      </c>
      <c r="C5">
        <v>7.2</v>
      </c>
      <c r="D5">
        <f t="shared" si="2"/>
        <v>0.40000000000000036</v>
      </c>
      <c r="E5">
        <f t="shared" si="0"/>
        <v>23.630400000000002</v>
      </c>
      <c r="F5">
        <f t="shared" si="3"/>
        <v>1.3127999999999993</v>
      </c>
      <c r="G5">
        <v>1.5</v>
      </c>
      <c r="H5">
        <f t="shared" si="4"/>
        <v>0.10000000000000009</v>
      </c>
      <c r="I5">
        <f t="shared" si="1"/>
        <v>4.923</v>
      </c>
      <c r="J5">
        <f t="shared" si="5"/>
        <v>0.32820000000000071</v>
      </c>
      <c r="K5">
        <f t="shared" ref="K5:K30" si="8">F5/(F5+J5)</f>
        <v>0.7999999999999996</v>
      </c>
      <c r="L5">
        <f t="shared" ref="L5:L30" si="9">J5/(F5+J5)</f>
        <v>0.20000000000000043</v>
      </c>
      <c r="Q5" s="12" t="s">
        <v>13</v>
      </c>
      <c r="R5" s="14">
        <f ca="1">AVERAGE(OFFSET(OFFSET(F2,COUNTA(F:F)-1,0),0,0,-7,1))</f>
        <v>0.89082857142857108</v>
      </c>
    </row>
    <row r="6" spans="1:18" x14ac:dyDescent="0.3">
      <c r="A6" s="1">
        <v>44226</v>
      </c>
      <c r="B6">
        <v>1.35</v>
      </c>
      <c r="C6">
        <v>7.5</v>
      </c>
      <c r="D6">
        <f t="shared" si="2"/>
        <v>0.29999999999999982</v>
      </c>
      <c r="E6">
        <f t="shared" si="0"/>
        <v>24.614999999999998</v>
      </c>
      <c r="F6">
        <f t="shared" si="3"/>
        <v>0.98459999999999681</v>
      </c>
      <c r="G6">
        <v>1.7</v>
      </c>
      <c r="H6">
        <f t="shared" si="4"/>
        <v>0.19999999999999996</v>
      </c>
      <c r="I6">
        <f t="shared" si="1"/>
        <v>5.5794000000000006</v>
      </c>
      <c r="J6">
        <f t="shared" si="5"/>
        <v>0.65640000000000054</v>
      </c>
      <c r="K6">
        <f t="shared" si="8"/>
        <v>0.59999999999999898</v>
      </c>
      <c r="L6">
        <f t="shared" si="9"/>
        <v>0.40000000000000097</v>
      </c>
      <c r="Q6" s="12" t="s">
        <v>14</v>
      </c>
      <c r="R6" s="14">
        <f ca="1">AVERAGE(OFFSET(OFFSET(J2,COUNTA(J:J)-1,0),0,0,-7,1))</f>
        <v>0.84394285714285699</v>
      </c>
    </row>
    <row r="7" spans="1:18" x14ac:dyDescent="0.3">
      <c r="A7" s="1">
        <v>44227</v>
      </c>
      <c r="B7">
        <v>1.35</v>
      </c>
      <c r="C7">
        <v>7.8</v>
      </c>
      <c r="D7">
        <f t="shared" si="2"/>
        <v>0.29999999999999982</v>
      </c>
      <c r="E7">
        <f t="shared" si="0"/>
        <v>25.599599999999999</v>
      </c>
      <c r="F7">
        <f t="shared" si="3"/>
        <v>0.98460000000000036</v>
      </c>
      <c r="G7">
        <v>1.8</v>
      </c>
      <c r="H7">
        <f t="shared" si="4"/>
        <v>0.10000000000000009</v>
      </c>
      <c r="I7">
        <f t="shared" si="1"/>
        <v>5.9076000000000004</v>
      </c>
      <c r="J7">
        <f t="shared" si="5"/>
        <v>0.32819999999999983</v>
      </c>
      <c r="K7">
        <f t="shared" si="8"/>
        <v>0.75000000000000022</v>
      </c>
      <c r="L7">
        <f t="shared" si="9"/>
        <v>0.24999999999999983</v>
      </c>
      <c r="Q7" s="12" t="s">
        <v>24</v>
      </c>
      <c r="R7" s="14">
        <f ca="1">((LOOKUP(2,1/(E:E&lt;&gt;""),E:E))+(R5*R3))*100/328.2</f>
        <v>48.1142857142857</v>
      </c>
    </row>
    <row r="8" spans="1:18" x14ac:dyDescent="0.3">
      <c r="A8" s="1">
        <v>44228</v>
      </c>
      <c r="B8">
        <v>1.34</v>
      </c>
      <c r="C8">
        <v>8.1</v>
      </c>
      <c r="D8">
        <f t="shared" si="2"/>
        <v>0.29999999999999982</v>
      </c>
      <c r="E8">
        <f t="shared" si="0"/>
        <v>26.584199999999999</v>
      </c>
      <c r="F8">
        <f t="shared" si="3"/>
        <v>0.98460000000000036</v>
      </c>
      <c r="G8">
        <v>1.9</v>
      </c>
      <c r="H8">
        <f t="shared" si="4"/>
        <v>9.9999999999999867E-2</v>
      </c>
      <c r="I8">
        <f t="shared" si="1"/>
        <v>6.2357999999999993</v>
      </c>
      <c r="J8">
        <f t="shared" si="5"/>
        <v>0.32819999999999894</v>
      </c>
      <c r="K8">
        <f t="shared" si="8"/>
        <v>0.75000000000000067</v>
      </c>
      <c r="L8">
        <f t="shared" si="9"/>
        <v>0.24999999999999933</v>
      </c>
      <c r="Q8" s="12" t="s">
        <v>25</v>
      </c>
      <c r="R8" s="14">
        <f ca="1">((LOOKUP(2,1/(I:I&lt;&gt;""),I:I))+(R6*R3))*100/328.2</f>
        <v>38.871428571428567</v>
      </c>
    </row>
    <row r="9" spans="1:18" x14ac:dyDescent="0.3">
      <c r="A9" s="1">
        <v>44229</v>
      </c>
      <c r="B9">
        <v>1.32</v>
      </c>
      <c r="C9">
        <v>8.1999999999999993</v>
      </c>
      <c r="D9">
        <f t="shared" si="2"/>
        <v>9.9999999999999645E-2</v>
      </c>
      <c r="E9">
        <f t="shared" si="0"/>
        <v>26.912399999999995</v>
      </c>
      <c r="F9">
        <f t="shared" si="3"/>
        <v>0.32819999999999538</v>
      </c>
      <c r="G9">
        <v>1.9</v>
      </c>
      <c r="H9">
        <f t="shared" si="4"/>
        <v>0</v>
      </c>
      <c r="I9">
        <f t="shared" si="1"/>
        <v>6.2357999999999993</v>
      </c>
      <c r="J9">
        <f t="shared" si="5"/>
        <v>0</v>
      </c>
      <c r="K9">
        <f t="shared" si="8"/>
        <v>1</v>
      </c>
      <c r="L9">
        <f t="shared" si="9"/>
        <v>0</v>
      </c>
    </row>
    <row r="10" spans="1:18" x14ac:dyDescent="0.3">
      <c r="A10" s="1">
        <v>44230</v>
      </c>
      <c r="B10">
        <v>1.34</v>
      </c>
      <c r="C10">
        <v>8.5</v>
      </c>
      <c r="D10">
        <f t="shared" si="2"/>
        <v>0.30000000000000071</v>
      </c>
      <c r="E10">
        <f t="shared" si="0"/>
        <v>27.897000000000002</v>
      </c>
      <c r="F10">
        <f t="shared" si="3"/>
        <v>0.98460000000000747</v>
      </c>
      <c r="G10">
        <v>2.1</v>
      </c>
      <c r="H10">
        <f t="shared" si="4"/>
        <v>0.20000000000000018</v>
      </c>
      <c r="I10">
        <f t="shared" si="1"/>
        <v>6.8921999999999999</v>
      </c>
      <c r="J10">
        <f t="shared" si="5"/>
        <v>0.65640000000000054</v>
      </c>
      <c r="K10">
        <f t="shared" si="8"/>
        <v>0.60000000000000164</v>
      </c>
      <c r="L10">
        <f t="shared" si="9"/>
        <v>0.39999999999999836</v>
      </c>
      <c r="Q10" s="7" t="s">
        <v>29</v>
      </c>
      <c r="R10" s="16">
        <f ca="1">TODAY()-14</f>
        <v>44241</v>
      </c>
    </row>
    <row r="11" spans="1:18" x14ac:dyDescent="0.3">
      <c r="A11" s="1">
        <v>44231</v>
      </c>
      <c r="B11">
        <v>1.34</v>
      </c>
      <c r="C11">
        <v>8.6999999999999993</v>
      </c>
      <c r="D11">
        <f t="shared" si="2"/>
        <v>0.19999999999999929</v>
      </c>
      <c r="E11">
        <f t="shared" si="0"/>
        <v>28.553399999999996</v>
      </c>
      <c r="F11">
        <f t="shared" si="3"/>
        <v>0.65639999999999432</v>
      </c>
      <c r="G11">
        <v>2.2999999999999998</v>
      </c>
      <c r="H11">
        <f t="shared" si="4"/>
        <v>0.19999999999999973</v>
      </c>
      <c r="I11">
        <f t="shared" si="1"/>
        <v>7.5485999999999995</v>
      </c>
      <c r="J11">
        <f t="shared" si="5"/>
        <v>0.65639999999999965</v>
      </c>
      <c r="K11">
        <f t="shared" si="8"/>
        <v>0.49999999999999795</v>
      </c>
      <c r="L11">
        <f t="shared" si="9"/>
        <v>0.500000000000002</v>
      </c>
      <c r="Q11" s="7" t="s">
        <v>28</v>
      </c>
      <c r="R11" s="16">
        <f ca="1">R10-(7*16)</f>
        <v>44129</v>
      </c>
    </row>
    <row r="12" spans="1:18" x14ac:dyDescent="0.3">
      <c r="A12" s="1">
        <v>44232</v>
      </c>
      <c r="B12">
        <v>1.36</v>
      </c>
      <c r="C12">
        <v>9.1</v>
      </c>
      <c r="D12">
        <f t="shared" si="2"/>
        <v>0.40000000000000036</v>
      </c>
      <c r="E12">
        <f t="shared" si="0"/>
        <v>29.866199999999999</v>
      </c>
      <c r="F12">
        <f t="shared" si="3"/>
        <v>1.3128000000000029</v>
      </c>
      <c r="G12">
        <v>2.5</v>
      </c>
      <c r="H12">
        <f t="shared" si="4"/>
        <v>0.20000000000000018</v>
      </c>
      <c r="I12">
        <f t="shared" si="1"/>
        <v>8.2050000000000001</v>
      </c>
      <c r="J12">
        <f t="shared" si="5"/>
        <v>0.65640000000000054</v>
      </c>
      <c r="K12">
        <f t="shared" si="8"/>
        <v>0.66666666666666696</v>
      </c>
      <c r="L12">
        <f t="shared" si="9"/>
        <v>0.33333333333333304</v>
      </c>
      <c r="Q12" s="7" t="s">
        <v>30</v>
      </c>
      <c r="R12" s="8">
        <f>27.683-8.703</f>
        <v>18.98</v>
      </c>
    </row>
    <row r="13" spans="1:18" x14ac:dyDescent="0.3">
      <c r="A13" s="1">
        <v>44233</v>
      </c>
      <c r="B13">
        <v>1.43</v>
      </c>
      <c r="C13">
        <v>9.5</v>
      </c>
      <c r="D13">
        <f t="shared" si="2"/>
        <v>0.40000000000000036</v>
      </c>
      <c r="E13">
        <f t="shared" si="0"/>
        <v>31.178999999999998</v>
      </c>
      <c r="F13">
        <f t="shared" si="3"/>
        <v>1.3127999999999993</v>
      </c>
      <c r="G13">
        <v>2.7</v>
      </c>
      <c r="H13">
        <f t="shared" si="4"/>
        <v>0.20000000000000018</v>
      </c>
      <c r="I13">
        <f t="shared" si="1"/>
        <v>8.8614000000000015</v>
      </c>
      <c r="J13">
        <f t="shared" si="5"/>
        <v>0.65640000000000143</v>
      </c>
      <c r="K13">
        <f t="shared" si="8"/>
        <v>0.66666666666666607</v>
      </c>
      <c r="L13">
        <f t="shared" si="9"/>
        <v>0.33333333333333393</v>
      </c>
      <c r="Q13" s="7" t="s">
        <v>31</v>
      </c>
      <c r="R13" s="8">
        <f>0.485-0.225</f>
        <v>0.26</v>
      </c>
    </row>
    <row r="14" spans="1:18" x14ac:dyDescent="0.3">
      <c r="A14" s="1">
        <v>44234</v>
      </c>
      <c r="B14">
        <v>1.46</v>
      </c>
      <c r="C14">
        <v>9.8000000000000007</v>
      </c>
      <c r="D14">
        <f t="shared" si="2"/>
        <v>0.30000000000000071</v>
      </c>
      <c r="E14">
        <f t="shared" si="0"/>
        <v>32.163600000000002</v>
      </c>
      <c r="F14">
        <f t="shared" si="3"/>
        <v>0.98460000000000392</v>
      </c>
      <c r="G14">
        <v>2.9</v>
      </c>
      <c r="H14">
        <f t="shared" si="4"/>
        <v>0.19999999999999973</v>
      </c>
      <c r="I14">
        <f t="shared" si="1"/>
        <v>9.5177999999999994</v>
      </c>
      <c r="J14">
        <f t="shared" si="5"/>
        <v>0.65639999999999787</v>
      </c>
      <c r="K14">
        <f t="shared" si="8"/>
        <v>0.60000000000000175</v>
      </c>
      <c r="L14">
        <f t="shared" si="9"/>
        <v>0.39999999999999825</v>
      </c>
      <c r="Q14" s="7" t="s">
        <v>32</v>
      </c>
      <c r="R14" s="8">
        <v>50</v>
      </c>
    </row>
    <row r="15" spans="1:18" x14ac:dyDescent="0.3">
      <c r="A15" s="1">
        <v>44235</v>
      </c>
      <c r="B15">
        <v>1.47</v>
      </c>
      <c r="C15">
        <v>10</v>
      </c>
      <c r="D15">
        <f t="shared" si="2"/>
        <v>0.19999999999999929</v>
      </c>
      <c r="E15">
        <f t="shared" si="0"/>
        <v>32.82</v>
      </c>
      <c r="F15">
        <f t="shared" si="3"/>
        <v>0.65639999999999787</v>
      </c>
      <c r="G15">
        <v>3</v>
      </c>
      <c r="H15">
        <f t="shared" si="4"/>
        <v>0.10000000000000009</v>
      </c>
      <c r="I15">
        <f t="shared" si="1"/>
        <v>9.8460000000000001</v>
      </c>
      <c r="J15">
        <f t="shared" si="5"/>
        <v>0.32820000000000071</v>
      </c>
      <c r="K15">
        <f t="shared" si="8"/>
        <v>0.66666666666666541</v>
      </c>
      <c r="L15">
        <f t="shared" si="9"/>
        <v>0.33333333333333454</v>
      </c>
      <c r="Q15" s="7" t="s">
        <v>15</v>
      </c>
      <c r="R15" s="8">
        <f>(R12-R13)/(100/R14)</f>
        <v>9.36</v>
      </c>
    </row>
    <row r="16" spans="1:18" x14ac:dyDescent="0.3">
      <c r="A16" s="1">
        <v>44236</v>
      </c>
      <c r="B16">
        <v>1.53</v>
      </c>
      <c r="C16">
        <v>10.199999999999999</v>
      </c>
      <c r="D16">
        <f t="shared" si="2"/>
        <v>0.19999999999999929</v>
      </c>
      <c r="E16">
        <f t="shared" si="0"/>
        <v>33.476399999999998</v>
      </c>
      <c r="F16">
        <f t="shared" si="3"/>
        <v>0.65639999999999787</v>
      </c>
      <c r="G16">
        <v>3.1</v>
      </c>
      <c r="H16">
        <f t="shared" si="4"/>
        <v>0.10000000000000009</v>
      </c>
      <c r="I16">
        <f t="shared" si="1"/>
        <v>10.174199999999999</v>
      </c>
      <c r="J16">
        <f t="shared" si="5"/>
        <v>0.32819999999999894</v>
      </c>
      <c r="K16">
        <f t="shared" si="8"/>
        <v>0.66666666666666663</v>
      </c>
      <c r="L16">
        <f t="shared" si="9"/>
        <v>0.33333333333333331</v>
      </c>
      <c r="Q16" s="7" t="s">
        <v>16</v>
      </c>
      <c r="R16" s="8">
        <f>R15*100/328.2</f>
        <v>2.8519195612431445</v>
      </c>
    </row>
    <row r="17" spans="1:18" x14ac:dyDescent="0.3">
      <c r="A17" s="1">
        <v>44237</v>
      </c>
      <c r="B17">
        <v>1.57</v>
      </c>
      <c r="C17">
        <v>10.5</v>
      </c>
      <c r="D17">
        <f t="shared" si="2"/>
        <v>0.30000000000000071</v>
      </c>
      <c r="E17">
        <f t="shared" si="0"/>
        <v>34.460999999999999</v>
      </c>
      <c r="F17">
        <f t="shared" si="3"/>
        <v>0.98460000000000036</v>
      </c>
      <c r="G17">
        <v>3.4</v>
      </c>
      <c r="H17">
        <f t="shared" si="4"/>
        <v>0.29999999999999982</v>
      </c>
      <c r="I17">
        <f t="shared" si="1"/>
        <v>11.158800000000001</v>
      </c>
      <c r="J17">
        <f t="shared" si="5"/>
        <v>0.98460000000000214</v>
      </c>
      <c r="K17">
        <f t="shared" si="8"/>
        <v>0.49999999999999956</v>
      </c>
      <c r="L17">
        <f t="shared" si="9"/>
        <v>0.50000000000000044</v>
      </c>
    </row>
    <row r="18" spans="1:18" x14ac:dyDescent="0.3">
      <c r="A18" s="1">
        <v>44238</v>
      </c>
      <c r="B18">
        <v>1.62</v>
      </c>
      <c r="C18">
        <v>10.9</v>
      </c>
      <c r="D18">
        <f t="shared" si="2"/>
        <v>0.40000000000000036</v>
      </c>
      <c r="E18">
        <f t="shared" si="0"/>
        <v>35.773800000000001</v>
      </c>
      <c r="F18">
        <f t="shared" si="3"/>
        <v>1.3128000000000029</v>
      </c>
      <c r="G18">
        <v>3.6</v>
      </c>
      <c r="H18">
        <f t="shared" si="4"/>
        <v>0.20000000000000018</v>
      </c>
      <c r="I18">
        <f t="shared" si="1"/>
        <v>11.815200000000001</v>
      </c>
      <c r="J18">
        <f t="shared" si="5"/>
        <v>0.65639999999999965</v>
      </c>
      <c r="K18">
        <f t="shared" si="8"/>
        <v>0.6666666666666673</v>
      </c>
      <c r="L18">
        <f t="shared" si="9"/>
        <v>0.3333333333333327</v>
      </c>
      <c r="Q18" s="5" t="s">
        <v>26</v>
      </c>
      <c r="R18" s="6">
        <f ca="1">R7+R16</f>
        <v>50.966205275528843</v>
      </c>
    </row>
    <row r="19" spans="1:18" x14ac:dyDescent="0.3">
      <c r="A19" s="1">
        <v>44239</v>
      </c>
      <c r="B19">
        <v>1.66</v>
      </c>
      <c r="C19">
        <v>11.2</v>
      </c>
      <c r="D19">
        <f t="shared" ref="D19:D35" si="10">C19-C18</f>
        <v>0.29999999999999893</v>
      </c>
      <c r="E19">
        <f t="shared" si="0"/>
        <v>36.758399999999995</v>
      </c>
      <c r="F19">
        <f t="shared" si="3"/>
        <v>0.98459999999999326</v>
      </c>
      <c r="G19">
        <v>3.9</v>
      </c>
      <c r="H19">
        <f t="shared" si="4"/>
        <v>0.29999999999999982</v>
      </c>
      <c r="I19">
        <f t="shared" si="1"/>
        <v>12.799799999999999</v>
      </c>
      <c r="J19">
        <f t="shared" si="5"/>
        <v>0.98459999999999859</v>
      </c>
      <c r="K19">
        <f t="shared" si="8"/>
        <v>0.49999999999999867</v>
      </c>
      <c r="L19">
        <f t="shared" si="9"/>
        <v>0.50000000000000133</v>
      </c>
      <c r="Q19" s="5" t="s">
        <v>27</v>
      </c>
      <c r="R19" s="6">
        <f ca="1">R8+R16</f>
        <v>41.72334813267171</v>
      </c>
    </row>
    <row r="20" spans="1:18" x14ac:dyDescent="0.3">
      <c r="A20" s="1">
        <v>44240</v>
      </c>
      <c r="B20">
        <v>1.64</v>
      </c>
      <c r="C20">
        <v>11.5</v>
      </c>
      <c r="D20">
        <f t="shared" si="10"/>
        <v>0.30000000000000071</v>
      </c>
      <c r="E20">
        <f t="shared" si="0"/>
        <v>37.743000000000002</v>
      </c>
      <c r="F20">
        <f t="shared" si="3"/>
        <v>0.98460000000000747</v>
      </c>
      <c r="G20">
        <v>4.2</v>
      </c>
      <c r="H20">
        <f t="shared" si="4"/>
        <v>0.30000000000000027</v>
      </c>
      <c r="I20">
        <f t="shared" si="1"/>
        <v>13.7844</v>
      </c>
      <c r="J20">
        <f t="shared" si="5"/>
        <v>0.98460000000000036</v>
      </c>
      <c r="K20">
        <f t="shared" si="8"/>
        <v>0.50000000000000178</v>
      </c>
      <c r="L20">
        <f t="shared" si="9"/>
        <v>0.49999999999999817</v>
      </c>
    </row>
    <row r="21" spans="1:18" x14ac:dyDescent="0.3">
      <c r="A21" s="1">
        <v>44241</v>
      </c>
      <c r="B21">
        <v>1.68</v>
      </c>
      <c r="C21">
        <v>11.8</v>
      </c>
      <c r="D21">
        <f t="shared" si="10"/>
        <v>0.30000000000000071</v>
      </c>
      <c r="E21">
        <f t="shared" si="0"/>
        <v>38.727600000000002</v>
      </c>
      <c r="F21">
        <f t="shared" si="3"/>
        <v>0.98460000000000036</v>
      </c>
      <c r="G21">
        <v>4.4000000000000004</v>
      </c>
      <c r="H21">
        <f t="shared" si="4"/>
        <v>0.20000000000000018</v>
      </c>
      <c r="I21">
        <f t="shared" si="1"/>
        <v>14.440800000000001</v>
      </c>
      <c r="J21">
        <f t="shared" si="5"/>
        <v>0.65640000000000143</v>
      </c>
      <c r="K21">
        <f t="shared" si="8"/>
        <v>0.59999999999999953</v>
      </c>
      <c r="L21">
        <f>J21/(F21+J21)</f>
        <v>0.40000000000000041</v>
      </c>
      <c r="Q21" s="9" t="s">
        <v>21</v>
      </c>
      <c r="R21" s="10">
        <v>75</v>
      </c>
    </row>
    <row r="22" spans="1:18" x14ac:dyDescent="0.3">
      <c r="A22" s="1">
        <v>44242</v>
      </c>
      <c r="B22">
        <v>1.64</v>
      </c>
      <c r="C22">
        <v>11.9</v>
      </c>
      <c r="D22">
        <f t="shared" si="10"/>
        <v>9.9999999999999645E-2</v>
      </c>
      <c r="E22">
        <f t="shared" si="0"/>
        <v>39.055800000000005</v>
      </c>
      <c r="F22">
        <f t="shared" si="3"/>
        <v>0.32820000000000249</v>
      </c>
      <c r="G22">
        <v>4.5</v>
      </c>
      <c r="H22">
        <f t="shared" si="4"/>
        <v>9.9999999999999645E-2</v>
      </c>
      <c r="I22">
        <f t="shared" si="1"/>
        <v>14.768999999999998</v>
      </c>
      <c r="J22">
        <f t="shared" si="5"/>
        <v>0.32819999999999716</v>
      </c>
      <c r="K22">
        <f t="shared" si="8"/>
        <v>0.50000000000000411</v>
      </c>
      <c r="L22">
        <f t="shared" si="9"/>
        <v>0.49999999999999595</v>
      </c>
      <c r="Q22" s="9" t="s">
        <v>17</v>
      </c>
      <c r="R22" s="10">
        <f ca="1">ROUND((R21-LOOKUP(2,1/(C:C&lt;&gt;""),C:C))/(R5*100/328.2),0)</f>
        <v>221</v>
      </c>
    </row>
    <row r="23" spans="1:18" x14ac:dyDescent="0.3">
      <c r="A23" s="1">
        <v>44243</v>
      </c>
      <c r="B23">
        <v>1.67</v>
      </c>
      <c r="C23">
        <v>12.2</v>
      </c>
      <c r="D23">
        <f t="shared" si="10"/>
        <v>0.29999999999999893</v>
      </c>
      <c r="E23">
        <f t="shared" si="0"/>
        <v>40.040399999999998</v>
      </c>
      <c r="F23">
        <f t="shared" si="3"/>
        <v>0.98459999999999326</v>
      </c>
      <c r="G23">
        <v>4.7</v>
      </c>
      <c r="H23">
        <f t="shared" si="4"/>
        <v>0.20000000000000018</v>
      </c>
      <c r="I23">
        <f t="shared" si="1"/>
        <v>15.4254</v>
      </c>
      <c r="J23">
        <f t="shared" si="5"/>
        <v>0.65640000000000143</v>
      </c>
      <c r="K23">
        <f t="shared" si="8"/>
        <v>0.59999999999999787</v>
      </c>
      <c r="L23">
        <f t="shared" si="9"/>
        <v>0.40000000000000219</v>
      </c>
      <c r="Q23" s="9" t="s">
        <v>19</v>
      </c>
      <c r="R23" s="11">
        <f ca="1">TODAY()+R22</f>
        <v>44476</v>
      </c>
    </row>
    <row r="24" spans="1:18" x14ac:dyDescent="0.3">
      <c r="A24" s="1">
        <v>44244</v>
      </c>
      <c r="B24">
        <v>1.61</v>
      </c>
      <c r="C24">
        <v>12.3</v>
      </c>
      <c r="D24">
        <f t="shared" si="10"/>
        <v>0.10000000000000142</v>
      </c>
      <c r="E24">
        <f t="shared" si="0"/>
        <v>40.368600000000001</v>
      </c>
      <c r="F24">
        <f t="shared" si="3"/>
        <v>0.32820000000000249</v>
      </c>
      <c r="G24">
        <v>4.9000000000000004</v>
      </c>
      <c r="H24">
        <f t="shared" si="4"/>
        <v>0.20000000000000018</v>
      </c>
      <c r="I24">
        <f t="shared" si="1"/>
        <v>16.081800000000001</v>
      </c>
      <c r="J24">
        <f t="shared" si="5"/>
        <v>0.65640000000000143</v>
      </c>
      <c r="K24">
        <f t="shared" si="8"/>
        <v>0.33333333333333454</v>
      </c>
      <c r="L24">
        <f t="shared" si="9"/>
        <v>0.66666666666666541</v>
      </c>
      <c r="Q24" s="9" t="s">
        <v>18</v>
      </c>
      <c r="R24" s="10">
        <f ca="1">ROUND((R21-LOOKUP(2,1/(G:G&lt;&gt;""),G:G))/(R6*100/328.2),0)</f>
        <v>263</v>
      </c>
    </row>
    <row r="25" spans="1:18" x14ac:dyDescent="0.3">
      <c r="A25" s="1">
        <v>44245</v>
      </c>
      <c r="B25">
        <v>1.58</v>
      </c>
      <c r="C25">
        <v>12.6</v>
      </c>
      <c r="D25">
        <f t="shared" si="10"/>
        <v>0.29999999999999893</v>
      </c>
      <c r="E25">
        <f t="shared" si="0"/>
        <v>41.353200000000001</v>
      </c>
      <c r="F25">
        <f t="shared" si="3"/>
        <v>0.98460000000000036</v>
      </c>
      <c r="G25">
        <v>5.0999999999999996</v>
      </c>
      <c r="H25">
        <f t="shared" si="4"/>
        <v>0.19999999999999929</v>
      </c>
      <c r="I25">
        <f t="shared" si="1"/>
        <v>16.738199999999999</v>
      </c>
      <c r="J25">
        <f t="shared" si="5"/>
        <v>0.65639999999999787</v>
      </c>
      <c r="K25">
        <f t="shared" si="8"/>
        <v>0.60000000000000087</v>
      </c>
      <c r="L25">
        <f t="shared" si="9"/>
        <v>0.39999999999999913</v>
      </c>
      <c r="Q25" s="9" t="s">
        <v>20</v>
      </c>
      <c r="R25" s="11">
        <f ca="1">TODAY()+R24</f>
        <v>44518</v>
      </c>
    </row>
    <row r="26" spans="1:18" x14ac:dyDescent="0.3">
      <c r="A26" s="1">
        <v>44246</v>
      </c>
      <c r="B26">
        <v>1.49</v>
      </c>
      <c r="C26">
        <v>12.7</v>
      </c>
      <c r="D26">
        <f t="shared" si="10"/>
        <v>9.9999999999999645E-2</v>
      </c>
      <c r="E26">
        <f t="shared" si="0"/>
        <v>41.681399999999996</v>
      </c>
      <c r="F26">
        <f t="shared" si="3"/>
        <v>0.32819999999999538</v>
      </c>
      <c r="G26">
        <v>5.3</v>
      </c>
      <c r="H26">
        <f t="shared" si="4"/>
        <v>0.20000000000000018</v>
      </c>
      <c r="I26">
        <f t="shared" si="1"/>
        <v>17.394600000000001</v>
      </c>
      <c r="J26">
        <f t="shared" si="5"/>
        <v>0.65640000000000143</v>
      </c>
      <c r="K26">
        <f t="shared" si="8"/>
        <v>0.33333333333332971</v>
      </c>
      <c r="L26">
        <f t="shared" si="9"/>
        <v>0.66666666666667029</v>
      </c>
    </row>
    <row r="27" spans="1:18" x14ac:dyDescent="0.3">
      <c r="A27" s="1">
        <v>44247</v>
      </c>
      <c r="B27">
        <v>1.32</v>
      </c>
      <c r="C27">
        <v>12.9</v>
      </c>
      <c r="D27">
        <f t="shared" si="10"/>
        <v>0.20000000000000107</v>
      </c>
      <c r="E27">
        <f t="shared" si="0"/>
        <v>42.337800000000001</v>
      </c>
      <c r="F27">
        <f t="shared" si="3"/>
        <v>0.65640000000000498</v>
      </c>
      <c r="G27">
        <v>5.4</v>
      </c>
      <c r="H27">
        <f t="shared" si="4"/>
        <v>0.10000000000000053</v>
      </c>
      <c r="I27">
        <f t="shared" si="1"/>
        <v>17.722800000000003</v>
      </c>
      <c r="J27">
        <f t="shared" si="5"/>
        <v>0.32820000000000249</v>
      </c>
      <c r="K27">
        <f t="shared" si="8"/>
        <v>0.66666666666666663</v>
      </c>
      <c r="L27">
        <f t="shared" si="9"/>
        <v>0.33333333333333331</v>
      </c>
    </row>
    <row r="28" spans="1:18" x14ac:dyDescent="0.3">
      <c r="A28" s="1">
        <v>44248</v>
      </c>
      <c r="B28">
        <v>1.33</v>
      </c>
      <c r="C28">
        <v>13.1</v>
      </c>
      <c r="D28">
        <f t="shared" si="10"/>
        <v>0.19999999999999929</v>
      </c>
      <c r="E28">
        <f t="shared" si="0"/>
        <v>42.994199999999999</v>
      </c>
      <c r="F28">
        <f t="shared" si="3"/>
        <v>0.65639999999999787</v>
      </c>
      <c r="G28">
        <v>5.7</v>
      </c>
      <c r="H28">
        <f t="shared" si="4"/>
        <v>0.29999999999999982</v>
      </c>
      <c r="I28">
        <f t="shared" si="1"/>
        <v>18.7074</v>
      </c>
      <c r="J28">
        <f t="shared" si="5"/>
        <v>0.98459999999999681</v>
      </c>
      <c r="K28">
        <f t="shared" si="8"/>
        <v>0.4</v>
      </c>
      <c r="L28">
        <f t="shared" si="9"/>
        <v>0.6</v>
      </c>
    </row>
    <row r="29" spans="1:18" x14ac:dyDescent="0.3">
      <c r="A29" s="1">
        <v>44249</v>
      </c>
      <c r="B29">
        <v>1.37</v>
      </c>
      <c r="C29">
        <v>13.3</v>
      </c>
      <c r="D29">
        <f t="shared" si="10"/>
        <v>0.20000000000000107</v>
      </c>
      <c r="E29">
        <f t="shared" si="0"/>
        <v>43.650600000000004</v>
      </c>
      <c r="F29">
        <f t="shared" si="3"/>
        <v>0.65640000000000498</v>
      </c>
      <c r="G29">
        <v>5.9</v>
      </c>
      <c r="H29">
        <f t="shared" si="4"/>
        <v>0.20000000000000018</v>
      </c>
      <c r="I29">
        <f t="shared" si="1"/>
        <v>19.363800000000001</v>
      </c>
      <c r="J29">
        <f t="shared" si="5"/>
        <v>0.65640000000000143</v>
      </c>
      <c r="K29">
        <f t="shared" si="8"/>
        <v>0.50000000000000133</v>
      </c>
      <c r="L29">
        <f t="shared" si="9"/>
        <v>0.49999999999999867</v>
      </c>
    </row>
    <row r="30" spans="1:18" x14ac:dyDescent="0.3">
      <c r="A30" s="1">
        <v>44250</v>
      </c>
      <c r="B30">
        <v>1.28</v>
      </c>
      <c r="C30">
        <v>13.4</v>
      </c>
      <c r="D30">
        <f t="shared" si="10"/>
        <v>9.9999999999999645E-2</v>
      </c>
      <c r="E30">
        <f t="shared" si="0"/>
        <v>43.9788</v>
      </c>
      <c r="F30">
        <f t="shared" si="3"/>
        <v>0.32819999999999538</v>
      </c>
      <c r="G30">
        <v>6</v>
      </c>
      <c r="H30">
        <f t="shared" si="4"/>
        <v>9.9999999999999645E-2</v>
      </c>
      <c r="I30">
        <f t="shared" si="1"/>
        <v>19.692</v>
      </c>
      <c r="J30">
        <f t="shared" si="5"/>
        <v>0.32819999999999894</v>
      </c>
      <c r="K30">
        <f t="shared" si="8"/>
        <v>0.49999999999999728</v>
      </c>
      <c r="L30">
        <f t="shared" si="9"/>
        <v>0.50000000000000266</v>
      </c>
    </row>
    <row r="31" spans="1:18" x14ac:dyDescent="0.3">
      <c r="A31" s="1">
        <v>44251</v>
      </c>
      <c r="B31">
        <v>1.3</v>
      </c>
      <c r="C31">
        <v>13.6</v>
      </c>
      <c r="D31">
        <f t="shared" si="10"/>
        <v>0.19999999999999929</v>
      </c>
      <c r="E31">
        <f t="shared" si="0"/>
        <v>44.635200000000005</v>
      </c>
      <c r="F31">
        <f t="shared" si="3"/>
        <v>0.65640000000000498</v>
      </c>
      <c r="G31">
        <v>6.2</v>
      </c>
      <c r="H31">
        <f t="shared" si="4"/>
        <v>0.20000000000000018</v>
      </c>
      <c r="I31">
        <f t="shared" si="1"/>
        <v>20.348399999999998</v>
      </c>
      <c r="J31">
        <f>I31-I30</f>
        <v>0.65639999999999787</v>
      </c>
      <c r="K31">
        <f>F31/(F31+J31)</f>
        <v>0.50000000000000266</v>
      </c>
      <c r="L31">
        <f>J31/(F31+J31)</f>
        <v>0.49999999999999728</v>
      </c>
    </row>
    <row r="32" spans="1:18" x14ac:dyDescent="0.3">
      <c r="A32" s="1">
        <v>44252</v>
      </c>
      <c r="B32">
        <v>1.31</v>
      </c>
      <c r="C32">
        <v>13.9</v>
      </c>
      <c r="D32">
        <f t="shared" si="10"/>
        <v>0.30000000000000071</v>
      </c>
      <c r="E32">
        <f t="shared" si="0"/>
        <v>45.619800000000005</v>
      </c>
      <c r="F32">
        <f t="shared" si="3"/>
        <v>0.98460000000000036</v>
      </c>
      <c r="G32">
        <v>6.5</v>
      </c>
      <c r="H32">
        <f t="shared" si="4"/>
        <v>0.29999999999999982</v>
      </c>
      <c r="I32">
        <f t="shared" si="1"/>
        <v>21.332999999999998</v>
      </c>
      <c r="J32">
        <f>I32-I31</f>
        <v>0.98460000000000036</v>
      </c>
      <c r="K32">
        <f>F32/(F32+J32)</f>
        <v>0.5</v>
      </c>
      <c r="L32">
        <f>J32/(F32+J32)</f>
        <v>0.5</v>
      </c>
    </row>
    <row r="33" spans="1:12" x14ac:dyDescent="0.3">
      <c r="A33" s="1">
        <v>44253</v>
      </c>
      <c r="B33">
        <v>1.45</v>
      </c>
      <c r="C33">
        <v>14.2</v>
      </c>
      <c r="D33">
        <f t="shared" si="10"/>
        <v>0.29999999999999893</v>
      </c>
      <c r="E33">
        <f t="shared" si="0"/>
        <v>46.604399999999991</v>
      </c>
      <c r="F33">
        <f t="shared" si="3"/>
        <v>0.98459999999998615</v>
      </c>
      <c r="G33">
        <v>6.8</v>
      </c>
      <c r="H33">
        <f t="shared" si="4"/>
        <v>0.29999999999999982</v>
      </c>
      <c r="I33">
        <f t="shared" si="1"/>
        <v>22.317600000000002</v>
      </c>
      <c r="J33">
        <f>I33-I32</f>
        <v>0.98460000000000392</v>
      </c>
      <c r="K33">
        <f>F33/(F33+J33)</f>
        <v>0.4999999999999955</v>
      </c>
      <c r="L33">
        <f>J33/(F33+J33)</f>
        <v>0.50000000000000455</v>
      </c>
    </row>
    <row r="34" spans="1:12" x14ac:dyDescent="0.3">
      <c r="A34" s="1">
        <v>44254</v>
      </c>
      <c r="B34">
        <v>1.65</v>
      </c>
      <c r="C34">
        <v>14.6</v>
      </c>
      <c r="D34">
        <f t="shared" si="10"/>
        <v>0.40000000000000036</v>
      </c>
      <c r="E34">
        <f t="shared" si="0"/>
        <v>47.917199999999994</v>
      </c>
      <c r="F34">
        <f t="shared" si="3"/>
        <v>1.3128000000000029</v>
      </c>
      <c r="G34">
        <v>7.1</v>
      </c>
      <c r="H34">
        <f t="shared" si="4"/>
        <v>0.29999999999999982</v>
      </c>
      <c r="I34">
        <f t="shared" si="1"/>
        <v>23.302199999999996</v>
      </c>
      <c r="J34">
        <f>I34-I33</f>
        <v>0.98459999999999326</v>
      </c>
      <c r="K34">
        <f>F34/(F34+J34)</f>
        <v>0.57142857142857362</v>
      </c>
      <c r="L34">
        <f>J34/(F34+J34)</f>
        <v>0.42857142857142638</v>
      </c>
    </row>
    <row r="35" spans="1:12" x14ac:dyDescent="0.3">
      <c r="A35" s="1">
        <v>44255</v>
      </c>
      <c r="B35">
        <v>1.74</v>
      </c>
      <c r="C35">
        <v>15</v>
      </c>
      <c r="D35">
        <f t="shared" si="10"/>
        <v>0.40000000000000036</v>
      </c>
      <c r="E35">
        <f t="shared" si="0"/>
        <v>49.23</v>
      </c>
      <c r="F35">
        <f t="shared" si="3"/>
        <v>1.3128000000000029</v>
      </c>
      <c r="G35">
        <v>7.5</v>
      </c>
      <c r="H35">
        <f t="shared" si="4"/>
        <v>0.40000000000000036</v>
      </c>
      <c r="I35">
        <f t="shared" si="1"/>
        <v>24.614999999999998</v>
      </c>
      <c r="J35">
        <f>I35-I34</f>
        <v>1.3128000000000029</v>
      </c>
      <c r="K35">
        <f>F35/(F35+J35)</f>
        <v>0.5</v>
      </c>
      <c r="L35">
        <f>J35/(F35+J35)</f>
        <v>0.5</v>
      </c>
    </row>
    <row r="36" spans="1:12" x14ac:dyDescent="0.3">
      <c r="A36" s="1">
        <v>44256</v>
      </c>
    </row>
    <row r="37" spans="1:12" x14ac:dyDescent="0.3">
      <c r="A37" s="1">
        <v>44257</v>
      </c>
    </row>
    <row r="38" spans="1:12" x14ac:dyDescent="0.3">
      <c r="A38" s="1">
        <v>44258</v>
      </c>
    </row>
    <row r="39" spans="1:12" x14ac:dyDescent="0.3">
      <c r="A39" s="1">
        <v>44259</v>
      </c>
    </row>
    <row r="40" spans="1:12" x14ac:dyDescent="0.3">
      <c r="A40" s="1">
        <v>44260</v>
      </c>
    </row>
    <row r="41" spans="1:12" x14ac:dyDescent="0.3">
      <c r="A41" s="1">
        <v>44261</v>
      </c>
    </row>
    <row r="42" spans="1:12" x14ac:dyDescent="0.3">
      <c r="A42" s="1">
        <v>44262</v>
      </c>
    </row>
    <row r="43" spans="1:12" x14ac:dyDescent="0.3">
      <c r="A43" s="1">
        <v>44263</v>
      </c>
    </row>
    <row r="44" spans="1:12" x14ac:dyDescent="0.3">
      <c r="A44" s="1">
        <v>44264</v>
      </c>
    </row>
    <row r="45" spans="1:12" x14ac:dyDescent="0.3">
      <c r="A45" s="1">
        <v>44265</v>
      </c>
    </row>
    <row r="46" spans="1:12" x14ac:dyDescent="0.3">
      <c r="A46" s="1">
        <v>44266</v>
      </c>
    </row>
    <row r="47" spans="1:12" x14ac:dyDescent="0.3">
      <c r="A47" s="1">
        <v>44267</v>
      </c>
    </row>
    <row r="48" spans="1:12" x14ac:dyDescent="0.3">
      <c r="A48" s="1">
        <v>44268</v>
      </c>
    </row>
    <row r="49" spans="1:1" x14ac:dyDescent="0.3">
      <c r="A49" s="1">
        <v>44269</v>
      </c>
    </row>
    <row r="50" spans="1:1" x14ac:dyDescent="0.3">
      <c r="A50" s="1">
        <v>44270</v>
      </c>
    </row>
    <row r="51" spans="1:1" x14ac:dyDescent="0.3">
      <c r="A51" s="1">
        <v>44271</v>
      </c>
    </row>
    <row r="52" spans="1:1" x14ac:dyDescent="0.3">
      <c r="A52" s="1">
        <v>44272</v>
      </c>
    </row>
    <row r="53" spans="1:1" x14ac:dyDescent="0.3">
      <c r="A53" s="1">
        <v>44273</v>
      </c>
    </row>
    <row r="54" spans="1:1" x14ac:dyDescent="0.3">
      <c r="A54" s="1">
        <v>44274</v>
      </c>
    </row>
    <row r="55" spans="1:1" x14ac:dyDescent="0.3">
      <c r="A55" s="1">
        <v>44275</v>
      </c>
    </row>
    <row r="56" spans="1:1" x14ac:dyDescent="0.3">
      <c r="A56" s="1">
        <v>44276</v>
      </c>
    </row>
    <row r="57" spans="1:1" x14ac:dyDescent="0.3">
      <c r="A57" s="1">
        <v>44277</v>
      </c>
    </row>
    <row r="58" spans="1:1" x14ac:dyDescent="0.3">
      <c r="A58" s="1">
        <v>44278</v>
      </c>
    </row>
    <row r="59" spans="1:1" x14ac:dyDescent="0.3">
      <c r="A59" s="1">
        <v>44279</v>
      </c>
    </row>
    <row r="60" spans="1:1" x14ac:dyDescent="0.3">
      <c r="A60" s="1">
        <v>44280</v>
      </c>
    </row>
    <row r="61" spans="1:1" x14ac:dyDescent="0.3">
      <c r="A61" s="1">
        <v>44281</v>
      </c>
    </row>
    <row r="62" spans="1:1" x14ac:dyDescent="0.3">
      <c r="A62" s="1">
        <v>44282</v>
      </c>
    </row>
    <row r="63" spans="1:1" x14ac:dyDescent="0.3">
      <c r="A63" s="1">
        <v>44283</v>
      </c>
    </row>
    <row r="64" spans="1:1" x14ac:dyDescent="0.3">
      <c r="A64" s="1">
        <v>44284</v>
      </c>
    </row>
    <row r="65" spans="1:1" x14ac:dyDescent="0.3">
      <c r="A65" s="1">
        <v>44285</v>
      </c>
    </row>
    <row r="66" spans="1:1" x14ac:dyDescent="0.3">
      <c r="A66" s="1">
        <v>44286</v>
      </c>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3"/>
  <sheetViews>
    <sheetView topLeftCell="C1" workbookViewId="0">
      <selection activeCell="D13" sqref="D13"/>
    </sheetView>
  </sheetViews>
  <sheetFormatPr defaultRowHeight="14.4" x14ac:dyDescent="0.3"/>
  <cols>
    <col min="1" max="1" width="14.44140625" customWidth="1"/>
    <col min="2" max="2" width="22.44140625" customWidth="1"/>
    <col min="3" max="4" width="26.33203125" customWidth="1"/>
    <col min="5" max="5" width="26.44140625" customWidth="1"/>
    <col min="6" max="6" width="20.77734375" customWidth="1"/>
  </cols>
  <sheetData>
    <row r="1" spans="1:6" x14ac:dyDescent="0.3">
      <c r="A1" s="17" t="s">
        <v>33</v>
      </c>
      <c r="B1" s="17" t="s">
        <v>34</v>
      </c>
      <c r="C1" s="17" t="s">
        <v>35</v>
      </c>
      <c r="D1" s="17" t="s">
        <v>38</v>
      </c>
      <c r="E1" s="17" t="s">
        <v>36</v>
      </c>
      <c r="F1" s="17" t="s">
        <v>37</v>
      </c>
    </row>
    <row r="2" spans="1:6" x14ac:dyDescent="0.3">
      <c r="A2" s="18">
        <v>44179</v>
      </c>
      <c r="B2">
        <v>2980575</v>
      </c>
      <c r="E2">
        <f>B2+C2</f>
        <v>2980575</v>
      </c>
    </row>
    <row r="3" spans="1:6" x14ac:dyDescent="0.3">
      <c r="A3" s="18">
        <v>44186</v>
      </c>
      <c r="B3">
        <v>2071875</v>
      </c>
      <c r="C3">
        <v>5990000</v>
      </c>
      <c r="E3">
        <f t="shared" ref="E3:E13" si="0">B3+C3</f>
        <v>8061875</v>
      </c>
      <c r="F3">
        <f>(E3-E2)*100/E2</f>
        <v>170.48052808602367</v>
      </c>
    </row>
    <row r="4" spans="1:6" x14ac:dyDescent="0.3">
      <c r="A4" s="18">
        <v>44193</v>
      </c>
      <c r="B4">
        <v>2643225</v>
      </c>
      <c r="C4">
        <v>2047300</v>
      </c>
      <c r="E4">
        <f t="shared" si="0"/>
        <v>4690525</v>
      </c>
      <c r="F4">
        <f t="shared" ref="F4:F13" si="1">(E4-E3)*100/E3</f>
        <v>-41.818435537638578</v>
      </c>
    </row>
    <row r="5" spans="1:6" x14ac:dyDescent="0.3">
      <c r="A5" s="18">
        <v>44200</v>
      </c>
      <c r="B5">
        <v>2131350</v>
      </c>
      <c r="C5">
        <v>2104400</v>
      </c>
      <c r="E5">
        <f t="shared" si="0"/>
        <v>4235750</v>
      </c>
      <c r="F5">
        <f t="shared" si="1"/>
        <v>-9.6956097664973537</v>
      </c>
    </row>
    <row r="6" spans="1:6" x14ac:dyDescent="0.3">
      <c r="A6" s="18">
        <v>44206</v>
      </c>
      <c r="B6">
        <v>2084550</v>
      </c>
      <c r="C6">
        <v>2064400</v>
      </c>
      <c r="E6">
        <f t="shared" si="0"/>
        <v>4148950</v>
      </c>
      <c r="F6">
        <f t="shared" si="1"/>
        <v>-2.0492238682641797</v>
      </c>
    </row>
    <row r="7" spans="1:6" x14ac:dyDescent="0.3">
      <c r="A7" s="18">
        <v>44214</v>
      </c>
      <c r="B7">
        <v>2149875</v>
      </c>
      <c r="C7">
        <v>2150000</v>
      </c>
      <c r="E7">
        <f t="shared" si="0"/>
        <v>4299875</v>
      </c>
      <c r="F7">
        <f t="shared" si="1"/>
        <v>3.6376673616216153</v>
      </c>
    </row>
    <row r="8" spans="1:6" x14ac:dyDescent="0.3">
      <c r="A8" s="18">
        <v>44221</v>
      </c>
      <c r="B8">
        <v>2149875</v>
      </c>
      <c r="C8">
        <v>2150000</v>
      </c>
      <c r="E8">
        <f t="shared" si="0"/>
        <v>4299875</v>
      </c>
      <c r="F8">
        <f t="shared" si="1"/>
        <v>0</v>
      </c>
    </row>
    <row r="9" spans="1:6" x14ac:dyDescent="0.3">
      <c r="A9" s="18">
        <v>44228</v>
      </c>
      <c r="B9">
        <v>2204475</v>
      </c>
      <c r="C9">
        <v>2913400</v>
      </c>
      <c r="E9">
        <f t="shared" si="0"/>
        <v>5117875</v>
      </c>
      <c r="F9">
        <f t="shared" si="1"/>
        <v>19.023808831652083</v>
      </c>
    </row>
    <row r="10" spans="1:6" x14ac:dyDescent="0.3">
      <c r="A10" s="18">
        <v>44235</v>
      </c>
      <c r="B10">
        <v>2149875</v>
      </c>
      <c r="C10">
        <v>3430000</v>
      </c>
      <c r="E10">
        <f t="shared" si="0"/>
        <v>5579875</v>
      </c>
      <c r="F10">
        <f t="shared" si="1"/>
        <v>9.0271841340400076</v>
      </c>
    </row>
    <row r="11" spans="1:6" x14ac:dyDescent="0.3">
      <c r="A11" s="18">
        <v>44242</v>
      </c>
      <c r="B11">
        <v>2149875</v>
      </c>
      <c r="C11">
        <v>3352000</v>
      </c>
      <c r="E11">
        <f t="shared" si="0"/>
        <v>5501875</v>
      </c>
      <c r="F11">
        <f t="shared" si="1"/>
        <v>-1.3978807768991242</v>
      </c>
    </row>
    <row r="12" spans="1:6" x14ac:dyDescent="0.3">
      <c r="A12" s="18">
        <v>44249</v>
      </c>
      <c r="B12">
        <v>3400020</v>
      </c>
      <c r="C12">
        <v>3350000</v>
      </c>
      <c r="E12">
        <f t="shared" si="0"/>
        <v>6750020</v>
      </c>
      <c r="F12">
        <f t="shared" si="1"/>
        <v>22.685811655117572</v>
      </c>
    </row>
    <row r="13" spans="1:6" x14ac:dyDescent="0.3">
      <c r="A13" s="18">
        <v>44256</v>
      </c>
      <c r="B13">
        <v>4001930</v>
      </c>
      <c r="C13">
        <v>3475500</v>
      </c>
      <c r="D13">
        <v>2833400</v>
      </c>
      <c r="E13">
        <f>B13+C13+D13</f>
        <v>10310830</v>
      </c>
      <c r="F13">
        <f t="shared" si="1"/>
        <v>52.752584436786854</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Vaccine Distribution</vt:lpstr>
      <vt:lpstr>Dose Allocations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Ryan</dc:creator>
  <cp:lastModifiedBy>James Ryan</cp:lastModifiedBy>
  <dcterms:created xsi:type="dcterms:W3CDTF">2021-01-27T16:40:56Z</dcterms:created>
  <dcterms:modified xsi:type="dcterms:W3CDTF">2021-02-28T20:27:10Z</dcterms:modified>
</cp:coreProperties>
</file>