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ropbox\Steele Research Ltd\Stronger by Science\pcos_ree_meta\data\"/>
    </mc:Choice>
  </mc:AlternateContent>
  <xr:revisionPtr revIDLastSave="0" documentId="13_ncr:1_{3A155659-82D5-45D2-A84D-B90EAE97303B}" xr6:coauthVersionLast="47" xr6:coauthVersionMax="47" xr10:uidLastSave="{00000000-0000-0000-0000-000000000000}"/>
  <bookViews>
    <workbookView xWindow="4950" yWindow="-16320" windowWidth="29040" windowHeight="15840" xr2:uid="{10DD01AD-3A16-4FAB-AD7D-B9DBF7173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7" i="1"/>
  <c r="O39" i="1"/>
  <c r="O38" i="1"/>
  <c r="O37" i="1"/>
  <c r="M39" i="1"/>
  <c r="M38" i="1"/>
  <c r="M37" i="1"/>
  <c r="U36" i="1"/>
  <c r="U35" i="1"/>
  <c r="U34" i="1"/>
  <c r="U33" i="1"/>
  <c r="M36" i="1"/>
  <c r="M35" i="1"/>
  <c r="M34" i="1"/>
  <c r="M33" i="1"/>
  <c r="K36" i="1"/>
  <c r="K35" i="1"/>
  <c r="K34" i="1"/>
  <c r="K33" i="1"/>
  <c r="S32" i="1"/>
  <c r="S31" i="1"/>
  <c r="S30" i="1"/>
  <c r="Q32" i="1"/>
  <c r="Q31" i="1"/>
  <c r="Q30" i="1"/>
  <c r="M32" i="1"/>
  <c r="M31" i="1"/>
  <c r="M30" i="1"/>
  <c r="K32" i="1"/>
  <c r="K31" i="1"/>
  <c r="K30" i="1"/>
  <c r="U29" i="1"/>
  <c r="U28" i="1"/>
  <c r="Q29" i="1"/>
  <c r="Q28" i="1"/>
  <c r="M29" i="1"/>
  <c r="M28" i="1"/>
  <c r="K29" i="1"/>
  <c r="K28" i="1"/>
  <c r="AM16" i="1"/>
  <c r="AM15" i="1"/>
  <c r="AK16" i="1"/>
  <c r="AK15" i="1"/>
  <c r="AQ12" i="1"/>
  <c r="AQ11" i="1"/>
  <c r="AQ10" i="1"/>
</calcChain>
</file>

<file path=xl/sharedStrings.xml><?xml version="1.0" encoding="utf-8"?>
<sst xmlns="http://schemas.openxmlformats.org/spreadsheetml/2006/main" count="816" uniqueCount="159">
  <si>
    <t>study</t>
  </si>
  <si>
    <t>cond</t>
  </si>
  <si>
    <t>n</t>
  </si>
  <si>
    <t>sd</t>
  </si>
  <si>
    <t>se</t>
  </si>
  <si>
    <t>title</t>
  </si>
  <si>
    <t>Resting energy expenditure in women with polycystic ovary syndrome</t>
  </si>
  <si>
    <t>Saturated Fat Intake Is Related to Heart Rate Variability in Women with Polycystic Ovary Syndrome.</t>
  </si>
  <si>
    <t>Low validity of predictive equations for calculating resting energy expenditure in overweight and obese women with polycystic ovary syndrome.</t>
  </si>
  <si>
    <t>Assessing Energy Requirements in Women With Polycystic Ovary Syndrome: A Comparison Against Doubly Labeled Water.</t>
  </si>
  <si>
    <t>The Relationship between Adiposity and Insulin Sensitivity in African Women Living with the Polycystic Ovarian Syndrome: A Clamp Study.</t>
  </si>
  <si>
    <t>Dietary intake, resting energy expenditure, and eating behavior in women with and without polycystic ovary syndrome.</t>
  </si>
  <si>
    <t>Effect of a low-starch/low-dairy diet on fat oxidation in overweight and obese women with polycystic ovary syndrome.</t>
  </si>
  <si>
    <t>Basal metabolic rate is decreased in women with polycystic ovary syndrome and biochemical hyperandrogenemia and is associated with insulin resistance.</t>
  </si>
  <si>
    <t>Resting metabolic rate and exercise capacity in women with polycystic ovary syndrome.</t>
  </si>
  <si>
    <t>alpha 2 beta adrenoreceptor 301-303 deletion polymorphism in polycystic ovary syndrome.</t>
  </si>
  <si>
    <t>Postprandial thermogenesis is reduced in polycystic ovary syndrome and is associated with increased insulin resistance.</t>
  </si>
  <si>
    <t>Resting metabolic rate and postprandial thermogenesis in polycystic ovarian syndrome.</t>
  </si>
  <si>
    <t>Dietary glycemic index is associated with less favorable anthropometric and metabolic profiles in polycystic ovary syndrome women with different phenotypes</t>
  </si>
  <si>
    <t>year</t>
  </si>
  <si>
    <t>authors</t>
  </si>
  <si>
    <t>Tosi et al.,</t>
  </si>
  <si>
    <t>PCOS</t>
  </si>
  <si>
    <t>Control</t>
  </si>
  <si>
    <t>method</t>
  </si>
  <si>
    <t>indirect_calorimetry</t>
  </si>
  <si>
    <t>Graff et al.,</t>
  </si>
  <si>
    <t>Rodriques et al.,</t>
  </si>
  <si>
    <t>Broskey et al.,</t>
  </si>
  <si>
    <t>Doh et al.,</t>
  </si>
  <si>
    <t>Larsson et al.,</t>
  </si>
  <si>
    <t>Pohlmeier er al.,</t>
  </si>
  <si>
    <t>Georgopoulos et al.,</t>
  </si>
  <si>
    <t>Cosar et al.,</t>
  </si>
  <si>
    <t>Saltamavros et al.,</t>
  </si>
  <si>
    <t>Segal and Dunaif</t>
  </si>
  <si>
    <t>Robinson et al.,</t>
  </si>
  <si>
    <t>in_macrofactor_article</t>
  </si>
  <si>
    <t>y</t>
  </si>
  <si>
    <t>Bruner et al.,</t>
  </si>
  <si>
    <t>Effects of exercise and nutritional counseling in women with polycystic ovary syndrome</t>
  </si>
  <si>
    <t>Kritikou et al.,</t>
  </si>
  <si>
    <t>The α2B and β3 Adrenergic Receptor Genes Polymorphisms in Women with Polycystic Ovarian Syndrome (PCOS) and their Association with Insulin Resistance and Basal Metabolic Rate (BMR)</t>
  </si>
  <si>
    <t>Moran et al.,</t>
  </si>
  <si>
    <t>Short-term meal replacements followed by dietary macronutrient restriction enhance weight loss in polycystic ovary syndrome</t>
  </si>
  <si>
    <t>Association of the Pro12Ala polymorphism in peroxisome proliferator-activated receptor gamma2 with decreased basic metabolic rate in women with polycystic ovary syndrome</t>
  </si>
  <si>
    <t>Koika et al.,</t>
  </si>
  <si>
    <t>sd_bm_adjusted</t>
  </si>
  <si>
    <t>se_bm_adjusted</t>
  </si>
  <si>
    <t>sd_ffm_adjusted</t>
  </si>
  <si>
    <t>se_ffm_adjusted</t>
  </si>
  <si>
    <t>race</t>
  </si>
  <si>
    <t>physical_activity_level</t>
  </si>
  <si>
    <t>country</t>
  </si>
  <si>
    <t>Italy</t>
  </si>
  <si>
    <t>arm</t>
  </si>
  <si>
    <t>Brazil</t>
  </si>
  <si>
    <t>units</t>
  </si>
  <si>
    <t>kcal</t>
  </si>
  <si>
    <t>USA</t>
  </si>
  <si>
    <t>doubly_labelled_water</t>
  </si>
  <si>
    <t>Cameroon</t>
  </si>
  <si>
    <t>comments</t>
  </si>
  <si>
    <t>median</t>
  </si>
  <si>
    <t>mean</t>
  </si>
  <si>
    <t>iqr</t>
  </si>
  <si>
    <t>mean_bm_adjusted</t>
  </si>
  <si>
    <t>median_bm_adjusted</t>
  </si>
  <si>
    <t>iqr_bm_adjusted</t>
  </si>
  <si>
    <t>mean_ffm_adjusted</t>
  </si>
  <si>
    <t>median_ffm_adjusted</t>
  </si>
  <si>
    <t>iqr_ffm_adjusted</t>
  </si>
  <si>
    <t>Sweden</t>
  </si>
  <si>
    <t>Greece</t>
  </si>
  <si>
    <t>Turkey</t>
  </si>
  <si>
    <t>UK</t>
  </si>
  <si>
    <t>kj</t>
  </si>
  <si>
    <t>lower_range</t>
  </si>
  <si>
    <t>upper_range</t>
  </si>
  <si>
    <t>Canada</t>
  </si>
  <si>
    <t>white</t>
  </si>
  <si>
    <t>Australia</t>
  </si>
  <si>
    <t>MJ</t>
  </si>
  <si>
    <t>lab</t>
  </si>
  <si>
    <t>Converted from 30 mins to 24 hours</t>
  </si>
  <si>
    <t>Converted from kcal/min to 24 hours</t>
  </si>
  <si>
    <t xml:space="preserve">OGTT (75g oral glucose load), Fasting glucose (mM) = 4.5 (SE = 0.2), Fasting insulin (pM) = 72 (SE = 7), Glucose area (mM 2 hours) = 9.9 (SE = 0.2), Insulin area (pM 2 hours) = 653 (SE = 7)  </t>
  </si>
  <si>
    <t xml:space="preserve">OGTT (75g oral glucose load), Fasting glucose (mM) = 4.8 (SE = 0.1), Fasting insulin (pM) = 122 (SE = 14), Glucose area (mM 2 hours) = 9.9 (SE = 0.2), Insulin area (pM 2 hours) = 1300 (SE = 294)  </t>
  </si>
  <si>
    <t xml:space="preserve">OGTT (75g oral glucose load), Fasting glucose (mM) = 4.9 (SE = 0.1), Fasting insulin (pM) = 223 (SE = 43), Glucose area (mM 2 hours) = 12.4 (SE = 0.9), Insulin area (pM 2 hours) = 2872 (SE =381)  </t>
  </si>
  <si>
    <t xml:space="preserve">OGTT (75g oral glucose load), Fasting glucose (md/dL) = 91.6 (SD = 9.4), Fasting insulin (ug/mL) = 35.3 (SD = 7), Glucose at 2 hours (mg/dL) = 131.7 (SD = 45.2), Insulin at 2 hours (ug/mL) = 271.6 (SD =285), HbA1c (%) = 5.5 (SD = 0.4)  </t>
  </si>
  <si>
    <t xml:space="preserve">OGTT (75g oral glucose load), Fasting glucose (md/dL) = 88.6 (SD = 5.8), Fasting insulin (ug/mL) = 15.8 (SD = 6), Glucose at 2 hours (mg/dL) = 120.9 (SD = 20.4), Insulin at 2 hours (ug/mL) = 132.3 (SD = 89.3), HbA1c (%) = 5.3 (SD = 0.3)  </t>
  </si>
  <si>
    <t>timepoint</t>
  </si>
  <si>
    <t>baseline</t>
  </si>
  <si>
    <t>post_intervention</t>
  </si>
  <si>
    <t>Hyperinsulinemic–euglycemic clamp technique, M-value (mg/kg_FFM x min) = 9.8 (SD = 3.7), 72.5% classified as IR based on cut off value of 11.76, Fasting glucose (mg/dL) = 85.3 (SD = 9.5), Fasting insulin (mU/L) = 16.2 (SD = 12.6)</t>
  </si>
  <si>
    <t>Fasting glucose (mg/dL) = 83.4 (SD = 5.9), Fasting insulin (mU/L) = 7 (SD = 5)</t>
  </si>
  <si>
    <t xml:space="preserve">OGTT (75g oral glucose load), Fasting glucose (md/dL) = 87.4 (SD = 8.4), Glucose at 2 hours (mg/dL) = 103.6 (SD = 31.5), HOMA-IR (median) = 3.4 (IQR = 1.8-4.7) </t>
  </si>
  <si>
    <t xml:space="preserve">OGTT (75g oral glucose load), Fasting glucose (md/dL) = 86.8 (SD = 7.9), Glucose at 2 hours (mg/dL) = 97 (SD = 20.9), HOMA-IR (median) = 2.1 (IQR = 1.5-2.8) </t>
  </si>
  <si>
    <t>Physical activity (steps/day, median) = 5821 (IQR = 3821-7664)</t>
  </si>
  <si>
    <t>Physical activity (steps/day, median) = 6002 (IQR = 4375-7427)</t>
  </si>
  <si>
    <t>m_age</t>
  </si>
  <si>
    <t>m_body_mass</t>
  </si>
  <si>
    <t>m_fat_mass</t>
  </si>
  <si>
    <t>m_fat_free_mass</t>
  </si>
  <si>
    <t>m_height</t>
  </si>
  <si>
    <t>m_bmi</t>
  </si>
  <si>
    <t>sd_age</t>
  </si>
  <si>
    <t>sd_body_mass</t>
  </si>
  <si>
    <t>sd_fat_mass</t>
  </si>
  <si>
    <t>sd_fat_free_mass</t>
  </si>
  <si>
    <t>sd_height</t>
  </si>
  <si>
    <t>sd_bmi</t>
  </si>
  <si>
    <t>Physical activity (steps/day, median) = 5519 (IQR = 3658-7002)</t>
  </si>
  <si>
    <t>Physical activity (steps/day, median) = 5811 (IQR = 4339-7267)</t>
  </si>
  <si>
    <t>"Physical activity level was assessed using
criteria established by the Institute of Medicine" 66.7% classified sedentary, 33.3% classified as low activity level</t>
  </si>
  <si>
    <t>White/Caucasian - 92.9%</t>
  </si>
  <si>
    <t>White/Caucasian - 88.9%</t>
  </si>
  <si>
    <t>White/Caucasian - 87.6%</t>
  </si>
  <si>
    <t>White/Caucasian - 50%, African American - 50%</t>
  </si>
  <si>
    <t xml:space="preserve">Fasting glucose (md/dL) = 89.9 (SD = 6.9), Fasting insulin (uU/mL) = 18.8 (SD = 10.6), HOMA-IR = 4.3 (SD = 2.7) </t>
  </si>
  <si>
    <t xml:space="preserve">OGTT (75g oral glucose load), Fasting glucose (md/dL) = 86.8 (SD = 91), Fasting insulin (uU/mL, median) = 16.7 (IQR = 9.8-21.2), HOMA-IR (median) = 3.5 (IQR = 2.1-4.7) </t>
  </si>
  <si>
    <t xml:space="preserve">OGTT (75g oral glucose load), Fasting glucose (md/dL) = 87 (SD = 7.5), Fasting insulin (uU/mL, median) = 9.9 (IQR = 6.8-12.5), HOMA-IR (median) = 2.1 (IQR = 1.4-2.8) </t>
  </si>
  <si>
    <t>For demographics median taken as mean, and SD estimated from IQR - see https://matthewbjane.github.io/blog-posts/blog-post-2.html</t>
  </si>
  <si>
    <t>African</t>
  </si>
  <si>
    <t>Engaged in sporting activities &lt; 2 days/week - 50%</t>
  </si>
  <si>
    <t>Engaged in sporting activities &lt; 2 days/week - 87.5%</t>
  </si>
  <si>
    <t>Engaged in sporting activities &lt; 2 days/week - 80%</t>
  </si>
  <si>
    <t>Hyperinsulinemic–euglycemic clamp technique, M-value (mg/kg/min, median) = 6.6 (IQR = 5.5-7.3)</t>
  </si>
  <si>
    <t>Hyperinsulinemic–euglycemic clamp technique, M-value -(mg/kg/min, median) = 9.1 (IQR  7.7-10)</t>
  </si>
  <si>
    <t>Hyperinsulinemic–euglycemic clamp technique, M-value (mg/kg/min, median) = 11.9 (IQR = 9.4-14.5)</t>
  </si>
  <si>
    <t>White/Caucasian = 6, Hispanic = 3, Native American = 1</t>
  </si>
  <si>
    <t>Physical activity level (ratio of TDEE/RMR) = 1.6 (SD = 0.2)</t>
  </si>
  <si>
    <t xml:space="preserve">Physical activity level (ratio of TDEE/RMR) = 1.65 </t>
  </si>
  <si>
    <t>Fasting glucose/insulin (ratio) = 6.01 (SD = 3.72), Fasting glucose (mg/dL) = 95.64 (SD = 11.03), Fasting insulin (mIU/mL) = 16.13 (SD = 9.86)</t>
  </si>
  <si>
    <t>Fasting glucose/insulin (ratio) = 13.56 (SD = 6.13), Fasting glucose (mg/dL) = 92.49 (SD = 10.66), Fasting insulin (mIU/mL) = 7.25 (SD = 3.01)</t>
  </si>
  <si>
    <t>For demographics median taken as mean, and SD estimated from range/4. Also averaged between lean and obese.</t>
  </si>
  <si>
    <t>Matched but not reported</t>
  </si>
  <si>
    <t xml:space="preserve">Short insulin tolerance test (0.5 U/kg body weight), Glucose slope (median, 3-15 mins) = 148.5 (SD = 20.5), Peak insulin (mU/L, 4 mins) = 265 (SD = 18) </t>
  </si>
  <si>
    <t xml:space="preserve">Short insulin tolerance test (0.5 U/kg body weight), Glucose slope (median, 3-15 mins) = 183.5 (SD = 26), Peak insulin (mU/L, 4 mins) = 273 (SD = 9) </t>
  </si>
  <si>
    <t>Sedentary at baseline (not specified how defined)</t>
  </si>
  <si>
    <t>Completed 12 week supervised exercise program (3 days/week endurance and resistance training)</t>
  </si>
  <si>
    <t>No exercise intervention</t>
  </si>
  <si>
    <t>Fasting insulin (pmol/L) = 116.7 (SE = 42.2)</t>
  </si>
  <si>
    <t>Fasting insulin (pmol/L) = 82.5 (SE = 20.8)</t>
  </si>
  <si>
    <t>Fasting insulin (pmol/L) = 233.8 (SE = 77.4)</t>
  </si>
  <si>
    <t>Fasting insulin (pmol/L) = 105 (SE = 24.6)</t>
  </si>
  <si>
    <t>mid_intervention</t>
  </si>
  <si>
    <t>White/Caucasian</t>
  </si>
  <si>
    <t>insulin_resistant_description</t>
  </si>
  <si>
    <t>insulin_resistant_y_n</t>
  </si>
  <si>
    <t>24-h physical activity record for all 7 d/wk in
weeks 0, 8, 20, and 32 (but not actually reported)</t>
  </si>
  <si>
    <t>Fasting glucose (mmol/L) = 5.2 (SE = 0.1), Fasting insulin (mU/L, baseline only) = 12.86 (SD = 6.95), HOMA (baseline only) = 2.5 (SD = 1.77)</t>
  </si>
  <si>
    <t>Fasting glucose (mmol/L) = 5.1 (SE = 0.5), Fasting insulin (mU/L, baseline only) = 12.86 (SD = 6.95), HOMA (baseline only) = 2.5 (SD = 1.77)</t>
  </si>
  <si>
    <t>Fasting glucose (mmol/L) = 5.0 (SE = 0.1), Fasting insulin (mU/L, baseline only) = 12.86 (SD = 6.95), HOMA (baseline only) = 2.5 (SD = 1.77)</t>
  </si>
  <si>
    <t>lower_range_bm_adjusted</t>
  </si>
  <si>
    <t>upper_range_bm_adjusted</t>
  </si>
  <si>
    <t>lower_range_ffm_adjusted</t>
  </si>
  <si>
    <t>upper_range_ffm_adjusted</t>
  </si>
  <si>
    <t>kcal/kg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</si>
</sst>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0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CBA6-16D3-4F56-AAFF-D7A43475C68F}">
  <dimension ref="A1:AY39"/>
  <sheetViews>
    <sheetView tabSelected="1" topLeftCell="I1" workbookViewId="0">
      <pane ySplit="1" topLeftCell="A11" activePane="bottomLeft" state="frozen"/>
      <selection activeCell="C1" sqref="C1"/>
      <selection pane="bottomLeft" activeCell="AC16" sqref="AC16"/>
    </sheetView>
  </sheetViews>
  <sheetFormatPr defaultColWidth="27.85546875" defaultRowHeight="15" x14ac:dyDescent="0.25"/>
  <cols>
    <col min="1" max="5" width="27.85546875" style="1"/>
    <col min="6" max="7" width="39.140625" style="1" customWidth="1"/>
    <col min="8" max="16384" width="27.85546875" style="1"/>
  </cols>
  <sheetData>
    <row r="1" spans="1:51" x14ac:dyDescent="0.25">
      <c r="A1" s="1" t="s">
        <v>83</v>
      </c>
      <c r="B1" s="1" t="s">
        <v>0</v>
      </c>
      <c r="C1" s="1" t="s">
        <v>55</v>
      </c>
      <c r="D1" s="1" t="s">
        <v>37</v>
      </c>
      <c r="E1" s="1" t="s">
        <v>20</v>
      </c>
      <c r="F1" s="1" t="s">
        <v>5</v>
      </c>
      <c r="G1" s="1" t="s">
        <v>19</v>
      </c>
      <c r="H1" s="1" t="s">
        <v>1</v>
      </c>
      <c r="I1" s="1" t="s">
        <v>91</v>
      </c>
      <c r="J1" s="1" t="s">
        <v>100</v>
      </c>
      <c r="K1" s="1" t="s">
        <v>106</v>
      </c>
      <c r="L1" s="1" t="s">
        <v>101</v>
      </c>
      <c r="M1" s="1" t="s">
        <v>107</v>
      </c>
      <c r="N1" s="1" t="s">
        <v>102</v>
      </c>
      <c r="O1" s="1" t="s">
        <v>108</v>
      </c>
      <c r="P1" s="1" t="s">
        <v>103</v>
      </c>
      <c r="Q1" s="1" t="s">
        <v>109</v>
      </c>
      <c r="R1" s="1" t="s">
        <v>104</v>
      </c>
      <c r="S1" s="1" t="s">
        <v>110</v>
      </c>
      <c r="T1" s="1" t="s">
        <v>105</v>
      </c>
      <c r="U1" s="1" t="s">
        <v>111</v>
      </c>
      <c r="V1" s="1" t="s">
        <v>51</v>
      </c>
      <c r="W1" s="1" t="s">
        <v>52</v>
      </c>
      <c r="X1" s="1" t="s">
        <v>53</v>
      </c>
      <c r="Y1" s="1" t="s">
        <v>148</v>
      </c>
      <c r="Z1" s="1" t="s">
        <v>149</v>
      </c>
      <c r="AA1" s="1" t="s">
        <v>24</v>
      </c>
      <c r="AB1" s="1" t="s">
        <v>2</v>
      </c>
      <c r="AC1" s="1" t="s">
        <v>57</v>
      </c>
      <c r="AD1" s="1" t="s">
        <v>64</v>
      </c>
      <c r="AE1" s="1" t="s">
        <v>63</v>
      </c>
      <c r="AF1" s="1" t="s">
        <v>3</v>
      </c>
      <c r="AG1" s="1" t="s">
        <v>4</v>
      </c>
      <c r="AH1" s="1" t="s">
        <v>77</v>
      </c>
      <c r="AI1" s="1" t="s">
        <v>78</v>
      </c>
      <c r="AJ1" s="1" t="s">
        <v>65</v>
      </c>
      <c r="AK1" s="1" t="s">
        <v>66</v>
      </c>
      <c r="AL1" s="1" t="s">
        <v>67</v>
      </c>
      <c r="AM1" s="1" t="s">
        <v>47</v>
      </c>
      <c r="AN1" s="1" t="s">
        <v>48</v>
      </c>
      <c r="AO1" s="1" t="s">
        <v>154</v>
      </c>
      <c r="AP1" s="1" t="s">
        <v>155</v>
      </c>
      <c r="AQ1" s="1" t="s">
        <v>68</v>
      </c>
      <c r="AR1" s="1" t="s">
        <v>69</v>
      </c>
      <c r="AS1" s="1" t="s">
        <v>70</v>
      </c>
      <c r="AT1" s="1" t="s">
        <v>49</v>
      </c>
      <c r="AU1" s="1" t="s">
        <v>50</v>
      </c>
      <c r="AV1" s="1" t="s">
        <v>156</v>
      </c>
      <c r="AW1" s="1" t="s">
        <v>157</v>
      </c>
      <c r="AX1" s="1" t="s">
        <v>71</v>
      </c>
      <c r="AY1" s="1" t="s">
        <v>62</v>
      </c>
    </row>
    <row r="2" spans="1:51" s="4" customFormat="1" ht="135" x14ac:dyDescent="0.25">
      <c r="A2" s="4">
        <v>1</v>
      </c>
      <c r="B2" s="4">
        <v>1</v>
      </c>
      <c r="C2" s="4">
        <v>1</v>
      </c>
      <c r="D2" s="4" t="s">
        <v>2</v>
      </c>
      <c r="E2" s="4" t="s">
        <v>21</v>
      </c>
      <c r="F2" s="5" t="s">
        <v>6</v>
      </c>
      <c r="G2" s="5">
        <v>2024</v>
      </c>
      <c r="H2" s="4" t="s">
        <v>22</v>
      </c>
      <c r="I2" s="4" t="s">
        <v>92</v>
      </c>
      <c r="J2" s="4">
        <v>23.3</v>
      </c>
      <c r="K2" s="4">
        <v>5.2</v>
      </c>
      <c r="N2" s="4">
        <v>27.1</v>
      </c>
      <c r="O2" s="4">
        <v>14.4</v>
      </c>
      <c r="P2" s="4">
        <v>49</v>
      </c>
      <c r="Q2" s="4">
        <v>7.7</v>
      </c>
      <c r="T2" s="4">
        <v>28.3</v>
      </c>
      <c r="U2" s="4">
        <v>7.4</v>
      </c>
      <c r="X2" s="4" t="s">
        <v>54</v>
      </c>
      <c r="Y2" s="6" t="s">
        <v>94</v>
      </c>
      <c r="Z2" s="6"/>
      <c r="AA2" s="4" t="s">
        <v>25</v>
      </c>
      <c r="AB2" s="4">
        <v>266</v>
      </c>
      <c r="AC2" s="4" t="s">
        <v>58</v>
      </c>
      <c r="AD2" s="4">
        <v>1509</v>
      </c>
      <c r="AF2" s="4">
        <v>201</v>
      </c>
      <c r="AR2" s="4">
        <v>31.8</v>
      </c>
      <c r="AT2" s="4">
        <v>4</v>
      </c>
    </row>
    <row r="3" spans="1:51" s="4" customFormat="1" ht="45" x14ac:dyDescent="0.25">
      <c r="A3" s="4">
        <v>1</v>
      </c>
      <c r="B3" s="4">
        <v>1</v>
      </c>
      <c r="C3" s="4">
        <v>2</v>
      </c>
      <c r="D3" s="4" t="s">
        <v>2</v>
      </c>
      <c r="E3" s="4" t="s">
        <v>21</v>
      </c>
      <c r="F3" s="5" t="s">
        <v>6</v>
      </c>
      <c r="G3" s="5">
        <v>2024</v>
      </c>
      <c r="H3" s="4" t="s">
        <v>23</v>
      </c>
      <c r="I3" s="4" t="s">
        <v>92</v>
      </c>
      <c r="J3" s="4">
        <v>25.2</v>
      </c>
      <c r="K3" s="4">
        <v>3.6</v>
      </c>
      <c r="N3" s="4">
        <v>13.6</v>
      </c>
      <c r="O3" s="4">
        <v>5.4</v>
      </c>
      <c r="P3" s="4">
        <v>42.8</v>
      </c>
      <c r="Q3" s="4">
        <v>4.5999999999999996</v>
      </c>
      <c r="T3" s="4">
        <v>20.399999999999999</v>
      </c>
      <c r="U3" s="4">
        <v>2</v>
      </c>
      <c r="X3" s="4" t="s">
        <v>54</v>
      </c>
      <c r="Y3" s="7" t="s">
        <v>95</v>
      </c>
      <c r="Z3" s="7"/>
      <c r="AA3" s="4" t="s">
        <v>25</v>
      </c>
      <c r="AB3" s="4">
        <v>51</v>
      </c>
      <c r="AC3" s="4" t="s">
        <v>58</v>
      </c>
      <c r="AD3" s="4">
        <v>1554</v>
      </c>
      <c r="AF3" s="4">
        <v>277</v>
      </c>
      <c r="AR3" s="4">
        <v>35.4</v>
      </c>
      <c r="AT3" s="4">
        <v>3.9</v>
      </c>
    </row>
    <row r="4" spans="1:51" s="4" customFormat="1" ht="90" x14ac:dyDescent="0.25">
      <c r="A4" s="4">
        <v>2</v>
      </c>
      <c r="B4" s="4">
        <v>2</v>
      </c>
      <c r="C4" s="4">
        <v>3</v>
      </c>
      <c r="D4" s="4" t="s">
        <v>2</v>
      </c>
      <c r="E4" s="4" t="s">
        <v>26</v>
      </c>
      <c r="F4" s="5" t="s">
        <v>7</v>
      </c>
      <c r="G4" s="5">
        <v>2017</v>
      </c>
      <c r="H4" s="4" t="s">
        <v>22</v>
      </c>
      <c r="I4" s="4" t="s">
        <v>92</v>
      </c>
      <c r="J4" s="4">
        <v>23.5</v>
      </c>
      <c r="K4" s="4">
        <v>6.3</v>
      </c>
      <c r="T4" s="4">
        <v>29.4</v>
      </c>
      <c r="U4" s="4">
        <v>6.4</v>
      </c>
      <c r="V4" s="4" t="s">
        <v>115</v>
      </c>
      <c r="W4" s="4" t="s">
        <v>98</v>
      </c>
      <c r="X4" s="4" t="s">
        <v>56</v>
      </c>
      <c r="Y4" s="7" t="s">
        <v>96</v>
      </c>
      <c r="Z4" s="7"/>
      <c r="AA4" s="4" t="s">
        <v>25</v>
      </c>
      <c r="AB4" s="4">
        <v>84</v>
      </c>
      <c r="AC4" s="4" t="s">
        <v>58</v>
      </c>
      <c r="AD4" s="4">
        <v>1463</v>
      </c>
      <c r="AF4" s="4">
        <v>248</v>
      </c>
    </row>
    <row r="5" spans="1:51" s="4" customFormat="1" ht="90" x14ac:dyDescent="0.25">
      <c r="A5" s="4">
        <v>2</v>
      </c>
      <c r="B5" s="4">
        <v>2</v>
      </c>
      <c r="C5" s="4">
        <v>4</v>
      </c>
      <c r="D5" s="4" t="s">
        <v>2</v>
      </c>
      <c r="E5" s="4" t="s">
        <v>26</v>
      </c>
      <c r="F5" s="5" t="s">
        <v>7</v>
      </c>
      <c r="G5" s="5">
        <v>2017</v>
      </c>
      <c r="H5" s="4" t="s">
        <v>23</v>
      </c>
      <c r="I5" s="4" t="s">
        <v>92</v>
      </c>
      <c r="J5" s="4">
        <v>26.2</v>
      </c>
      <c r="K5" s="4">
        <v>6.5</v>
      </c>
      <c r="T5" s="4">
        <v>27.2</v>
      </c>
      <c r="U5" s="4">
        <v>5.8</v>
      </c>
      <c r="V5" s="4" t="s">
        <v>116</v>
      </c>
      <c r="W5" s="4" t="s">
        <v>99</v>
      </c>
      <c r="X5" s="4" t="s">
        <v>56</v>
      </c>
      <c r="Y5" s="7" t="s">
        <v>97</v>
      </c>
      <c r="Z5" s="7"/>
      <c r="AA5" s="4" t="s">
        <v>25</v>
      </c>
      <c r="AB5" s="4">
        <v>54</v>
      </c>
      <c r="AC5" s="4" t="s">
        <v>58</v>
      </c>
      <c r="AD5" s="4">
        <v>1468</v>
      </c>
      <c r="AF5" s="4">
        <v>253</v>
      </c>
    </row>
    <row r="6" spans="1:51" s="4" customFormat="1" ht="90" x14ac:dyDescent="0.25">
      <c r="A6" s="4">
        <v>2</v>
      </c>
      <c r="B6" s="4">
        <v>3</v>
      </c>
      <c r="C6" s="4">
        <v>5</v>
      </c>
      <c r="D6" s="4" t="s">
        <v>38</v>
      </c>
      <c r="E6" s="4" t="s">
        <v>26</v>
      </c>
      <c r="F6" s="5" t="s">
        <v>18</v>
      </c>
      <c r="G6" s="5">
        <v>2013</v>
      </c>
      <c r="H6" s="4" t="s">
        <v>22</v>
      </c>
      <c r="I6" s="4" t="s">
        <v>92</v>
      </c>
      <c r="J6" s="4">
        <v>22.7</v>
      </c>
      <c r="K6" s="4">
        <v>6.2</v>
      </c>
      <c r="T6" s="4">
        <v>28.9</v>
      </c>
      <c r="U6" s="4">
        <v>5.6</v>
      </c>
      <c r="V6" s="4" t="s">
        <v>117</v>
      </c>
      <c r="W6" s="4" t="s">
        <v>112</v>
      </c>
      <c r="X6" s="4" t="s">
        <v>56</v>
      </c>
      <c r="Y6" s="7" t="s">
        <v>120</v>
      </c>
      <c r="Z6" s="7"/>
      <c r="AA6" s="4" t="s">
        <v>25</v>
      </c>
      <c r="AB6" s="4">
        <v>61</v>
      </c>
      <c r="AC6" s="4" t="s">
        <v>58</v>
      </c>
      <c r="AD6" s="4">
        <v>1469</v>
      </c>
      <c r="AF6" s="4">
        <v>227</v>
      </c>
    </row>
    <row r="7" spans="1:51" s="4" customFormat="1" ht="90" x14ac:dyDescent="0.25">
      <c r="A7" s="4">
        <v>2</v>
      </c>
      <c r="B7" s="4">
        <v>3</v>
      </c>
      <c r="C7" s="4">
        <v>6</v>
      </c>
      <c r="D7" s="4" t="s">
        <v>38</v>
      </c>
      <c r="E7" s="4" t="s">
        <v>26</v>
      </c>
      <c r="F7" s="5" t="s">
        <v>18</v>
      </c>
      <c r="G7" s="5">
        <v>2013</v>
      </c>
      <c r="H7" s="4" t="s">
        <v>23</v>
      </c>
      <c r="I7" s="4" t="s">
        <v>92</v>
      </c>
      <c r="J7" s="4">
        <v>25</v>
      </c>
      <c r="K7" s="4">
        <v>5.6</v>
      </c>
      <c r="T7" s="4">
        <v>27.1</v>
      </c>
      <c r="U7" s="4">
        <v>5.7</v>
      </c>
      <c r="V7" s="4" t="s">
        <v>117</v>
      </c>
      <c r="W7" s="4" t="s">
        <v>113</v>
      </c>
      <c r="X7" s="4" t="s">
        <v>56</v>
      </c>
      <c r="Y7" s="7" t="s">
        <v>121</v>
      </c>
      <c r="Z7" s="7"/>
      <c r="AA7" s="4" t="s">
        <v>25</v>
      </c>
      <c r="AB7" s="4">
        <v>44</v>
      </c>
      <c r="AC7" s="4" t="s">
        <v>58</v>
      </c>
      <c r="AD7" s="4">
        <v>1453</v>
      </c>
      <c r="AF7" s="4">
        <v>249</v>
      </c>
    </row>
    <row r="8" spans="1:51" s="4" customFormat="1" ht="90" x14ac:dyDescent="0.25">
      <c r="A8" s="4">
        <v>3</v>
      </c>
      <c r="B8" s="4">
        <v>4</v>
      </c>
      <c r="C8" s="4">
        <v>7</v>
      </c>
      <c r="D8" s="4" t="s">
        <v>38</v>
      </c>
      <c r="E8" s="4" t="s">
        <v>27</v>
      </c>
      <c r="F8" s="5" t="s">
        <v>8</v>
      </c>
      <c r="G8" s="5">
        <v>2017</v>
      </c>
      <c r="H8" s="4" t="s">
        <v>22</v>
      </c>
      <c r="I8" s="4" t="s">
        <v>92</v>
      </c>
      <c r="J8" s="4">
        <v>30.8</v>
      </c>
      <c r="K8" s="4">
        <v>5.4</v>
      </c>
      <c r="L8" s="4">
        <v>85.3</v>
      </c>
      <c r="M8" s="4">
        <v>13.1</v>
      </c>
      <c r="T8" s="4">
        <v>32.6</v>
      </c>
      <c r="U8" s="4">
        <v>3.7</v>
      </c>
      <c r="W8" s="4" t="s">
        <v>114</v>
      </c>
      <c r="X8" s="4" t="s">
        <v>56</v>
      </c>
      <c r="Y8" s="7"/>
      <c r="Z8" s="7"/>
      <c r="AA8" s="4" t="s">
        <v>25</v>
      </c>
      <c r="AB8" s="4">
        <v>30</v>
      </c>
      <c r="AC8" s="4" t="s">
        <v>58</v>
      </c>
      <c r="AD8" s="4">
        <v>1677</v>
      </c>
      <c r="AF8" s="4">
        <v>210</v>
      </c>
    </row>
    <row r="9" spans="1:51" s="4" customFormat="1" ht="60" x14ac:dyDescent="0.25">
      <c r="A9" s="4">
        <v>4</v>
      </c>
      <c r="B9" s="4">
        <v>5</v>
      </c>
      <c r="C9" s="4">
        <v>8</v>
      </c>
      <c r="D9" s="4" t="s">
        <v>38</v>
      </c>
      <c r="E9" s="4" t="s">
        <v>28</v>
      </c>
      <c r="F9" s="5" t="s">
        <v>9</v>
      </c>
      <c r="G9" s="5">
        <v>2017</v>
      </c>
      <c r="H9" s="4" t="s">
        <v>22</v>
      </c>
      <c r="I9" s="4" t="s">
        <v>92</v>
      </c>
      <c r="J9" s="4">
        <v>28.6</v>
      </c>
      <c r="K9" s="4">
        <v>5</v>
      </c>
      <c r="L9" s="4">
        <v>104.1</v>
      </c>
      <c r="M9" s="4">
        <v>19.3</v>
      </c>
      <c r="N9" s="4">
        <v>51.6</v>
      </c>
      <c r="O9" s="4">
        <v>15.4</v>
      </c>
      <c r="P9" s="4">
        <v>52.5</v>
      </c>
      <c r="Q9" s="4">
        <v>7.5</v>
      </c>
      <c r="T9" s="4">
        <v>39.9</v>
      </c>
      <c r="U9" s="4">
        <v>8.3000000000000007</v>
      </c>
      <c r="V9" s="4" t="s">
        <v>118</v>
      </c>
      <c r="W9" s="4" t="s">
        <v>131</v>
      </c>
      <c r="X9" s="4" t="s">
        <v>59</v>
      </c>
      <c r="Y9" s="7" t="s">
        <v>119</v>
      </c>
      <c r="Z9" s="7"/>
      <c r="AA9" s="4" t="s">
        <v>60</v>
      </c>
      <c r="AB9" s="4">
        <v>28</v>
      </c>
      <c r="AC9" s="4" t="s">
        <v>58</v>
      </c>
      <c r="AD9" s="4">
        <v>1689</v>
      </c>
      <c r="AF9" s="4">
        <v>230</v>
      </c>
    </row>
    <row r="10" spans="1:51" s="2" customFormat="1" ht="90" x14ac:dyDescent="0.25">
      <c r="A10" s="2">
        <v>5</v>
      </c>
      <c r="B10" s="2">
        <v>6</v>
      </c>
      <c r="C10" s="2">
        <v>9</v>
      </c>
      <c r="D10" s="2" t="s">
        <v>38</v>
      </c>
      <c r="E10" s="2" t="s">
        <v>29</v>
      </c>
      <c r="F10" s="3" t="s">
        <v>10</v>
      </c>
      <c r="G10" s="3">
        <v>2016</v>
      </c>
      <c r="H10" s="2" t="s">
        <v>22</v>
      </c>
      <c r="I10" s="2" t="s">
        <v>92</v>
      </c>
      <c r="J10" s="2">
        <v>26</v>
      </c>
      <c r="K10" s="2">
        <v>5.2</v>
      </c>
      <c r="N10" s="2">
        <v>41.2</v>
      </c>
      <c r="O10" s="2">
        <v>12.5</v>
      </c>
      <c r="P10" s="2">
        <v>56.3</v>
      </c>
      <c r="Q10" s="2">
        <v>5</v>
      </c>
      <c r="T10" s="2">
        <v>34.1</v>
      </c>
      <c r="U10" s="2">
        <v>3.6</v>
      </c>
      <c r="V10" s="2" t="s">
        <v>123</v>
      </c>
      <c r="W10" s="2" t="s">
        <v>124</v>
      </c>
      <c r="X10" s="2" t="s">
        <v>61</v>
      </c>
      <c r="Y10" s="2" t="s">
        <v>127</v>
      </c>
      <c r="AA10" s="2" t="s">
        <v>25</v>
      </c>
      <c r="AB10" s="2">
        <v>6</v>
      </c>
      <c r="AC10" s="2" t="s">
        <v>58</v>
      </c>
      <c r="AL10" s="2">
        <v>1411</v>
      </c>
      <c r="AQ10" s="2">
        <f>1613-1368</f>
        <v>245</v>
      </c>
      <c r="AY10" s="2" t="s">
        <v>122</v>
      </c>
    </row>
    <row r="11" spans="1:51" s="2" customFormat="1" ht="90" x14ac:dyDescent="0.25">
      <c r="A11" s="2">
        <v>5</v>
      </c>
      <c r="B11" s="2">
        <v>6</v>
      </c>
      <c r="C11" s="2">
        <v>10</v>
      </c>
      <c r="D11" s="2" t="s">
        <v>38</v>
      </c>
      <c r="E11" s="2" t="s">
        <v>29</v>
      </c>
      <c r="F11" s="3" t="s">
        <v>10</v>
      </c>
      <c r="G11" s="3">
        <v>2016</v>
      </c>
      <c r="H11" s="2" t="s">
        <v>22</v>
      </c>
      <c r="I11" s="2" t="s">
        <v>92</v>
      </c>
      <c r="J11" s="2">
        <v>27</v>
      </c>
      <c r="K11" s="2">
        <v>3.7</v>
      </c>
      <c r="N11" s="2">
        <v>23.3</v>
      </c>
      <c r="O11" s="2">
        <v>6.9</v>
      </c>
      <c r="P11" s="2">
        <v>47.4</v>
      </c>
      <c r="Q11" s="2">
        <v>5.6</v>
      </c>
      <c r="T11" s="2">
        <v>26.4</v>
      </c>
      <c r="U11" s="2">
        <v>3</v>
      </c>
      <c r="V11" s="2" t="s">
        <v>123</v>
      </c>
      <c r="W11" s="2" t="s">
        <v>125</v>
      </c>
      <c r="X11" s="2" t="s">
        <v>61</v>
      </c>
      <c r="Y11" s="2" t="s">
        <v>128</v>
      </c>
      <c r="AA11" s="2" t="s">
        <v>25</v>
      </c>
      <c r="AB11" s="2">
        <v>8</v>
      </c>
      <c r="AC11" s="2" t="s">
        <v>58</v>
      </c>
      <c r="AL11" s="2">
        <v>1274</v>
      </c>
      <c r="AQ11" s="2">
        <f>1355-1174</f>
        <v>181</v>
      </c>
      <c r="AY11" s="2" t="s">
        <v>122</v>
      </c>
    </row>
    <row r="12" spans="1:51" s="2" customFormat="1" ht="90" x14ac:dyDescent="0.25">
      <c r="A12" s="2">
        <v>5</v>
      </c>
      <c r="B12" s="2">
        <v>6</v>
      </c>
      <c r="C12" s="2">
        <v>11</v>
      </c>
      <c r="D12" s="2" t="s">
        <v>38</v>
      </c>
      <c r="E12" s="2" t="s">
        <v>29</v>
      </c>
      <c r="F12" s="3" t="s">
        <v>10</v>
      </c>
      <c r="G12" s="3">
        <v>2016</v>
      </c>
      <c r="H12" s="2" t="s">
        <v>23</v>
      </c>
      <c r="I12" s="2" t="s">
        <v>92</v>
      </c>
      <c r="J12" s="2">
        <v>23</v>
      </c>
      <c r="K12" s="2">
        <v>0.7</v>
      </c>
      <c r="N12" s="2">
        <v>17.100000000000001</v>
      </c>
      <c r="O12" s="2">
        <v>7.6</v>
      </c>
      <c r="P12" s="2">
        <v>45.9</v>
      </c>
      <c r="Q12" s="2">
        <v>6.7</v>
      </c>
      <c r="T12" s="2">
        <v>22.5</v>
      </c>
      <c r="U12" s="2">
        <v>3.6</v>
      </c>
      <c r="V12" s="2" t="s">
        <v>123</v>
      </c>
      <c r="W12" s="2" t="s">
        <v>126</v>
      </c>
      <c r="X12" s="2" t="s">
        <v>61</v>
      </c>
      <c r="Y12" s="2" t="s">
        <v>129</v>
      </c>
      <c r="AA12" s="2" t="s">
        <v>25</v>
      </c>
      <c r="AB12" s="2">
        <v>10</v>
      </c>
      <c r="AC12" s="2" t="s">
        <v>58</v>
      </c>
      <c r="AL12" s="2">
        <v>1239</v>
      </c>
      <c r="AQ12" s="2">
        <f>1454-1195</f>
        <v>259</v>
      </c>
      <c r="AY12" s="2" t="s">
        <v>122</v>
      </c>
    </row>
    <row r="13" spans="1:51" s="4" customFormat="1" ht="39" x14ac:dyDescent="0.25">
      <c r="A13" s="4">
        <v>6</v>
      </c>
      <c r="B13" s="4">
        <v>7</v>
      </c>
      <c r="C13" s="4">
        <v>12</v>
      </c>
      <c r="D13" s="4" t="s">
        <v>38</v>
      </c>
      <c r="E13" s="4" t="s">
        <v>30</v>
      </c>
      <c r="F13" s="5" t="s">
        <v>11</v>
      </c>
      <c r="G13" s="5">
        <v>2016</v>
      </c>
      <c r="H13" s="4" t="s">
        <v>22</v>
      </c>
      <c r="I13" s="4" t="s">
        <v>92</v>
      </c>
      <c r="J13" s="4">
        <v>30.2</v>
      </c>
      <c r="K13" s="4">
        <v>4.4000000000000004</v>
      </c>
      <c r="L13" s="4">
        <v>79.599999999999994</v>
      </c>
      <c r="M13" s="4">
        <v>20.3</v>
      </c>
      <c r="R13" s="4">
        <v>167.3</v>
      </c>
      <c r="S13" s="4">
        <v>6.8</v>
      </c>
      <c r="T13" s="4">
        <v>28.5</v>
      </c>
      <c r="U13" s="4">
        <v>7.2</v>
      </c>
      <c r="X13" s="4" t="s">
        <v>72</v>
      </c>
      <c r="Y13" s="7"/>
      <c r="Z13" s="7"/>
      <c r="AA13" s="4" t="s">
        <v>25</v>
      </c>
      <c r="AB13" s="4">
        <v>72</v>
      </c>
      <c r="AC13" s="4" t="s">
        <v>58</v>
      </c>
      <c r="AD13" s="4">
        <v>1411</v>
      </c>
      <c r="AF13" s="4">
        <v>229</v>
      </c>
    </row>
    <row r="14" spans="1:51" s="4" customFormat="1" ht="39" x14ac:dyDescent="0.25">
      <c r="A14" s="4">
        <v>6</v>
      </c>
      <c r="B14" s="4">
        <v>7</v>
      </c>
      <c r="C14" s="4">
        <v>13</v>
      </c>
      <c r="D14" s="4" t="s">
        <v>38</v>
      </c>
      <c r="E14" s="4" t="s">
        <v>30</v>
      </c>
      <c r="F14" s="5" t="s">
        <v>11</v>
      </c>
      <c r="G14" s="5">
        <v>2016</v>
      </c>
      <c r="H14" s="4" t="s">
        <v>23</v>
      </c>
      <c r="I14" s="4" t="s">
        <v>92</v>
      </c>
      <c r="J14" s="4">
        <v>27.8</v>
      </c>
      <c r="K14" s="4">
        <v>3.6</v>
      </c>
      <c r="L14" s="4">
        <v>70.900000000000006</v>
      </c>
      <c r="M14" s="4">
        <v>17.100000000000001</v>
      </c>
      <c r="R14" s="4">
        <v>169</v>
      </c>
      <c r="S14" s="4">
        <v>6.5</v>
      </c>
      <c r="T14" s="4">
        <v>24.6</v>
      </c>
      <c r="U14" s="4">
        <v>5</v>
      </c>
      <c r="X14" s="4" t="s">
        <v>72</v>
      </c>
      <c r="Y14" s="7"/>
      <c r="Z14" s="7"/>
      <c r="AA14" s="4" t="s">
        <v>25</v>
      </c>
      <c r="AB14" s="4">
        <v>30</v>
      </c>
      <c r="AC14" s="4" t="s">
        <v>58</v>
      </c>
      <c r="AD14" s="4">
        <v>1325</v>
      </c>
      <c r="AF14" s="4">
        <v>193</v>
      </c>
    </row>
    <row r="15" spans="1:51" s="4" customFormat="1" ht="135" x14ac:dyDescent="0.25">
      <c r="A15" s="4">
        <v>7</v>
      </c>
      <c r="B15" s="4">
        <v>8</v>
      </c>
      <c r="C15" s="4">
        <v>14</v>
      </c>
      <c r="D15" s="4" t="s">
        <v>2</v>
      </c>
      <c r="E15" s="4" t="s">
        <v>31</v>
      </c>
      <c r="F15" s="5" t="s">
        <v>12</v>
      </c>
      <c r="G15" s="5">
        <v>2014</v>
      </c>
      <c r="H15" s="4" t="s">
        <v>22</v>
      </c>
      <c r="I15" s="4" t="s">
        <v>92</v>
      </c>
      <c r="J15" s="4">
        <v>29.6</v>
      </c>
      <c r="K15" s="4">
        <v>4.5999999999999996</v>
      </c>
      <c r="L15" s="4">
        <v>105.4</v>
      </c>
      <c r="M15" s="4">
        <v>14.5</v>
      </c>
      <c r="N15" s="4">
        <v>52.4</v>
      </c>
      <c r="O15" s="4">
        <v>14.8</v>
      </c>
      <c r="P15" s="4">
        <v>52.3</v>
      </c>
      <c r="Q15" s="4">
        <v>10.7</v>
      </c>
      <c r="T15" s="4">
        <v>38.5</v>
      </c>
      <c r="U15" s="4">
        <v>4.2</v>
      </c>
      <c r="V15" s="4" t="s">
        <v>130</v>
      </c>
      <c r="W15" s="4" t="s">
        <v>132</v>
      </c>
      <c r="X15" s="4" t="s">
        <v>59</v>
      </c>
      <c r="Y15" s="7" t="s">
        <v>89</v>
      </c>
      <c r="Z15" s="7"/>
      <c r="AA15" s="4" t="s">
        <v>25</v>
      </c>
      <c r="AB15" s="4">
        <v>10</v>
      </c>
      <c r="AC15" s="4" t="s">
        <v>158</v>
      </c>
      <c r="AK15" s="4">
        <f>0.21*2*24</f>
        <v>10.08</v>
      </c>
      <c r="AM15" s="4">
        <f>0.02*2*24</f>
        <v>0.96</v>
      </c>
      <c r="AY15" s="4" t="s">
        <v>84</v>
      </c>
    </row>
    <row r="16" spans="1:51" s="4" customFormat="1" ht="135" x14ac:dyDescent="0.25">
      <c r="A16" s="4">
        <v>7</v>
      </c>
      <c r="B16" s="4">
        <v>8</v>
      </c>
      <c r="C16" s="4">
        <v>14</v>
      </c>
      <c r="D16" s="4" t="s">
        <v>2</v>
      </c>
      <c r="E16" s="4" t="s">
        <v>31</v>
      </c>
      <c r="F16" s="5" t="s">
        <v>12</v>
      </c>
      <c r="G16" s="5">
        <v>2014</v>
      </c>
      <c r="H16" s="4" t="s">
        <v>22</v>
      </c>
      <c r="I16" s="4" t="s">
        <v>93</v>
      </c>
      <c r="J16" s="4">
        <v>29.6</v>
      </c>
      <c r="K16" s="4">
        <v>4.5999999999999996</v>
      </c>
      <c r="L16" s="4">
        <v>97.3</v>
      </c>
      <c r="M16" s="4">
        <v>13.9</v>
      </c>
      <c r="N16" s="4">
        <v>45.7</v>
      </c>
      <c r="O16" s="4">
        <v>12.5</v>
      </c>
      <c r="P16" s="4">
        <v>50.5</v>
      </c>
      <c r="Q16" s="4">
        <v>11.4</v>
      </c>
      <c r="T16" s="4">
        <v>35.5</v>
      </c>
      <c r="U16" s="4">
        <v>4.5</v>
      </c>
      <c r="V16" s="4" t="s">
        <v>130</v>
      </c>
      <c r="W16" s="4" t="s">
        <v>132</v>
      </c>
      <c r="X16" s="4" t="s">
        <v>59</v>
      </c>
      <c r="Y16" s="7" t="s">
        <v>90</v>
      </c>
      <c r="Z16" s="7"/>
      <c r="AA16" s="4" t="s">
        <v>25</v>
      </c>
      <c r="AB16" s="4">
        <v>10</v>
      </c>
      <c r="AC16" s="4" t="s">
        <v>158</v>
      </c>
      <c r="AK16" s="4">
        <f>0.21*2*24</f>
        <v>10.08</v>
      </c>
      <c r="AM16" s="4">
        <f>0.02*2*24</f>
        <v>0.96</v>
      </c>
      <c r="AY16" s="4" t="s">
        <v>84</v>
      </c>
    </row>
    <row r="17" spans="1:51" s="2" customFormat="1" ht="51.75" x14ac:dyDescent="0.25">
      <c r="A17" s="2">
        <v>8</v>
      </c>
      <c r="B17" s="2">
        <v>9</v>
      </c>
      <c r="C17" s="2">
        <v>15</v>
      </c>
      <c r="D17" s="2" t="s">
        <v>38</v>
      </c>
      <c r="E17" s="2" t="s">
        <v>32</v>
      </c>
      <c r="F17" s="3" t="s">
        <v>13</v>
      </c>
      <c r="G17" s="3">
        <v>2009</v>
      </c>
      <c r="H17" s="2" t="s">
        <v>22</v>
      </c>
      <c r="J17" s="2">
        <v>23.56</v>
      </c>
      <c r="K17" s="2">
        <v>4.6119843885251823</v>
      </c>
      <c r="T17" s="2">
        <v>24.79</v>
      </c>
      <c r="U17" s="2">
        <v>5.1545707871752038</v>
      </c>
      <c r="X17" s="2" t="s">
        <v>73</v>
      </c>
      <c r="AA17" s="2" t="s">
        <v>25</v>
      </c>
      <c r="AB17" s="2">
        <v>46</v>
      </c>
    </row>
    <row r="18" spans="1:51" s="2" customFormat="1" ht="51.75" x14ac:dyDescent="0.25">
      <c r="A18" s="2">
        <v>8</v>
      </c>
      <c r="B18" s="2">
        <v>9</v>
      </c>
      <c r="C18" s="2">
        <v>16</v>
      </c>
      <c r="D18" s="2" t="s">
        <v>38</v>
      </c>
      <c r="E18" s="2" t="s">
        <v>32</v>
      </c>
      <c r="F18" s="3" t="s">
        <v>13</v>
      </c>
      <c r="G18" s="3">
        <v>2009</v>
      </c>
      <c r="H18" s="2" t="s">
        <v>22</v>
      </c>
      <c r="J18" s="2">
        <v>23.97</v>
      </c>
      <c r="K18" s="2">
        <v>5.15</v>
      </c>
      <c r="T18" s="2">
        <v>30.45</v>
      </c>
      <c r="U18" s="2">
        <v>7.55</v>
      </c>
      <c r="X18" s="2" t="s">
        <v>73</v>
      </c>
      <c r="AA18" s="2" t="s">
        <v>25</v>
      </c>
      <c r="AB18" s="2">
        <v>25</v>
      </c>
    </row>
    <row r="19" spans="1:51" s="2" customFormat="1" ht="51.75" x14ac:dyDescent="0.25">
      <c r="A19" s="2">
        <v>8</v>
      </c>
      <c r="B19" s="2">
        <v>9</v>
      </c>
      <c r="C19" s="2">
        <v>17</v>
      </c>
      <c r="D19" s="2" t="s">
        <v>38</v>
      </c>
      <c r="E19" s="2" t="s">
        <v>32</v>
      </c>
      <c r="F19" s="3" t="s">
        <v>13</v>
      </c>
      <c r="G19" s="3">
        <v>2009</v>
      </c>
      <c r="H19" s="2" t="s">
        <v>23</v>
      </c>
      <c r="J19" s="2">
        <v>25.17</v>
      </c>
      <c r="K19" s="2">
        <v>5.4039985196148974</v>
      </c>
      <c r="T19" s="2">
        <v>23.7</v>
      </c>
      <c r="U19" s="2">
        <v>7.0667672948810187</v>
      </c>
      <c r="X19" s="2" t="s">
        <v>73</v>
      </c>
      <c r="AA19" s="2" t="s">
        <v>25</v>
      </c>
      <c r="AB19" s="2">
        <v>48</v>
      </c>
    </row>
    <row r="20" spans="1:51" s="2" customFormat="1" ht="26.25" x14ac:dyDescent="0.25">
      <c r="A20" s="2">
        <v>8</v>
      </c>
      <c r="B20" s="2">
        <v>10</v>
      </c>
      <c r="C20" s="2">
        <v>18</v>
      </c>
      <c r="D20" s="2" t="s">
        <v>38</v>
      </c>
      <c r="E20" s="2" t="s">
        <v>34</v>
      </c>
      <c r="F20" s="3" t="s">
        <v>15</v>
      </c>
      <c r="G20" s="3">
        <v>2007</v>
      </c>
      <c r="H20" s="2" t="s">
        <v>22</v>
      </c>
      <c r="J20" s="2">
        <v>23.98</v>
      </c>
      <c r="T20" s="2">
        <v>26.7</v>
      </c>
      <c r="X20" s="2" t="s">
        <v>73</v>
      </c>
      <c r="AA20" s="2" t="s">
        <v>25</v>
      </c>
      <c r="AB20" s="2">
        <v>109</v>
      </c>
    </row>
    <row r="21" spans="1:51" s="2" customFormat="1" ht="26.25" x14ac:dyDescent="0.25">
      <c r="A21" s="2">
        <v>8</v>
      </c>
      <c r="B21" s="2">
        <v>10</v>
      </c>
      <c r="C21" s="2">
        <v>19</v>
      </c>
      <c r="D21" s="2" t="s">
        <v>38</v>
      </c>
      <c r="E21" s="2" t="s">
        <v>34</v>
      </c>
      <c r="F21" s="3" t="s">
        <v>15</v>
      </c>
      <c r="G21" s="3">
        <v>2007</v>
      </c>
      <c r="H21" s="2" t="s">
        <v>23</v>
      </c>
      <c r="J21" s="2">
        <v>27</v>
      </c>
      <c r="T21" s="2">
        <v>19.100000000000001</v>
      </c>
      <c r="X21" s="2" t="s">
        <v>73</v>
      </c>
      <c r="AA21" s="2" t="s">
        <v>25</v>
      </c>
      <c r="AB21" s="2">
        <v>114</v>
      </c>
    </row>
    <row r="22" spans="1:51" s="2" customFormat="1" ht="75" x14ac:dyDescent="0.25">
      <c r="A22" s="2">
        <v>8</v>
      </c>
      <c r="B22" s="2">
        <v>11</v>
      </c>
      <c r="C22" s="2">
        <v>20</v>
      </c>
      <c r="D22" s="2" t="s">
        <v>38</v>
      </c>
      <c r="E22" s="2" t="s">
        <v>41</v>
      </c>
      <c r="F22" s="2" t="s">
        <v>42</v>
      </c>
      <c r="G22" s="2">
        <v>2006</v>
      </c>
      <c r="H22" s="2" t="s">
        <v>23</v>
      </c>
      <c r="J22" s="2">
        <v>34</v>
      </c>
      <c r="T22" s="2">
        <v>19.100000000000001</v>
      </c>
      <c r="X22" s="2" t="s">
        <v>73</v>
      </c>
      <c r="AA22" s="2" t="s">
        <v>25</v>
      </c>
      <c r="AB22" s="2">
        <v>47</v>
      </c>
    </row>
    <row r="23" spans="1:51" s="2" customFormat="1" ht="75" x14ac:dyDescent="0.25">
      <c r="A23" s="2">
        <v>8</v>
      </c>
      <c r="B23" s="2">
        <v>11</v>
      </c>
      <c r="C23" s="2">
        <v>21</v>
      </c>
      <c r="D23" s="2" t="s">
        <v>38</v>
      </c>
      <c r="E23" s="2" t="s">
        <v>41</v>
      </c>
      <c r="F23" s="2" t="s">
        <v>42</v>
      </c>
      <c r="G23" s="2">
        <v>2006</v>
      </c>
      <c r="H23" s="2" t="s">
        <v>22</v>
      </c>
      <c r="J23" s="2">
        <v>24</v>
      </c>
      <c r="L23" s="2">
        <v>72.5</v>
      </c>
      <c r="N23" s="2">
        <v>164</v>
      </c>
      <c r="T23" s="2">
        <v>27.41</v>
      </c>
      <c r="X23" s="2" t="s">
        <v>73</v>
      </c>
      <c r="AA23" s="2" t="s">
        <v>25</v>
      </c>
      <c r="AB23" s="2">
        <v>63</v>
      </c>
    </row>
    <row r="24" spans="1:51" s="2" customFormat="1" ht="75" x14ac:dyDescent="0.25">
      <c r="A24" s="2">
        <v>8</v>
      </c>
      <c r="B24" s="2">
        <v>12</v>
      </c>
      <c r="C24" s="2">
        <v>22</v>
      </c>
      <c r="D24" s="2" t="s">
        <v>38</v>
      </c>
      <c r="E24" s="2" t="s">
        <v>46</v>
      </c>
      <c r="F24" s="2" t="s">
        <v>45</v>
      </c>
      <c r="G24" s="2">
        <v>2009</v>
      </c>
      <c r="H24" s="2" t="s">
        <v>22</v>
      </c>
      <c r="J24" s="2">
        <v>22.82</v>
      </c>
      <c r="T24" s="2">
        <v>25.7</v>
      </c>
      <c r="V24" s="2" t="s">
        <v>80</v>
      </c>
      <c r="X24" s="2" t="s">
        <v>73</v>
      </c>
      <c r="AA24" s="2" t="s">
        <v>25</v>
      </c>
      <c r="AB24" s="2">
        <v>156</v>
      </c>
    </row>
    <row r="25" spans="1:51" s="2" customFormat="1" ht="75" x14ac:dyDescent="0.25">
      <c r="A25" s="2">
        <v>8</v>
      </c>
      <c r="B25" s="2">
        <v>12</v>
      </c>
      <c r="C25" s="2">
        <v>23</v>
      </c>
      <c r="D25" s="2" t="s">
        <v>38</v>
      </c>
      <c r="E25" s="2" t="s">
        <v>46</v>
      </c>
      <c r="F25" s="2" t="s">
        <v>45</v>
      </c>
      <c r="G25" s="2">
        <v>2009</v>
      </c>
      <c r="H25" s="2" t="s">
        <v>23</v>
      </c>
      <c r="J25" s="2">
        <v>22.91</v>
      </c>
      <c r="T25" s="2">
        <v>21.190999999999999</v>
      </c>
      <c r="V25" s="2" t="s">
        <v>80</v>
      </c>
      <c r="X25" s="2" t="s">
        <v>73</v>
      </c>
      <c r="AA25" s="2" t="s">
        <v>25</v>
      </c>
      <c r="AB25" s="2">
        <v>56</v>
      </c>
    </row>
    <row r="26" spans="1:51" s="4" customFormat="1" ht="90" x14ac:dyDescent="0.25">
      <c r="A26" s="4">
        <v>9</v>
      </c>
      <c r="B26" s="4">
        <v>13</v>
      </c>
      <c r="C26" s="4">
        <v>24</v>
      </c>
      <c r="D26" s="4" t="s">
        <v>38</v>
      </c>
      <c r="E26" s="4" t="s">
        <v>33</v>
      </c>
      <c r="F26" s="5" t="s">
        <v>14</v>
      </c>
      <c r="G26" s="5">
        <v>2008</v>
      </c>
      <c r="H26" s="4" t="s">
        <v>22</v>
      </c>
      <c r="I26" s="4" t="s">
        <v>92</v>
      </c>
      <c r="J26" s="4">
        <v>25.9</v>
      </c>
      <c r="K26" s="4">
        <v>5.3</v>
      </c>
      <c r="T26" s="4">
        <v>26.97</v>
      </c>
      <c r="U26" s="4">
        <v>5.12</v>
      </c>
      <c r="X26" s="4" t="s">
        <v>74</v>
      </c>
      <c r="Y26" s="7" t="s">
        <v>133</v>
      </c>
      <c r="Z26" s="7"/>
      <c r="AA26" s="4" t="s">
        <v>25</v>
      </c>
      <c r="AB26" s="4">
        <v>31</v>
      </c>
      <c r="AC26" s="4" t="s">
        <v>58</v>
      </c>
      <c r="AD26" s="4">
        <v>1166.8699999999999</v>
      </c>
      <c r="AF26" s="4">
        <v>370.98</v>
      </c>
    </row>
    <row r="27" spans="1:51" s="4" customFormat="1" ht="90" x14ac:dyDescent="0.25">
      <c r="A27" s="4">
        <v>9</v>
      </c>
      <c r="B27" s="4">
        <v>13</v>
      </c>
      <c r="C27" s="4">
        <v>25</v>
      </c>
      <c r="D27" s="4" t="s">
        <v>38</v>
      </c>
      <c r="E27" s="4" t="s">
        <v>33</v>
      </c>
      <c r="F27" s="5" t="s">
        <v>14</v>
      </c>
      <c r="G27" s="5">
        <v>2008</v>
      </c>
      <c r="H27" s="4" t="s">
        <v>23</v>
      </c>
      <c r="I27" s="4" t="s">
        <v>92</v>
      </c>
      <c r="J27" s="4">
        <v>27.1</v>
      </c>
      <c r="K27" s="4">
        <v>4.8</v>
      </c>
      <c r="T27" s="4">
        <v>26.03</v>
      </c>
      <c r="U27" s="4">
        <v>5.66</v>
      </c>
      <c r="X27" s="4" t="s">
        <v>74</v>
      </c>
      <c r="Y27" s="7" t="s">
        <v>134</v>
      </c>
      <c r="Z27" s="7"/>
      <c r="AA27" s="4" t="s">
        <v>25</v>
      </c>
      <c r="AB27" s="4">
        <v>29</v>
      </c>
      <c r="AC27" s="4" t="s">
        <v>58</v>
      </c>
      <c r="AD27" s="4">
        <v>1045.52</v>
      </c>
      <c r="AF27" s="4">
        <v>295.86</v>
      </c>
    </row>
    <row r="28" spans="1:51" s="4" customFormat="1" ht="90" x14ac:dyDescent="0.25">
      <c r="A28" s="4">
        <v>10</v>
      </c>
      <c r="B28" s="4">
        <v>14</v>
      </c>
      <c r="C28" s="4">
        <v>26</v>
      </c>
      <c r="D28" s="4" t="s">
        <v>38</v>
      </c>
      <c r="E28" s="4" t="s">
        <v>36</v>
      </c>
      <c r="F28" s="5" t="s">
        <v>16</v>
      </c>
      <c r="G28" s="5">
        <v>1992</v>
      </c>
      <c r="H28" s="4" t="s">
        <v>22</v>
      </c>
      <c r="I28" s="4" t="s">
        <v>92</v>
      </c>
      <c r="J28" s="4">
        <v>27</v>
      </c>
      <c r="K28" s="4">
        <f>(42-20)/4</f>
        <v>5.5</v>
      </c>
      <c r="L28" s="4">
        <v>70.25</v>
      </c>
      <c r="M28" s="4">
        <f>AVERAGE((71.1-53.5)/4,(118.2-74.3)/4)</f>
        <v>7.6875</v>
      </c>
      <c r="P28" s="4">
        <v>50.150000000000006</v>
      </c>
      <c r="Q28" s="4">
        <f>AVERAGE((54-44.1)/4,(60.1-46)/4)</f>
        <v>3</v>
      </c>
      <c r="T28" s="4">
        <v>27.049999999999997</v>
      </c>
      <c r="U28" s="4">
        <f>AVERAGE((24.4-19.2)/4,(48.7-27)/4)</f>
        <v>3.3625000000000003</v>
      </c>
      <c r="V28" s="4" t="s">
        <v>136</v>
      </c>
      <c r="X28" s="4" t="s">
        <v>75</v>
      </c>
      <c r="Y28" s="7" t="s">
        <v>137</v>
      </c>
      <c r="Z28" s="7"/>
      <c r="AA28" s="4" t="s">
        <v>25</v>
      </c>
      <c r="AB28" s="4">
        <v>14</v>
      </c>
      <c r="AC28" s="4" t="s">
        <v>76</v>
      </c>
      <c r="AE28" s="4">
        <v>6796</v>
      </c>
      <c r="AH28" s="4">
        <v>5489</v>
      </c>
      <c r="AI28" s="4">
        <v>7774</v>
      </c>
      <c r="AY28" s="4" t="s">
        <v>135</v>
      </c>
    </row>
    <row r="29" spans="1:51" s="4" customFormat="1" ht="90" x14ac:dyDescent="0.25">
      <c r="A29" s="4">
        <v>10</v>
      </c>
      <c r="B29" s="4">
        <v>14</v>
      </c>
      <c r="C29" s="4">
        <v>27</v>
      </c>
      <c r="D29" s="4" t="s">
        <v>38</v>
      </c>
      <c r="E29" s="4" t="s">
        <v>36</v>
      </c>
      <c r="F29" s="5" t="s">
        <v>16</v>
      </c>
      <c r="G29" s="5">
        <v>1992</v>
      </c>
      <c r="H29" s="4" t="s">
        <v>23</v>
      </c>
      <c r="I29" s="4" t="s">
        <v>92</v>
      </c>
      <c r="J29" s="4">
        <v>29</v>
      </c>
      <c r="K29" s="4">
        <f>(40-23)/4</f>
        <v>4.25</v>
      </c>
      <c r="L29" s="4">
        <v>71.25</v>
      </c>
      <c r="M29" s="4">
        <f>AVERAGE((73.9-48.5)/4,(114.5-77.2)/4)</f>
        <v>7.8375000000000004</v>
      </c>
      <c r="P29" s="4">
        <v>50.6</v>
      </c>
      <c r="Q29" s="4">
        <f>AVERAGE((56.9-36.8)/4,(63.3-48.7)/4)</f>
        <v>4.3374999999999995</v>
      </c>
      <c r="T29" s="4">
        <v>27.85</v>
      </c>
      <c r="U29" s="4">
        <f>AVERAGE((24-18.6)/4,(41.3-26.7)/4)</f>
        <v>2.4999999999999996</v>
      </c>
      <c r="V29" s="4" t="s">
        <v>136</v>
      </c>
      <c r="X29" s="4" t="s">
        <v>75</v>
      </c>
      <c r="Y29" s="7" t="s">
        <v>138</v>
      </c>
      <c r="Z29" s="7"/>
      <c r="AA29" s="4" t="s">
        <v>25</v>
      </c>
      <c r="AB29" s="4">
        <v>14</v>
      </c>
      <c r="AC29" s="4" t="s">
        <v>76</v>
      </c>
      <c r="AE29" s="4">
        <v>6833</v>
      </c>
      <c r="AH29" s="4">
        <v>4893</v>
      </c>
      <c r="AI29" s="4">
        <v>8492</v>
      </c>
      <c r="AY29" s="4" t="s">
        <v>135</v>
      </c>
    </row>
    <row r="30" spans="1:51" s="4" customFormat="1" ht="105" x14ac:dyDescent="0.25">
      <c r="A30" s="4">
        <v>11</v>
      </c>
      <c r="B30" s="4">
        <v>15</v>
      </c>
      <c r="C30" s="4">
        <v>28</v>
      </c>
      <c r="D30" s="4" t="s">
        <v>38</v>
      </c>
      <c r="E30" s="4" t="s">
        <v>35</v>
      </c>
      <c r="F30" s="5" t="s">
        <v>17</v>
      </c>
      <c r="G30" s="5">
        <v>1990</v>
      </c>
      <c r="H30" s="4" t="s">
        <v>23</v>
      </c>
      <c r="I30" s="4" t="s">
        <v>92</v>
      </c>
      <c r="J30" s="4">
        <v>28</v>
      </c>
      <c r="K30" s="4">
        <f>1*SQRT(11)</f>
        <v>3.3166247903553998</v>
      </c>
      <c r="L30" s="4">
        <v>62.5</v>
      </c>
      <c r="M30" s="4">
        <f>1.5*SQRT(11)</f>
        <v>4.9749371855330997</v>
      </c>
      <c r="P30" s="4">
        <v>48.8</v>
      </c>
      <c r="Q30" s="4">
        <f>1.4*SQRT(11)</f>
        <v>4.643274706497559</v>
      </c>
      <c r="R30" s="4">
        <v>171</v>
      </c>
      <c r="S30" s="4">
        <f>1*SQRT(11)</f>
        <v>3.3166247903553998</v>
      </c>
      <c r="X30" s="4" t="s">
        <v>59</v>
      </c>
      <c r="Y30" s="7" t="s">
        <v>86</v>
      </c>
      <c r="Z30" s="7"/>
      <c r="AA30" s="4" t="s">
        <v>25</v>
      </c>
      <c r="AB30" s="4">
        <v>11</v>
      </c>
      <c r="AC30" s="4" t="s">
        <v>58</v>
      </c>
      <c r="AD30" s="4">
        <v>1481.7599999999998</v>
      </c>
      <c r="AG30" s="4">
        <v>33.119999999999997</v>
      </c>
      <c r="AY30" s="4" t="s">
        <v>85</v>
      </c>
    </row>
    <row r="31" spans="1:51" s="4" customFormat="1" ht="105" x14ac:dyDescent="0.25">
      <c r="A31" s="4">
        <v>11</v>
      </c>
      <c r="B31" s="4">
        <v>15</v>
      </c>
      <c r="C31" s="4">
        <v>29</v>
      </c>
      <c r="D31" s="4" t="s">
        <v>38</v>
      </c>
      <c r="E31" s="4" t="s">
        <v>35</v>
      </c>
      <c r="F31" s="5" t="s">
        <v>17</v>
      </c>
      <c r="G31" s="5">
        <v>1990</v>
      </c>
      <c r="H31" s="4" t="s">
        <v>23</v>
      </c>
      <c r="I31" s="4" t="s">
        <v>92</v>
      </c>
      <c r="J31" s="4">
        <v>29</v>
      </c>
      <c r="K31" s="4">
        <f>2*SQRT(9)</f>
        <v>6</v>
      </c>
      <c r="L31" s="4">
        <v>86.9</v>
      </c>
      <c r="M31" s="4">
        <f>5.8*SQRT(9)</f>
        <v>17.399999999999999</v>
      </c>
      <c r="P31" s="4">
        <v>50.4</v>
      </c>
      <c r="Q31" s="4">
        <f>1.4*SQRT(9)</f>
        <v>4.1999999999999993</v>
      </c>
      <c r="R31" s="4">
        <v>164</v>
      </c>
      <c r="S31" s="4">
        <f>3*SQRT(9)</f>
        <v>9</v>
      </c>
      <c r="X31" s="4" t="s">
        <v>59</v>
      </c>
      <c r="Y31" s="7" t="s">
        <v>87</v>
      </c>
      <c r="Z31" s="7"/>
      <c r="AA31" s="4" t="s">
        <v>25</v>
      </c>
      <c r="AB31" s="4">
        <v>9</v>
      </c>
      <c r="AC31" s="4" t="s">
        <v>58</v>
      </c>
      <c r="AD31" s="4">
        <v>1558.0800000000002</v>
      </c>
      <c r="AG31" s="4">
        <v>61.919999999999995</v>
      </c>
      <c r="AY31" s="4" t="s">
        <v>85</v>
      </c>
    </row>
    <row r="32" spans="1:51" s="4" customFormat="1" ht="105" x14ac:dyDescent="0.25">
      <c r="A32" s="4">
        <v>11</v>
      </c>
      <c r="B32" s="4">
        <v>15</v>
      </c>
      <c r="C32" s="4">
        <v>30</v>
      </c>
      <c r="D32" s="4" t="s">
        <v>38</v>
      </c>
      <c r="E32" s="4" t="s">
        <v>35</v>
      </c>
      <c r="F32" s="5" t="s">
        <v>17</v>
      </c>
      <c r="G32" s="5">
        <v>1990</v>
      </c>
      <c r="H32" s="4" t="s">
        <v>22</v>
      </c>
      <c r="I32" s="4" t="s">
        <v>92</v>
      </c>
      <c r="J32" s="4">
        <v>25</v>
      </c>
      <c r="K32" s="4">
        <f>2*SQRT(10)</f>
        <v>6.324555320336759</v>
      </c>
      <c r="L32" s="4">
        <v>84.1</v>
      </c>
      <c r="M32" s="4">
        <f>2.7*SQRT(10)</f>
        <v>8.538149682454625</v>
      </c>
      <c r="P32" s="4">
        <v>48.7</v>
      </c>
      <c r="Q32" s="4">
        <f>1.3*SQRT(10)</f>
        <v>4.110960958218894</v>
      </c>
      <c r="R32" s="4">
        <v>163</v>
      </c>
      <c r="S32" s="4">
        <f>2*SQRT(10)</f>
        <v>6.324555320336759</v>
      </c>
      <c r="X32" s="4" t="s">
        <v>59</v>
      </c>
      <c r="Y32" s="7" t="s">
        <v>88</v>
      </c>
      <c r="Z32" s="7"/>
      <c r="AA32" s="4" t="s">
        <v>25</v>
      </c>
      <c r="AB32" s="4">
        <v>10</v>
      </c>
      <c r="AC32" s="4" t="s">
        <v>58</v>
      </c>
      <c r="AD32" s="4">
        <v>1507.6799999999998</v>
      </c>
      <c r="AG32" s="4">
        <v>53.279999999999994</v>
      </c>
      <c r="AY32" s="4" t="s">
        <v>85</v>
      </c>
    </row>
    <row r="33" spans="1:33" s="4" customFormat="1" ht="45" x14ac:dyDescent="0.25">
      <c r="A33" s="4">
        <v>12</v>
      </c>
      <c r="B33" s="4">
        <v>16</v>
      </c>
      <c r="C33" s="4">
        <v>31</v>
      </c>
      <c r="D33" s="4" t="s">
        <v>38</v>
      </c>
      <c r="E33" s="4" t="s">
        <v>39</v>
      </c>
      <c r="F33" s="4" t="s">
        <v>40</v>
      </c>
      <c r="G33" s="4">
        <v>2006</v>
      </c>
      <c r="H33" s="4" t="s">
        <v>22</v>
      </c>
      <c r="I33" s="4" t="s">
        <v>92</v>
      </c>
      <c r="J33" s="4">
        <v>32.299999999999997</v>
      </c>
      <c r="K33" s="4">
        <f>1*SQRT(7)</f>
        <v>2.6457513110645907</v>
      </c>
      <c r="L33" s="4">
        <v>100.5</v>
      </c>
      <c r="M33" s="4">
        <f>6.7*SQRT(7)</f>
        <v>17.726533784132759</v>
      </c>
      <c r="T33" s="4">
        <v>36.200000000000003</v>
      </c>
      <c r="U33" s="4">
        <f>2*SQRT(7)</f>
        <v>5.2915026221291814</v>
      </c>
      <c r="W33" s="4" t="s">
        <v>139</v>
      </c>
      <c r="X33" s="4" t="s">
        <v>79</v>
      </c>
      <c r="Y33" s="7" t="s">
        <v>142</v>
      </c>
      <c r="Z33" s="7"/>
      <c r="AA33" s="4" t="s">
        <v>25</v>
      </c>
      <c r="AB33" s="4">
        <v>7</v>
      </c>
      <c r="AC33" s="4" t="s">
        <v>58</v>
      </c>
      <c r="AD33" s="4">
        <v>1485</v>
      </c>
      <c r="AG33" s="4">
        <v>177</v>
      </c>
    </row>
    <row r="34" spans="1:33" s="4" customFormat="1" ht="60" x14ac:dyDescent="0.25">
      <c r="A34" s="4">
        <v>12</v>
      </c>
      <c r="B34" s="4">
        <v>16</v>
      </c>
      <c r="C34" s="4">
        <v>31</v>
      </c>
      <c r="D34" s="4" t="s">
        <v>38</v>
      </c>
      <c r="E34" s="4" t="s">
        <v>39</v>
      </c>
      <c r="F34" s="4" t="s">
        <v>40</v>
      </c>
      <c r="G34" s="4">
        <v>2006</v>
      </c>
      <c r="H34" s="4" t="s">
        <v>22</v>
      </c>
      <c r="I34" s="4" t="s">
        <v>93</v>
      </c>
      <c r="J34" s="4">
        <v>32.299999999999997</v>
      </c>
      <c r="K34" s="4">
        <f>1*SQRT(7)</f>
        <v>2.6457513110645907</v>
      </c>
      <c r="L34" s="4">
        <v>99.7</v>
      </c>
      <c r="M34" s="4">
        <f>7.5*SQRT(7)</f>
        <v>19.843134832984429</v>
      </c>
      <c r="T34" s="4">
        <v>35.9</v>
      </c>
      <c r="U34" s="4">
        <f>2.2*SQRT(7)</f>
        <v>5.8206528843420999</v>
      </c>
      <c r="W34" s="4" t="s">
        <v>140</v>
      </c>
      <c r="X34" s="4" t="s">
        <v>79</v>
      </c>
      <c r="Y34" s="7" t="s">
        <v>143</v>
      </c>
      <c r="Z34" s="7"/>
      <c r="AA34" s="4" t="s">
        <v>25</v>
      </c>
      <c r="AB34" s="4">
        <v>7</v>
      </c>
      <c r="AC34" s="4" t="s">
        <v>58</v>
      </c>
      <c r="AD34" s="4">
        <v>1610</v>
      </c>
      <c r="AG34" s="4">
        <v>146</v>
      </c>
    </row>
    <row r="35" spans="1:33" s="4" customFormat="1" ht="45" x14ac:dyDescent="0.25">
      <c r="A35" s="4">
        <v>12</v>
      </c>
      <c r="B35" s="4">
        <v>16</v>
      </c>
      <c r="C35" s="4">
        <v>32</v>
      </c>
      <c r="D35" s="4" t="s">
        <v>38</v>
      </c>
      <c r="E35" s="4" t="s">
        <v>39</v>
      </c>
      <c r="F35" s="4" t="s">
        <v>40</v>
      </c>
      <c r="G35" s="4">
        <v>2006</v>
      </c>
      <c r="H35" s="4" t="s">
        <v>22</v>
      </c>
      <c r="I35" s="4" t="s">
        <v>92</v>
      </c>
      <c r="J35" s="4">
        <v>28.4</v>
      </c>
      <c r="K35" s="4">
        <f>2.7*SQRT(5)</f>
        <v>6.0373835392494328</v>
      </c>
      <c r="L35" s="4">
        <v>94.8</v>
      </c>
      <c r="M35" s="4">
        <f>6.2*SQRT(5)</f>
        <v>13.863621460498697</v>
      </c>
      <c r="T35" s="4">
        <v>37.1</v>
      </c>
      <c r="U35" s="4">
        <f>3.4*SQRT(5)</f>
        <v>7.6026311234992852</v>
      </c>
      <c r="W35" s="4" t="s">
        <v>139</v>
      </c>
      <c r="X35" s="4" t="s">
        <v>79</v>
      </c>
      <c r="Y35" s="7" t="s">
        <v>144</v>
      </c>
      <c r="Z35" s="7"/>
      <c r="AA35" s="4" t="s">
        <v>25</v>
      </c>
      <c r="AB35" s="4">
        <v>5</v>
      </c>
      <c r="AC35" s="4" t="s">
        <v>58</v>
      </c>
      <c r="AD35" s="4">
        <v>1596</v>
      </c>
      <c r="AG35" s="4">
        <v>107</v>
      </c>
    </row>
    <row r="36" spans="1:33" s="4" customFormat="1" ht="45" x14ac:dyDescent="0.25">
      <c r="A36" s="4">
        <v>12</v>
      </c>
      <c r="B36" s="4">
        <v>16</v>
      </c>
      <c r="C36" s="4">
        <v>32</v>
      </c>
      <c r="D36" s="4" t="s">
        <v>38</v>
      </c>
      <c r="E36" s="4" t="s">
        <v>39</v>
      </c>
      <c r="F36" s="4" t="s">
        <v>40</v>
      </c>
      <c r="G36" s="4">
        <v>2006</v>
      </c>
      <c r="H36" s="4" t="s">
        <v>22</v>
      </c>
      <c r="I36" s="4" t="s">
        <v>93</v>
      </c>
      <c r="J36" s="4">
        <v>28.4</v>
      </c>
      <c r="K36" s="4">
        <f>2.7*SQRT(5)</f>
        <v>6.0373835392494328</v>
      </c>
      <c r="L36" s="4">
        <v>91.7</v>
      </c>
      <c r="M36" s="4">
        <f>4.9*SQRT(5)</f>
        <v>10.956733089748971</v>
      </c>
      <c r="T36" s="4">
        <v>35.9</v>
      </c>
      <c r="U36" s="4">
        <f>3*SQRT(5)</f>
        <v>6.7082039324993694</v>
      </c>
      <c r="W36" s="4" t="s">
        <v>141</v>
      </c>
      <c r="X36" s="4" t="s">
        <v>79</v>
      </c>
      <c r="Y36" s="7" t="s">
        <v>145</v>
      </c>
      <c r="Z36" s="7"/>
      <c r="AA36" s="4" t="s">
        <v>25</v>
      </c>
      <c r="AB36" s="4">
        <v>5</v>
      </c>
      <c r="AC36" s="4" t="s">
        <v>58</v>
      </c>
      <c r="AD36" s="4">
        <v>1586</v>
      </c>
      <c r="AG36" s="4">
        <v>103</v>
      </c>
    </row>
    <row r="37" spans="1:33" s="4" customFormat="1" ht="75" x14ac:dyDescent="0.25">
      <c r="A37" s="4">
        <v>13</v>
      </c>
      <c r="B37" s="4">
        <v>17</v>
      </c>
      <c r="C37" s="4">
        <v>33</v>
      </c>
      <c r="D37" s="4" t="s">
        <v>38</v>
      </c>
      <c r="E37" s="4" t="s">
        <v>43</v>
      </c>
      <c r="F37" s="4" t="s">
        <v>44</v>
      </c>
      <c r="G37" s="4">
        <v>2006</v>
      </c>
      <c r="H37" s="4" t="s">
        <v>22</v>
      </c>
      <c r="I37" s="4" t="s">
        <v>92</v>
      </c>
      <c r="J37" s="4">
        <v>32.1</v>
      </c>
      <c r="K37" s="4">
        <v>5.2</v>
      </c>
      <c r="L37" s="4">
        <v>96</v>
      </c>
      <c r="M37" s="4">
        <f>3.3*SQRT(34)</f>
        <v>19.242141252989491</v>
      </c>
      <c r="N37" s="4">
        <v>34.9</v>
      </c>
      <c r="O37" s="4">
        <f>1.5*SQRT(34)</f>
        <v>8.746427842267952</v>
      </c>
      <c r="P37" s="4">
        <v>61.5</v>
      </c>
      <c r="Q37" s="4">
        <f>2.1*SQRT(34)</f>
        <v>12.244998979175133</v>
      </c>
      <c r="V37" s="4" t="s">
        <v>147</v>
      </c>
      <c r="W37" s="4" t="s">
        <v>150</v>
      </c>
      <c r="X37" s="4" t="s">
        <v>81</v>
      </c>
      <c r="Y37" s="7" t="s">
        <v>151</v>
      </c>
      <c r="Z37" s="7"/>
      <c r="AA37" s="4" t="s">
        <v>25</v>
      </c>
      <c r="AB37" s="4">
        <v>34</v>
      </c>
      <c r="AC37" s="4" t="s">
        <v>82</v>
      </c>
      <c r="AD37" s="4">
        <v>7.7</v>
      </c>
      <c r="AG37" s="4">
        <v>0.3</v>
      </c>
    </row>
    <row r="38" spans="1:33" s="4" customFormat="1" ht="75" x14ac:dyDescent="0.25">
      <c r="A38" s="4">
        <v>13</v>
      </c>
      <c r="B38" s="4">
        <v>17</v>
      </c>
      <c r="C38" s="4">
        <v>33</v>
      </c>
      <c r="D38" s="4" t="s">
        <v>38</v>
      </c>
      <c r="E38" s="4" t="s">
        <v>43</v>
      </c>
      <c r="F38" s="4" t="s">
        <v>44</v>
      </c>
      <c r="G38" s="4">
        <v>2006</v>
      </c>
      <c r="H38" s="4" t="s">
        <v>22</v>
      </c>
      <c r="I38" s="4" t="s">
        <v>146</v>
      </c>
      <c r="J38" s="4">
        <v>32.1</v>
      </c>
      <c r="K38" s="4">
        <v>5.2</v>
      </c>
      <c r="L38" s="4">
        <v>90.3</v>
      </c>
      <c r="M38" s="4">
        <f>3.3*SQRT(34)</f>
        <v>19.242141252989491</v>
      </c>
      <c r="N38" s="4">
        <v>30.8</v>
      </c>
      <c r="O38" s="4">
        <f>1.6*SQRT(34)</f>
        <v>9.3295230317524815</v>
      </c>
      <c r="P38" s="4">
        <v>59.8</v>
      </c>
      <c r="Q38" s="4">
        <f>1.9*SQRT(34)</f>
        <v>11.07880860020607</v>
      </c>
      <c r="V38" s="4" t="s">
        <v>147</v>
      </c>
      <c r="W38" s="4" t="s">
        <v>150</v>
      </c>
      <c r="X38" s="4" t="s">
        <v>81</v>
      </c>
      <c r="Y38" s="7" t="s">
        <v>152</v>
      </c>
      <c r="Z38" s="7"/>
      <c r="AA38" s="4" t="s">
        <v>25</v>
      </c>
      <c r="AB38" s="4">
        <v>34</v>
      </c>
      <c r="AC38" s="4" t="s">
        <v>82</v>
      </c>
      <c r="AD38" s="4">
        <v>7.1</v>
      </c>
      <c r="AG38" s="4">
        <v>0.3</v>
      </c>
    </row>
    <row r="39" spans="1:33" s="4" customFormat="1" ht="75" x14ac:dyDescent="0.25">
      <c r="A39" s="4">
        <v>13</v>
      </c>
      <c r="B39" s="4">
        <v>17</v>
      </c>
      <c r="C39" s="4">
        <v>33</v>
      </c>
      <c r="D39" s="4" t="s">
        <v>38</v>
      </c>
      <c r="E39" s="4" t="s">
        <v>43</v>
      </c>
      <c r="F39" s="4" t="s">
        <v>44</v>
      </c>
      <c r="G39" s="4">
        <v>2006</v>
      </c>
      <c r="H39" s="4" t="s">
        <v>22</v>
      </c>
      <c r="I39" s="4" t="s">
        <v>93</v>
      </c>
      <c r="J39" s="4">
        <v>32.1</v>
      </c>
      <c r="K39" s="4">
        <v>5.2</v>
      </c>
      <c r="L39" s="4">
        <v>92.5</v>
      </c>
      <c r="M39" s="4">
        <f>4.4*SQRT(23)</f>
        <v>21.101658702575964</v>
      </c>
      <c r="N39" s="4">
        <v>32.4</v>
      </c>
      <c r="O39" s="4">
        <f>2.1*SQRT(23)</f>
        <v>10.071246198956711</v>
      </c>
      <c r="P39" s="4">
        <v>60.1</v>
      </c>
      <c r="Q39" s="4">
        <f>2.5*SQRT(23)</f>
        <v>11.989578808281799</v>
      </c>
      <c r="V39" s="4" t="s">
        <v>147</v>
      </c>
      <c r="W39" s="4" t="s">
        <v>150</v>
      </c>
      <c r="X39" s="4" t="s">
        <v>81</v>
      </c>
      <c r="Y39" s="7" t="s">
        <v>153</v>
      </c>
      <c r="Z39" s="7"/>
      <c r="AA39" s="4" t="s">
        <v>25</v>
      </c>
      <c r="AB39" s="4">
        <v>23</v>
      </c>
      <c r="AC39" s="4" t="s">
        <v>82</v>
      </c>
      <c r="AD39" s="4">
        <v>7.4</v>
      </c>
      <c r="AG39" s="4">
        <v>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Steele</dc:creator>
  <cp:lastModifiedBy>James Steele</cp:lastModifiedBy>
  <dcterms:created xsi:type="dcterms:W3CDTF">2025-09-29T08:58:49Z</dcterms:created>
  <dcterms:modified xsi:type="dcterms:W3CDTF">2025-10-07T12:47:28Z</dcterms:modified>
</cp:coreProperties>
</file>