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rown\Documents\CRU 2016 -\Processed Data\"/>
    </mc:Choice>
  </mc:AlternateContent>
  <bookViews>
    <workbookView xWindow="120" yWindow="120" windowWidth="24915" windowHeight="12075" activeTab="2"/>
  </bookViews>
  <sheets>
    <sheet name="TriMix 100ul KOH" sheetId="1" r:id="rId1"/>
    <sheet name="TriMix 200ul KOH" sheetId="2" r:id="rId2"/>
    <sheet name="TriMix 400ul KOH" sheetId="3" r:id="rId3"/>
  </sheets>
  <calcPr calcId="152511"/>
</workbook>
</file>

<file path=xl/calcChain.xml><?xml version="1.0" encoding="utf-8"?>
<calcChain xmlns="http://schemas.openxmlformats.org/spreadsheetml/2006/main">
  <c r="D32" i="3" l="1"/>
  <c r="J8" i="3"/>
  <c r="C28" i="3"/>
  <c r="B28" i="3"/>
  <c r="B18" i="3"/>
  <c r="B31" i="2"/>
  <c r="B27" i="2"/>
  <c r="C27" i="2" s="1"/>
  <c r="B26" i="2"/>
  <c r="C26" i="2" s="1"/>
  <c r="B25" i="2"/>
  <c r="G19" i="2"/>
  <c r="I19" i="2" s="1"/>
  <c r="C19" i="2"/>
  <c r="B19" i="2"/>
  <c r="I18" i="2"/>
  <c r="G18" i="2"/>
  <c r="C18" i="2"/>
  <c r="B18" i="2"/>
  <c r="D18" i="2" s="1"/>
  <c r="G17" i="2"/>
  <c r="I17" i="2" s="1"/>
  <c r="C17" i="2"/>
  <c r="B17" i="2"/>
  <c r="G16" i="2"/>
  <c r="I16" i="2" s="1"/>
  <c r="B16" i="2"/>
  <c r="D16" i="2" s="1"/>
  <c r="C15" i="2"/>
  <c r="B15" i="2"/>
  <c r="K9" i="3"/>
  <c r="K10" i="3"/>
  <c r="K11" i="3"/>
  <c r="K8" i="3"/>
  <c r="I19" i="3"/>
  <c r="G19" i="3"/>
  <c r="G20" i="3"/>
  <c r="I20" i="3" s="1"/>
  <c r="G21" i="3"/>
  <c r="I21" i="3" s="1"/>
  <c r="G22" i="3"/>
  <c r="B19" i="3"/>
  <c r="D19" i="3" s="1"/>
  <c r="B20" i="3"/>
  <c r="B21" i="3"/>
  <c r="B22" i="3"/>
  <c r="I22" i="3"/>
  <c r="C18" i="3"/>
  <c r="D18" i="3" s="1"/>
  <c r="C22" i="3"/>
  <c r="C21" i="3"/>
  <c r="C20" i="3"/>
  <c r="J11" i="3"/>
  <c r="J10" i="3"/>
  <c r="J9" i="3"/>
  <c r="F9" i="3"/>
  <c r="F10" i="3"/>
  <c r="F11" i="3"/>
  <c r="F8" i="3"/>
  <c r="G8" i="3" s="1"/>
  <c r="L11" i="2"/>
  <c r="K11" i="2"/>
  <c r="L10" i="2"/>
  <c r="K10" i="2"/>
  <c r="L9" i="2"/>
  <c r="K9" i="2"/>
  <c r="L8" i="2"/>
  <c r="K8" i="2"/>
  <c r="F9" i="2"/>
  <c r="F10" i="2"/>
  <c r="F11" i="2"/>
  <c r="G11" i="2" s="1"/>
  <c r="F8" i="2"/>
  <c r="F8" i="1"/>
  <c r="L11" i="1"/>
  <c r="L10" i="1"/>
  <c r="L9" i="1"/>
  <c r="L8" i="1"/>
  <c r="K11" i="1"/>
  <c r="K10" i="1"/>
  <c r="K9" i="1"/>
  <c r="K8" i="1"/>
  <c r="F9" i="1"/>
  <c r="F10" i="1"/>
  <c r="F11" i="1"/>
  <c r="B20" i="2" l="1"/>
  <c r="I21" i="2"/>
  <c r="D19" i="2"/>
  <c r="D17" i="2"/>
  <c r="C20" i="2"/>
  <c r="G8" i="2"/>
  <c r="B28" i="2" s="1"/>
  <c r="C28" i="2" s="1"/>
  <c r="G10" i="2"/>
  <c r="B29" i="2"/>
  <c r="G9" i="2"/>
  <c r="D27" i="2"/>
  <c r="D26" i="2"/>
  <c r="D15" i="2"/>
  <c r="C25" i="2"/>
  <c r="C23" i="3"/>
  <c r="G11" i="1"/>
  <c r="B34" i="3"/>
  <c r="G10" i="1"/>
  <c r="G9" i="1"/>
  <c r="G8" i="1"/>
  <c r="D28" i="3"/>
  <c r="B23" i="3"/>
  <c r="D21" i="3"/>
  <c r="D20" i="3"/>
  <c r="D23" i="3" s="1"/>
  <c r="D22" i="3"/>
  <c r="G11" i="3"/>
  <c r="B31" i="3" s="1"/>
  <c r="C31" i="3" s="1"/>
  <c r="D31" i="3" s="1"/>
  <c r="G10" i="3"/>
  <c r="B30" i="3" s="1"/>
  <c r="C30" i="3" s="1"/>
  <c r="D30" i="3" s="1"/>
  <c r="G9" i="3"/>
  <c r="B29" i="3" s="1"/>
  <c r="C29" i="3" s="1"/>
  <c r="D29" i="3" s="1"/>
  <c r="D28" i="2" l="1"/>
  <c r="D20" i="2"/>
  <c r="C31" i="2"/>
  <c r="C29" i="2"/>
  <c r="D25" i="2"/>
  <c r="B32" i="3"/>
  <c r="I24" i="3"/>
  <c r="G12" i="3"/>
  <c r="C34" i="3" l="1"/>
  <c r="C32" i="3"/>
</calcChain>
</file>

<file path=xl/sharedStrings.xml><?xml version="1.0" encoding="utf-8"?>
<sst xmlns="http://schemas.openxmlformats.org/spreadsheetml/2006/main" count="130" uniqueCount="64">
  <si>
    <t>[contents]</t>
  </si>
  <si>
    <t>count=1</t>
  </si>
  <si>
    <t>Name=</t>
  </si>
  <si>
    <t>C:\msdchem\1\data\JTB-E02\20170126_Method Test Tri-Mix FAME\JTB-E02-41-04.D</t>
  </si>
  <si>
    <t>1=</t>
  </si>
  <si>
    <t>INT FID1A.ch</t>
  </si>
  <si>
    <t>[INT FID1A.ch]</t>
  </si>
  <si>
    <t>Time=</t>
  </si>
  <si>
    <t>Mon Feb 13 09:25:02 2017</t>
  </si>
  <si>
    <t>Header=</t>
  </si>
  <si>
    <t>Peak</t>
  </si>
  <si>
    <t>R.T.</t>
  </si>
  <si>
    <t>Concentration mg</t>
  </si>
  <si>
    <t>15=</t>
  </si>
  <si>
    <t>rt</t>
  </si>
  <si>
    <t>y-int</t>
  </si>
  <si>
    <t>Slope</t>
  </si>
  <si>
    <t>19=</t>
  </si>
  <si>
    <t>1 C4:0 (Butryic) 4</t>
  </si>
  <si>
    <t>22=</t>
  </si>
  <si>
    <t>2 C6:0 (Caproic) 4</t>
  </si>
  <si>
    <t>26=</t>
  </si>
  <si>
    <t>3 C8:0 (Caprylic) 4</t>
  </si>
  <si>
    <t>4 C10:0 (Capric) 4</t>
  </si>
  <si>
    <t>Area-1</t>
  </si>
  <si>
    <t>Area 2</t>
  </si>
  <si>
    <t>Avg</t>
  </si>
  <si>
    <t>C:\msdchem\1\data\JTB-E02\20170126_Method Test Tri-Mix FAME\JTB-E02-41-06.D</t>
  </si>
  <si>
    <t>Mon Feb 13 09:25:16 2017</t>
  </si>
  <si>
    <t>11=</t>
  </si>
  <si>
    <t>17=</t>
  </si>
  <si>
    <t>21=</t>
  </si>
  <si>
    <t>Avg Area</t>
  </si>
  <si>
    <t>Area-2</t>
  </si>
  <si>
    <t>C:\msdchem\1\data\JTB-E02\20170126_Method Test Tri-Mix FAME\JTB-E02-41-08.D</t>
  </si>
  <si>
    <t>Mon Feb 13 09:25:42 2017</t>
  </si>
  <si>
    <t>Conc mg</t>
  </si>
  <si>
    <t>Average</t>
  </si>
  <si>
    <t>100 mg ampule contains approx. equal amounts by weight of:</t>
  </si>
  <si>
    <t>Triacetin (C2:0)</t>
  </si>
  <si>
    <t>Tributyrin (C4:0)</t>
  </si>
  <si>
    <t>Tricaproin (C6:0)</t>
  </si>
  <si>
    <t>Tricaprylin (C8:0)</t>
  </si>
  <si>
    <t>Tricaprin (C10:0)</t>
  </si>
  <si>
    <t>mg in solution</t>
  </si>
  <si>
    <t>Triglyceride (mg/mol)</t>
  </si>
  <si>
    <t>F.A.M.E Mix</t>
  </si>
  <si>
    <t>Methyl butyrate</t>
  </si>
  <si>
    <t>Methyl hexanoate</t>
  </si>
  <si>
    <t>Methyl octanoate</t>
  </si>
  <si>
    <t>Methyl decanoate</t>
  </si>
  <si>
    <t>Compound in Stock</t>
  </si>
  <si>
    <t>Stock wt  (mg/ml)</t>
  </si>
  <si>
    <t>Added Moles</t>
  </si>
  <si>
    <t>Deriv Tri Mix Areas</t>
  </si>
  <si>
    <t xml:space="preserve">Tri Mix </t>
  </si>
  <si>
    <t>mw  (mg/mol)</t>
  </si>
  <si>
    <t>conc of deriv Tri Mix (mg/1ml)</t>
  </si>
  <si>
    <t xml:space="preserve">number of moles deriv </t>
  </si>
  <si>
    <t>percent deriv</t>
  </si>
  <si>
    <t>Number of Tri Mix moles POSSIBLE!!</t>
  </si>
  <si>
    <t>Derivatized Actual</t>
  </si>
  <si>
    <t>Deriv Tri Mix Areas [AVERAGE]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</si>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</sst>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.2"/>
      <color rgb="FF787878"/>
      <name val="Calibri"/>
      <family val="2"/>
      <scheme val="minor"/>
    </font>
    <font>
      <sz val="9"/>
      <color rgb="FF665E58"/>
      <name val="Calibri"/>
      <family val="2"/>
      <scheme val="minor"/>
    </font>
    <font>
      <strike/>
      <sz val="9"/>
      <color rgb="FF665E5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4" fillId="0" borderId="4" xfId="0" applyFont="1" applyBorder="1" applyAlignment="1">
      <alignment wrapText="1"/>
    </xf>
    <xf numFmtId="2" fontId="1" fillId="0" borderId="0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 applyAlignment="1">
      <alignment wrapText="1"/>
    </xf>
    <xf numFmtId="0" fontId="0" fillId="0" borderId="7" xfId="0" applyBorder="1"/>
    <xf numFmtId="0" fontId="0" fillId="0" borderId="0" xfId="0" applyFill="1" applyBorder="1"/>
    <xf numFmtId="164" fontId="0" fillId="0" borderId="0" xfId="0" applyNumberFormat="1"/>
    <xf numFmtId="2" fontId="0" fillId="0" borderId="0" xfId="0" applyNumberFormat="1"/>
    <xf numFmtId="0" fontId="0" fillId="0" borderId="6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11" fontId="0" fillId="0" borderId="5" xfId="0" applyNumberFormat="1" applyBorder="1"/>
    <xf numFmtId="0" fontId="0" fillId="0" borderId="0" xfId="0" applyFont="1" applyBorder="1"/>
    <xf numFmtId="0" fontId="0" fillId="0" borderId="0" xfId="0" applyBorder="1" applyAlignment="1">
      <alignment horizontal="center" wrapText="1"/>
    </xf>
    <xf numFmtId="11" fontId="0" fillId="0" borderId="0" xfId="0" applyNumberFormat="1" applyFont="1" applyBorder="1"/>
    <xf numFmtId="11" fontId="0" fillId="0" borderId="0" xfId="0" applyNumberFormat="1"/>
    <xf numFmtId="11" fontId="0" fillId="0" borderId="5" xfId="0" applyNumberFormat="1" applyFont="1" applyFill="1" applyBorder="1"/>
    <xf numFmtId="11" fontId="0" fillId="0" borderId="8" xfId="0" applyNumberFormat="1" applyFont="1" applyFill="1" applyBorder="1"/>
    <xf numFmtId="0" fontId="0" fillId="0" borderId="5" xfId="0" applyBorder="1" applyAlignment="1">
      <alignment wrapText="1"/>
    </xf>
    <xf numFmtId="165" fontId="0" fillId="0" borderId="0" xfId="0" applyNumberFormat="1" applyFont="1" applyFill="1" applyBorder="1"/>
    <xf numFmtId="0" fontId="0" fillId="0" borderId="0" xfId="0" applyBorder="1" applyAlignment="1">
      <alignment wrapText="1"/>
    </xf>
    <xf numFmtId="11" fontId="0" fillId="0" borderId="0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2" fontId="0" fillId="0" borderId="5" xfId="0" applyNumberFormat="1" applyBorder="1"/>
    <xf numFmtId="2" fontId="0" fillId="0" borderId="8" xfId="0" applyNumberFormat="1" applyBorder="1"/>
    <xf numFmtId="165" fontId="0" fillId="0" borderId="7" xfId="0" applyNumberFormat="1" applyFont="1" applyFill="1" applyBorder="1"/>
    <xf numFmtId="11" fontId="2" fillId="0" borderId="0" xfId="0" applyNumberFormat="1" applyFont="1" applyBorder="1" applyAlignment="1">
      <alignment horizontal="right"/>
    </xf>
    <xf numFmtId="11" fontId="1" fillId="0" borderId="7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wrapText="1"/>
    </xf>
    <xf numFmtId="0" fontId="0" fillId="2" borderId="9" xfId="0" applyFill="1" applyBorder="1"/>
    <xf numFmtId="0" fontId="5" fillId="2" borderId="4" xfId="0" applyFont="1" applyFill="1" applyBorder="1" applyAlignment="1">
      <alignment wrapText="1"/>
    </xf>
    <xf numFmtId="165" fontId="6" fillId="2" borderId="0" xfId="0" applyNumberFormat="1" applyFont="1" applyFill="1" applyBorder="1"/>
    <xf numFmtId="11" fontId="7" fillId="2" borderId="0" xfId="0" applyNumberFormat="1" applyFont="1" applyFill="1" applyBorder="1"/>
    <xf numFmtId="11" fontId="6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500ul of 10mg/10ml Tri Mix 100ul KOH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912984215458403"/>
                  <c:y val="-0.18005978419364246"/>
                </c:manualLayout>
              </c:layout>
              <c:numFmt formatCode="General" sourceLinked="0"/>
            </c:trendlineLbl>
          </c:trendline>
          <c:xVal>
            <c:numRef>
              <c:f>'TriMix 100ul KOH'!$G$8:$G$11</c:f>
              <c:numCache>
                <c:formatCode>General</c:formatCode>
                <c:ptCount val="4"/>
                <c:pt idx="0">
                  <c:v>2.6526373848672411</c:v>
                </c:pt>
                <c:pt idx="1">
                  <c:v>1.8423504652654517</c:v>
                </c:pt>
                <c:pt idx="2">
                  <c:v>1.3609197991446709</c:v>
                </c:pt>
                <c:pt idx="3">
                  <c:v>4.3389417983641775E-3</c:v>
                </c:pt>
              </c:numCache>
            </c:numRef>
          </c:xVal>
          <c:yVal>
            <c:numRef>
              <c:f>'TriMix 100ul KOH'!$E$8:$E$11</c:f>
              <c:numCache>
                <c:formatCode>General</c:formatCode>
                <c:ptCount val="4"/>
                <c:pt idx="0">
                  <c:v>1662420</c:v>
                </c:pt>
                <c:pt idx="1">
                  <c:v>1908781</c:v>
                </c:pt>
                <c:pt idx="2">
                  <c:v>2219951</c:v>
                </c:pt>
                <c:pt idx="3">
                  <c:v>2220070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1784"/>
        <c:axId val="153802176"/>
      </c:scatterChart>
      <c:valAx>
        <c:axId val="15380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802176"/>
        <c:crosses val="autoZero"/>
        <c:crossBetween val="midCat"/>
      </c:valAx>
      <c:valAx>
        <c:axId val="1538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01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47625</xdr:rowOff>
    </xdr:from>
    <xdr:to>
      <xdr:col>8</xdr:col>
      <xdr:colOff>800100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G8" sqref="G8"/>
    </sheetView>
  </sheetViews>
  <sheetFormatPr defaultColWidth="43.85546875" defaultRowHeight="15" x14ac:dyDescent="0.25"/>
  <cols>
    <col min="1" max="1" width="13.7109375" bestFit="1" customWidth="1"/>
    <col min="2" max="2" width="4.85546875" customWidth="1"/>
    <col min="3" max="3" width="6" bestFit="1" customWidth="1"/>
    <col min="4" max="4" width="9.28515625" customWidth="1"/>
    <col min="5" max="5" width="8" bestFit="1" customWidth="1"/>
    <col min="6" max="6" width="8" customWidth="1"/>
    <col min="7" max="7" width="16.85546875" bestFit="1" customWidth="1"/>
    <col min="8" max="8" width="16" bestFit="1" customWidth="1"/>
    <col min="9" max="9" width="16.5703125" bestFit="1" customWidth="1"/>
    <col min="10" max="10" width="11" bestFit="1" customWidth="1"/>
    <col min="11" max="12" width="12" bestFit="1" customWidth="1"/>
    <col min="13" max="14" width="8" bestFit="1" customWidth="1"/>
    <col min="15" max="17" width="6" bestFit="1" customWidth="1"/>
    <col min="18" max="18" width="7" bestFit="1" customWidth="1"/>
    <col min="19" max="19" width="8" bestFit="1" customWidth="1"/>
  </cols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  <c r="B3" t="s">
        <v>3</v>
      </c>
    </row>
    <row r="4" spans="1:19" x14ac:dyDescent="0.25">
      <c r="A4" t="s">
        <v>4</v>
      </c>
      <c r="B4" t="s">
        <v>5</v>
      </c>
    </row>
    <row r="5" spans="1:19" x14ac:dyDescent="0.25">
      <c r="A5" t="s">
        <v>6</v>
      </c>
    </row>
    <row r="6" spans="1:19" x14ac:dyDescent="0.25">
      <c r="A6" t="s">
        <v>7</v>
      </c>
      <c r="B6" t="s">
        <v>8</v>
      </c>
    </row>
    <row r="7" spans="1:19" x14ac:dyDescent="0.25">
      <c r="A7" t="s">
        <v>9</v>
      </c>
      <c r="B7" t="s">
        <v>10</v>
      </c>
      <c r="C7" t="s">
        <v>11</v>
      </c>
      <c r="D7" t="s">
        <v>24</v>
      </c>
      <c r="E7" t="s">
        <v>25</v>
      </c>
      <c r="F7" t="s">
        <v>26</v>
      </c>
      <c r="G7" t="s">
        <v>12</v>
      </c>
      <c r="J7" t="s">
        <v>14</v>
      </c>
      <c r="K7" t="s">
        <v>15</v>
      </c>
      <c r="L7" t="s">
        <v>16</v>
      </c>
      <c r="M7">
        <v>10</v>
      </c>
      <c r="N7">
        <v>1</v>
      </c>
      <c r="O7">
        <v>0.1</v>
      </c>
      <c r="P7">
        <v>0.01</v>
      </c>
      <c r="Q7">
        <v>1E-3</v>
      </c>
      <c r="R7">
        <v>1E-4</v>
      </c>
      <c r="S7">
        <v>1.0000000000000001E-5</v>
      </c>
    </row>
    <row r="8" spans="1:19" x14ac:dyDescent="0.25">
      <c r="A8" t="s">
        <v>13</v>
      </c>
      <c r="B8">
        <v>15</v>
      </c>
      <c r="C8">
        <v>2.8159999999999998</v>
      </c>
      <c r="D8">
        <v>160183</v>
      </c>
      <c r="E8">
        <v>1662420</v>
      </c>
      <c r="F8">
        <f>AVERAGE(D8:E8)</f>
        <v>911301.5</v>
      </c>
      <c r="G8">
        <f>(F8-K8)/L8</f>
        <v>2.6526373848672411</v>
      </c>
      <c r="I8" s="1" t="s">
        <v>18</v>
      </c>
      <c r="J8">
        <v>2.8220000000000001</v>
      </c>
      <c r="K8">
        <f>INTERCEPT(M8:S8,M7:S7)</f>
        <v>72151.099125364679</v>
      </c>
      <c r="L8">
        <f>SLOPE(M8:S8,$M$7:$S$7)</f>
        <v>316345.6888837571</v>
      </c>
      <c r="M8">
        <v>3224177</v>
      </c>
      <c r="N8">
        <v>508844</v>
      </c>
      <c r="O8">
        <v>48806</v>
      </c>
      <c r="P8">
        <v>21378</v>
      </c>
    </row>
    <row r="9" spans="1:19" x14ac:dyDescent="0.25">
      <c r="A9" t="s">
        <v>17</v>
      </c>
      <c r="B9">
        <v>19</v>
      </c>
      <c r="C9">
        <v>4.0789999999999997</v>
      </c>
      <c r="D9">
        <v>196884</v>
      </c>
      <c r="E9">
        <v>1908781</v>
      </c>
      <c r="F9">
        <f t="shared" ref="F9:F11" si="0">AVERAGE(D9:E9)</f>
        <v>1052832.5</v>
      </c>
      <c r="G9">
        <f>(F9-K9)/L9</f>
        <v>1.8423504652654517</v>
      </c>
      <c r="I9" s="1" t="s">
        <v>20</v>
      </c>
      <c r="J9">
        <v>4.085</v>
      </c>
      <c r="K9">
        <f>INTERCEPT(M9:S9,$M$7:$S$7)</f>
        <v>94077.884353741538</v>
      </c>
      <c r="L9">
        <f>SLOPE(M9:S9,$M$7:$S$7)</f>
        <v>520397.52138479153</v>
      </c>
      <c r="M9">
        <v>5281686</v>
      </c>
      <c r="N9">
        <v>787079</v>
      </c>
      <c r="O9">
        <v>64226</v>
      </c>
      <c r="P9">
        <v>24937</v>
      </c>
    </row>
    <row r="10" spans="1:19" x14ac:dyDescent="0.25">
      <c r="A10" t="s">
        <v>19</v>
      </c>
      <c r="B10">
        <v>22</v>
      </c>
      <c r="C10">
        <v>5.2759999999999998</v>
      </c>
      <c r="D10">
        <v>226780</v>
      </c>
      <c r="E10">
        <v>2219951</v>
      </c>
      <c r="F10">
        <f t="shared" si="0"/>
        <v>1223365.5</v>
      </c>
      <c r="G10">
        <f>(F10-K10)/L10</f>
        <v>1.3609197991446709</v>
      </c>
      <c r="I10" s="1" t="s">
        <v>22</v>
      </c>
      <c r="J10">
        <v>5.2830000000000004</v>
      </c>
      <c r="K10">
        <f>INTERCEPT(M10:S10,$M$7:$S$7)</f>
        <v>125343.85260771029</v>
      </c>
      <c r="L10">
        <f>SLOPE(M10:S10,$M$7:$S$7)</f>
        <v>806823.18537976232</v>
      </c>
      <c r="M10">
        <v>8170938</v>
      </c>
      <c r="N10">
        <v>1171256</v>
      </c>
      <c r="O10">
        <v>88833</v>
      </c>
      <c r="P10">
        <v>34154</v>
      </c>
    </row>
    <row r="11" spans="1:19" x14ac:dyDescent="0.25">
      <c r="A11" t="s">
        <v>21</v>
      </c>
      <c r="B11">
        <v>26</v>
      </c>
      <c r="C11">
        <v>6.3419999999999996</v>
      </c>
      <c r="D11">
        <v>222415</v>
      </c>
      <c r="E11">
        <v>2220070</v>
      </c>
      <c r="F11">
        <f t="shared" si="0"/>
        <v>1221242.5</v>
      </c>
      <c r="G11">
        <f>(F11-L11)/M11</f>
        <v>4.3389417983641775E-3</v>
      </c>
      <c r="I11" s="1" t="s">
        <v>23</v>
      </c>
      <c r="J11">
        <v>6.3490000000000002</v>
      </c>
      <c r="K11">
        <f>INTERCEPT(M11:S11,$M$7:$S$7)</f>
        <v>196854.71298995847</v>
      </c>
      <c r="L11">
        <f>SLOPE(M11:S11,$M$7:$S$7)</f>
        <v>1169790.7423978548</v>
      </c>
      <c r="M11">
        <v>11858135</v>
      </c>
      <c r="N11">
        <v>1753582</v>
      </c>
      <c r="O11">
        <v>123144</v>
      </c>
      <c r="P11">
        <v>48933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F23" sqref="F23"/>
    </sheetView>
  </sheetViews>
  <sheetFormatPr defaultColWidth="25.5703125" defaultRowHeight="15" x14ac:dyDescent="0.25"/>
  <cols>
    <col min="1" max="1" width="30" bestFit="1" customWidth="1"/>
    <col min="2" max="2" width="23.5703125" bestFit="1" customWidth="1"/>
    <col min="3" max="3" width="21.5703125" bestFit="1" customWidth="1"/>
    <col min="4" max="4" width="23.28515625" bestFit="1" customWidth="1"/>
    <col min="5" max="5" width="8" bestFit="1" customWidth="1"/>
    <col min="6" max="6" width="18.28515625" bestFit="1" customWidth="1"/>
    <col min="7" max="7" width="16.85546875" bestFit="1" customWidth="1"/>
    <col min="8" max="8" width="13.7109375" bestFit="1" customWidth="1"/>
    <col min="9" max="9" width="16.5703125" bestFit="1" customWidth="1"/>
    <col min="10" max="10" width="6" bestFit="1" customWidth="1"/>
    <col min="11" max="12" width="12" bestFit="1" customWidth="1"/>
    <col min="13" max="13" width="9" bestFit="1" customWidth="1"/>
    <col min="14" max="14" width="8" bestFit="1" customWidth="1"/>
    <col min="15" max="15" width="7" bestFit="1" customWidth="1"/>
    <col min="16" max="17" width="6" bestFit="1" customWidth="1"/>
    <col min="18" max="18" width="7" bestFit="1" customWidth="1"/>
    <col min="19" max="19" width="8" bestFit="1" customWidth="1"/>
  </cols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  <c r="B3" s="39" t="s">
        <v>27</v>
      </c>
      <c r="C3" s="39"/>
      <c r="D3" s="39"/>
      <c r="E3" s="39"/>
    </row>
    <row r="4" spans="1:19" x14ac:dyDescent="0.25">
      <c r="A4" t="s">
        <v>4</v>
      </c>
      <c r="B4" t="s">
        <v>5</v>
      </c>
    </row>
    <row r="5" spans="1:19" x14ac:dyDescent="0.25">
      <c r="A5" t="s">
        <v>6</v>
      </c>
    </row>
    <row r="6" spans="1:19" x14ac:dyDescent="0.25">
      <c r="A6" t="s">
        <v>7</v>
      </c>
      <c r="B6" t="s">
        <v>28</v>
      </c>
    </row>
    <row r="7" spans="1:19" x14ac:dyDescent="0.25">
      <c r="A7" t="s">
        <v>9</v>
      </c>
      <c r="B7" t="s">
        <v>10</v>
      </c>
      <c r="C7" t="s">
        <v>11</v>
      </c>
      <c r="D7" t="s">
        <v>24</v>
      </c>
      <c r="E7" t="s">
        <v>33</v>
      </c>
      <c r="F7" t="s">
        <v>32</v>
      </c>
      <c r="G7" t="s">
        <v>12</v>
      </c>
      <c r="J7" t="s">
        <v>14</v>
      </c>
      <c r="K7" t="s">
        <v>15</v>
      </c>
      <c r="L7" t="s">
        <v>16</v>
      </c>
      <c r="M7">
        <v>10</v>
      </c>
      <c r="N7">
        <v>1</v>
      </c>
      <c r="O7">
        <v>0.1</v>
      </c>
      <c r="P7">
        <v>0.01</v>
      </c>
      <c r="Q7">
        <v>1E-3</v>
      </c>
      <c r="R7">
        <v>1E-4</v>
      </c>
      <c r="S7">
        <v>1.0000000000000001E-5</v>
      </c>
    </row>
    <row r="8" spans="1:19" x14ac:dyDescent="0.25">
      <c r="A8" s="1" t="s">
        <v>18</v>
      </c>
      <c r="B8" s="41"/>
      <c r="C8" s="41"/>
      <c r="D8" s="41"/>
      <c r="E8" s="41"/>
      <c r="F8" t="e">
        <f>AVERAGE(D8:E8)</f>
        <v>#DIV/0!</v>
      </c>
      <c r="G8" t="e">
        <f>(F8-K8)/L8</f>
        <v>#DIV/0!</v>
      </c>
      <c r="I8" s="1" t="s">
        <v>18</v>
      </c>
      <c r="J8">
        <v>2.8220000000000001</v>
      </c>
      <c r="K8">
        <f>INTERCEPT(M8:S8,M7:S7)</f>
        <v>72151.099125364679</v>
      </c>
      <c r="L8">
        <f>SLOPE(M8:S8,$M$7:$S$7)</f>
        <v>316345.6888837571</v>
      </c>
      <c r="M8" s="41">
        <v>3224177</v>
      </c>
      <c r="N8" s="41">
        <v>508844</v>
      </c>
      <c r="O8" s="41">
        <v>48806</v>
      </c>
      <c r="P8" s="41">
        <v>21378</v>
      </c>
    </row>
    <row r="9" spans="1:19" x14ac:dyDescent="0.25">
      <c r="A9" s="1" t="s">
        <v>20</v>
      </c>
      <c r="B9" s="41"/>
      <c r="C9" s="41"/>
      <c r="D9" s="41"/>
      <c r="E9" s="41"/>
      <c r="F9" t="e">
        <f t="shared" ref="F9:F11" si="0">AVERAGE(D9:E9)</f>
        <v>#DIV/0!</v>
      </c>
      <c r="G9" t="e">
        <f t="shared" ref="G9:G11" si="1">(F9-K9)/L9</f>
        <v>#DIV/0!</v>
      </c>
      <c r="I9" s="1" t="s">
        <v>20</v>
      </c>
      <c r="J9">
        <v>4.085</v>
      </c>
      <c r="K9">
        <f>INTERCEPT(M9:S9,$M$7:$S$7)</f>
        <v>94077.884353741538</v>
      </c>
      <c r="L9">
        <f>SLOPE(M9:S9,$M$7:$S$7)</f>
        <v>520397.52138479153</v>
      </c>
      <c r="M9" s="41">
        <v>5281686</v>
      </c>
      <c r="N9" s="41">
        <v>787079</v>
      </c>
      <c r="O9" s="41">
        <v>64226</v>
      </c>
      <c r="P9" s="41">
        <v>24937</v>
      </c>
    </row>
    <row r="10" spans="1:19" x14ac:dyDescent="0.25">
      <c r="A10" s="1" t="s">
        <v>22</v>
      </c>
      <c r="B10" s="41"/>
      <c r="C10" s="41"/>
      <c r="D10" s="41"/>
      <c r="E10" s="41"/>
      <c r="F10" t="e">
        <f t="shared" si="0"/>
        <v>#DIV/0!</v>
      </c>
      <c r="G10" t="e">
        <f t="shared" si="1"/>
        <v>#DIV/0!</v>
      </c>
      <c r="I10" s="1" t="s">
        <v>22</v>
      </c>
      <c r="J10">
        <v>5.2830000000000004</v>
      </c>
      <c r="K10">
        <f>INTERCEPT(M10:S10,$M$7:$S$7)</f>
        <v>125343.85260771029</v>
      </c>
      <c r="L10">
        <f>SLOPE(M10:S10,$M$7:$S$7)</f>
        <v>806823.18537976232</v>
      </c>
      <c r="M10" s="41">
        <v>8170938</v>
      </c>
      <c r="N10" s="41">
        <v>1171256</v>
      </c>
      <c r="O10" s="41">
        <v>88833</v>
      </c>
      <c r="P10" s="41">
        <v>34154</v>
      </c>
    </row>
    <row r="11" spans="1:19" x14ac:dyDescent="0.25">
      <c r="A11" s="1" t="s">
        <v>23</v>
      </c>
      <c r="B11" s="41"/>
      <c r="C11" s="41"/>
      <c r="D11" s="41"/>
      <c r="E11" s="41"/>
      <c r="F11" t="e">
        <f t="shared" si="0"/>
        <v>#DIV/0!</v>
      </c>
      <c r="G11" t="e">
        <f t="shared" si="1"/>
        <v>#DIV/0!</v>
      </c>
      <c r="I11" s="1" t="s">
        <v>23</v>
      </c>
      <c r="J11">
        <v>6.3490000000000002</v>
      </c>
      <c r="K11">
        <f>INTERCEPT(M11:S11,$M$7:$S$7)</f>
        <v>196854.71298995847</v>
      </c>
      <c r="L11">
        <f>SLOPE(M11:S11,$M$7:$S$7)</f>
        <v>1169790.7423978548</v>
      </c>
      <c r="M11" s="41">
        <v>11858135</v>
      </c>
      <c r="N11" s="41">
        <v>1753582</v>
      </c>
      <c r="O11" s="41">
        <v>123144</v>
      </c>
      <c r="P11" s="41">
        <v>48933</v>
      </c>
    </row>
    <row r="13" spans="1:19" x14ac:dyDescent="0.25">
      <c r="A13" s="40" t="s">
        <v>55</v>
      </c>
      <c r="B13" s="40"/>
      <c r="C13" s="40"/>
      <c r="D13" s="40"/>
      <c r="E13" s="1"/>
      <c r="F13" s="40" t="s">
        <v>46</v>
      </c>
      <c r="G13" s="40"/>
      <c r="H13" s="40"/>
      <c r="I13" s="40"/>
      <c r="J13" s="1"/>
    </row>
    <row r="14" spans="1:19" ht="30" x14ac:dyDescent="0.25">
      <c r="A14" s="40" t="s">
        <v>38</v>
      </c>
      <c r="B14" s="40" t="s">
        <v>44</v>
      </c>
      <c r="C14" s="40" t="s">
        <v>45</v>
      </c>
      <c r="D14" s="40" t="s">
        <v>60</v>
      </c>
      <c r="E14" s="1"/>
      <c r="F14" s="40" t="s">
        <v>51</v>
      </c>
      <c r="G14" s="40" t="s">
        <v>52</v>
      </c>
      <c r="H14" s="40" t="s">
        <v>56</v>
      </c>
      <c r="I14" s="40" t="s">
        <v>53</v>
      </c>
      <c r="J14" s="1"/>
    </row>
    <row r="15" spans="1:19" x14ac:dyDescent="0.25">
      <c r="A15" s="40" t="s">
        <v>39</v>
      </c>
      <c r="B15" s="40">
        <f>(0.0098/5)*1000</f>
        <v>1.96</v>
      </c>
      <c r="C15" s="40">
        <f>218210</f>
        <v>218210</v>
      </c>
      <c r="D15" s="40">
        <f>(B15/C15)*3</f>
        <v>2.6946519407909809E-5</v>
      </c>
      <c r="E15" s="1"/>
      <c r="F15" s="40"/>
      <c r="G15" s="40"/>
      <c r="H15" s="40"/>
      <c r="I15" s="40"/>
      <c r="J15" s="1"/>
    </row>
    <row r="16" spans="1:19" x14ac:dyDescent="0.25">
      <c r="A16" s="40" t="s">
        <v>40</v>
      </c>
      <c r="B16" s="40">
        <f t="shared" ref="B16:B19" si="2">(0.0098/5)*1000</f>
        <v>1.96</v>
      </c>
      <c r="C16" s="40">
        <v>302367</v>
      </c>
      <c r="D16" s="40">
        <f>(B16/C16)*3</f>
        <v>1.9446566589607991E-5</v>
      </c>
      <c r="E16" s="1"/>
      <c r="F16" s="1" t="s">
        <v>18</v>
      </c>
      <c r="G16" s="40">
        <f>(400)/1000</f>
        <v>0.4</v>
      </c>
      <c r="H16" s="40">
        <v>102130</v>
      </c>
      <c r="I16" s="40">
        <f>G16/H16</f>
        <v>3.9165769117791057E-6</v>
      </c>
      <c r="J16" s="1"/>
    </row>
    <row r="17" spans="1:10" x14ac:dyDescent="0.25">
      <c r="A17" s="40" t="s">
        <v>41</v>
      </c>
      <c r="B17" s="40">
        <f t="shared" si="2"/>
        <v>1.96</v>
      </c>
      <c r="C17" s="40">
        <f>386.53*1000</f>
        <v>386530</v>
      </c>
      <c r="D17" s="40">
        <f t="shared" ref="D17:D19" si="3">(B17/C17)*3</f>
        <v>1.5212273303495201E-5</v>
      </c>
      <c r="E17" s="1"/>
      <c r="F17" s="1" t="s">
        <v>20</v>
      </c>
      <c r="G17" s="40">
        <f t="shared" ref="G17:G19" si="4">(400)/1000</f>
        <v>0.4</v>
      </c>
      <c r="H17" s="40">
        <v>130187</v>
      </c>
      <c r="I17" s="40">
        <f>G17/H17</f>
        <v>3.0725033989568851E-6</v>
      </c>
      <c r="J17" s="1"/>
    </row>
    <row r="18" spans="1:10" x14ac:dyDescent="0.25">
      <c r="A18" s="40" t="s">
        <v>42</v>
      </c>
      <c r="B18" s="40">
        <f t="shared" si="2"/>
        <v>1.96</v>
      </c>
      <c r="C18" s="40">
        <f>470.69*1000</f>
        <v>470690</v>
      </c>
      <c r="D18" s="40">
        <f t="shared" si="3"/>
        <v>1.2492298540440631E-5</v>
      </c>
      <c r="E18" s="1"/>
      <c r="F18" s="1" t="s">
        <v>22</v>
      </c>
      <c r="G18" s="40">
        <f t="shared" si="4"/>
        <v>0.4</v>
      </c>
      <c r="H18" s="40">
        <v>158241</v>
      </c>
      <c r="I18" s="40">
        <f>G18/H18</f>
        <v>2.5277898901043347E-6</v>
      </c>
      <c r="J18" s="1"/>
    </row>
    <row r="19" spans="1:10" x14ac:dyDescent="0.25">
      <c r="A19" s="40" t="s">
        <v>43</v>
      </c>
      <c r="B19" s="40">
        <f t="shared" si="2"/>
        <v>1.96</v>
      </c>
      <c r="C19" s="40">
        <f>554.85*1000</f>
        <v>554850</v>
      </c>
      <c r="D19" s="40">
        <f t="shared" si="3"/>
        <v>1.0597458772641254E-5</v>
      </c>
      <c r="E19" s="1"/>
      <c r="F19" s="1" t="s">
        <v>23</v>
      </c>
      <c r="G19" s="40">
        <f t="shared" si="4"/>
        <v>0.4</v>
      </c>
      <c r="H19" s="40">
        <v>186285</v>
      </c>
      <c r="I19" s="40">
        <f>G19/H19</f>
        <v>2.1472474971146364E-6</v>
      </c>
      <c r="J19" s="1"/>
    </row>
    <row r="20" spans="1:10" x14ac:dyDescent="0.25">
      <c r="A20" s="40"/>
      <c r="B20" s="40">
        <f>SUM(B15:B19)</f>
        <v>9.8000000000000007</v>
      </c>
      <c r="C20" s="40">
        <f>SUM(C15:C19)</f>
        <v>1932647</v>
      </c>
      <c r="D20" s="40">
        <f>SUM(D15:D19)</f>
        <v>8.4695116614094874E-5</v>
      </c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>
        <f>SUM(I16:I19)</f>
        <v>1.1664117697954963E-5</v>
      </c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 t="s">
        <v>61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ht="30" x14ac:dyDescent="0.25">
      <c r="A24" s="40" t="s">
        <v>62</v>
      </c>
      <c r="B24" s="40" t="s">
        <v>57</v>
      </c>
      <c r="C24" s="40" t="s">
        <v>58</v>
      </c>
      <c r="D24" s="40" t="s">
        <v>59</v>
      </c>
      <c r="E24" s="1"/>
      <c r="F24" s="1"/>
      <c r="G24" s="1"/>
      <c r="H24" s="1"/>
      <c r="I24" s="1"/>
      <c r="J24" s="1"/>
    </row>
    <row r="25" spans="1:10" x14ac:dyDescent="0.25">
      <c r="A25" s="40">
        <v>1601844</v>
      </c>
      <c r="B25" s="40">
        <f>G5</f>
        <v>0</v>
      </c>
      <c r="C25" s="40">
        <f>B25/H16</f>
        <v>0</v>
      </c>
      <c r="D25" s="40">
        <f>100*(C25/D16)</f>
        <v>0</v>
      </c>
      <c r="E25" s="1"/>
      <c r="F25" s="1"/>
      <c r="G25" s="1"/>
      <c r="H25" s="1"/>
      <c r="I25" s="1"/>
      <c r="J25" s="1"/>
    </row>
    <row r="26" spans="1:10" x14ac:dyDescent="0.25">
      <c r="A26" s="40">
        <v>1807722.5</v>
      </c>
      <c r="B26" s="40">
        <f t="shared" ref="B26:B28" si="5">G6</f>
        <v>0</v>
      </c>
      <c r="C26" s="40">
        <f t="shared" ref="C26:C28" si="6">B26/H17</f>
        <v>0</v>
      </c>
      <c r="D26" s="40">
        <f t="shared" ref="D26:D28" si="7">100*(C26/D17)</f>
        <v>0</v>
      </c>
      <c r="E26" s="1"/>
      <c r="F26" s="1"/>
      <c r="G26" s="1"/>
      <c r="H26" s="1"/>
      <c r="I26" s="1"/>
      <c r="J26" s="1"/>
    </row>
    <row r="27" spans="1:10" x14ac:dyDescent="0.25">
      <c r="A27" s="40">
        <v>2047462</v>
      </c>
      <c r="B27" s="40" t="str">
        <f t="shared" si="5"/>
        <v>Concentration mg</v>
      </c>
      <c r="C27" s="40" t="e">
        <f t="shared" si="6"/>
        <v>#VALUE!</v>
      </c>
      <c r="D27" s="40" t="e">
        <f t="shared" si="7"/>
        <v>#VALUE!</v>
      </c>
      <c r="E27" s="1"/>
      <c r="F27" s="1"/>
      <c r="G27" s="1"/>
      <c r="H27" s="1"/>
      <c r="I27" s="1"/>
      <c r="J27" s="1"/>
    </row>
    <row r="28" spans="1:10" x14ac:dyDescent="0.25">
      <c r="A28" s="40">
        <v>1903685</v>
      </c>
      <c r="B28" s="40" t="e">
        <f t="shared" si="5"/>
        <v>#DIV/0!</v>
      </c>
      <c r="C28" s="40" t="e">
        <f t="shared" si="6"/>
        <v>#DIV/0!</v>
      </c>
      <c r="D28" s="40" t="e">
        <f t="shared" si="7"/>
        <v>#DIV/0!</v>
      </c>
      <c r="E28" s="1"/>
      <c r="F28" s="1"/>
      <c r="G28" s="1"/>
      <c r="H28" s="1"/>
      <c r="I28" s="1"/>
      <c r="J28" s="1"/>
    </row>
    <row r="29" spans="1:10" x14ac:dyDescent="0.25">
      <c r="A29" s="1"/>
      <c r="B29" s="1" t="e">
        <f>SUM(B25:B28)</f>
        <v>#DIV/0!</v>
      </c>
      <c r="C29" s="1" t="e">
        <f>SUM(C25:C28)</f>
        <v>#VALUE!</v>
      </c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 t="e">
        <f>((F5-J5)/K5)/H16</f>
        <v>#DIV/0!</v>
      </c>
      <c r="C31" s="1" t="e">
        <f>SUM(C25:C28)/SUM(D15:D19)</f>
        <v>#VALUE!</v>
      </c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tabSelected="1" workbookViewId="0">
      <selection activeCell="A32" sqref="A32"/>
    </sheetView>
  </sheetViews>
  <sheetFormatPr defaultColWidth="21.7109375" defaultRowHeight="15" x14ac:dyDescent="0.25"/>
  <cols>
    <col min="1" max="1" width="21.5703125" bestFit="1" customWidth="1"/>
    <col min="2" max="2" width="19" bestFit="1" customWidth="1"/>
    <col min="3" max="3" width="22" bestFit="1" customWidth="1"/>
    <col min="4" max="4" width="12.85546875" bestFit="1" customWidth="1"/>
    <col min="5" max="5" width="8" bestFit="1" customWidth="1"/>
    <col min="6" max="6" width="18.28515625" bestFit="1" customWidth="1"/>
    <col min="7" max="7" width="16.7109375" bestFit="1" customWidth="1"/>
    <col min="8" max="8" width="16.5703125" bestFit="1" customWidth="1"/>
    <col min="9" max="9" width="12.7109375" bestFit="1" customWidth="1"/>
    <col min="10" max="11" width="12" bestFit="1" customWidth="1"/>
    <col min="12" max="12" width="9" bestFit="1" customWidth="1"/>
    <col min="13" max="13" width="8" bestFit="1" customWidth="1"/>
    <col min="14" max="15" width="7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  <c r="B3" s="39" t="s">
        <v>34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25">
      <c r="A4" t="s">
        <v>4</v>
      </c>
      <c r="B4" t="s">
        <v>5</v>
      </c>
    </row>
    <row r="5" spans="1:15" x14ac:dyDescent="0.25">
      <c r="A5" t="s">
        <v>6</v>
      </c>
    </row>
    <row r="6" spans="1:15" x14ac:dyDescent="0.25">
      <c r="A6" t="s">
        <v>7</v>
      </c>
      <c r="B6" s="39" t="s">
        <v>35</v>
      </c>
      <c r="C6" s="39"/>
    </row>
    <row r="7" spans="1:15" x14ac:dyDescent="0.25">
      <c r="A7" t="s">
        <v>9</v>
      </c>
      <c r="B7" t="s">
        <v>10</v>
      </c>
      <c r="C7" t="s">
        <v>11</v>
      </c>
      <c r="D7" t="s">
        <v>24</v>
      </c>
      <c r="E7" t="s">
        <v>33</v>
      </c>
      <c r="F7" t="s">
        <v>37</v>
      </c>
      <c r="G7" t="s">
        <v>36</v>
      </c>
      <c r="I7" t="s">
        <v>14</v>
      </c>
      <c r="J7" t="s">
        <v>15</v>
      </c>
      <c r="K7" t="s">
        <v>16</v>
      </c>
      <c r="L7">
        <v>0.4</v>
      </c>
      <c r="M7">
        <v>0.04</v>
      </c>
      <c r="N7">
        <v>4.0000000000000001E-3</v>
      </c>
      <c r="O7">
        <v>4.0000000000000002E-4</v>
      </c>
    </row>
    <row r="8" spans="1:15" x14ac:dyDescent="0.25">
      <c r="A8" t="s">
        <v>29</v>
      </c>
      <c r="B8">
        <v>11</v>
      </c>
      <c r="C8">
        <v>2.8149999999999999</v>
      </c>
      <c r="D8">
        <v>1678741</v>
      </c>
      <c r="E8">
        <v>1524947</v>
      </c>
      <c r="F8">
        <f>AVERAGE(D8:E8)</f>
        <v>1601844</v>
      </c>
      <c r="G8">
        <f>(F8-J8)/K8</f>
        <v>0.1934204200818718</v>
      </c>
      <c r="H8" s="1" t="s">
        <v>18</v>
      </c>
      <c r="I8">
        <v>2.8220000000000001</v>
      </c>
      <c r="J8">
        <f>INTERCEPT(L8:R8,$L$7:$R$7)</f>
        <v>72151.099125364446</v>
      </c>
      <c r="K8">
        <f>SLOPE(L8:O8,$L$7:$O$7)</f>
        <v>7908642.2220939286</v>
      </c>
      <c r="L8">
        <v>3224177</v>
      </c>
      <c r="M8">
        <v>508844</v>
      </c>
      <c r="N8">
        <v>48806</v>
      </c>
      <c r="O8">
        <v>21378</v>
      </c>
    </row>
    <row r="9" spans="1:15" x14ac:dyDescent="0.25">
      <c r="A9" t="s">
        <v>13</v>
      </c>
      <c r="B9">
        <v>15</v>
      </c>
      <c r="C9">
        <v>4.0780000000000003</v>
      </c>
      <c r="D9">
        <v>1847803</v>
      </c>
      <c r="E9">
        <v>1767642</v>
      </c>
      <c r="F9">
        <f t="shared" ref="F9:F11" si="0">AVERAGE(D9:E9)</f>
        <v>1807722.5</v>
      </c>
      <c r="G9">
        <f t="shared" ref="G9:G11" si="1">(F9-J9)/K9</f>
        <v>0.13171812279860251</v>
      </c>
      <c r="H9" s="1" t="s">
        <v>20</v>
      </c>
      <c r="I9">
        <v>4.085</v>
      </c>
      <c r="J9">
        <f>INTERCEPT(L9:R9,$L$7:$R$7)</f>
        <v>94077.884353741538</v>
      </c>
      <c r="K9">
        <f t="shared" ref="K9:K11" si="2">SLOPE(L9:O9,$L$7:$O$7)</f>
        <v>13009938.034619788</v>
      </c>
      <c r="L9">
        <v>5281686</v>
      </c>
      <c r="M9">
        <v>787079</v>
      </c>
      <c r="N9">
        <v>64226</v>
      </c>
      <c r="O9">
        <v>24937</v>
      </c>
    </row>
    <row r="10" spans="1:15" x14ac:dyDescent="0.25">
      <c r="A10" t="s">
        <v>30</v>
      </c>
      <c r="B10">
        <v>17</v>
      </c>
      <c r="C10">
        <v>5.2759999999999998</v>
      </c>
      <c r="D10">
        <v>2096368</v>
      </c>
      <c r="E10">
        <v>1998556</v>
      </c>
      <c r="F10">
        <f t="shared" si="0"/>
        <v>2047462</v>
      </c>
      <c r="G10">
        <f t="shared" si="1"/>
        <v>9.5293153802345001E-2</v>
      </c>
      <c r="H10" s="1" t="s">
        <v>22</v>
      </c>
      <c r="I10">
        <v>5.2830000000000004</v>
      </c>
      <c r="J10">
        <f>INTERCEPT(L10:R10,$L$7:$R$7)</f>
        <v>125343.85260771029</v>
      </c>
      <c r="K10">
        <f t="shared" si="2"/>
        <v>20170579.634494055</v>
      </c>
      <c r="L10">
        <v>8170938</v>
      </c>
      <c r="M10">
        <v>1171256</v>
      </c>
      <c r="N10">
        <v>88833</v>
      </c>
      <c r="O10">
        <v>34154</v>
      </c>
    </row>
    <row r="11" spans="1:15" x14ac:dyDescent="0.25">
      <c r="A11" t="s">
        <v>31</v>
      </c>
      <c r="B11">
        <v>21</v>
      </c>
      <c r="C11">
        <v>6.3419999999999996</v>
      </c>
      <c r="D11">
        <v>1942603</v>
      </c>
      <c r="E11">
        <v>1864767</v>
      </c>
      <c r="F11">
        <f t="shared" si="0"/>
        <v>1903685</v>
      </c>
      <c r="G11">
        <f t="shared" si="1"/>
        <v>5.836361069198942E-2</v>
      </c>
      <c r="H11" s="1" t="s">
        <v>23</v>
      </c>
      <c r="I11">
        <v>6.3490000000000002</v>
      </c>
      <c r="J11">
        <f>INTERCEPT(L11:R11,$L$7:$R$7)</f>
        <v>196854.712989958</v>
      </c>
      <c r="K11">
        <f t="shared" si="2"/>
        <v>29244768.559946369</v>
      </c>
      <c r="L11">
        <v>11858135</v>
      </c>
      <c r="M11">
        <v>1753582</v>
      </c>
      <c r="N11">
        <v>123144</v>
      </c>
      <c r="O11">
        <v>48933</v>
      </c>
    </row>
    <row r="12" spans="1:15" x14ac:dyDescent="0.25">
      <c r="G12">
        <f>SUM(G8:G11)</f>
        <v>0.47879530737480869</v>
      </c>
    </row>
    <row r="15" spans="1:15" ht="15.75" thickBot="1" x14ac:dyDescent="0.3"/>
    <row r="16" spans="1:15" ht="18.75" thickBot="1" x14ac:dyDescent="0.35">
      <c r="A16" s="36" t="s">
        <v>55</v>
      </c>
      <c r="B16" s="37"/>
      <c r="C16" s="37"/>
      <c r="D16" s="38"/>
      <c r="F16" s="33" t="s">
        <v>46</v>
      </c>
      <c r="G16" s="34"/>
      <c r="H16" s="34"/>
      <c r="I16" s="35"/>
      <c r="J16" s="14"/>
    </row>
    <row r="17" spans="1:9" ht="45" x14ac:dyDescent="0.25">
      <c r="A17" s="2" t="s">
        <v>38</v>
      </c>
      <c r="B17" s="16" t="s">
        <v>44</v>
      </c>
      <c r="C17" s="17" t="s">
        <v>45</v>
      </c>
      <c r="D17" s="22" t="s">
        <v>60</v>
      </c>
      <c r="F17" s="4" t="s">
        <v>51</v>
      </c>
      <c r="G17" s="5" t="s">
        <v>52</v>
      </c>
      <c r="H17" s="5" t="s">
        <v>56</v>
      </c>
      <c r="I17" s="6" t="s">
        <v>53</v>
      </c>
    </row>
    <row r="18" spans="1:9" x14ac:dyDescent="0.25">
      <c r="A18" s="42" t="s">
        <v>39</v>
      </c>
      <c r="B18" s="43">
        <f>(0.0098/5)*1000</f>
        <v>1.96</v>
      </c>
      <c r="C18" s="44">
        <f>218210</f>
        <v>218210</v>
      </c>
      <c r="D18" s="45">
        <f>(B18/C18)*3</f>
        <v>2.6946519407909809E-5</v>
      </c>
      <c r="F18" s="4"/>
      <c r="G18" s="5"/>
      <c r="H18" s="5"/>
      <c r="I18" s="15"/>
    </row>
    <row r="19" spans="1:9" x14ac:dyDescent="0.25">
      <c r="A19" s="2" t="s">
        <v>40</v>
      </c>
      <c r="B19" s="23">
        <f t="shared" ref="B19:B22" si="3">(0.0098/5)*1000</f>
        <v>1.96</v>
      </c>
      <c r="C19" s="18">
        <v>302367</v>
      </c>
      <c r="D19" s="20">
        <f>(B19/C19)*3</f>
        <v>1.9446566589607991E-5</v>
      </c>
      <c r="F19" s="4" t="s">
        <v>47</v>
      </c>
      <c r="G19" s="5">
        <f>(400)/1000</f>
        <v>0.4</v>
      </c>
      <c r="H19" s="5">
        <v>102130</v>
      </c>
      <c r="I19" s="15">
        <f>G19/H19</f>
        <v>3.9165769117791057E-6</v>
      </c>
    </row>
    <row r="20" spans="1:9" x14ac:dyDescent="0.25">
      <c r="A20" s="2" t="s">
        <v>41</v>
      </c>
      <c r="B20" s="23">
        <f t="shared" si="3"/>
        <v>1.96</v>
      </c>
      <c r="C20" s="18">
        <f>386.53*1000</f>
        <v>386530</v>
      </c>
      <c r="D20" s="20">
        <f t="shared" ref="D20:D22" si="4">(B20/C20)*3</f>
        <v>1.5212273303495201E-5</v>
      </c>
      <c r="F20" s="4" t="s">
        <v>48</v>
      </c>
      <c r="G20" s="5">
        <f t="shared" ref="G20:G22" si="5">(400)/1000</f>
        <v>0.4</v>
      </c>
      <c r="H20" s="5">
        <v>130187</v>
      </c>
      <c r="I20" s="15">
        <f>G20/H20</f>
        <v>3.0725033989568851E-6</v>
      </c>
    </row>
    <row r="21" spans="1:9" x14ac:dyDescent="0.25">
      <c r="A21" s="2" t="s">
        <v>42</v>
      </c>
      <c r="B21" s="23">
        <f t="shared" si="3"/>
        <v>1.96</v>
      </c>
      <c r="C21" s="31">
        <f>470.69*1000</f>
        <v>470690</v>
      </c>
      <c r="D21" s="20">
        <f t="shared" si="4"/>
        <v>1.2492298540440631E-5</v>
      </c>
      <c r="F21" s="4" t="s">
        <v>49</v>
      </c>
      <c r="G21" s="5">
        <f t="shared" si="5"/>
        <v>0.4</v>
      </c>
      <c r="H21" s="5">
        <v>158241</v>
      </c>
      <c r="I21" s="15">
        <f>G21/H21</f>
        <v>2.5277898901043347E-6</v>
      </c>
    </row>
    <row r="22" spans="1:9" x14ac:dyDescent="0.25">
      <c r="A22" s="7" t="s">
        <v>43</v>
      </c>
      <c r="B22" s="30">
        <f t="shared" si="3"/>
        <v>1.96</v>
      </c>
      <c r="C22" s="32">
        <f>554.85*1000</f>
        <v>554850</v>
      </c>
      <c r="D22" s="21">
        <f t="shared" si="4"/>
        <v>1.0597458772641254E-5</v>
      </c>
      <c r="F22" s="12" t="s">
        <v>50</v>
      </c>
      <c r="G22" s="8">
        <f t="shared" si="5"/>
        <v>0.4</v>
      </c>
      <c r="H22" s="8">
        <v>186285</v>
      </c>
      <c r="I22" s="27">
        <f>G22/H22</f>
        <v>2.1472474971146364E-6</v>
      </c>
    </row>
    <row r="23" spans="1:9" x14ac:dyDescent="0.25">
      <c r="A23" s="13"/>
      <c r="B23" s="3">
        <f>SUM(B18:B22)</f>
        <v>9.8000000000000007</v>
      </c>
      <c r="C23" s="18">
        <f>SUM(C18:C22)</f>
        <v>1932647</v>
      </c>
      <c r="D23" s="18">
        <f>SUM(D18:D22)</f>
        <v>8.4695116614094874E-5</v>
      </c>
    </row>
    <row r="24" spans="1:9" x14ac:dyDescent="0.25">
      <c r="D24" s="19"/>
      <c r="E24" s="9"/>
      <c r="I24">
        <f>SUM(I19:I22)</f>
        <v>1.1664117697954963E-5</v>
      </c>
    </row>
    <row r="25" spans="1:9" ht="15.75" thickBot="1" x14ac:dyDescent="0.3"/>
    <row r="26" spans="1:9" ht="15.75" customHeight="1" thickBot="1" x14ac:dyDescent="0.3">
      <c r="A26" s="33" t="s">
        <v>61</v>
      </c>
      <c r="B26" s="34"/>
      <c r="C26" s="34"/>
      <c r="D26" s="35"/>
    </row>
    <row r="27" spans="1:9" ht="30" x14ac:dyDescent="0.25">
      <c r="A27" s="4" t="s">
        <v>54</v>
      </c>
      <c r="B27" s="24" t="s">
        <v>57</v>
      </c>
      <c r="C27" s="5" t="s">
        <v>58</v>
      </c>
      <c r="D27" s="6" t="s">
        <v>59</v>
      </c>
    </row>
    <row r="28" spans="1:9" x14ac:dyDescent="0.25">
      <c r="A28" s="4">
        <v>1601844</v>
      </c>
      <c r="B28" s="5">
        <f>G8</f>
        <v>0.1934204200818718</v>
      </c>
      <c r="C28" s="25">
        <f>B28/H19</f>
        <v>1.8938648788981866E-6</v>
      </c>
      <c r="D28" s="28">
        <f>100*(C28/D19)</f>
        <v>9.7388136366974152</v>
      </c>
    </row>
    <row r="29" spans="1:9" x14ac:dyDescent="0.25">
      <c r="A29" s="4">
        <v>1807722.5</v>
      </c>
      <c r="B29" s="5">
        <f t="shared" ref="B29:B31" si="6">G9</f>
        <v>0.13171812279860251</v>
      </c>
      <c r="C29" s="25">
        <f t="shared" ref="C29:C31" si="7">B29/H20</f>
        <v>1.0117609500073165E-6</v>
      </c>
      <c r="D29" s="28">
        <f t="shared" ref="D29:D31" si="8">100*(C29/D20)</f>
        <v>6.6509517007878909</v>
      </c>
    </row>
    <row r="30" spans="1:9" x14ac:dyDescent="0.25">
      <c r="A30" s="4">
        <v>2047462</v>
      </c>
      <c r="B30" s="5">
        <f t="shared" si="6"/>
        <v>9.5293153802345001E-2</v>
      </c>
      <c r="C30" s="25">
        <f t="shared" si="7"/>
        <v>6.0220267694431277E-7</v>
      </c>
      <c r="D30" s="28">
        <f t="shared" si="8"/>
        <v>4.8205914627707234</v>
      </c>
    </row>
    <row r="31" spans="1:9" x14ac:dyDescent="0.25">
      <c r="A31" s="12">
        <v>1903685</v>
      </c>
      <c r="B31" s="8">
        <f t="shared" si="6"/>
        <v>5.836361069198942E-2</v>
      </c>
      <c r="C31" s="26">
        <f t="shared" si="7"/>
        <v>3.1330279245236826E-7</v>
      </c>
      <c r="D31" s="29">
        <f t="shared" si="8"/>
        <v>2.9563954828604855</v>
      </c>
    </row>
    <row r="32" spans="1:9" x14ac:dyDescent="0.25">
      <c r="A32" t="s">
        <v>63</v>
      </c>
      <c r="B32" s="9">
        <f>SUM(B28:B31)</f>
        <v>0.47879530737480869</v>
      </c>
      <c r="C32" s="19">
        <f>SUM(C28:C31)</f>
        <v>3.8211312983021845E-6</v>
      </c>
      <c r="D32" s="11">
        <f>SUM(D28:D31)</f>
        <v>24.166752283116516</v>
      </c>
    </row>
    <row r="34" spans="2:3" x14ac:dyDescent="0.25">
      <c r="B34">
        <f>((F8-J8)/K8)/H19</f>
        <v>1.8938648788981866E-6</v>
      </c>
      <c r="C34" s="11">
        <f>SUM(C28:C31)/SUM(D18:D22)</f>
        <v>4.5116311908664115E-2</v>
      </c>
    </row>
    <row r="35" spans="2:3" x14ac:dyDescent="0.25">
      <c r="B35" s="10"/>
    </row>
  </sheetData>
  <mergeCells count="5">
    <mergeCell ref="F16:I16"/>
    <mergeCell ref="A26:D26"/>
    <mergeCell ref="A16:D16"/>
    <mergeCell ref="B3:O3"/>
    <mergeCell ref="B6:C6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TriMix 100ul KOH</vt:lpstr>
      <vt:lpstr>TriMix 200ul KOH</vt:lpstr>
      <vt:lpstr>TriMix 400ul KOH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Chembug</dc:creator>
  <cp:lastModifiedBy>JBrown</cp:lastModifiedBy>
  <cp:lastPrinted>2017-03-20T14:23:38Z</cp:lastPrinted>
  <dcterms:created xsi:type="dcterms:W3CDTF">2017-02-13T22:52:19Z</dcterms:created>
  <dcterms:modified xsi:type="dcterms:W3CDTF">2017-04-03T21:28:26Z</dcterms:modified>
</cp:coreProperties>
</file>