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4915" windowHeight="12075" activeTab="2"/>
  </bookViews>
  <sheets>
    <sheet name="TriMix 100ul KOH" sheetId="1" r:id="rId1"/>
    <sheet name="TriMix 200ul KOH" sheetId="2" r:id="rId2"/>
    <sheet name="TriMix 400ul KOH" sheetId="3" r:id="rId3"/>
  </sheets>
  <calcPr calcId="125725"/>
</workbook>
</file>

<file path=xl/calcChain.xml><?xml version="1.0" encoding="utf-8"?>
<calcChain xmlns="http://schemas.openxmlformats.org/spreadsheetml/2006/main">
  <c r="D26" i="3"/>
  <c r="D27"/>
  <c r="D28"/>
  <c r="D29"/>
  <c r="D25"/>
  <c r="D19"/>
  <c r="D20"/>
  <c r="D21"/>
  <c r="D22"/>
  <c r="D18"/>
  <c r="B29"/>
  <c r="B28"/>
  <c r="B27"/>
  <c r="B26"/>
  <c r="B25"/>
  <c r="B22"/>
  <c r="B21"/>
  <c r="B20"/>
  <c r="B19"/>
  <c r="B18"/>
  <c r="G12"/>
  <c r="J11"/>
  <c r="J10"/>
  <c r="J9"/>
  <c r="J8"/>
  <c r="K11"/>
  <c r="K10"/>
  <c r="K9"/>
  <c r="K8"/>
  <c r="G8" i="2"/>
  <c r="F9" i="3"/>
  <c r="G9" s="1"/>
  <c r="F10"/>
  <c r="F11"/>
  <c r="G11" s="1"/>
  <c r="G10"/>
  <c r="F8"/>
  <c r="G8" s="1"/>
  <c r="G9" i="2"/>
  <c r="G10"/>
  <c r="G11"/>
  <c r="L11"/>
  <c r="K11"/>
  <c r="L10"/>
  <c r="K10"/>
  <c r="L9"/>
  <c r="K9"/>
  <c r="L8"/>
  <c r="K8"/>
  <c r="F9"/>
  <c r="F10"/>
  <c r="F11"/>
  <c r="F8"/>
  <c r="F8" i="1"/>
  <c r="G8" s="1"/>
  <c r="L11"/>
  <c r="L10"/>
  <c r="L9"/>
  <c r="L8"/>
  <c r="K11"/>
  <c r="K10"/>
  <c r="K9"/>
  <c r="K8"/>
  <c r="F9"/>
  <c r="G9" s="1"/>
  <c r="F10"/>
  <c r="G10" s="1"/>
  <c r="F11"/>
  <c r="G11" s="1"/>
</calcChain>
</file>

<file path=xl/sharedStrings.xml><?xml version="1.0" encoding="utf-8"?>
<sst xmlns="http://schemas.openxmlformats.org/spreadsheetml/2006/main" count="101" uniqueCount="59">
  <si>
    <t>[contents]</t>
  </si>
  <si>
    <t>count=1</t>
  </si>
  <si>
    <t>Name=</t>
  </si>
  <si>
    <t>C:\msdchem\1\data\JTB-E02\20170126_Method Test Tri-Mix FAME\JTB-E02-41-04.D</t>
  </si>
  <si>
    <t>1=</t>
  </si>
  <si>
    <t>INT FID1A.ch</t>
  </si>
  <si>
    <t>[INT FID1A.ch]</t>
  </si>
  <si>
    <t>Time=</t>
  </si>
  <si>
    <t>Mon Feb 13 09:25:02 2017</t>
  </si>
  <si>
    <t>Header=</t>
  </si>
  <si>
    <t>Peak</t>
  </si>
  <si>
    <t>R.T.</t>
  </si>
  <si>
    <t>Concentration mg</t>
  </si>
  <si>
    <t>15=</t>
  </si>
  <si>
    <t>rt</t>
  </si>
  <si>
    <t>y-int</t>
  </si>
  <si>
    <t>Slope</t>
  </si>
  <si>
    <t>19=</t>
  </si>
  <si>
    <t>1 C4:0 (Butryic) 4</t>
  </si>
  <si>
    <t>22=</t>
  </si>
  <si>
    <t>2 C6:0 (Caproic) 4</t>
  </si>
  <si>
    <t>26=</t>
  </si>
  <si>
    <t>3 C8:0 (Caprylic) 4</t>
  </si>
  <si>
    <t>4 C10:0 (Capric) 4</t>
  </si>
  <si>
    <t>Area-1</t>
  </si>
  <si>
    <t>Area 2</t>
  </si>
  <si>
    <t>Avg</t>
  </si>
  <si>
    <t>C:\msdchem\1\data\JTB-E02\20170126_Method Test Tri-Mix FAME\JTB-E02-41-06.D</t>
  </si>
  <si>
    <t>Mon Feb 13 09:25:16 2017</t>
  </si>
  <si>
    <t>11=</t>
  </si>
  <si>
    <t>13=</t>
  </si>
  <si>
    <t>17=</t>
  </si>
  <si>
    <t>21=</t>
  </si>
  <si>
    <t>23=</t>
  </si>
  <si>
    <t>Avg Area</t>
  </si>
  <si>
    <t>Area-2</t>
  </si>
  <si>
    <t>C:\msdchem\1\data\JTB-E02\20170126_Method Test Tri-Mix FAME\JTB-E02-41-08.D</t>
  </si>
  <si>
    <t>Mon Feb 13 09:25:42 2017</t>
  </si>
  <si>
    <t>Conc mg</t>
  </si>
  <si>
    <t>Average</t>
  </si>
  <si>
    <t>100 mg ampule contains approx. equal amounts by weight of:</t>
  </si>
  <si>
    <t>Triacetin (C2:0)</t>
  </si>
  <si>
    <t>Tributyrin (C4:0)</t>
  </si>
  <si>
    <t>Tricaproin (C6:0)</t>
  </si>
  <si>
    <t>Tricaprylin (C8:0)</t>
  </si>
  <si>
    <t>Tricaprin (C10:0)</t>
  </si>
  <si>
    <t>mg in solution</t>
  </si>
  <si>
    <t>methyl acetate</t>
  </si>
  <si>
    <t>methyl butyric</t>
  </si>
  <si>
    <t>methyl caproic</t>
  </si>
  <si>
    <t>methyl caprylic</t>
  </si>
  <si>
    <t>methyl capric</t>
  </si>
  <si>
    <t>Triglyceride (mg/mol)</t>
  </si>
  <si>
    <t>Tri Mix</t>
  </si>
  <si>
    <t>Predicted</t>
  </si>
  <si>
    <t>Methyl (mg/mol)</t>
  </si>
  <si>
    <t xml:space="preserve">TAG moles </t>
  </si>
  <si>
    <t>Methyl moles</t>
  </si>
  <si>
    <t>F.A.M.E Mix</t>
  </si>
</sst>
</file>

<file path=xl/styles.xml><?xml version="1.0" encoding="utf-8"?>
<styleSheet xmlns="http://schemas.openxmlformats.org/spreadsheetml/2006/main">
  <numFmts count="1">
    <numFmt numFmtId="192" formatCode="0.0000E+00"/>
  </numFmts>
  <fonts count="9">
    <font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3.2"/>
      <color rgb="FF787878"/>
      <name val="Calibri"/>
      <family val="2"/>
      <scheme val="minor"/>
    </font>
    <font>
      <sz val="9"/>
      <color rgb="FF665E58"/>
      <name val="Calibri"/>
      <family val="2"/>
      <scheme val="minor"/>
    </font>
    <font>
      <b/>
      <sz val="8"/>
      <color rgb="FF6D6D6D"/>
      <name val="Arial"/>
      <family val="2"/>
    </font>
    <font>
      <sz val="12"/>
      <color rgb="FF666666"/>
      <name val="Arial"/>
      <family val="2"/>
    </font>
    <font>
      <b/>
      <sz val="8"/>
      <color rgb="FF4B4948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right"/>
    </xf>
    <xf numFmtId="2" fontId="6" fillId="0" borderId="0" xfId="0" applyNumberFormat="1" applyFont="1" applyAlignment="1">
      <alignment horizontal="right" wrapText="1" indent="1"/>
    </xf>
    <xf numFmtId="2" fontId="7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0" fontId="4" fillId="0" borderId="4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5" fillId="0" borderId="7" xfId="0" applyFont="1" applyBorder="1" applyAlignment="1">
      <alignment wrapText="1"/>
    </xf>
    <xf numFmtId="0" fontId="0" fillId="0" borderId="8" xfId="0" applyBorder="1" applyAlignment="1">
      <alignment horizontal="center" wrapText="1"/>
    </xf>
    <xf numFmtId="0" fontId="0" fillId="0" borderId="8" xfId="0" applyFont="1" applyBorder="1"/>
    <xf numFmtId="0" fontId="5" fillId="0" borderId="10" xfId="0" applyFont="1" applyBorder="1" applyAlignment="1">
      <alignment wrapText="1"/>
    </xf>
    <xf numFmtId="2" fontId="1" fillId="0" borderId="0" xfId="0" applyNumberFormat="1" applyFont="1" applyBorder="1"/>
    <xf numFmtId="2" fontId="0" fillId="0" borderId="0" xfId="0" applyNumberFormat="1" applyFont="1" applyBorder="1"/>
    <xf numFmtId="2" fontId="3" fillId="0" borderId="0" xfId="0" applyNumberFormat="1" applyFont="1" applyBorder="1" applyAlignment="1">
      <alignment horizontal="right"/>
    </xf>
    <xf numFmtId="2" fontId="2" fillId="0" borderId="0" xfId="0" applyNumberFormat="1" applyFont="1" applyBorder="1"/>
    <xf numFmtId="11" fontId="0" fillId="0" borderId="11" xfId="0" applyNumberFormat="1" applyFont="1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5" fillId="0" borderId="12" xfId="0" applyFont="1" applyBorder="1" applyAlignment="1">
      <alignment wrapText="1"/>
    </xf>
    <xf numFmtId="0" fontId="0" fillId="0" borderId="13" xfId="0" applyBorder="1"/>
    <xf numFmtId="192" fontId="0" fillId="0" borderId="11" xfId="0" applyNumberFormat="1" applyBorder="1"/>
    <xf numFmtId="0" fontId="0" fillId="0" borderId="9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Fill="1" applyBorder="1"/>
    <xf numFmtId="19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v>500ul of 10mg/10ml Tri Mix 100ul KOH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3912984215458397"/>
                  <c:y val="-0.18005978419364246"/>
                </c:manualLayout>
              </c:layout>
              <c:numFmt formatCode="General" sourceLinked="0"/>
            </c:trendlineLbl>
          </c:trendline>
          <c:xVal>
            <c:numRef>
              <c:f>'TriMix 100ul KOH'!$G$8:$G$11</c:f>
              <c:numCache>
                <c:formatCode>General</c:formatCode>
                <c:ptCount val="4"/>
                <c:pt idx="0">
                  <c:v>2.6526373848672411</c:v>
                </c:pt>
                <c:pt idx="1">
                  <c:v>1.8423504652654517</c:v>
                </c:pt>
                <c:pt idx="2">
                  <c:v>1.3609197991446709</c:v>
                </c:pt>
                <c:pt idx="3">
                  <c:v>4.3389417983641775E-3</c:v>
                </c:pt>
              </c:numCache>
            </c:numRef>
          </c:xVal>
          <c:yVal>
            <c:numRef>
              <c:f>'TriMix 100ul KOH'!$E$8:$E$11</c:f>
              <c:numCache>
                <c:formatCode>General</c:formatCode>
                <c:ptCount val="4"/>
                <c:pt idx="0">
                  <c:v>1662420</c:v>
                </c:pt>
                <c:pt idx="1">
                  <c:v>1908781</c:v>
                </c:pt>
                <c:pt idx="2">
                  <c:v>2219951</c:v>
                </c:pt>
                <c:pt idx="3">
                  <c:v>2220070</c:v>
                </c:pt>
              </c:numCache>
            </c:numRef>
          </c:yVal>
        </c:ser>
        <c:axId val="73277440"/>
        <c:axId val="73279360"/>
      </c:scatterChart>
      <c:valAx>
        <c:axId val="73277440"/>
        <c:scaling>
          <c:orientation val="minMax"/>
        </c:scaling>
        <c:axPos val="b"/>
        <c:numFmt formatCode="General" sourceLinked="1"/>
        <c:tickLblPos val="nextTo"/>
        <c:crossAx val="73279360"/>
        <c:crosses val="autoZero"/>
        <c:crossBetween val="midCat"/>
      </c:valAx>
      <c:valAx>
        <c:axId val="73279360"/>
        <c:scaling>
          <c:orientation val="minMax"/>
        </c:scaling>
        <c:axPos val="l"/>
        <c:majorGridlines/>
        <c:numFmt formatCode="General" sourceLinked="1"/>
        <c:tickLblPos val="nextTo"/>
        <c:crossAx val="732774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v>500ul of 10mg/10ml Tri Mix 200ul KOH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6004833770778666"/>
                  <c:y val="-0.18774496937882773"/>
                </c:manualLayout>
              </c:layout>
              <c:numFmt formatCode="General" sourceLinked="0"/>
            </c:trendlineLbl>
          </c:trendline>
          <c:xVal>
            <c:numRef>
              <c:f>'TriMix 200ul KOH'!$G$8:$G$11</c:f>
              <c:numCache>
                <c:formatCode>General</c:formatCode>
                <c:ptCount val="4"/>
                <c:pt idx="0">
                  <c:v>2.7458992848605774</c:v>
                </c:pt>
                <c:pt idx="1">
                  <c:v>1.9020826867358447</c:v>
                </c:pt>
                <c:pt idx="2">
                  <c:v>1.3578819588292041</c:v>
                </c:pt>
                <c:pt idx="3">
                  <c:v>0.81773752547333867</c:v>
                </c:pt>
              </c:numCache>
            </c:numRef>
          </c:xVal>
          <c:yVal>
            <c:numRef>
              <c:f>'TriMix 200ul KOH'!$F$8:$F$11</c:f>
              <c:numCache>
                <c:formatCode>General</c:formatCode>
                <c:ptCount val="4"/>
                <c:pt idx="0">
                  <c:v>940804.5</c:v>
                </c:pt>
                <c:pt idx="1">
                  <c:v>1083917</c:v>
                </c:pt>
                <c:pt idx="2">
                  <c:v>1220914.5</c:v>
                </c:pt>
                <c:pt idx="3">
                  <c:v>1153436.5</c:v>
                </c:pt>
              </c:numCache>
            </c:numRef>
          </c:yVal>
        </c:ser>
        <c:axId val="84753024"/>
        <c:axId val="72520448"/>
      </c:scatterChart>
      <c:valAx>
        <c:axId val="84753024"/>
        <c:scaling>
          <c:orientation val="minMax"/>
        </c:scaling>
        <c:axPos val="b"/>
        <c:numFmt formatCode="General" sourceLinked="1"/>
        <c:tickLblPos val="nextTo"/>
        <c:crossAx val="72520448"/>
        <c:crosses val="autoZero"/>
        <c:crossBetween val="midCat"/>
      </c:valAx>
      <c:valAx>
        <c:axId val="72520448"/>
        <c:scaling>
          <c:orientation val="minMax"/>
        </c:scaling>
        <c:axPos val="l"/>
        <c:majorGridlines/>
        <c:numFmt formatCode="General" sourceLinked="1"/>
        <c:tickLblPos val="nextTo"/>
        <c:crossAx val="847530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12</xdr:row>
      <xdr:rowOff>47625</xdr:rowOff>
    </xdr:from>
    <xdr:to>
      <xdr:col>8</xdr:col>
      <xdr:colOff>800100</xdr:colOff>
      <xdr:row>26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12</xdr:row>
      <xdr:rowOff>114300</xdr:rowOff>
    </xdr:from>
    <xdr:to>
      <xdr:col>9</xdr:col>
      <xdr:colOff>19050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1"/>
  <sheetViews>
    <sheetView workbookViewId="0">
      <selection activeCell="G8" sqref="G8"/>
    </sheetView>
  </sheetViews>
  <sheetFormatPr defaultColWidth="43.85546875" defaultRowHeight="15"/>
  <cols>
    <col min="1" max="1" width="13.7109375" bestFit="1" customWidth="1"/>
    <col min="2" max="2" width="4.85546875" customWidth="1"/>
    <col min="3" max="3" width="6" bestFit="1" customWidth="1"/>
    <col min="4" max="4" width="9.28515625" customWidth="1"/>
    <col min="5" max="5" width="8" bestFit="1" customWidth="1"/>
    <col min="6" max="6" width="8" customWidth="1"/>
    <col min="7" max="7" width="16.85546875" bestFit="1" customWidth="1"/>
    <col min="8" max="8" width="16" bestFit="1" customWidth="1"/>
    <col min="9" max="9" width="16.5703125" bestFit="1" customWidth="1"/>
    <col min="10" max="10" width="11" bestFit="1" customWidth="1"/>
    <col min="11" max="12" width="12" bestFit="1" customWidth="1"/>
    <col min="13" max="14" width="8" bestFit="1" customWidth="1"/>
    <col min="15" max="17" width="6" bestFit="1" customWidth="1"/>
    <col min="18" max="18" width="7" bestFit="1" customWidth="1"/>
    <col min="19" max="19" width="8" bestFit="1" customWidth="1"/>
  </cols>
  <sheetData>
    <row r="1" spans="1:19">
      <c r="A1" t="s">
        <v>0</v>
      </c>
    </row>
    <row r="2" spans="1:19">
      <c r="A2" t="s">
        <v>1</v>
      </c>
    </row>
    <row r="3" spans="1:19">
      <c r="A3" t="s">
        <v>2</v>
      </c>
      <c r="B3" t="s">
        <v>3</v>
      </c>
    </row>
    <row r="4" spans="1:19">
      <c r="A4" t="s">
        <v>4</v>
      </c>
      <c r="B4" t="s">
        <v>5</v>
      </c>
    </row>
    <row r="5" spans="1:19">
      <c r="A5" t="s">
        <v>6</v>
      </c>
    </row>
    <row r="6" spans="1:19">
      <c r="A6" t="s">
        <v>7</v>
      </c>
      <c r="B6" t="s">
        <v>8</v>
      </c>
    </row>
    <row r="7" spans="1:19">
      <c r="A7" t="s">
        <v>9</v>
      </c>
      <c r="B7" t="s">
        <v>10</v>
      </c>
      <c r="C7" t="s">
        <v>11</v>
      </c>
      <c r="D7" t="s">
        <v>24</v>
      </c>
      <c r="E7" t="s">
        <v>25</v>
      </c>
      <c r="F7" t="s">
        <v>26</v>
      </c>
      <c r="G7" t="s">
        <v>12</v>
      </c>
      <c r="J7" t="s">
        <v>14</v>
      </c>
      <c r="K7" t="s">
        <v>15</v>
      </c>
      <c r="L7" t="s">
        <v>16</v>
      </c>
      <c r="M7">
        <v>10</v>
      </c>
      <c r="N7">
        <v>1</v>
      </c>
      <c r="O7">
        <v>0.1</v>
      </c>
      <c r="P7">
        <v>0.01</v>
      </c>
      <c r="Q7">
        <v>1E-3</v>
      </c>
      <c r="R7">
        <v>1E-4</v>
      </c>
      <c r="S7">
        <v>1.0000000000000001E-5</v>
      </c>
    </row>
    <row r="8" spans="1:19">
      <c r="A8" t="s">
        <v>13</v>
      </c>
      <c r="B8">
        <v>15</v>
      </c>
      <c r="C8">
        <v>2.8159999999999998</v>
      </c>
      <c r="D8">
        <v>160183</v>
      </c>
      <c r="E8">
        <v>1662420</v>
      </c>
      <c r="F8">
        <f>AVERAGE(D8:E8)</f>
        <v>911301.5</v>
      </c>
      <c r="G8">
        <f>(F8-K8)/L8</f>
        <v>2.6526373848672411</v>
      </c>
      <c r="I8" s="1" t="s">
        <v>18</v>
      </c>
      <c r="J8">
        <v>2.8220000000000001</v>
      </c>
      <c r="K8">
        <f>INTERCEPT(M8:S8,M7:S7)</f>
        <v>72151.099125364679</v>
      </c>
      <c r="L8">
        <f>SLOPE(M8:S8,$M$7:$S$7)</f>
        <v>316345.6888837571</v>
      </c>
      <c r="M8">
        <v>3224177</v>
      </c>
      <c r="N8">
        <v>508844</v>
      </c>
      <c r="O8">
        <v>48806</v>
      </c>
      <c r="P8">
        <v>21378</v>
      </c>
    </row>
    <row r="9" spans="1:19">
      <c r="A9" t="s">
        <v>17</v>
      </c>
      <c r="B9">
        <v>19</v>
      </c>
      <c r="C9">
        <v>4.0789999999999997</v>
      </c>
      <c r="D9">
        <v>196884</v>
      </c>
      <c r="E9">
        <v>1908781</v>
      </c>
      <c r="F9">
        <f t="shared" ref="F9:F11" si="0">AVERAGE(D9:E9)</f>
        <v>1052832.5</v>
      </c>
      <c r="G9">
        <f>(F9-K9)/L9</f>
        <v>1.8423504652654517</v>
      </c>
      <c r="I9" s="1" t="s">
        <v>20</v>
      </c>
      <c r="J9">
        <v>4.085</v>
      </c>
      <c r="K9">
        <f>INTERCEPT(M9:S9,$M$7:$S$7)</f>
        <v>94077.884353741538</v>
      </c>
      <c r="L9">
        <f>SLOPE(M9:S9,$M$7:$S$7)</f>
        <v>520397.52138479153</v>
      </c>
      <c r="M9">
        <v>5281686</v>
      </c>
      <c r="N9">
        <v>787079</v>
      </c>
      <c r="O9">
        <v>64226</v>
      </c>
      <c r="P9">
        <v>24937</v>
      </c>
    </row>
    <row r="10" spans="1:19">
      <c r="A10" t="s">
        <v>19</v>
      </c>
      <c r="B10">
        <v>22</v>
      </c>
      <c r="C10">
        <v>5.2759999999999998</v>
      </c>
      <c r="D10">
        <v>226780</v>
      </c>
      <c r="E10">
        <v>2219951</v>
      </c>
      <c r="F10">
        <f t="shared" si="0"/>
        <v>1223365.5</v>
      </c>
      <c r="G10">
        <f>(F10-K10)/L10</f>
        <v>1.3609197991446709</v>
      </c>
      <c r="I10" s="1" t="s">
        <v>22</v>
      </c>
      <c r="J10">
        <v>5.2830000000000004</v>
      </c>
      <c r="K10">
        <f>INTERCEPT(M10:S10,$M$7:$S$7)</f>
        <v>125343.85260771029</v>
      </c>
      <c r="L10">
        <f>SLOPE(M10:S10,$M$7:$S$7)</f>
        <v>806823.18537976232</v>
      </c>
      <c r="M10">
        <v>8170938</v>
      </c>
      <c r="N10">
        <v>1171256</v>
      </c>
      <c r="O10">
        <v>88833</v>
      </c>
      <c r="P10">
        <v>34154</v>
      </c>
    </row>
    <row r="11" spans="1:19">
      <c r="A11" t="s">
        <v>21</v>
      </c>
      <c r="B11">
        <v>26</v>
      </c>
      <c r="C11">
        <v>6.3419999999999996</v>
      </c>
      <c r="D11">
        <v>222415</v>
      </c>
      <c r="E11">
        <v>2220070</v>
      </c>
      <c r="F11">
        <f t="shared" si="0"/>
        <v>1221242.5</v>
      </c>
      <c r="G11">
        <f>(F11-L11)/M11</f>
        <v>4.3389417983641775E-3</v>
      </c>
      <c r="I11" s="1" t="s">
        <v>23</v>
      </c>
      <c r="J11">
        <v>6.3490000000000002</v>
      </c>
      <c r="K11">
        <f>INTERCEPT(M11:S11,$M$7:$S$7)</f>
        <v>196854.71298995847</v>
      </c>
      <c r="L11">
        <f>SLOPE(M11:S11,$M$7:$S$7)</f>
        <v>1169790.7423978548</v>
      </c>
      <c r="M11">
        <v>11858135</v>
      </c>
      <c r="N11">
        <v>1753582</v>
      </c>
      <c r="O11">
        <v>123144</v>
      </c>
      <c r="P11">
        <v>48933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1"/>
  <sheetViews>
    <sheetView workbookViewId="0">
      <selection activeCell="G8" sqref="G8"/>
    </sheetView>
  </sheetViews>
  <sheetFormatPr defaultColWidth="23.85546875" defaultRowHeight="15"/>
  <cols>
    <col min="1" max="1" width="13.7109375" bestFit="1" customWidth="1"/>
    <col min="2" max="2" width="5" customWidth="1"/>
    <col min="3" max="3" width="6" bestFit="1" customWidth="1"/>
    <col min="4" max="4" width="7" bestFit="1" customWidth="1"/>
    <col min="5" max="5" width="8" bestFit="1" customWidth="1"/>
    <col min="6" max="6" width="10" bestFit="1" customWidth="1"/>
    <col min="7" max="7" width="16.85546875" bestFit="1" customWidth="1"/>
    <col min="8" max="8" width="9" customWidth="1"/>
    <col min="9" max="9" width="16.5703125" bestFit="1" customWidth="1"/>
    <col min="10" max="10" width="6" bestFit="1" customWidth="1"/>
    <col min="11" max="12" width="12" bestFit="1" customWidth="1"/>
    <col min="13" max="13" width="9" bestFit="1" customWidth="1"/>
    <col min="14" max="14" width="8" bestFit="1" customWidth="1"/>
    <col min="15" max="15" width="7" bestFit="1" customWidth="1"/>
    <col min="16" max="17" width="6" bestFit="1" customWidth="1"/>
    <col min="18" max="18" width="7" bestFit="1" customWidth="1"/>
    <col min="19" max="19" width="8" bestFit="1" customWidth="1"/>
  </cols>
  <sheetData>
    <row r="1" spans="1:19">
      <c r="A1" t="s">
        <v>0</v>
      </c>
    </row>
    <row r="2" spans="1:19">
      <c r="A2" t="s">
        <v>1</v>
      </c>
    </row>
    <row r="3" spans="1:19">
      <c r="A3" t="s">
        <v>2</v>
      </c>
      <c r="B3" t="s">
        <v>27</v>
      </c>
    </row>
    <row r="4" spans="1:19">
      <c r="A4" t="s">
        <v>4</v>
      </c>
      <c r="B4" t="s">
        <v>5</v>
      </c>
    </row>
    <row r="5" spans="1:19">
      <c r="A5" t="s">
        <v>6</v>
      </c>
    </row>
    <row r="6" spans="1:19">
      <c r="A6" t="s">
        <v>7</v>
      </c>
      <c r="B6" t="s">
        <v>28</v>
      </c>
    </row>
    <row r="7" spans="1:19">
      <c r="A7" t="s">
        <v>9</v>
      </c>
      <c r="B7" t="s">
        <v>10</v>
      </c>
      <c r="C7" t="s">
        <v>11</v>
      </c>
      <c r="D7" t="s">
        <v>24</v>
      </c>
      <c r="E7" t="s">
        <v>35</v>
      </c>
      <c r="F7" t="s">
        <v>34</v>
      </c>
      <c r="G7" t="s">
        <v>12</v>
      </c>
      <c r="J7" t="s">
        <v>14</v>
      </c>
      <c r="K7" t="s">
        <v>15</v>
      </c>
      <c r="L7" t="s">
        <v>16</v>
      </c>
      <c r="M7">
        <v>10</v>
      </c>
      <c r="N7">
        <v>1</v>
      </c>
      <c r="O7">
        <v>0.1</v>
      </c>
      <c r="P7">
        <v>0.01</v>
      </c>
      <c r="Q7">
        <v>1E-3</v>
      </c>
      <c r="R7">
        <v>1E-4</v>
      </c>
      <c r="S7">
        <v>1.0000000000000001E-5</v>
      </c>
    </row>
    <row r="8" spans="1:19">
      <c r="A8" t="s">
        <v>30</v>
      </c>
      <c r="B8">
        <v>13</v>
      </c>
      <c r="C8">
        <v>2.8159999999999998</v>
      </c>
      <c r="D8">
        <v>151344</v>
      </c>
      <c r="E8">
        <v>1730265</v>
      </c>
      <c r="F8">
        <f>AVERAGE(D8:E8)</f>
        <v>940804.5</v>
      </c>
      <c r="G8">
        <f>(F8-K8)/L8</f>
        <v>2.7458992848605774</v>
      </c>
      <c r="I8" s="1" t="s">
        <v>18</v>
      </c>
      <c r="J8">
        <v>2.8220000000000001</v>
      </c>
      <c r="K8">
        <f>INTERCEPT(M8:S8,M7:S7)</f>
        <v>72151.099125364679</v>
      </c>
      <c r="L8">
        <f>SLOPE(M8:S8,$M$7:$S$7)</f>
        <v>316345.6888837571</v>
      </c>
      <c r="M8">
        <v>3224177</v>
      </c>
      <c r="N8">
        <v>508844</v>
      </c>
      <c r="O8">
        <v>48806</v>
      </c>
      <c r="P8">
        <v>21378</v>
      </c>
    </row>
    <row r="9" spans="1:19">
      <c r="A9" t="s">
        <v>31</v>
      </c>
      <c r="B9">
        <v>17</v>
      </c>
      <c r="C9">
        <v>4.0780000000000003</v>
      </c>
      <c r="D9">
        <v>189980</v>
      </c>
      <c r="E9">
        <v>1977854</v>
      </c>
      <c r="F9">
        <f t="shared" ref="F9:F11" si="0">AVERAGE(D9:E9)</f>
        <v>1083917</v>
      </c>
      <c r="G9">
        <f t="shared" ref="G9:G11" si="1">(F9-K9)/L9</f>
        <v>1.9020826867358447</v>
      </c>
      <c r="I9" s="1" t="s">
        <v>20</v>
      </c>
      <c r="J9">
        <v>4.085</v>
      </c>
      <c r="K9">
        <f>INTERCEPT(M9:S9,$M$7:$S$7)</f>
        <v>94077.884353741538</v>
      </c>
      <c r="L9">
        <f>SLOPE(M9:S9,$M$7:$S$7)</f>
        <v>520397.52138479153</v>
      </c>
      <c r="M9">
        <v>5281686</v>
      </c>
      <c r="N9">
        <v>787079</v>
      </c>
      <c r="O9">
        <v>64226</v>
      </c>
      <c r="P9">
        <v>24937</v>
      </c>
    </row>
    <row r="10" spans="1:19">
      <c r="A10" t="s">
        <v>17</v>
      </c>
      <c r="B10">
        <v>19</v>
      </c>
      <c r="C10">
        <v>5.2770000000000001</v>
      </c>
      <c r="D10">
        <v>215990</v>
      </c>
      <c r="E10">
        <v>2225839</v>
      </c>
      <c r="F10">
        <f t="shared" si="0"/>
        <v>1220914.5</v>
      </c>
      <c r="G10">
        <f t="shared" si="1"/>
        <v>1.3578819588292041</v>
      </c>
      <c r="I10" s="1" t="s">
        <v>22</v>
      </c>
      <c r="J10">
        <v>5.2830000000000004</v>
      </c>
      <c r="K10">
        <f>INTERCEPT(M10:S10,$M$7:$S$7)</f>
        <v>125343.85260771029</v>
      </c>
      <c r="L10">
        <f>SLOPE(M10:S10,$M$7:$S$7)</f>
        <v>806823.18537976232</v>
      </c>
      <c r="M10">
        <v>8170938</v>
      </c>
      <c r="N10">
        <v>1171256</v>
      </c>
      <c r="O10">
        <v>88833</v>
      </c>
      <c r="P10">
        <v>34154</v>
      </c>
    </row>
    <row r="11" spans="1:19">
      <c r="A11" t="s">
        <v>33</v>
      </c>
      <c r="B11">
        <v>23</v>
      </c>
      <c r="C11">
        <v>6.3419999999999996</v>
      </c>
      <c r="D11">
        <v>203178</v>
      </c>
      <c r="E11">
        <v>2103695</v>
      </c>
      <c r="F11">
        <f t="shared" si="0"/>
        <v>1153436.5</v>
      </c>
      <c r="G11">
        <f t="shared" si="1"/>
        <v>0.81773752547333867</v>
      </c>
      <c r="I11" s="1" t="s">
        <v>23</v>
      </c>
      <c r="J11">
        <v>6.3490000000000002</v>
      </c>
      <c r="K11">
        <f>INTERCEPT(M11:S11,$M$7:$S$7)</f>
        <v>196854.71298995847</v>
      </c>
      <c r="L11">
        <f>SLOPE(M11:S11,$M$7:$S$7)</f>
        <v>1169790.7423978548</v>
      </c>
      <c r="M11">
        <v>11858135</v>
      </c>
      <c r="N11">
        <v>1753582</v>
      </c>
      <c r="O11">
        <v>123144</v>
      </c>
      <c r="P11">
        <v>48933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37"/>
  <sheetViews>
    <sheetView tabSelected="1" workbookViewId="0">
      <selection activeCell="D30" sqref="D30"/>
    </sheetView>
  </sheetViews>
  <sheetFormatPr defaultColWidth="24.140625" defaultRowHeight="15"/>
  <cols>
    <col min="1" max="1" width="21.5703125" bestFit="1" customWidth="1"/>
    <col min="2" max="2" width="23.5703125" bestFit="1" customWidth="1"/>
    <col min="3" max="3" width="13.7109375" bestFit="1" customWidth="1"/>
    <col min="4" max="4" width="13.28515625" bestFit="1" customWidth="1"/>
    <col min="5" max="5" width="10.28515625" bestFit="1" customWidth="1"/>
    <col min="6" max="6" width="10" bestFit="1" customWidth="1"/>
    <col min="7" max="7" width="12" bestFit="1" customWidth="1"/>
    <col min="8" max="8" width="16.5703125" bestFit="1" customWidth="1"/>
    <col min="9" max="9" width="6" bestFit="1" customWidth="1"/>
    <col min="10" max="11" width="12" bestFit="1" customWidth="1"/>
    <col min="12" max="12" width="9" bestFit="1" customWidth="1"/>
    <col min="13" max="13" width="8" bestFit="1" customWidth="1"/>
    <col min="14" max="14" width="7" bestFit="1" customWidth="1"/>
    <col min="15" max="16" width="6" bestFit="1" customWidth="1"/>
    <col min="17" max="17" width="7" bestFit="1" customWidth="1"/>
    <col min="18" max="18" width="8" bestFit="1" customWidth="1"/>
  </cols>
  <sheetData>
    <row r="1" spans="1:18">
      <c r="A1" t="s">
        <v>0</v>
      </c>
    </row>
    <row r="2" spans="1:18">
      <c r="A2" t="s">
        <v>1</v>
      </c>
    </row>
    <row r="3" spans="1:18">
      <c r="A3" t="s">
        <v>2</v>
      </c>
      <c r="B3" s="2" t="s">
        <v>36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8">
      <c r="A4" t="s">
        <v>4</v>
      </c>
      <c r="B4" t="s">
        <v>5</v>
      </c>
    </row>
    <row r="5" spans="1:18">
      <c r="A5" t="s">
        <v>6</v>
      </c>
    </row>
    <row r="6" spans="1:18">
      <c r="A6" t="s">
        <v>7</v>
      </c>
      <c r="B6" t="s">
        <v>37</v>
      </c>
    </row>
    <row r="7" spans="1:18">
      <c r="A7" t="s">
        <v>9</v>
      </c>
      <c r="B7" t="s">
        <v>10</v>
      </c>
      <c r="C7" t="s">
        <v>11</v>
      </c>
      <c r="D7" t="s">
        <v>24</v>
      </c>
      <c r="E7" t="s">
        <v>35</v>
      </c>
      <c r="F7" t="s">
        <v>39</v>
      </c>
      <c r="G7" t="s">
        <v>38</v>
      </c>
      <c r="I7" t="s">
        <v>14</v>
      </c>
      <c r="J7" t="s">
        <v>15</v>
      </c>
      <c r="K7" t="s">
        <v>16</v>
      </c>
      <c r="L7">
        <v>10</v>
      </c>
      <c r="M7">
        <v>1</v>
      </c>
      <c r="N7">
        <v>0.1</v>
      </c>
      <c r="O7">
        <v>0.01</v>
      </c>
      <c r="P7">
        <v>1E-3</v>
      </c>
      <c r="Q7">
        <v>1E-4</v>
      </c>
      <c r="R7">
        <v>1.0000000000000001E-5</v>
      </c>
    </row>
    <row r="8" spans="1:18">
      <c r="A8" t="s">
        <v>29</v>
      </c>
      <c r="B8">
        <v>11</v>
      </c>
      <c r="C8">
        <v>2.8149999999999999</v>
      </c>
      <c r="D8">
        <v>1678741</v>
      </c>
      <c r="E8">
        <v>1524947</v>
      </c>
      <c r="F8">
        <f>AVERAGE(D8:E8)</f>
        <v>1601844</v>
      </c>
      <c r="G8">
        <f>(F8-J8)/K8</f>
        <v>4.8355105020467937</v>
      </c>
      <c r="H8" s="1" t="s">
        <v>18</v>
      </c>
      <c r="I8">
        <v>2.8220000000000001</v>
      </c>
      <c r="J8">
        <f>INTERCEPT(L8:R8,$L$7:$R$7)</f>
        <v>72151.099125364679</v>
      </c>
      <c r="K8">
        <f>SLOPE(L8:R8,$L$7:$R$7)</f>
        <v>316345.6888837571</v>
      </c>
      <c r="L8">
        <v>3224177</v>
      </c>
      <c r="M8">
        <v>508844</v>
      </c>
      <c r="N8">
        <v>48806</v>
      </c>
      <c r="O8">
        <v>21378</v>
      </c>
    </row>
    <row r="9" spans="1:18">
      <c r="A9" t="s">
        <v>13</v>
      </c>
      <c r="B9">
        <v>15</v>
      </c>
      <c r="C9">
        <v>4.0780000000000003</v>
      </c>
      <c r="D9">
        <v>1847803</v>
      </c>
      <c r="E9">
        <v>1767642</v>
      </c>
      <c r="F9">
        <f t="shared" ref="F9:F11" si="0">AVERAGE(D9:E9)</f>
        <v>1807722.5</v>
      </c>
      <c r="G9">
        <f t="shared" ref="G9:G11" si="1">(F9-J9)/K9</f>
        <v>3.2929530699650624</v>
      </c>
      <c r="H9" s="1" t="s">
        <v>20</v>
      </c>
      <c r="I9">
        <v>4.085</v>
      </c>
      <c r="J9">
        <f>INTERCEPT(L9:R9,$L$7:$R$7)</f>
        <v>94077.884353741538</v>
      </c>
      <c r="K9">
        <f>SLOPE(L9:R9,$L$7:$R$7)</f>
        <v>520397.52138479153</v>
      </c>
      <c r="L9">
        <v>5281686</v>
      </c>
      <c r="M9">
        <v>787079</v>
      </c>
      <c r="N9">
        <v>64226</v>
      </c>
      <c r="O9">
        <v>24937</v>
      </c>
    </row>
    <row r="10" spans="1:18">
      <c r="A10" t="s">
        <v>31</v>
      </c>
      <c r="B10">
        <v>17</v>
      </c>
      <c r="C10">
        <v>5.2759999999999998</v>
      </c>
      <c r="D10">
        <v>2096368</v>
      </c>
      <c r="E10">
        <v>1998556</v>
      </c>
      <c r="F10">
        <f t="shared" si="0"/>
        <v>2047462</v>
      </c>
      <c r="G10">
        <f t="shared" si="1"/>
        <v>2.3823288450586246</v>
      </c>
      <c r="H10" s="1" t="s">
        <v>22</v>
      </c>
      <c r="I10">
        <v>5.2830000000000004</v>
      </c>
      <c r="J10">
        <f>INTERCEPT(L10:R10,$L$7:$R$7)</f>
        <v>125343.85260771029</v>
      </c>
      <c r="K10">
        <f>SLOPE(L10:R10,$L$7:$R$7)</f>
        <v>806823.18537976232</v>
      </c>
      <c r="L10">
        <v>8170938</v>
      </c>
      <c r="M10">
        <v>1171256</v>
      </c>
      <c r="N10">
        <v>88833</v>
      </c>
      <c r="O10">
        <v>34154</v>
      </c>
    </row>
    <row r="11" spans="1:18">
      <c r="A11" t="s">
        <v>32</v>
      </c>
      <c r="B11">
        <v>21</v>
      </c>
      <c r="C11">
        <v>6.3419999999999996</v>
      </c>
      <c r="D11">
        <v>1942603</v>
      </c>
      <c r="E11">
        <v>1864767</v>
      </c>
      <c r="F11">
        <f t="shared" si="0"/>
        <v>1903685</v>
      </c>
      <c r="G11">
        <f t="shared" si="1"/>
        <v>1.459090267299735</v>
      </c>
      <c r="H11" s="1" t="s">
        <v>23</v>
      </c>
      <c r="I11">
        <v>6.3490000000000002</v>
      </c>
      <c r="J11">
        <f>INTERCEPT(L11:R11,$L$7:$R$7)</f>
        <v>196854.71298995847</v>
      </c>
      <c r="K11">
        <f>SLOPE(L11:R11,$L$7:$R$7)</f>
        <v>1169790.7423978548</v>
      </c>
      <c r="L11">
        <v>11858135</v>
      </c>
      <c r="M11">
        <v>1753582</v>
      </c>
      <c r="N11">
        <v>123144</v>
      </c>
      <c r="O11">
        <v>48933</v>
      </c>
    </row>
    <row r="12" spans="1:18">
      <c r="G12">
        <f>SUM(G8:G11)</f>
        <v>11.969882684370216</v>
      </c>
    </row>
    <row r="15" spans="1:18" ht="15.75" thickBot="1"/>
    <row r="16" spans="1:18" ht="18.75" thickBot="1">
      <c r="A16" s="7" t="s">
        <v>53</v>
      </c>
      <c r="B16" s="8"/>
      <c r="C16" s="8"/>
      <c r="D16" s="9"/>
      <c r="F16" s="26" t="s">
        <v>58</v>
      </c>
      <c r="G16" s="27"/>
      <c r="H16" s="27"/>
      <c r="I16" s="27"/>
      <c r="J16" s="28"/>
    </row>
    <row r="17" spans="1:5" ht="36.75">
      <c r="A17" s="10" t="s">
        <v>40</v>
      </c>
      <c r="B17" s="11" t="s">
        <v>52</v>
      </c>
      <c r="C17" s="12" t="s">
        <v>46</v>
      </c>
      <c r="D17" s="25" t="s">
        <v>56</v>
      </c>
    </row>
    <row r="18" spans="1:5">
      <c r="A18" s="13" t="s">
        <v>41</v>
      </c>
      <c r="B18" s="14">
        <f>218210</f>
        <v>218210</v>
      </c>
      <c r="C18" s="15">
        <v>0.2</v>
      </c>
      <c r="D18" s="18">
        <f>C18/B18</f>
        <v>9.1654827918060589E-7</v>
      </c>
    </row>
    <row r="19" spans="1:5">
      <c r="A19" s="13" t="s">
        <v>42</v>
      </c>
      <c r="B19" s="15">
        <f>302.36*1000</f>
        <v>302360</v>
      </c>
      <c r="C19" s="15">
        <v>0.2</v>
      </c>
      <c r="D19" s="18">
        <f t="shared" ref="D19:D22" si="2">C19/B19</f>
        <v>6.6146315650218287E-7</v>
      </c>
    </row>
    <row r="20" spans="1:5">
      <c r="A20" s="13" t="s">
        <v>43</v>
      </c>
      <c r="B20" s="15">
        <f>386.53*1000</f>
        <v>386530</v>
      </c>
      <c r="C20" s="15">
        <v>0.2</v>
      </c>
      <c r="D20" s="18">
        <f t="shared" si="2"/>
        <v>5.1742426202364634E-7</v>
      </c>
    </row>
    <row r="21" spans="1:5">
      <c r="A21" s="13" t="s">
        <v>44</v>
      </c>
      <c r="B21" s="16">
        <f>470.69*1000</f>
        <v>470690</v>
      </c>
      <c r="C21" s="15">
        <v>0.2</v>
      </c>
      <c r="D21" s="18">
        <f t="shared" si="2"/>
        <v>4.2490811362042961E-7</v>
      </c>
    </row>
    <row r="22" spans="1:5">
      <c r="A22" s="13" t="s">
        <v>45</v>
      </c>
      <c r="B22" s="17">
        <f>554.85*1000</f>
        <v>554850</v>
      </c>
      <c r="C22" s="15">
        <v>0.2</v>
      </c>
      <c r="D22" s="18">
        <f t="shared" si="2"/>
        <v>3.6045778138235563E-7</v>
      </c>
    </row>
    <row r="23" spans="1:5">
      <c r="A23" s="13"/>
      <c r="B23" s="17"/>
      <c r="C23" s="15"/>
      <c r="D23" s="18"/>
    </row>
    <row r="24" spans="1:5">
      <c r="A24" s="19" t="s">
        <v>54</v>
      </c>
      <c r="B24" s="20" t="s">
        <v>55</v>
      </c>
      <c r="C24" s="20" t="s">
        <v>46</v>
      </c>
      <c r="D24" s="21" t="s">
        <v>57</v>
      </c>
      <c r="E24" s="29"/>
    </row>
    <row r="25" spans="1:5">
      <c r="A25" s="13" t="s">
        <v>47</v>
      </c>
      <c r="B25" s="20">
        <f>74.08*1000</f>
        <v>74080</v>
      </c>
      <c r="C25" s="15">
        <v>4</v>
      </c>
      <c r="D25" s="24">
        <f>3*(C25/B25)</f>
        <v>1.6198704103671707E-4</v>
      </c>
    </row>
    <row r="26" spans="1:5">
      <c r="A26" s="13" t="s">
        <v>48</v>
      </c>
      <c r="B26" s="20">
        <f>102.13*1000</f>
        <v>102130</v>
      </c>
      <c r="C26" s="15">
        <v>4</v>
      </c>
      <c r="D26" s="24">
        <f t="shared" ref="D26:D29" si="3">3*(C26/B26)</f>
        <v>1.1749730735337316E-4</v>
      </c>
      <c r="E26" s="30"/>
    </row>
    <row r="27" spans="1:5">
      <c r="A27" s="13" t="s">
        <v>49</v>
      </c>
      <c r="B27" s="20">
        <f>130.87*1000</f>
        <v>130870</v>
      </c>
      <c r="C27" s="15">
        <v>4</v>
      </c>
      <c r="D27" s="24">
        <f t="shared" si="3"/>
        <v>9.1694047528081317E-5</v>
      </c>
      <c r="E27" s="30"/>
    </row>
    <row r="28" spans="1:5">
      <c r="A28" s="13" t="s">
        <v>50</v>
      </c>
      <c r="B28" s="20">
        <f>158.24*1000</f>
        <v>158240</v>
      </c>
      <c r="C28" s="15">
        <v>4</v>
      </c>
      <c r="D28" s="24">
        <f t="shared" si="3"/>
        <v>7.5834175935288168E-5</v>
      </c>
      <c r="E28" s="30"/>
    </row>
    <row r="29" spans="1:5">
      <c r="A29" s="22" t="s">
        <v>51</v>
      </c>
      <c r="B29" s="23">
        <f>186.29*1000</f>
        <v>186290</v>
      </c>
      <c r="C29" s="15">
        <v>4</v>
      </c>
      <c r="D29" s="24">
        <f t="shared" si="3"/>
        <v>6.4415695957915076E-5</v>
      </c>
      <c r="E29" s="30"/>
    </row>
    <row r="30" spans="1:5">
      <c r="D30" s="30"/>
      <c r="E30" s="30"/>
    </row>
    <row r="33" spans="2:2">
      <c r="B33" s="3"/>
    </row>
    <row r="34" spans="2:2">
      <c r="B34" s="4"/>
    </row>
    <row r="35" spans="2:2" ht="15.75">
      <c r="B35" s="5"/>
    </row>
    <row r="36" spans="2:2">
      <c r="B36" s="4"/>
    </row>
    <row r="37" spans="2:2">
      <c r="B37" s="6"/>
    </row>
  </sheetData>
  <mergeCells count="3">
    <mergeCell ref="A16:D16"/>
    <mergeCell ref="F16:J16"/>
    <mergeCell ref="B3:O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TriMix 100ul KOH</vt:lpstr>
      <vt:lpstr>TriMix 200ul KOH</vt:lpstr>
      <vt:lpstr>TriMix 400ul KOH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Chembug</dc:creator>
  <cp:lastModifiedBy>JBrown</cp:lastModifiedBy>
  <dcterms:created xsi:type="dcterms:W3CDTF">2017-02-13T22:52:19Z</dcterms:created>
  <dcterms:modified xsi:type="dcterms:W3CDTF">2017-03-16T16:37:49Z</dcterms:modified>
</cp:coreProperties>
</file>