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rown\Documents\CRU 2016 -\Processed Data\"/>
    </mc:Choice>
  </mc:AlternateContent>
  <bookViews>
    <workbookView xWindow="0" yWindow="0" windowWidth="25200" windowHeight="11985" firstSheet="1" activeTab="7"/>
  </bookViews>
  <sheets>
    <sheet name="20170407_Palmitic Samples" sheetId="2" r:id="rId1"/>
    <sheet name="JTB-E02-59" sheetId="1" r:id="rId2"/>
    <sheet name="JTB-E02-60" sheetId="3" r:id="rId3"/>
    <sheet name="JTB-E02-61" sheetId="4" r:id="rId4"/>
    <sheet name="JTB-E02-77" sheetId="5" r:id="rId5"/>
    <sheet name="JTB-E02-78" sheetId="8" r:id="rId6"/>
    <sheet name="JTB-E02-79" sheetId="6" r:id="rId7"/>
    <sheet name="JTB-E02-80" sheetId="9" r:id="rId8"/>
  </sheets>
  <calcPr calcId="152511"/>
</workbook>
</file>

<file path=xl/calcChain.xml><?xml version="1.0" encoding="utf-8"?>
<calcChain xmlns="http://schemas.openxmlformats.org/spreadsheetml/2006/main">
  <c r="G8" i="9" l="1"/>
  <c r="G9" i="9"/>
  <c r="F8" i="9"/>
  <c r="F9" i="9"/>
  <c r="F7" i="9"/>
  <c r="G7" i="9"/>
  <c r="E7" i="9"/>
  <c r="G12" i="9"/>
  <c r="F12" i="9"/>
  <c r="G8" i="6"/>
  <c r="G9" i="6"/>
  <c r="G10" i="6"/>
  <c r="G7" i="6"/>
  <c r="F8" i="6"/>
  <c r="F9" i="6"/>
  <c r="F10" i="6"/>
  <c r="F7" i="6"/>
  <c r="D7" i="6"/>
  <c r="E9" i="9"/>
  <c r="E8" i="9"/>
  <c r="I9" i="9" l="1"/>
  <c r="I7" i="9"/>
  <c r="I8" i="9"/>
  <c r="I7" i="6"/>
  <c r="I10" i="6"/>
  <c r="I9" i="6"/>
  <c r="I8" i="6"/>
  <c r="F7" i="8"/>
  <c r="G8" i="8"/>
  <c r="G9" i="8"/>
  <c r="G7" i="8"/>
  <c r="E8" i="8"/>
  <c r="F8" i="8" s="1"/>
  <c r="E7" i="8"/>
  <c r="F9" i="8"/>
  <c r="E9" i="8"/>
  <c r="I7" i="8"/>
  <c r="E10" i="6"/>
  <c r="E9" i="6"/>
  <c r="E8" i="6"/>
  <c r="E7" i="6"/>
  <c r="F11" i="6"/>
  <c r="I9" i="8" l="1"/>
  <c r="I8" i="8"/>
  <c r="D37" i="4"/>
  <c r="F60" i="4"/>
  <c r="F59" i="4"/>
  <c r="E59" i="4"/>
  <c r="E11" i="4"/>
  <c r="E44" i="4"/>
  <c r="F44" i="4"/>
  <c r="E45" i="4"/>
  <c r="F56" i="4"/>
  <c r="F57" i="4"/>
  <c r="F61" i="4"/>
  <c r="F55" i="4"/>
  <c r="F45" i="4"/>
  <c r="F46" i="4"/>
  <c r="F48" i="4"/>
  <c r="F49" i="4"/>
  <c r="F50" i="4"/>
  <c r="F34" i="4"/>
  <c r="F35" i="4"/>
  <c r="F37" i="4"/>
  <c r="F38" i="4"/>
  <c r="F39" i="4"/>
  <c r="F33" i="4"/>
  <c r="F23" i="4"/>
  <c r="F24" i="4"/>
  <c r="F26" i="4"/>
  <c r="F27" i="4"/>
  <c r="F28" i="4"/>
  <c r="F22" i="4"/>
  <c r="F15" i="4"/>
  <c r="F13" i="4"/>
  <c r="F12" i="4"/>
  <c r="F11" i="4"/>
  <c r="G56" i="4"/>
  <c r="G57" i="4"/>
  <c r="G59" i="4"/>
  <c r="G60" i="4"/>
  <c r="G61" i="4"/>
  <c r="G55" i="4"/>
  <c r="G45" i="4"/>
  <c r="G46" i="4"/>
  <c r="G48" i="4"/>
  <c r="G49" i="4"/>
  <c r="G50" i="4"/>
  <c r="G44" i="4"/>
  <c r="G34" i="4"/>
  <c r="G35" i="4"/>
  <c r="G37" i="4"/>
  <c r="G38" i="4"/>
  <c r="G39" i="4"/>
  <c r="G33" i="4"/>
  <c r="E6" i="4"/>
  <c r="E5" i="4"/>
  <c r="C5" i="4"/>
  <c r="B6" i="4"/>
  <c r="B4" i="4"/>
  <c r="B5" i="4"/>
  <c r="C6" i="4"/>
  <c r="B3" i="4"/>
  <c r="G23" i="4"/>
  <c r="G24" i="4"/>
  <c r="G26" i="4"/>
  <c r="G27" i="4"/>
  <c r="G28" i="4"/>
  <c r="G22" i="4"/>
  <c r="G12" i="4"/>
  <c r="G13" i="4"/>
  <c r="G15" i="4"/>
  <c r="G16" i="4"/>
  <c r="G17" i="4"/>
  <c r="G11" i="4"/>
  <c r="E3" i="4"/>
  <c r="E4" i="4"/>
  <c r="E2" i="4"/>
  <c r="C4" i="1"/>
  <c r="C3" i="4"/>
  <c r="C4" i="4"/>
  <c r="E61" i="4"/>
  <c r="E60" i="4"/>
  <c r="E57" i="4"/>
  <c r="E56" i="4"/>
  <c r="E55" i="4"/>
  <c r="E50" i="4"/>
  <c r="E49" i="4"/>
  <c r="D49" i="4" s="1"/>
  <c r="E48" i="4"/>
  <c r="E46" i="4"/>
  <c r="E39" i="4"/>
  <c r="E38" i="4"/>
  <c r="E37" i="4"/>
  <c r="E35" i="4"/>
  <c r="E34" i="4"/>
  <c r="E33" i="4"/>
  <c r="E26" i="4"/>
  <c r="E27" i="4"/>
  <c r="E28" i="4"/>
  <c r="E23" i="4"/>
  <c r="E24" i="4"/>
  <c r="E22" i="4"/>
  <c r="D35" i="4" l="1"/>
  <c r="D57" i="4"/>
  <c r="D44" i="4"/>
  <c r="D34" i="4"/>
  <c r="D28" i="4"/>
  <c r="D39" i="4"/>
  <c r="D48" i="4"/>
  <c r="D56" i="4"/>
  <c r="D61" i="4"/>
  <c r="D27" i="4"/>
  <c r="D33" i="4"/>
  <c r="D38" i="4"/>
  <c r="D46" i="4"/>
  <c r="D55" i="4"/>
  <c r="D60" i="4"/>
  <c r="D22" i="4"/>
  <c r="D45" i="4"/>
  <c r="D50" i="4"/>
  <c r="D59" i="4"/>
  <c r="D26" i="4"/>
  <c r="D24" i="4"/>
  <c r="D23" i="4"/>
  <c r="E17" i="4"/>
  <c r="F17" i="4" s="1"/>
  <c r="E16" i="4"/>
  <c r="F16" i="4" s="1"/>
  <c r="E15" i="4"/>
  <c r="D15" i="4" s="1"/>
  <c r="E13" i="4"/>
  <c r="E12" i="4"/>
  <c r="D11" i="4"/>
  <c r="F8" i="3"/>
  <c r="I8" i="3" s="1"/>
  <c r="F7" i="3"/>
  <c r="I7" i="3" s="1"/>
  <c r="G8" i="3"/>
  <c r="G9" i="3"/>
  <c r="G7" i="3"/>
  <c r="E8" i="3"/>
  <c r="E9" i="3"/>
  <c r="F9" i="3" s="1"/>
  <c r="I9" i="3" s="1"/>
  <c r="E7" i="3"/>
  <c r="G11" i="1"/>
  <c r="G21" i="1"/>
  <c r="F21" i="1"/>
  <c r="I21" i="1" s="1"/>
  <c r="E21" i="1"/>
  <c r="I11" i="1"/>
  <c r="F11" i="1"/>
  <c r="E11" i="1"/>
  <c r="D17" i="4" l="1"/>
  <c r="D13" i="4"/>
  <c r="D16" i="4"/>
  <c r="D12" i="4"/>
</calcChain>
</file>

<file path=xl/sharedStrings.xml><?xml version="1.0" encoding="utf-8"?>
<sst xmlns="http://schemas.openxmlformats.org/spreadsheetml/2006/main" count="241" uniqueCount="81">
  <si>
    <t>MW of Tripalmitin Acid (ug/mol)</t>
  </si>
  <si>
    <t>MW Palmitin Methyl (ug/mol)</t>
  </si>
  <si>
    <t>Tripalmatic Acid Conc ug/ml</t>
  </si>
  <si>
    <t>Theoretical yield</t>
  </si>
  <si>
    <t>Sample</t>
  </si>
  <si>
    <t>12 C16:0 (Palmitic) 6 Results</t>
  </si>
  <si>
    <t>Name</t>
  </si>
  <si>
    <t>Type</t>
  </si>
  <si>
    <t>RT</t>
  </si>
  <si>
    <t>Final Conc (ug/ml)</t>
  </si>
  <si>
    <t>1: Tri Pal, 200ul, 40C</t>
  </si>
  <si>
    <t>Average</t>
  </si>
  <si>
    <t>Final Conc @ Final Vol</t>
  </si>
  <si>
    <t>Moles of derivitized Tri Pal</t>
  </si>
  <si>
    <t>Percent Yield</t>
  </si>
  <si>
    <t>1: Tri Pal, 200ul, 40C, 15mins</t>
  </si>
  <si>
    <t>1: Tri Pal, 200ul, 40C, 30mins</t>
  </si>
  <si>
    <t>1: Tri Pal, 200ul, 40C, 45mins</t>
  </si>
  <si>
    <t>Theory</t>
  </si>
  <si>
    <t xml:space="preserve">moles of methyl recovered </t>
  </si>
  <si>
    <t>average (ug of methyls)</t>
  </si>
  <si>
    <t>methyl to tag ratio moles</t>
  </si>
  <si>
    <t>Initial volume added ul</t>
  </si>
  <si>
    <t>Initial Conc of TAG ug/ml</t>
  </si>
  <si>
    <t>Molecular Weight of methyl (ug)</t>
  </si>
  <si>
    <t>Final Volume mL</t>
  </si>
  <si>
    <t>JTB-E02-59-13.D</t>
  </si>
  <si>
    <t>JTB-E02-59-12.D</t>
  </si>
  <si>
    <t>JTB-E02-59-11.D</t>
  </si>
  <si>
    <t>JTB-E02-59-06.D</t>
  </si>
  <si>
    <t>JTB-E02-59-05.D</t>
  </si>
  <si>
    <t>JTB-E02-59-04.D</t>
  </si>
  <si>
    <t>Final Conc.</t>
  </si>
  <si>
    <t>Data File</t>
  </si>
  <si>
    <t>1: Tri Pal, 200ul, 40C, 15mins, N2</t>
  </si>
  <si>
    <t>1: Tri Pal, 200ul, 40C, 30mins, N2</t>
  </si>
  <si>
    <t>1: Tri Pal, 200ul, 40C, 45mins, N2</t>
  </si>
  <si>
    <t>Average MULTIPILED BY DILUTION VOLUME</t>
  </si>
  <si>
    <t>1: Tri Pal, 200ul, 40C, 15mins, 50ul Acid</t>
  </si>
  <si>
    <t>1: Tri Pal, 200ul, 40C, 15mins, 100uL Acid</t>
  </si>
  <si>
    <t>1: Tri Pal, 200ul, 40C, 15mins, 200uL Acid</t>
  </si>
  <si>
    <t>1: Tri Pal 200ul and Tri Mix 200ul, 40C, 15mins, 200ul Acid</t>
  </si>
  <si>
    <t xml:space="preserve"> MULTIPILED BY DILUTION VOLUME</t>
  </si>
  <si>
    <t>01: Tri Pal_Tri Mix, 200ul, 40C: 200ul H2SO4</t>
  </si>
  <si>
    <t>02: Tri Pal_Tri Mix, 200ul, 40C:200ul H2SO4</t>
  </si>
  <si>
    <t>03: Tri Pal_Tri Mix, 200ul, 40C: 200ul H2SO4</t>
  </si>
  <si>
    <t>04: Tri Pal_Tri Mix, 200ul, 40C: 300ul H2SO4</t>
  </si>
  <si>
    <t>05: Tri Pal_Tri Mix, 200ul, 40C: 300ul H2SO4</t>
  </si>
  <si>
    <t>06: Tri Pal_Tri Mix, 200ul, 40C: 300ul H2SO4</t>
  </si>
  <si>
    <t>Methyl butyrate 400 µg/mL Results</t>
  </si>
  <si>
    <t>Moles of derivitized Tri But</t>
  </si>
  <si>
    <t>Moles of derivitized Tri Hexa</t>
  </si>
  <si>
    <t>Moles of derivitized Tri Octan</t>
  </si>
  <si>
    <t>Moles of derivitized Tri Decan</t>
  </si>
  <si>
    <t>Methyl Butyrate</t>
  </si>
  <si>
    <t>Methyl hexanoate 400 µg/mL Results</t>
  </si>
  <si>
    <t>Methyl octanoate 400 µg/mL Results</t>
  </si>
  <si>
    <t>Methyl decanoate 400 µg/mL Results</t>
  </si>
  <si>
    <t>Methyl Octanoate</t>
  </si>
  <si>
    <t>Methyl Decanoate</t>
  </si>
  <si>
    <t>Methyl Hexanoate</t>
  </si>
  <si>
    <t>Methyl Palmitic</t>
  </si>
  <si>
    <t>Standard Concentration (ug/mL)</t>
  </si>
  <si>
    <t>Triglyceride MW (ug/mol)</t>
  </si>
  <si>
    <t>Methyl MW (ug/mol)</t>
  </si>
  <si>
    <t>1: Tri Pal, 200ul, 40C, 15mins, 300uL Acid, 3mL Hex</t>
  </si>
  <si>
    <t>1: Tri Pal, 200ul, 40C, 15mins, 200ul Acid, 3mL Hex</t>
  </si>
  <si>
    <t>1: Tri Pal, 200ul, 40C, 15mins, 400uL Acid, 1mL Hex</t>
  </si>
  <si>
    <t>1: Tri Pal 0.0194g, 40C, 15mins, 200ul Acid, 1mL Hex</t>
  </si>
  <si>
    <t>ug of stock</t>
  </si>
  <si>
    <t>DRY TriPal_400KOH_200H2SO4_1ml Hex</t>
  </si>
  <si>
    <t>DRY TriPal_400KOH_200H2SO4_2ml Hex</t>
  </si>
  <si>
    <t>DRY TriPal_400KOH_200H2SO4_3ml Hex</t>
  </si>
  <si>
    <t>1: Tri Pal, 0.0161g, 40C, 15mins, 200uL Acid, 2mL Hex</t>
  </si>
  <si>
    <t>1: Tri Pal, 0.0091g, 40C, 15mins, 200uL Acid, 3mL Hex</t>
  </si>
  <si>
    <t>1: Tri Pal, 0.0104g, 40C, 15mins, 200uL Acid, 4mL Hex</t>
  </si>
  <si>
    <t>200ul TriPal_400KOH_400_H2SO4_3ml DCM</t>
  </si>
  <si>
    <t>200ul TriPal_400KOH_200_H2SO4_3ml Hex</t>
  </si>
  <si>
    <t>Theory: Tri Pal moles derivitized</t>
  </si>
  <si>
    <t>Actual: Tri Pal moles derivitized</t>
  </si>
  <si>
    <t>ug in each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</si>
</sst>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7" formatCode="0.000000"/>
    <numFmt numFmtId="168" formatCode="0.0000000"/>
    <numFmt numFmtId="170" formatCode="0.000000000"/>
    <numFmt numFmtId="17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16" fillId="0" borderId="0" xfId="0" applyFont="1" applyAlignment="1"/>
    <xf numFmtId="0" fontId="16" fillId="0" borderId="0" xfId="0" applyFont="1" applyAlignment="1">
      <alignment horizontal="center"/>
    </xf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/>
  </sheetViews>
  <sheetFormatPr defaultRowHeight="15" x14ac:dyDescent="0.25"/>
  <sheetData>
    <row r="1" spans="1:11" x14ac:dyDescent="0.25">
      <c r="C1" t="s">
        <v>5</v>
      </c>
    </row>
    <row r="2" spans="1:11" x14ac:dyDescent="0.25">
      <c r="A2" t="s">
        <v>6</v>
      </c>
      <c r="B2" t="s">
        <v>33</v>
      </c>
      <c r="C2" t="s">
        <v>8</v>
      </c>
      <c r="D2" t="s">
        <v>32</v>
      </c>
      <c r="E2" t="s">
        <v>20</v>
      </c>
      <c r="F2" t="s">
        <v>24</v>
      </c>
      <c r="G2" t="s">
        <v>23</v>
      </c>
      <c r="H2" t="s">
        <v>22</v>
      </c>
      <c r="I2" t="s">
        <v>21</v>
      </c>
      <c r="J2" t="s">
        <v>19</v>
      </c>
      <c r="K2" t="s">
        <v>18</v>
      </c>
    </row>
    <row r="3" spans="1:11" x14ac:dyDescent="0.25">
      <c r="A3" t="s">
        <v>10</v>
      </c>
      <c r="B3" t="s">
        <v>31</v>
      </c>
      <c r="C3">
        <v>12.702999999999999</v>
      </c>
      <c r="D3">
        <v>2.3186</v>
      </c>
    </row>
    <row r="4" spans="1:11" x14ac:dyDescent="0.25">
      <c r="A4" t="s">
        <v>10</v>
      </c>
      <c r="B4" t="s">
        <v>30</v>
      </c>
      <c r="C4">
        <v>12.757</v>
      </c>
      <c r="D4">
        <v>2.3195000000000001</v>
      </c>
    </row>
    <row r="5" spans="1:11" x14ac:dyDescent="0.25">
      <c r="A5" t="s">
        <v>10</v>
      </c>
      <c r="B5" t="s">
        <v>29</v>
      </c>
      <c r="C5">
        <v>12.743</v>
      </c>
      <c r="D5">
        <v>2.3188</v>
      </c>
    </row>
    <row r="6" spans="1:11" x14ac:dyDescent="0.25">
      <c r="E6">
        <v>6.9569000000000001</v>
      </c>
      <c r="F6">
        <v>807320000</v>
      </c>
      <c r="G6">
        <v>1200</v>
      </c>
      <c r="H6">
        <v>0.2</v>
      </c>
      <c r="I6">
        <v>3</v>
      </c>
      <c r="J6" s="1">
        <v>2.5851800000000001E-8</v>
      </c>
      <c r="K6" s="1">
        <v>8.9184000000000002E-7</v>
      </c>
    </row>
    <row r="8" spans="1:11" x14ac:dyDescent="0.25">
      <c r="A8" t="s">
        <v>15</v>
      </c>
      <c r="B8" t="s">
        <v>28</v>
      </c>
      <c r="C8">
        <v>12.747</v>
      </c>
      <c r="D8">
        <v>2.3195999999999999</v>
      </c>
      <c r="K8">
        <v>2.8987083330000001</v>
      </c>
    </row>
    <row r="9" spans="1:11" x14ac:dyDescent="0.25">
      <c r="A9" t="s">
        <v>16</v>
      </c>
      <c r="B9" t="s">
        <v>27</v>
      </c>
      <c r="C9">
        <v>12.757</v>
      </c>
      <c r="D9">
        <v>2.3197000000000001</v>
      </c>
    </row>
    <row r="10" spans="1:11" x14ac:dyDescent="0.25">
      <c r="A10" t="s">
        <v>17</v>
      </c>
      <c r="B10" t="s">
        <v>26</v>
      </c>
      <c r="C10">
        <v>12.747</v>
      </c>
      <c r="D10">
        <v>2.3201999999999998</v>
      </c>
    </row>
    <row r="11" spans="1:11" x14ac:dyDescent="0.25">
      <c r="E11">
        <v>6.9595000000000002</v>
      </c>
      <c r="F11">
        <v>807320000</v>
      </c>
      <c r="G11">
        <v>1200</v>
      </c>
      <c r="H11">
        <v>0.2</v>
      </c>
      <c r="I11">
        <v>3</v>
      </c>
    </row>
    <row r="13" spans="1:11" x14ac:dyDescent="0.25">
      <c r="A13" t="s">
        <v>25</v>
      </c>
      <c r="C13" t="s">
        <v>24</v>
      </c>
      <c r="D13" t="s">
        <v>23</v>
      </c>
      <c r="E13" t="s">
        <v>22</v>
      </c>
      <c r="F13" t="s">
        <v>21</v>
      </c>
    </row>
    <row r="14" spans="1:11" x14ac:dyDescent="0.25">
      <c r="B14" t="s">
        <v>20</v>
      </c>
      <c r="G14" t="s">
        <v>19</v>
      </c>
      <c r="H14" t="s">
        <v>18</v>
      </c>
    </row>
    <row r="15" spans="1:11" x14ac:dyDescent="0.25">
      <c r="B15">
        <v>7.2584333330000002</v>
      </c>
      <c r="F15">
        <v>3</v>
      </c>
    </row>
    <row r="16" spans="1:11" x14ac:dyDescent="0.25">
      <c r="B16">
        <v>1.9067666670000001</v>
      </c>
      <c r="F16">
        <v>3</v>
      </c>
    </row>
    <row r="17" spans="1:8" x14ac:dyDescent="0.25">
      <c r="B17">
        <v>1.822333333</v>
      </c>
      <c r="F17">
        <v>3</v>
      </c>
    </row>
    <row r="18" spans="1:8" x14ac:dyDescent="0.25">
      <c r="B18">
        <v>1.7840666670000001</v>
      </c>
      <c r="F18">
        <v>3</v>
      </c>
    </row>
    <row r="19" spans="1:8" x14ac:dyDescent="0.25">
      <c r="B19">
        <v>0.926133333</v>
      </c>
      <c r="F19">
        <v>3</v>
      </c>
    </row>
    <row r="20" spans="1:8" x14ac:dyDescent="0.25">
      <c r="B20">
        <v>1.6677333329999999</v>
      </c>
      <c r="F20">
        <v>3</v>
      </c>
    </row>
    <row r="21" spans="1:8" x14ac:dyDescent="0.25">
      <c r="B21">
        <v>0.86613333299999995</v>
      </c>
      <c r="F21">
        <v>3</v>
      </c>
    </row>
    <row r="22" spans="1:8" x14ac:dyDescent="0.25">
      <c r="B22">
        <v>1.6164000000000001</v>
      </c>
      <c r="F22">
        <v>3</v>
      </c>
    </row>
    <row r="23" spans="1:8" x14ac:dyDescent="0.25">
      <c r="B23">
        <v>2.3965000000000001</v>
      </c>
      <c r="F23">
        <v>3</v>
      </c>
    </row>
    <row r="24" spans="1:8" x14ac:dyDescent="0.25">
      <c r="B24">
        <v>0.83176666700000002</v>
      </c>
      <c r="F24">
        <v>3</v>
      </c>
    </row>
    <row r="25" spans="1:8" x14ac:dyDescent="0.25">
      <c r="B25">
        <v>0.82189999999999996</v>
      </c>
      <c r="F25">
        <v>3</v>
      </c>
    </row>
    <row r="26" spans="1:8" x14ac:dyDescent="0.25">
      <c r="A26">
        <v>4</v>
      </c>
      <c r="B26">
        <v>70.323866670000001</v>
      </c>
      <c r="C26">
        <v>807320000</v>
      </c>
      <c r="D26">
        <v>1.2</v>
      </c>
      <c r="E26">
        <v>200</v>
      </c>
      <c r="F26">
        <v>3</v>
      </c>
      <c r="G26" s="1">
        <v>8.7100000000000006E-8</v>
      </c>
      <c r="H26" s="1">
        <v>8.9199999999999999E-7</v>
      </c>
    </row>
    <row r="27" spans="1:8" x14ac:dyDescent="0.25">
      <c r="B27">
        <v>0.78133333299999996</v>
      </c>
      <c r="F27">
        <v>3</v>
      </c>
    </row>
    <row r="28" spans="1:8" x14ac:dyDescent="0.25">
      <c r="B28">
        <v>0.76173333300000001</v>
      </c>
      <c r="F28">
        <v>3</v>
      </c>
      <c r="G28" s="1">
        <v>2.6E-7</v>
      </c>
      <c r="H28">
        <v>9.77</v>
      </c>
    </row>
    <row r="29" spans="1:8" x14ac:dyDescent="0.25">
      <c r="B29">
        <v>0.77639999999999998</v>
      </c>
      <c r="F29">
        <v>3</v>
      </c>
    </row>
    <row r="30" spans="1:8" x14ac:dyDescent="0.25">
      <c r="B30">
        <v>4.9372666670000003</v>
      </c>
      <c r="F30">
        <v>3</v>
      </c>
    </row>
    <row r="31" spans="1:8" x14ac:dyDescent="0.25">
      <c r="B31">
        <v>1.500666667</v>
      </c>
      <c r="F31">
        <v>3</v>
      </c>
    </row>
    <row r="32" spans="1:8" x14ac:dyDescent="0.25">
      <c r="B32">
        <v>0.73209999999999997</v>
      </c>
      <c r="F32">
        <v>3</v>
      </c>
    </row>
    <row r="33" spans="2:6" x14ac:dyDescent="0.25">
      <c r="B33">
        <v>0.73473333299999999</v>
      </c>
      <c r="F33">
        <v>3</v>
      </c>
    </row>
    <row r="34" spans="2:6" x14ac:dyDescent="0.25">
      <c r="B34">
        <v>0.73813333299999995</v>
      </c>
      <c r="F34">
        <v>3</v>
      </c>
    </row>
    <row r="35" spans="2:6" x14ac:dyDescent="0.25">
      <c r="B35">
        <v>4.7246499999999996</v>
      </c>
      <c r="F35">
        <v>3</v>
      </c>
    </row>
    <row r="36" spans="2:6" x14ac:dyDescent="0.25">
      <c r="B36">
        <v>0.74239999999999995</v>
      </c>
      <c r="F36">
        <v>3</v>
      </c>
    </row>
    <row r="37" spans="2:6" x14ac:dyDescent="0.25">
      <c r="B37">
        <v>0.74226666699999999</v>
      </c>
      <c r="F37">
        <v>3</v>
      </c>
    </row>
    <row r="38" spans="2:6" x14ac:dyDescent="0.25">
      <c r="B38">
        <v>0.58899999999999997</v>
      </c>
      <c r="F38">
        <v>3</v>
      </c>
    </row>
    <row r="39" spans="2:6" x14ac:dyDescent="0.25">
      <c r="B39">
        <v>1.1623000000000001</v>
      </c>
      <c r="F39">
        <v>3</v>
      </c>
    </row>
    <row r="40" spans="2:6" x14ac:dyDescent="0.25">
      <c r="B40">
        <v>0.71755000000000002</v>
      </c>
      <c r="F40">
        <v>3</v>
      </c>
    </row>
    <row r="41" spans="2:6" x14ac:dyDescent="0.25">
      <c r="B41">
        <v>0</v>
      </c>
      <c r="F41">
        <v>3</v>
      </c>
    </row>
    <row r="42" spans="2:6" x14ac:dyDescent="0.25">
      <c r="B42">
        <v>4.7684666670000002</v>
      </c>
      <c r="F42">
        <v>3</v>
      </c>
    </row>
    <row r="43" spans="2:6" x14ac:dyDescent="0.25">
      <c r="B43">
        <v>0.8569</v>
      </c>
      <c r="F43">
        <v>3</v>
      </c>
    </row>
    <row r="44" spans="2:6" x14ac:dyDescent="0.25">
      <c r="B44">
        <v>0.65223333299999997</v>
      </c>
      <c r="F44">
        <v>3</v>
      </c>
    </row>
    <row r="45" spans="2:6" x14ac:dyDescent="0.25">
      <c r="B45">
        <v>0</v>
      </c>
      <c r="F45">
        <v>3</v>
      </c>
    </row>
    <row r="46" spans="2:6" x14ac:dyDescent="0.25">
      <c r="B46">
        <v>0.43396666699999997</v>
      </c>
      <c r="F46">
        <v>3</v>
      </c>
    </row>
    <row r="47" spans="2:6" x14ac:dyDescent="0.25">
      <c r="B47">
        <v>1.913366667</v>
      </c>
      <c r="F4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4" sqref="C4"/>
    </sheetView>
  </sheetViews>
  <sheetFormatPr defaultRowHeight="15" x14ac:dyDescent="0.25"/>
  <cols>
    <col min="1" max="1" width="30.28515625" bestFit="1" customWidth="1"/>
    <col min="2" max="2" width="10" bestFit="1" customWidth="1"/>
    <col min="3" max="3" width="26" bestFit="1" customWidth="1"/>
    <col min="4" max="4" width="17.42578125" bestFit="1" customWidth="1"/>
    <col min="5" max="5" width="8.28515625" bestFit="1" customWidth="1"/>
    <col min="6" max="6" width="20.7109375" bestFit="1" customWidth="1"/>
    <col min="7" max="7" width="25" bestFit="1" customWidth="1"/>
    <col min="9" max="9" width="12.7109375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v>8.9181899999999997E-7</v>
      </c>
      <c r="C4" s="8">
        <f>200*((B3*3)/(1000*B1))</f>
        <v>8.9181867839903687E-7</v>
      </c>
    </row>
    <row r="5" spans="1:9" x14ac:dyDescent="0.25">
      <c r="A5" t="s">
        <v>4</v>
      </c>
      <c r="C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</row>
    <row r="7" spans="1:9" x14ac:dyDescent="0.25">
      <c r="A7" t="s">
        <v>15</v>
      </c>
      <c r="B7" t="s">
        <v>4</v>
      </c>
      <c r="C7">
        <v>12.27</v>
      </c>
      <c r="D7">
        <v>76.587699999999998</v>
      </c>
    </row>
    <row r="8" spans="1:9" x14ac:dyDescent="0.25">
      <c r="A8" t="s">
        <v>16</v>
      </c>
      <c r="B8" t="s">
        <v>4</v>
      </c>
      <c r="C8">
        <v>12.27</v>
      </c>
      <c r="D8">
        <v>77.266099999999994</v>
      </c>
    </row>
    <row r="9" spans="1:9" x14ac:dyDescent="0.25">
      <c r="A9" t="s">
        <v>17</v>
      </c>
      <c r="B9" t="s">
        <v>4</v>
      </c>
      <c r="C9">
        <v>12.27</v>
      </c>
      <c r="D9">
        <v>78.1631</v>
      </c>
    </row>
    <row r="10" spans="1:9" x14ac:dyDescent="0.25">
      <c r="E10" t="s">
        <v>37</v>
      </c>
      <c r="F10" t="s">
        <v>12</v>
      </c>
      <c r="G10" t="s">
        <v>13</v>
      </c>
      <c r="I10" t="s">
        <v>14</v>
      </c>
    </row>
    <row r="11" spans="1:9" x14ac:dyDescent="0.25">
      <c r="E11">
        <f>AVERAGE(D7:D9)*3</f>
        <v>232.01689999999996</v>
      </c>
      <c r="F11">
        <f>(E11)*(1/B2)</f>
        <v>8.578698277360171E-7</v>
      </c>
      <c r="G11" s="8">
        <f>200*(B3*3)/(B1*1000)</f>
        <v>8.9181867839903687E-7</v>
      </c>
      <c r="I11" s="2">
        <f>F11/G11</f>
        <v>0.96193301229801154</v>
      </c>
    </row>
    <row r="17" spans="1:9" x14ac:dyDescent="0.25">
      <c r="A17" t="s">
        <v>34</v>
      </c>
      <c r="B17" t="s">
        <v>4</v>
      </c>
      <c r="C17">
        <v>12.266999999999999</v>
      </c>
      <c r="D17">
        <v>78.282499999999999</v>
      </c>
    </row>
    <row r="18" spans="1:9" x14ac:dyDescent="0.25">
      <c r="A18" t="s">
        <v>35</v>
      </c>
      <c r="B18" t="s">
        <v>4</v>
      </c>
      <c r="C18">
        <v>12.27</v>
      </c>
      <c r="D18">
        <v>78.478200000000001</v>
      </c>
    </row>
    <row r="19" spans="1:9" x14ac:dyDescent="0.25">
      <c r="A19" t="s">
        <v>36</v>
      </c>
      <c r="B19" t="s">
        <v>4</v>
      </c>
      <c r="C19">
        <v>12.27</v>
      </c>
      <c r="D19">
        <v>78.081000000000003</v>
      </c>
    </row>
    <row r="20" spans="1:9" x14ac:dyDescent="0.25">
      <c r="E20" t="s">
        <v>11</v>
      </c>
      <c r="F20" t="s">
        <v>12</v>
      </c>
      <c r="G20" t="s">
        <v>13</v>
      </c>
      <c r="I20" t="s">
        <v>14</v>
      </c>
    </row>
    <row r="21" spans="1:9" x14ac:dyDescent="0.25">
      <c r="E21">
        <f>AVERAGE(D17:D19)*3</f>
        <v>234.8417</v>
      </c>
      <c r="F21">
        <f>(E21)*(1/B2)</f>
        <v>8.6831437160066118E-7</v>
      </c>
      <c r="G21" s="1">
        <f>200*(B3*3)/(B1*1000)</f>
        <v>8.9181867839903687E-7</v>
      </c>
      <c r="I21" s="2">
        <f>F21/G21</f>
        <v>0.97364452285236969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4" sqref="B4"/>
    </sheetView>
  </sheetViews>
  <sheetFormatPr defaultRowHeight="15" x14ac:dyDescent="0.25"/>
  <cols>
    <col min="1" max="1" width="36.7109375" bestFit="1" customWidth="1"/>
    <col min="2" max="2" width="10" bestFit="1" customWidth="1"/>
    <col min="3" max="3" width="26" bestFit="1" customWidth="1"/>
    <col min="4" max="4" width="17.42578125" bestFit="1" customWidth="1"/>
    <col min="5" max="5" width="39.42578125" bestFit="1" customWidth="1"/>
    <col min="6" max="6" width="20.7109375" bestFit="1" customWidth="1"/>
    <col min="7" max="7" width="25" bestFit="1" customWidth="1"/>
    <col min="9" max="9" width="18.85546875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v>8.9181899999999997E-7</v>
      </c>
    </row>
    <row r="5" spans="1:9" x14ac:dyDescent="0.25">
      <c r="A5" t="s">
        <v>4</v>
      </c>
      <c r="C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37</v>
      </c>
      <c r="F6" t="s">
        <v>12</v>
      </c>
      <c r="G6" t="s">
        <v>13</v>
      </c>
      <c r="I6" t="s">
        <v>14</v>
      </c>
    </row>
    <row r="7" spans="1:9" x14ac:dyDescent="0.25">
      <c r="A7" t="s">
        <v>38</v>
      </c>
      <c r="B7" t="s">
        <v>4</v>
      </c>
      <c r="C7">
        <v>12.27</v>
      </c>
      <c r="D7">
        <v>3.3786</v>
      </c>
      <c r="E7">
        <f>D7*3</f>
        <v>10.1358</v>
      </c>
      <c r="F7">
        <f>(E7)*(1/$B$2)</f>
        <v>3.7476567439556012E-8</v>
      </c>
      <c r="G7" s="1">
        <f>200*($B$3*3)/($B$1*1000)</f>
        <v>8.9181867839903687E-7</v>
      </c>
      <c r="I7" s="2">
        <f>F7/G7</f>
        <v>4.2022631222338486E-2</v>
      </c>
    </row>
    <row r="8" spans="1:9" x14ac:dyDescent="0.25">
      <c r="A8" t="s">
        <v>39</v>
      </c>
      <c r="B8" t="s">
        <v>4</v>
      </c>
      <c r="C8">
        <v>12.27</v>
      </c>
      <c r="D8">
        <v>7.4463999999999997</v>
      </c>
      <c r="E8">
        <f t="shared" ref="E8:E9" si="0">D8*3</f>
        <v>22.339199999999998</v>
      </c>
      <c r="F8">
        <f t="shared" ref="F8:F9" si="1">(E8)*(1/$B$2)</f>
        <v>8.2597973060412551E-8</v>
      </c>
      <c r="G8" s="1">
        <f t="shared" ref="G8:G9" si="2">200*($B$3*3)/($B$1*1000)</f>
        <v>8.9181867839903687E-7</v>
      </c>
      <c r="I8" s="2">
        <f>F8/G8</f>
        <v>9.2617451350861676E-2</v>
      </c>
    </row>
    <row r="9" spans="1:9" x14ac:dyDescent="0.25">
      <c r="A9" t="s">
        <v>40</v>
      </c>
      <c r="B9" t="s">
        <v>4</v>
      </c>
      <c r="C9">
        <v>12.27</v>
      </c>
      <c r="D9">
        <v>54.755800000000001</v>
      </c>
      <c r="E9">
        <f t="shared" si="0"/>
        <v>164.26740000000001</v>
      </c>
      <c r="F9">
        <f t="shared" si="1"/>
        <v>6.0736974824094038E-7</v>
      </c>
      <c r="G9" s="1">
        <f t="shared" si="2"/>
        <v>8.9181867839903687E-7</v>
      </c>
      <c r="I9" s="2">
        <f>F9/G9</f>
        <v>0.68104622940985071</v>
      </c>
    </row>
    <row r="11" spans="1:9" x14ac:dyDescent="0.25">
      <c r="G11" s="1"/>
      <c r="I11" s="2"/>
    </row>
    <row r="21" spans="7:9" x14ac:dyDescent="0.25">
      <c r="G21" s="1"/>
      <c r="I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="60" zoomScaleNormal="60" workbookViewId="0">
      <selection activeCell="D37" sqref="D37"/>
    </sheetView>
  </sheetViews>
  <sheetFormatPr defaultRowHeight="15" x14ac:dyDescent="0.25"/>
  <cols>
    <col min="1" max="1" width="58.28515625" bestFit="1" customWidth="1"/>
    <col min="2" max="2" width="26.85546875" bestFit="1" customWidth="1"/>
    <col min="3" max="3" width="22" bestFit="1" customWidth="1"/>
    <col min="4" max="4" width="34.140625" bestFit="1" customWidth="1"/>
    <col min="5" max="5" width="40.140625" bestFit="1" customWidth="1"/>
    <col min="6" max="6" width="24.42578125" bestFit="1" customWidth="1"/>
    <col min="7" max="7" width="31.85546875" bestFit="1" customWidth="1"/>
    <col min="8" max="8" width="25" bestFit="1" customWidth="1"/>
    <col min="10" max="10" width="12.7109375" bestFit="1" customWidth="1"/>
  </cols>
  <sheetData>
    <row r="1" spans="1:7" x14ac:dyDescent="0.25">
      <c r="B1" t="s">
        <v>63</v>
      </c>
      <c r="C1" t="s">
        <v>64</v>
      </c>
      <c r="D1" t="s">
        <v>62</v>
      </c>
      <c r="E1" t="s">
        <v>3</v>
      </c>
    </row>
    <row r="2" spans="1:7" x14ac:dyDescent="0.25">
      <c r="A2" t="s">
        <v>61</v>
      </c>
      <c r="B2">
        <v>807339000</v>
      </c>
      <c r="C2">
        <v>270457000</v>
      </c>
      <c r="D2">
        <v>1200</v>
      </c>
      <c r="E2" s="1">
        <f>(200/1000)*(D2*3)/B2</f>
        <v>8.9181867839903687E-7</v>
      </c>
    </row>
    <row r="3" spans="1:7" x14ac:dyDescent="0.25">
      <c r="A3" t="s">
        <v>54</v>
      </c>
      <c r="B3">
        <f>302360000</f>
        <v>302360000</v>
      </c>
      <c r="C3">
        <f>102130000</f>
        <v>102130000</v>
      </c>
      <c r="D3">
        <v>196</v>
      </c>
      <c r="E3" s="1">
        <f t="shared" ref="E3:E4" si="0">(200/1000)*(D3*3)/B3</f>
        <v>3.8894033602328355E-7</v>
      </c>
    </row>
    <row r="4" spans="1:7" x14ac:dyDescent="0.25">
      <c r="A4" t="s">
        <v>60</v>
      </c>
      <c r="B4">
        <f>386520000</f>
        <v>386520000</v>
      </c>
      <c r="C4">
        <f>130180000</f>
        <v>130180000</v>
      </c>
      <c r="D4">
        <v>196</v>
      </c>
      <c r="E4" s="1">
        <f t="shared" si="0"/>
        <v>3.0425333747283457E-7</v>
      </c>
    </row>
    <row r="5" spans="1:7" x14ac:dyDescent="0.25">
      <c r="A5" t="s">
        <v>58</v>
      </c>
      <c r="B5">
        <f>470690000</f>
        <v>470690000</v>
      </c>
      <c r="C5">
        <f>158240000</f>
        <v>158240000</v>
      </c>
      <c r="D5">
        <v>196</v>
      </c>
      <c r="E5" s="1">
        <f>(200/1000)*(D5*3)/B5</f>
        <v>2.4984597080881262E-7</v>
      </c>
    </row>
    <row r="6" spans="1:7" x14ac:dyDescent="0.25">
      <c r="A6" t="s">
        <v>59</v>
      </c>
      <c r="B6">
        <f>554840000</f>
        <v>554840000</v>
      </c>
      <c r="C6">
        <f>186290000</f>
        <v>186290000</v>
      </c>
      <c r="D6">
        <v>196</v>
      </c>
      <c r="E6" s="1">
        <f>(200/1000)*(D6*3)/B6</f>
        <v>2.1195299545815012E-7</v>
      </c>
    </row>
    <row r="9" spans="1:7" x14ac:dyDescent="0.25">
      <c r="A9" t="s">
        <v>4</v>
      </c>
      <c r="B9" s="4" t="s">
        <v>5</v>
      </c>
      <c r="C9" s="4"/>
      <c r="D9" s="4"/>
      <c r="E9" s="3"/>
    </row>
    <row r="10" spans="1:7" x14ac:dyDescent="0.25">
      <c r="A10" t="s">
        <v>6</v>
      </c>
      <c r="B10" t="s">
        <v>8</v>
      </c>
      <c r="C10" t="s">
        <v>9</v>
      </c>
      <c r="D10" t="s">
        <v>14</v>
      </c>
      <c r="E10" t="s">
        <v>42</v>
      </c>
      <c r="F10" t="s">
        <v>12</v>
      </c>
      <c r="G10" t="s">
        <v>13</v>
      </c>
    </row>
    <row r="11" spans="1:7" x14ac:dyDescent="0.25">
      <c r="A11" t="s">
        <v>41</v>
      </c>
      <c r="B11">
        <v>12.27</v>
      </c>
      <c r="C11">
        <v>14.809799999999999</v>
      </c>
      <c r="D11" s="2">
        <f>F11/G11*100</f>
        <v>18.420255841963787</v>
      </c>
      <c r="E11">
        <f>C11*3</f>
        <v>44.429400000000001</v>
      </c>
      <c r="F11">
        <f>(E11)*(1/$C$2)</f>
        <v>1.6427528220752283E-7</v>
      </c>
      <c r="G11" s="1">
        <f>$E$2</f>
        <v>8.9181867839903687E-7</v>
      </c>
    </row>
    <row r="12" spans="1:7" x14ac:dyDescent="0.25">
      <c r="A12" t="s">
        <v>41</v>
      </c>
      <c r="B12">
        <v>12.27</v>
      </c>
      <c r="C12">
        <v>15.7433</v>
      </c>
      <c r="D12" s="2">
        <f>F12/G12*100</f>
        <v>19.581332212237065</v>
      </c>
      <c r="E12">
        <f t="shared" ref="E12:E13" si="1">C12*3</f>
        <v>47.229900000000001</v>
      </c>
      <c r="F12">
        <f>(E12)*(1/$C$2)</f>
        <v>1.7462997814809749E-7</v>
      </c>
      <c r="G12" s="1">
        <f t="shared" ref="G12:G17" si="2">$E$2</f>
        <v>8.9181867839903687E-7</v>
      </c>
    </row>
    <row r="13" spans="1:7" x14ac:dyDescent="0.25">
      <c r="A13" t="s">
        <v>41</v>
      </c>
      <c r="B13">
        <v>12.27</v>
      </c>
      <c r="C13">
        <v>17.866599999999998</v>
      </c>
      <c r="D13" s="2">
        <f>F13/G13*100</f>
        <v>22.222267891938458</v>
      </c>
      <c r="E13">
        <f t="shared" si="1"/>
        <v>53.599799999999995</v>
      </c>
      <c r="F13">
        <f>(E13)*(1/$C$2)</f>
        <v>1.9818233582417906E-7</v>
      </c>
      <c r="G13" s="1">
        <f t="shared" si="2"/>
        <v>8.9181867839903687E-7</v>
      </c>
    </row>
    <row r="14" spans="1:7" x14ac:dyDescent="0.25">
      <c r="G14" s="1"/>
    </row>
    <row r="15" spans="1:7" x14ac:dyDescent="0.25">
      <c r="A15" t="s">
        <v>41</v>
      </c>
      <c r="B15">
        <v>12.27</v>
      </c>
      <c r="C15">
        <v>29.981100000000001</v>
      </c>
      <c r="D15" s="2">
        <f>F15/G15*100</f>
        <v>37.290141151366022</v>
      </c>
      <c r="E15">
        <f>C15*3</f>
        <v>89.943300000000008</v>
      </c>
      <c r="F15">
        <f>(E15)*(1/$C$2)</f>
        <v>3.3256044398924785E-7</v>
      </c>
      <c r="G15" s="1">
        <f t="shared" si="2"/>
        <v>8.9181867839903687E-7</v>
      </c>
    </row>
    <row r="16" spans="1:7" x14ac:dyDescent="0.25">
      <c r="A16" t="s">
        <v>41</v>
      </c>
      <c r="B16">
        <v>12.27</v>
      </c>
      <c r="C16">
        <v>12.6663</v>
      </c>
      <c r="D16" s="2">
        <f>F16/G16*100</f>
        <v>15.754195638770671</v>
      </c>
      <c r="E16">
        <f t="shared" ref="E16:E17" si="3">C16*3</f>
        <v>37.998899999999999</v>
      </c>
      <c r="F16">
        <f>(E16)*(1/$C$2)</f>
        <v>1.4049885933808331E-7</v>
      </c>
      <c r="G16" s="1">
        <f t="shared" si="2"/>
        <v>8.9181867839903687E-7</v>
      </c>
    </row>
    <row r="17" spans="1:7" x14ac:dyDescent="0.25">
      <c r="A17" t="s">
        <v>41</v>
      </c>
      <c r="B17">
        <v>12.27</v>
      </c>
      <c r="C17">
        <v>13.053100000000001</v>
      </c>
      <c r="D17" s="2">
        <f>F17/G17*100</f>
        <v>16.235292949988356</v>
      </c>
      <c r="E17">
        <f t="shared" si="3"/>
        <v>39.159300000000002</v>
      </c>
      <c r="F17">
        <f>(E17)*(1/$C$2)</f>
        <v>1.4478937502079815E-7</v>
      </c>
      <c r="G17" s="1">
        <f t="shared" si="2"/>
        <v>8.9181867839903687E-7</v>
      </c>
    </row>
    <row r="20" spans="1:7" x14ac:dyDescent="0.25">
      <c r="A20" t="s">
        <v>4</v>
      </c>
      <c r="B20" s="4" t="s">
        <v>49</v>
      </c>
      <c r="C20" s="4"/>
      <c r="D20" s="4"/>
    </row>
    <row r="21" spans="1:7" x14ac:dyDescent="0.25">
      <c r="A21" t="s">
        <v>6</v>
      </c>
      <c r="B21" t="s">
        <v>8</v>
      </c>
      <c r="C21" t="s">
        <v>9</v>
      </c>
      <c r="D21" t="s">
        <v>14</v>
      </c>
      <c r="E21" t="s">
        <v>42</v>
      </c>
      <c r="F21" t="s">
        <v>12</v>
      </c>
      <c r="G21" t="s">
        <v>50</v>
      </c>
    </row>
    <row r="22" spans="1:7" x14ac:dyDescent="0.25">
      <c r="A22" t="s">
        <v>43</v>
      </c>
      <c r="B22">
        <v>4.5270000000000001</v>
      </c>
      <c r="C22">
        <v>5.8185000000000002</v>
      </c>
      <c r="D22" s="2">
        <f>F22/G22*100</f>
        <v>43.943634763216942</v>
      </c>
      <c r="E22">
        <f>C22*3</f>
        <v>17.455500000000001</v>
      </c>
      <c r="F22">
        <f>(E22)*(1/$C$3)</f>
        <v>1.7091452070890043E-7</v>
      </c>
      <c r="G22" s="1">
        <f>$E$3</f>
        <v>3.8894033602328355E-7</v>
      </c>
    </row>
    <row r="23" spans="1:7" x14ac:dyDescent="0.25">
      <c r="A23" t="s">
        <v>44</v>
      </c>
      <c r="B23">
        <v>4.5229999999999997</v>
      </c>
      <c r="C23">
        <v>5.7934999999999999</v>
      </c>
      <c r="D23" s="2">
        <f t="shared" ref="D23:D28" si="4">F23/G23*100</f>
        <v>43.754824783139526</v>
      </c>
      <c r="E23">
        <f t="shared" ref="E23:E28" si="5">C23*3</f>
        <v>17.380499999999998</v>
      </c>
      <c r="F23">
        <f t="shared" ref="F23:F28" si="6">(E23)*(1/$C$3)</f>
        <v>1.7018016253794182E-7</v>
      </c>
      <c r="G23" s="1">
        <f t="shared" ref="G23:G28" si="7">$E$3</f>
        <v>3.8894033602328355E-7</v>
      </c>
    </row>
    <row r="24" spans="1:7" x14ac:dyDescent="0.25">
      <c r="A24" t="s">
        <v>45</v>
      </c>
      <c r="B24">
        <v>4.5229999999999997</v>
      </c>
      <c r="C24">
        <v>5.7275999999999998</v>
      </c>
      <c r="D24" s="2">
        <f t="shared" si="4"/>
        <v>43.257121675655476</v>
      </c>
      <c r="E24">
        <f t="shared" si="5"/>
        <v>17.1828</v>
      </c>
      <c r="F24">
        <f t="shared" si="6"/>
        <v>1.6824439439929502E-7</v>
      </c>
      <c r="G24" s="1">
        <f t="shared" si="7"/>
        <v>3.8894033602328355E-7</v>
      </c>
    </row>
    <row r="25" spans="1:7" x14ac:dyDescent="0.25">
      <c r="D25" s="2"/>
      <c r="G25" s="1"/>
    </row>
    <row r="26" spans="1:7" x14ac:dyDescent="0.25">
      <c r="A26" t="s">
        <v>46</v>
      </c>
      <c r="B26">
        <v>4.5229999999999997</v>
      </c>
      <c r="C26">
        <v>6.0125999999999999</v>
      </c>
      <c r="D26" s="2">
        <f t="shared" si="4"/>
        <v>45.409555448537972</v>
      </c>
      <c r="E26">
        <f t="shared" si="5"/>
        <v>18.037800000000001</v>
      </c>
      <c r="F26">
        <f t="shared" si="6"/>
        <v>1.7661607754822287E-7</v>
      </c>
      <c r="G26" s="1">
        <f t="shared" si="7"/>
        <v>3.8894033602328355E-7</v>
      </c>
    </row>
    <row r="27" spans="1:7" x14ac:dyDescent="0.25">
      <c r="A27" t="s">
        <v>47</v>
      </c>
      <c r="B27">
        <v>4.5229999999999997</v>
      </c>
      <c r="C27">
        <v>5.7336</v>
      </c>
      <c r="D27" s="2">
        <f t="shared" si="4"/>
        <v>43.302436070874059</v>
      </c>
      <c r="E27">
        <f t="shared" si="5"/>
        <v>17.200800000000001</v>
      </c>
      <c r="F27">
        <f t="shared" si="6"/>
        <v>1.684206403603251E-7</v>
      </c>
      <c r="G27" s="1">
        <f t="shared" si="7"/>
        <v>3.8894033602328355E-7</v>
      </c>
    </row>
    <row r="28" spans="1:7" x14ac:dyDescent="0.25">
      <c r="A28" t="s">
        <v>48</v>
      </c>
      <c r="B28">
        <v>4.5229999999999997</v>
      </c>
      <c r="C28">
        <v>5.7678000000000003</v>
      </c>
      <c r="D28" s="2">
        <f t="shared" si="4"/>
        <v>43.56072812361996</v>
      </c>
      <c r="E28">
        <f t="shared" si="5"/>
        <v>17.3034</v>
      </c>
      <c r="F28">
        <f t="shared" si="6"/>
        <v>1.6942524233819643E-7</v>
      </c>
      <c r="G28" s="1">
        <f t="shared" si="7"/>
        <v>3.8894033602328355E-7</v>
      </c>
    </row>
    <row r="31" spans="1:7" x14ac:dyDescent="0.25">
      <c r="A31" t="s">
        <v>4</v>
      </c>
      <c r="B31" s="4" t="s">
        <v>55</v>
      </c>
      <c r="C31" s="4"/>
      <c r="D31" s="4"/>
    </row>
    <row r="32" spans="1:7" x14ac:dyDescent="0.25">
      <c r="A32" t="s">
        <v>6</v>
      </c>
      <c r="B32" t="s">
        <v>8</v>
      </c>
      <c r="C32" t="s">
        <v>9</v>
      </c>
      <c r="D32" t="s">
        <v>14</v>
      </c>
      <c r="E32" t="s">
        <v>42</v>
      </c>
      <c r="F32" t="s">
        <v>12</v>
      </c>
      <c r="G32" t="s">
        <v>51</v>
      </c>
    </row>
    <row r="33" spans="1:7" x14ac:dyDescent="0.25">
      <c r="A33" t="s">
        <v>43</v>
      </c>
      <c r="B33">
        <v>6.29</v>
      </c>
      <c r="C33">
        <v>5.4823000000000004</v>
      </c>
      <c r="D33" s="2">
        <f>F33/G33*100</f>
        <v>41.524502102269686</v>
      </c>
      <c r="E33">
        <f>C33*3</f>
        <v>16.446899999999999</v>
      </c>
      <c r="F33">
        <f>(E33)*(1/$C$4)</f>
        <v>1.2633968351513287E-7</v>
      </c>
      <c r="G33" s="1">
        <f>$E$4</f>
        <v>3.0425333747283457E-7</v>
      </c>
    </row>
    <row r="34" spans="1:7" x14ac:dyDescent="0.25">
      <c r="A34" t="s">
        <v>44</v>
      </c>
      <c r="B34">
        <v>6.29</v>
      </c>
      <c r="C34">
        <v>5.5284000000000004</v>
      </c>
      <c r="D34" s="2">
        <f t="shared" ref="D34:D35" si="8">F34/G34*100</f>
        <v>41.873676636117644</v>
      </c>
      <c r="E34">
        <f t="shared" ref="E34:E35" si="9">C34*3</f>
        <v>16.5852</v>
      </c>
      <c r="F34">
        <f t="shared" ref="F34:F39" si="10">(E34)*(1/$C$4)</f>
        <v>1.274020586879705E-7</v>
      </c>
      <c r="G34" s="1">
        <f t="shared" ref="G34:G39" si="11">$E$4</f>
        <v>3.0425333747283457E-7</v>
      </c>
    </row>
    <row r="35" spans="1:7" x14ac:dyDescent="0.25">
      <c r="A35" t="s">
        <v>45</v>
      </c>
      <c r="B35">
        <v>6.2869999999999999</v>
      </c>
      <c r="C35">
        <v>4.3589000000000002</v>
      </c>
      <c r="D35" s="2">
        <f t="shared" si="8"/>
        <v>33.015550446634329</v>
      </c>
      <c r="E35">
        <f t="shared" si="9"/>
        <v>13.076700000000001</v>
      </c>
      <c r="F35">
        <f t="shared" si="10"/>
        <v>1.0045091411891228E-7</v>
      </c>
      <c r="G35" s="1">
        <f t="shared" si="11"/>
        <v>3.0425333747283457E-7</v>
      </c>
    </row>
    <row r="36" spans="1:7" x14ac:dyDescent="0.25">
      <c r="D36" s="2"/>
      <c r="G36" s="1"/>
    </row>
    <row r="37" spans="1:7" x14ac:dyDescent="0.25">
      <c r="A37" t="s">
        <v>46</v>
      </c>
      <c r="B37">
        <v>6.29</v>
      </c>
      <c r="C37">
        <v>12.9422</v>
      </c>
      <c r="D37" s="2">
        <f>F37/G37*100</f>
        <v>98.027910020975654</v>
      </c>
      <c r="E37">
        <f t="shared" ref="E37:E39" si="12">C37*3</f>
        <v>38.826599999999999</v>
      </c>
      <c r="F37">
        <f t="shared" si="10"/>
        <v>2.9825318789368565E-7</v>
      </c>
      <c r="G37" s="1">
        <f t="shared" si="11"/>
        <v>3.0425333747283457E-7</v>
      </c>
    </row>
    <row r="38" spans="1:7" x14ac:dyDescent="0.25">
      <c r="A38" t="s">
        <v>47</v>
      </c>
      <c r="B38">
        <v>6.2869999999999999</v>
      </c>
      <c r="C38">
        <v>5.0167000000000002</v>
      </c>
      <c r="D38" s="2">
        <f t="shared" ref="D38:D39" si="13">F38/G38*100</f>
        <v>37.997915053254353</v>
      </c>
      <c r="E38">
        <f t="shared" si="12"/>
        <v>15.0501</v>
      </c>
      <c r="F38">
        <f t="shared" si="10"/>
        <v>1.1560992471961899E-7</v>
      </c>
      <c r="G38" s="1">
        <f t="shared" si="11"/>
        <v>3.0425333747283457E-7</v>
      </c>
    </row>
    <row r="39" spans="1:7" x14ac:dyDescent="0.25">
      <c r="A39" t="s">
        <v>48</v>
      </c>
      <c r="B39">
        <v>6.2869999999999999</v>
      </c>
      <c r="C39">
        <v>5.0774999999999997</v>
      </c>
      <c r="D39" s="2">
        <f t="shared" si="13"/>
        <v>38.458431575118901</v>
      </c>
      <c r="E39">
        <f t="shared" si="12"/>
        <v>15.232499999999998</v>
      </c>
      <c r="F39">
        <f t="shared" si="10"/>
        <v>1.1701106160700567E-7</v>
      </c>
      <c r="G39" s="1">
        <f t="shared" si="11"/>
        <v>3.0425333747283457E-7</v>
      </c>
    </row>
    <row r="42" spans="1:7" x14ac:dyDescent="0.25">
      <c r="A42" t="s">
        <v>4</v>
      </c>
      <c r="B42" s="4" t="s">
        <v>56</v>
      </c>
      <c r="C42" s="4"/>
      <c r="D42" s="4"/>
    </row>
    <row r="43" spans="1:7" x14ac:dyDescent="0.25">
      <c r="A43" t="s">
        <v>6</v>
      </c>
      <c r="B43" t="s">
        <v>8</v>
      </c>
      <c r="C43" t="s">
        <v>9</v>
      </c>
      <c r="D43" t="s">
        <v>14</v>
      </c>
      <c r="E43" t="s">
        <v>42</v>
      </c>
      <c r="F43" t="s">
        <v>12</v>
      </c>
      <c r="G43" t="s">
        <v>52</v>
      </c>
    </row>
    <row r="44" spans="1:7" x14ac:dyDescent="0.25">
      <c r="A44" t="s">
        <v>43</v>
      </c>
      <c r="B44">
        <v>7.6269999999999998</v>
      </c>
      <c r="C44">
        <v>6.3327</v>
      </c>
      <c r="D44" s="2">
        <f>F44/G44*100</f>
        <v>48.053114924243204</v>
      </c>
      <c r="E44">
        <f>C44*3</f>
        <v>18.998100000000001</v>
      </c>
      <c r="F44">
        <f>(E44)*(1/$C$5)</f>
        <v>1.2005877148634985E-7</v>
      </c>
      <c r="G44" s="1">
        <f>$E$5</f>
        <v>2.4984597080881262E-7</v>
      </c>
    </row>
    <row r="45" spans="1:7" x14ac:dyDescent="0.25">
      <c r="A45" t="s">
        <v>44</v>
      </c>
      <c r="B45">
        <v>7.6269999999999998</v>
      </c>
      <c r="C45">
        <v>6.3536000000000001</v>
      </c>
      <c r="D45" s="2">
        <f t="shared" ref="D45:D46" si="14">F45/G45*100</f>
        <v>48.211706062607043</v>
      </c>
      <c r="E45">
        <f>C45*3</f>
        <v>19.0608</v>
      </c>
      <c r="F45">
        <f t="shared" ref="F45:F50" si="15">(E45)*(1/$C$5)</f>
        <v>1.2045500505561173E-7</v>
      </c>
      <c r="G45" s="1">
        <f t="shared" ref="G45:G50" si="16">$E$5</f>
        <v>2.4984597080881262E-7</v>
      </c>
    </row>
    <row r="46" spans="1:7" x14ac:dyDescent="0.25">
      <c r="A46" t="s">
        <v>45</v>
      </c>
      <c r="B46">
        <v>7.6269999999999998</v>
      </c>
      <c r="C46">
        <v>5.1976000000000004</v>
      </c>
      <c r="D46" s="2">
        <f t="shared" si="14"/>
        <v>39.439870849755472</v>
      </c>
      <c r="E46">
        <f t="shared" ref="E46" si="17">C46*3</f>
        <v>15.5928</v>
      </c>
      <c r="F46">
        <f t="shared" si="15"/>
        <v>9.8538928210313447E-8</v>
      </c>
      <c r="G46" s="1">
        <f t="shared" si="16"/>
        <v>2.4984597080881262E-7</v>
      </c>
    </row>
    <row r="47" spans="1:7" x14ac:dyDescent="0.25">
      <c r="D47" s="2"/>
      <c r="G47" s="1"/>
    </row>
    <row r="48" spans="1:7" x14ac:dyDescent="0.25">
      <c r="A48" t="s">
        <v>46</v>
      </c>
      <c r="B48">
        <v>7.6269999999999998</v>
      </c>
      <c r="C48">
        <v>13.8797</v>
      </c>
      <c r="D48" s="2">
        <f t="shared" ref="D48:D50" si="18">F48/G48*100</f>
        <v>105.32045086835289</v>
      </c>
      <c r="E48">
        <f t="shared" ref="E48:E50" si="19">C48*3</f>
        <v>41.639099999999999</v>
      </c>
      <c r="F48">
        <f t="shared" si="15"/>
        <v>2.6313890293225478E-7</v>
      </c>
      <c r="G48" s="1">
        <f t="shared" si="16"/>
        <v>2.4984597080881262E-7</v>
      </c>
    </row>
    <row r="49" spans="1:7" x14ac:dyDescent="0.25">
      <c r="A49" t="s">
        <v>47</v>
      </c>
      <c r="B49">
        <v>7.6230000000000002</v>
      </c>
      <c r="C49">
        <v>5.8361000000000001</v>
      </c>
      <c r="D49" s="2">
        <f t="shared" si="18"/>
        <v>44.28486806723447</v>
      </c>
      <c r="E49">
        <f t="shared" si="19"/>
        <v>17.508299999999998</v>
      </c>
      <c r="F49">
        <f t="shared" si="15"/>
        <v>1.106439585439838E-7</v>
      </c>
      <c r="G49" s="1">
        <f t="shared" si="16"/>
        <v>2.4984597080881262E-7</v>
      </c>
    </row>
    <row r="50" spans="1:7" x14ac:dyDescent="0.25">
      <c r="A50" t="s">
        <v>48</v>
      </c>
      <c r="B50">
        <v>7.6230000000000002</v>
      </c>
      <c r="C50">
        <v>6.0522</v>
      </c>
      <c r="D50" s="2">
        <f t="shared" si="18"/>
        <v>45.9246549093601</v>
      </c>
      <c r="E50">
        <f t="shared" si="19"/>
        <v>18.156600000000001</v>
      </c>
      <c r="F50">
        <f t="shared" si="15"/>
        <v>1.1474089989888777E-7</v>
      </c>
      <c r="G50" s="1">
        <f t="shared" si="16"/>
        <v>2.4984597080881262E-7</v>
      </c>
    </row>
    <row r="53" spans="1:7" x14ac:dyDescent="0.25">
      <c r="A53" t="s">
        <v>4</v>
      </c>
      <c r="B53" s="4" t="s">
        <v>57</v>
      </c>
      <c r="C53" s="4"/>
      <c r="D53" s="4"/>
    </row>
    <row r="54" spans="1:7" x14ac:dyDescent="0.25">
      <c r="A54" t="s">
        <v>6</v>
      </c>
      <c r="B54" t="s">
        <v>8</v>
      </c>
      <c r="C54" t="s">
        <v>9</v>
      </c>
      <c r="D54" t="s">
        <v>14</v>
      </c>
      <c r="E54" t="s">
        <v>42</v>
      </c>
      <c r="F54" t="s">
        <v>12</v>
      </c>
      <c r="G54" t="s">
        <v>53</v>
      </c>
    </row>
    <row r="55" spans="1:7" x14ac:dyDescent="0.25">
      <c r="A55" t="s">
        <v>43</v>
      </c>
      <c r="B55">
        <v>8.7230000000000008</v>
      </c>
      <c r="C55">
        <v>7.0148999999999999</v>
      </c>
      <c r="D55" s="2">
        <f>F55/G55*100</f>
        <v>53.29833444892261</v>
      </c>
      <c r="E55">
        <f>C55*3</f>
        <v>21.044699999999999</v>
      </c>
      <c r="F55">
        <f>(E55)*(1/$C$6)</f>
        <v>1.1296741639379461E-7</v>
      </c>
      <c r="G55" s="1">
        <f>$E$6</f>
        <v>2.1195299545815012E-7</v>
      </c>
    </row>
    <row r="56" spans="1:7" x14ac:dyDescent="0.25">
      <c r="A56" t="s">
        <v>44</v>
      </c>
      <c r="B56">
        <v>8.7230000000000008</v>
      </c>
      <c r="C56">
        <v>7.5159000000000002</v>
      </c>
      <c r="D56" s="2">
        <f t="shared" ref="D56:D57" si="20">F56/G56*100</f>
        <v>57.104869903299758</v>
      </c>
      <c r="E56">
        <f t="shared" ref="E56:E57" si="21">C56*3</f>
        <v>22.547699999999999</v>
      </c>
      <c r="F56">
        <f t="shared" ref="F56:F61" si="22">(E56)*(1/$C$6)</f>
        <v>1.2103548231252347E-7</v>
      </c>
      <c r="G56" s="1">
        <f t="shared" ref="G56:G61" si="23">$E$6</f>
        <v>2.1195299545815012E-7</v>
      </c>
    </row>
    <row r="57" spans="1:7" x14ac:dyDescent="0.25">
      <c r="A57" t="s">
        <v>45</v>
      </c>
      <c r="B57">
        <v>8.7230000000000008</v>
      </c>
      <c r="C57">
        <v>6.3192000000000004</v>
      </c>
      <c r="D57" s="2">
        <f t="shared" si="20"/>
        <v>48.012492701197715</v>
      </c>
      <c r="E57">
        <f t="shared" si="21"/>
        <v>18.957599999999999</v>
      </c>
      <c r="F57">
        <f t="shared" si="22"/>
        <v>1.0176391647431424E-7</v>
      </c>
      <c r="G57" s="1">
        <f t="shared" si="23"/>
        <v>2.1195299545815012E-7</v>
      </c>
    </row>
    <row r="58" spans="1:7" x14ac:dyDescent="0.25">
      <c r="D58" s="2"/>
      <c r="G58" s="1"/>
    </row>
    <row r="59" spans="1:7" x14ac:dyDescent="0.25">
      <c r="A59" t="s">
        <v>46</v>
      </c>
      <c r="B59">
        <v>8.7270000000000003</v>
      </c>
      <c r="C59">
        <v>15.7271</v>
      </c>
      <c r="D59" s="2">
        <f t="shared" ref="D59:D61" si="24">F59/G59*100</f>
        <v>119.49254240426106</v>
      </c>
      <c r="E59">
        <f>C59*3</f>
        <v>47.1813</v>
      </c>
      <c r="F59">
        <f>(E59)*(1/$C$6)</f>
        <v>2.5326802297493155E-7</v>
      </c>
      <c r="G59" s="1">
        <f t="shared" si="23"/>
        <v>2.1195299545815012E-7</v>
      </c>
    </row>
    <row r="60" spans="1:7" x14ac:dyDescent="0.25">
      <c r="A60" t="s">
        <v>47</v>
      </c>
      <c r="B60">
        <v>8.7200000000000006</v>
      </c>
      <c r="C60">
        <v>6.8975</v>
      </c>
      <c r="D60" s="2">
        <f t="shared" si="24"/>
        <v>52.406343905322061</v>
      </c>
      <c r="E60">
        <f t="shared" ref="E60:E61" si="25">C60*3</f>
        <v>20.692499999999999</v>
      </c>
      <c r="F60">
        <f>(E60)*(1/$C$6)</f>
        <v>1.110768157174298E-7</v>
      </c>
      <c r="G60" s="1">
        <f t="shared" si="23"/>
        <v>2.1195299545815012E-7</v>
      </c>
    </row>
    <row r="61" spans="1:7" x14ac:dyDescent="0.25">
      <c r="A61" t="s">
        <v>48</v>
      </c>
      <c r="B61">
        <v>8.7200000000000006</v>
      </c>
      <c r="C61">
        <v>7.2858000000000001</v>
      </c>
      <c r="D61" s="2">
        <f t="shared" si="24"/>
        <v>55.356598829343319</v>
      </c>
      <c r="E61">
        <f t="shared" si="25"/>
        <v>21.857399999999998</v>
      </c>
      <c r="F61">
        <f t="shared" si="22"/>
        <v>1.1732996940254441E-7</v>
      </c>
      <c r="G61" s="1">
        <f t="shared" si="23"/>
        <v>2.1195299545815012E-7</v>
      </c>
    </row>
  </sheetData>
  <mergeCells count="5">
    <mergeCell ref="B20:D20"/>
    <mergeCell ref="B31:D31"/>
    <mergeCell ref="B42:D42"/>
    <mergeCell ref="B53:D53"/>
    <mergeCell ref="B9:D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7" sqref="A7"/>
    </sheetView>
  </sheetViews>
  <sheetFormatPr defaultRowHeight="15" x14ac:dyDescent="0.25"/>
  <cols>
    <col min="1" max="1" width="45.42578125" bestFit="1" customWidth="1"/>
    <col min="2" max="2" width="10" bestFit="1" customWidth="1"/>
    <col min="3" max="3" width="26" bestFit="1" customWidth="1"/>
    <col min="4" max="4" width="17.42578125" bestFit="1" customWidth="1"/>
    <col min="5" max="5" width="39.42578125" bestFit="1" customWidth="1"/>
    <col min="6" max="6" width="20.7109375" bestFit="1" customWidth="1"/>
    <col min="7" max="7" width="25" bestFit="1" customWidth="1"/>
    <col min="9" max="9" width="12.7109375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v>8.9199999999999999E-7</v>
      </c>
    </row>
    <row r="5" spans="1:9" x14ac:dyDescent="0.25">
      <c r="A5" t="s">
        <v>4</v>
      </c>
      <c r="C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37</v>
      </c>
      <c r="F6" t="s">
        <v>12</v>
      </c>
      <c r="G6" t="s">
        <v>13</v>
      </c>
      <c r="I6" t="s">
        <v>14</v>
      </c>
    </row>
    <row r="7" spans="1:9" x14ac:dyDescent="0.25">
      <c r="A7" t="s">
        <v>66</v>
      </c>
      <c r="B7" t="s">
        <v>4</v>
      </c>
      <c r="C7">
        <v>12.27</v>
      </c>
      <c r="D7">
        <v>28.341699999999999</v>
      </c>
      <c r="E7">
        <v>85.025099999999995</v>
      </c>
      <c r="F7" s="1">
        <v>3.1437599999999998E-7</v>
      </c>
      <c r="G7" s="1">
        <v>8.9199999999999999E-7</v>
      </c>
      <c r="I7">
        <v>0.35</v>
      </c>
    </row>
    <row r="8" spans="1:9" x14ac:dyDescent="0.25">
      <c r="A8" t="s">
        <v>65</v>
      </c>
      <c r="B8" t="s">
        <v>4</v>
      </c>
      <c r="C8">
        <v>12.27</v>
      </c>
      <c r="D8">
        <v>30.435400000000001</v>
      </c>
      <c r="E8">
        <v>91.306200000000004</v>
      </c>
      <c r="F8" s="1">
        <v>3.3760000000000001E-7</v>
      </c>
      <c r="G8" s="1">
        <v>8.9199999999999999E-7</v>
      </c>
      <c r="I8">
        <v>0.38</v>
      </c>
    </row>
    <row r="9" spans="1:9" x14ac:dyDescent="0.25">
      <c r="A9" t="s">
        <v>67</v>
      </c>
      <c r="B9" t="s">
        <v>4</v>
      </c>
      <c r="C9">
        <v>12.27</v>
      </c>
      <c r="D9">
        <v>61.482599999999998</v>
      </c>
      <c r="E9">
        <v>61.482599999999998</v>
      </c>
      <c r="F9" s="1">
        <v>2.2732900000000001E-7</v>
      </c>
      <c r="G9" s="1">
        <v>8.9199999999999999E-7</v>
      </c>
      <c r="I9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7" sqref="F7:G7"/>
    </sheetView>
  </sheetViews>
  <sheetFormatPr defaultRowHeight="15" x14ac:dyDescent="0.25"/>
  <cols>
    <col min="1" max="1" width="48.140625" customWidth="1"/>
    <col min="2" max="2" width="10" bestFit="1" customWidth="1"/>
    <col min="3" max="3" width="26" bestFit="1" customWidth="1"/>
    <col min="4" max="4" width="17.42578125" bestFit="1" customWidth="1"/>
    <col min="5" max="5" width="39.42578125" bestFit="1" customWidth="1"/>
    <col min="6" max="6" width="20.7109375" bestFit="1" customWidth="1"/>
    <col min="7" max="7" width="25" bestFit="1" customWidth="1"/>
    <col min="9" max="9" width="18.85546875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v>8.9181899999999997E-7</v>
      </c>
    </row>
    <row r="5" spans="1:9" x14ac:dyDescent="0.25">
      <c r="A5" t="s">
        <v>4</v>
      </c>
      <c r="C5" t="s">
        <v>5</v>
      </c>
    </row>
    <row r="6" spans="1:9" x14ac:dyDescent="0.25">
      <c r="A6" t="s">
        <v>6</v>
      </c>
      <c r="B6" t="s">
        <v>7</v>
      </c>
      <c r="C6" t="s">
        <v>8</v>
      </c>
      <c r="D6" t="s">
        <v>9</v>
      </c>
      <c r="E6" t="s">
        <v>37</v>
      </c>
      <c r="F6" t="s">
        <v>12</v>
      </c>
      <c r="G6" t="s">
        <v>13</v>
      </c>
      <c r="I6" t="s">
        <v>14</v>
      </c>
    </row>
    <row r="7" spans="1:9" x14ac:dyDescent="0.25">
      <c r="A7" t="s">
        <v>70</v>
      </c>
      <c r="B7">
        <v>6500</v>
      </c>
      <c r="C7">
        <v>12.27</v>
      </c>
      <c r="D7">
        <v>3.3786</v>
      </c>
      <c r="E7">
        <f>D7*1</f>
        <v>3.3786</v>
      </c>
      <c r="F7">
        <f>(E7)*(1/$B$2)</f>
        <v>1.2492189146518672E-8</v>
      </c>
      <c r="G7" s="1">
        <f>(B7*3)/($B$1)</f>
        <v>2.4153422539973914E-5</v>
      </c>
      <c r="I7" s="5">
        <f>F7/G7</f>
        <v>5.1720161504416611E-4</v>
      </c>
    </row>
    <row r="8" spans="1:9" x14ac:dyDescent="0.25">
      <c r="A8" t="s">
        <v>71</v>
      </c>
      <c r="B8">
        <v>12100</v>
      </c>
      <c r="C8">
        <v>12.27</v>
      </c>
      <c r="D8">
        <v>7.4463999999999997</v>
      </c>
      <c r="E8">
        <f>D8*2</f>
        <v>14.892799999999999</v>
      </c>
      <c r="F8">
        <f t="shared" ref="F8:F9" si="0">(E8)*(1/$B$2)</f>
        <v>5.5065315373608374E-8</v>
      </c>
      <c r="G8" s="1">
        <f t="shared" ref="G8:G9" si="1">(B8*3)/($B$1)</f>
        <v>4.4962525035951443E-5</v>
      </c>
      <c r="I8" s="5">
        <f>F8/G8</f>
        <v>1.224693571581642E-3</v>
      </c>
    </row>
    <row r="9" spans="1:9" x14ac:dyDescent="0.25">
      <c r="A9" t="s">
        <v>72</v>
      </c>
      <c r="B9">
        <v>16300</v>
      </c>
      <c r="C9">
        <v>12.27</v>
      </c>
      <c r="D9">
        <v>54.755800000000001</v>
      </c>
      <c r="E9">
        <f t="shared" ref="E9" si="2">D9*3</f>
        <v>164.26740000000001</v>
      </c>
      <c r="F9">
        <f t="shared" si="0"/>
        <v>6.0736974824094038E-7</v>
      </c>
      <c r="G9" s="1">
        <f t="shared" si="1"/>
        <v>6.0569351907934585E-5</v>
      </c>
      <c r="I9" s="5">
        <f>F9/G9</f>
        <v>1.0027674543457927E-2</v>
      </c>
    </row>
    <row r="11" spans="1:9" x14ac:dyDescent="0.25">
      <c r="G11" s="1"/>
      <c r="I11" s="2"/>
    </row>
    <row r="21" spans="7:9" x14ac:dyDescent="0.25">
      <c r="G21" s="1"/>
      <c r="I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7" sqref="G7"/>
    </sheetView>
  </sheetViews>
  <sheetFormatPr defaultRowHeight="15" x14ac:dyDescent="0.25"/>
  <cols>
    <col min="1" max="1" width="48.42578125" customWidth="1"/>
    <col min="2" max="2" width="10" bestFit="1" customWidth="1"/>
    <col min="3" max="3" width="26" bestFit="1" customWidth="1"/>
    <col min="4" max="4" width="17.42578125" bestFit="1" customWidth="1"/>
    <col min="5" max="5" width="39.42578125" bestFit="1" customWidth="1"/>
    <col min="6" max="6" width="20.7109375" bestFit="1" customWidth="1"/>
    <col min="7" max="7" width="25" bestFit="1" customWidth="1"/>
    <col min="9" max="9" width="12.7109375" bestFit="1" customWidth="1"/>
  </cols>
  <sheetData>
    <row r="1" spans="1:9" x14ac:dyDescent="0.25">
      <c r="A1" t="s">
        <v>0</v>
      </c>
      <c r="B1">
        <v>807339000</v>
      </c>
    </row>
    <row r="2" spans="1:9" x14ac:dyDescent="0.25">
      <c r="A2" t="s">
        <v>1</v>
      </c>
      <c r="B2">
        <v>270457000</v>
      </c>
    </row>
    <row r="3" spans="1:9" x14ac:dyDescent="0.25">
      <c r="A3" t="s">
        <v>2</v>
      </c>
      <c r="B3">
        <v>1200</v>
      </c>
    </row>
    <row r="4" spans="1:9" x14ac:dyDescent="0.25">
      <c r="A4" t="s">
        <v>3</v>
      </c>
      <c r="B4" s="1">
        <v>8.9199999999999999E-7</v>
      </c>
    </row>
    <row r="5" spans="1:9" x14ac:dyDescent="0.25">
      <c r="A5" t="s">
        <v>4</v>
      </c>
      <c r="C5" t="s">
        <v>5</v>
      </c>
    </row>
    <row r="6" spans="1:9" x14ac:dyDescent="0.25">
      <c r="A6" t="s">
        <v>6</v>
      </c>
      <c r="B6" t="s">
        <v>69</v>
      </c>
      <c r="C6" t="s">
        <v>8</v>
      </c>
      <c r="D6" t="s">
        <v>9</v>
      </c>
      <c r="E6" t="s">
        <v>37</v>
      </c>
      <c r="F6" t="s">
        <v>12</v>
      </c>
      <c r="G6" t="s">
        <v>13</v>
      </c>
      <c r="I6" t="s">
        <v>14</v>
      </c>
    </row>
    <row r="7" spans="1:9" x14ac:dyDescent="0.25">
      <c r="A7" t="s">
        <v>68</v>
      </c>
      <c r="B7">
        <v>19400</v>
      </c>
      <c r="C7">
        <v>12.27</v>
      </c>
      <c r="D7">
        <f>591.1611</f>
        <v>591.16110000000003</v>
      </c>
      <c r="E7">
        <f>D7*1</f>
        <v>591.16110000000003</v>
      </c>
      <c r="F7">
        <f>(E7*1)/($B$2)</f>
        <v>2.1857859105144258E-6</v>
      </c>
      <c r="G7" s="1">
        <f>B7*(1/$B$1)*(3/1)</f>
        <v>7.2088676503922154E-5</v>
      </c>
      <c r="I7" s="7">
        <f>F7/G7</f>
        <v>3.0320794007024154E-2</v>
      </c>
    </row>
    <row r="8" spans="1:9" x14ac:dyDescent="0.25">
      <c r="A8" t="s">
        <v>73</v>
      </c>
      <c r="B8">
        <v>16100</v>
      </c>
      <c r="C8">
        <v>12.27</v>
      </c>
      <c r="D8">
        <v>430.30549999999999</v>
      </c>
      <c r="E8">
        <f>D8*2</f>
        <v>860.61099999999999</v>
      </c>
      <c r="F8">
        <f t="shared" ref="F8:F10" si="0">(E8*1)/($B$2)</f>
        <v>3.1820622132168883E-6</v>
      </c>
      <c r="G8" s="1">
        <f t="shared" ref="G8:G10" si="1">B8*(1/$B$1)*(3/1)</f>
        <v>5.982616967593539E-5</v>
      </c>
      <c r="I8" s="7">
        <f t="shared" ref="I8:I10" si="2">F8/G8</f>
        <v>5.3188466359343878E-2</v>
      </c>
    </row>
    <row r="9" spans="1:9" x14ac:dyDescent="0.25">
      <c r="A9" t="s">
        <v>74</v>
      </c>
      <c r="B9">
        <v>9100</v>
      </c>
      <c r="C9">
        <v>12.27</v>
      </c>
      <c r="D9">
        <v>221.12200000000001</v>
      </c>
      <c r="E9">
        <f>D9*3</f>
        <v>663.36599999999999</v>
      </c>
      <c r="F9">
        <f t="shared" si="0"/>
        <v>2.4527595884003743E-6</v>
      </c>
      <c r="G9" s="1">
        <f t="shared" si="1"/>
        <v>3.3814791555963481E-5</v>
      </c>
      <c r="I9" s="7">
        <f t="shared" si="2"/>
        <v>7.2535108913537358E-2</v>
      </c>
    </row>
    <row r="10" spans="1:9" x14ac:dyDescent="0.25">
      <c r="A10" t="s">
        <v>75</v>
      </c>
      <c r="B10">
        <v>10400</v>
      </c>
      <c r="C10">
        <v>12.27</v>
      </c>
      <c r="D10">
        <v>181.8571</v>
      </c>
      <c r="E10">
        <f>D10*4</f>
        <v>727.42840000000001</v>
      </c>
      <c r="F10">
        <f t="shared" si="0"/>
        <v>2.6896268168322504E-6</v>
      </c>
      <c r="G10" s="1">
        <f t="shared" si="1"/>
        <v>3.8645476063958268E-5</v>
      </c>
      <c r="I10" s="7">
        <f t="shared" si="2"/>
        <v>6.9597455919055515E-2</v>
      </c>
    </row>
    <row r="11" spans="1:9" x14ac:dyDescent="0.25">
      <c r="F11">
        <f t="shared" ref="F8:F11" si="3">(E11)*(1/$B$2)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7" sqref="G7:G9"/>
    </sheetView>
  </sheetViews>
  <sheetFormatPr defaultRowHeight="15" x14ac:dyDescent="0.25"/>
  <cols>
    <col min="1" max="1" width="36.7109375" bestFit="1" customWidth="1"/>
    <col min="2" max="2" width="10" bestFit="1" customWidth="1"/>
    <col min="3" max="3" width="26" bestFit="1" customWidth="1"/>
    <col min="4" max="4" width="17.42578125" bestFit="1" customWidth="1"/>
    <col min="5" max="5" width="39.42578125" bestFit="1" customWidth="1"/>
    <col min="6" max="6" width="20.7109375" bestFit="1" customWidth="1"/>
    <col min="7" max="7" width="25" bestFit="1" customWidth="1"/>
    <col min="9" max="9" width="18.85546875" bestFit="1" customWidth="1"/>
  </cols>
  <sheetData>
    <row r="1" spans="1:10" x14ac:dyDescent="0.25">
      <c r="A1" t="s">
        <v>0</v>
      </c>
      <c r="B1">
        <v>807339000</v>
      </c>
    </row>
    <row r="2" spans="1:10" x14ac:dyDescent="0.25">
      <c r="A2" t="s">
        <v>1</v>
      </c>
      <c r="B2">
        <v>270457000</v>
      </c>
    </row>
    <row r="3" spans="1:10" x14ac:dyDescent="0.25">
      <c r="A3" t="s">
        <v>2</v>
      </c>
      <c r="B3">
        <v>10090</v>
      </c>
    </row>
    <row r="4" spans="1:10" x14ac:dyDescent="0.25">
      <c r="A4" t="s">
        <v>3</v>
      </c>
      <c r="B4" s="1">
        <v>8.9181899999999997E-7</v>
      </c>
    </row>
    <row r="5" spans="1:10" x14ac:dyDescent="0.25">
      <c r="A5" t="s">
        <v>4</v>
      </c>
      <c r="C5" t="s">
        <v>5</v>
      </c>
    </row>
    <row r="6" spans="1:10" x14ac:dyDescent="0.25">
      <c r="A6" t="s">
        <v>6</v>
      </c>
      <c r="B6" t="s">
        <v>7</v>
      </c>
      <c r="C6" t="s">
        <v>8</v>
      </c>
      <c r="D6" t="s">
        <v>9</v>
      </c>
      <c r="E6" t="s">
        <v>80</v>
      </c>
      <c r="F6" t="s">
        <v>79</v>
      </c>
      <c r="G6" t="s">
        <v>78</v>
      </c>
      <c r="I6" t="s">
        <v>14</v>
      </c>
    </row>
    <row r="7" spans="1:10" x14ac:dyDescent="0.25">
      <c r="A7" t="s">
        <v>76</v>
      </c>
      <c r="B7" t="s">
        <v>4</v>
      </c>
      <c r="C7">
        <v>12.257</v>
      </c>
      <c r="D7">
        <v>60.238900000000001</v>
      </c>
      <c r="E7">
        <f>D7</f>
        <v>60.238900000000001</v>
      </c>
      <c r="F7">
        <f>3*((E7)*(1/$B$2))</f>
        <v>6.6819013743404681E-7</v>
      </c>
      <c r="G7" s="1">
        <f>200*(($B$3*3)/($B$1*1000))</f>
        <v>7.4987087208719012E-6</v>
      </c>
      <c r="I7" s="6">
        <f>F7/G7</f>
        <v>8.9107359987754528E-2</v>
      </c>
      <c r="J7" s="1"/>
    </row>
    <row r="8" spans="1:10" x14ac:dyDescent="0.25">
      <c r="A8" t="s">
        <v>77</v>
      </c>
      <c r="B8" t="s">
        <v>4</v>
      </c>
      <c r="C8">
        <v>12.27</v>
      </c>
      <c r="D8">
        <v>193.94880000000001</v>
      </c>
      <c r="E8">
        <f t="shared" ref="E8:E9" si="0">D8*3</f>
        <v>581.84640000000002</v>
      </c>
      <c r="F8">
        <f t="shared" ref="F8:F9" si="1">3*((E8)*(1/$B$2))</f>
        <v>6.4540359465645196E-6</v>
      </c>
      <c r="G8" s="1">
        <f t="shared" ref="G8:G9" si="2">200*(($B$3*3)/($B$1*1000))</f>
        <v>7.4987087208719012E-6</v>
      </c>
      <c r="I8" s="6">
        <f>F8/G8</f>
        <v>0.86068631104450821</v>
      </c>
    </row>
    <row r="9" spans="1:10" x14ac:dyDescent="0.25">
      <c r="A9" t="s">
        <v>77</v>
      </c>
      <c r="B9" t="s">
        <v>4</v>
      </c>
      <c r="C9">
        <v>12.27</v>
      </c>
      <c r="D9">
        <v>173.232</v>
      </c>
      <c r="E9">
        <f t="shared" si="0"/>
        <v>519.69600000000003</v>
      </c>
      <c r="F9">
        <f t="shared" si="1"/>
        <v>5.764642808283757E-6</v>
      </c>
      <c r="G9" s="1">
        <f t="shared" si="2"/>
        <v>7.4987087208719012E-6</v>
      </c>
      <c r="I9" s="6">
        <f>F9/G9</f>
        <v>0.76875139745573173</v>
      </c>
    </row>
    <row r="11" spans="1:10" x14ac:dyDescent="0.25">
      <c r="G11" s="1"/>
      <c r="I11" s="2"/>
    </row>
    <row r="12" spans="1:10" x14ac:dyDescent="0.25">
      <c r="F12">
        <f>(E12)*(1/$B$2)</f>
        <v>0</v>
      </c>
      <c r="G12" s="1">
        <f>(B12*3)/($B$1)</f>
        <v>0</v>
      </c>
    </row>
    <row r="21" spans="7:9" x14ac:dyDescent="0.25">
      <c r="G21" s="1"/>
      <c r="I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20170407_Palmitic Samples</vt:lpstr>
      <vt:lpstr>JTB-E02-59</vt:lpstr>
      <vt:lpstr>JTB-E02-60</vt:lpstr>
      <vt:lpstr>JTB-E02-61</vt:lpstr>
      <vt:lpstr>JTB-E02-77</vt:lpstr>
      <vt:lpstr>JTB-E02-78</vt:lpstr>
      <vt:lpstr>JTB-E02-79</vt:lpstr>
      <vt:lpstr>JTB-E02-80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T.</dc:creator>
  <cp:lastModifiedBy>JBrown</cp:lastModifiedBy>
  <dcterms:created xsi:type="dcterms:W3CDTF">2017-04-17T12:40:37Z</dcterms:created>
  <dcterms:modified xsi:type="dcterms:W3CDTF">2017-05-27T23:31:39Z</dcterms:modified>
</cp:coreProperties>
</file>